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drawings/drawing3.xml" ContentType="application/vnd.openxmlformats-officedocument.drawingml.chartshapes+xml"/>
  <Override PartName="/xl/charts/chart6.xml" ContentType="application/vnd.openxmlformats-officedocument.drawingml.chart+xml"/>
  <Override PartName="/xl/drawings/drawing4.xml" ContentType="application/vnd.openxmlformats-officedocument.drawingml.chartshapes+xml"/>
  <Override PartName="/xl/charts/chart7.xml" ContentType="application/vnd.openxmlformats-officedocument.drawingml.chart+xml"/>
  <Override PartName="/xl/drawings/drawing5.xml" ContentType="application/vnd.openxmlformats-officedocument.drawingml.chartshapes+xml"/>
  <Override PartName="/xl/drawings/drawing6.xml" ContentType="application/vnd.openxmlformats-officedocument.drawing+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drawings/drawing7.xml" ContentType="application/vnd.openxmlformats-officedocument.drawing+xml"/>
  <Override PartName="/xl/charts/chart14.xml" ContentType="application/vnd.openxmlformats-officedocument.drawingml.chart+xml"/>
  <Override PartName="/xl/drawings/drawing8.xml" ContentType="application/vnd.openxmlformats-officedocument.drawing+xml"/>
  <Override PartName="/xl/drawings/drawing9.xml" ContentType="application/vnd.openxmlformats-officedocument.drawing+xml"/>
  <Override PartName="/xl/charts/chart15.xml" ContentType="application/vnd.openxmlformats-officedocument.drawingml.chart+xml"/>
  <Override PartName="/xl/drawings/drawing10.xml" ContentType="application/vnd.openxmlformats-officedocument.drawing+xml"/>
  <Override PartName="/xl/charts/chart16.xml" ContentType="application/vnd.openxmlformats-officedocument.drawingml.chart+xml"/>
  <Override PartName="/xl/charts/chart17.xml" ContentType="application/vnd.openxmlformats-officedocument.drawingml.chart+xml"/>
  <Override PartName="/xl/drawings/drawing11.xml" ContentType="application/vnd.openxmlformats-officedocument.drawing+xml"/>
  <Override PartName="/xl/charts/chart18.xml" ContentType="application/vnd.openxmlformats-officedocument.drawingml.chart+xml"/>
  <Override PartName="/xl/drawings/drawing12.xml" ContentType="application/vnd.openxmlformats-officedocument.drawing+xml"/>
  <Override PartName="/xl/charts/chart19.xml" ContentType="application/vnd.openxmlformats-officedocument.drawingml.chart+xml"/>
  <Override PartName="/xl/drawings/drawing13.xml" ContentType="application/vnd.openxmlformats-officedocument.drawing+xml"/>
  <Override PartName="/xl/charts/chart20.xml" ContentType="application/vnd.openxmlformats-officedocument.drawingml.chart+xml"/>
  <Override PartName="/xl/charts/chart21.xml" ContentType="application/vnd.openxmlformats-officedocument.drawingml.chart+xml"/>
  <Override PartName="/xl/drawings/drawing14.xml" ContentType="application/vnd.openxmlformats-officedocument.drawing+xml"/>
  <Override PartName="/xl/charts/chart22.xml" ContentType="application/vnd.openxmlformats-officedocument.drawingml.chart+xml"/>
  <Override PartName="/xl/drawings/drawing15.xml" ContentType="application/vnd.openxmlformats-officedocument.drawing+xml"/>
  <Override PartName="/xl/charts/chart23.xml" ContentType="application/vnd.openxmlformats-officedocument.drawingml.chart+xml"/>
  <Override PartName="/xl/drawings/drawing16.xml" ContentType="application/vnd.openxmlformats-officedocument.drawing+xml"/>
  <Override PartName="/xl/charts/chart24.xml" ContentType="application/vnd.openxmlformats-officedocument.drawingml.chart+xml"/>
  <Override PartName="/xl/drawings/drawing17.xml" ContentType="application/vnd.openxmlformats-officedocument.drawing+xml"/>
  <Override PartName="/xl/charts/chart25.xml" ContentType="application/vnd.openxmlformats-officedocument.drawingml.chart+xml"/>
  <Override PartName="/xl/drawings/drawing18.xml" ContentType="application/vnd.openxmlformats-officedocument.drawing+xml"/>
  <Override PartName="/xl/charts/chart26.xml" ContentType="application/vnd.openxmlformats-officedocument.drawingml.chart+xml"/>
  <Override PartName="/xl/comments2.xml" ContentType="application/vnd.openxmlformats-officedocument.spreadsheetml.comments+xml"/>
  <Override PartName="/xl/drawings/drawing19.xml" ContentType="application/vnd.openxmlformats-officedocument.drawing+xml"/>
  <Override PartName="/xl/charts/chart27.xml" ContentType="application/vnd.openxmlformats-officedocument.drawingml.chart+xml"/>
  <Override PartName="/xl/charts/chart28.xml" ContentType="application/vnd.openxmlformats-officedocument.drawingml.chart+xml"/>
  <Override PartName="/xl/drawings/drawing20.xml" ContentType="application/vnd.openxmlformats-officedocument.drawingml.chartshapes+xml"/>
  <Override PartName="/xl/charts/chart29.xml" ContentType="application/vnd.openxmlformats-officedocument.drawingml.chart+xml"/>
  <Override PartName="/xl/charts/chart30.xml" ContentType="application/vnd.openxmlformats-officedocument.drawingml.chart+xml"/>
  <Override PartName="/xl/drawings/drawing21.xml" ContentType="application/vnd.openxmlformats-officedocument.drawingml.chartshapes+xml"/>
  <Override PartName="/xl/drawings/drawing22.xml" ContentType="application/vnd.openxmlformats-officedocument.drawing+xml"/>
  <Override PartName="/xl/charts/chart31.xml" ContentType="application/vnd.openxmlformats-officedocument.drawingml.chart+xml"/>
  <Override PartName="/xl/drawings/drawing23.xml" ContentType="application/vnd.openxmlformats-officedocument.drawing+xml"/>
  <Override PartName="/xl/charts/chart32.xml" ContentType="application/vnd.openxmlformats-officedocument.drawingml.chart+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328"/>
  <workbookPr/>
  <mc:AlternateContent xmlns:mc="http://schemas.openxmlformats.org/markup-compatibility/2006">
    <mc:Choice Requires="x15">
      <x15ac:absPath xmlns:x15ac="http://schemas.microsoft.com/office/spreadsheetml/2010/11/ac" url="https://d.docs.live.net/abfd906e8980bd45/Desktop/Projects01/capstone/"/>
    </mc:Choice>
  </mc:AlternateContent>
  <xr:revisionPtr revIDLastSave="6" documentId="11_83C695B3F82B80290DDEBF67558F4CF2820F69D8" xr6:coauthVersionLast="45" xr6:coauthVersionMax="45" xr10:uidLastSave="{349ED1C6-CCC2-4F9A-8C7F-411E0B047816}"/>
  <bookViews>
    <workbookView xWindow="-108" yWindow="-108" windowWidth="23256" windowHeight="12576" firstSheet="26" activeTab="28" xr2:uid="{00000000-000D-0000-FFFF-FFFF00000000}"/>
  </bookViews>
  <sheets>
    <sheet name="__FDSCACHE__" sheetId="16" state="veryHidden" r:id="rId1"/>
    <sheet name="Pharmacy-Wholesale data" sheetId="1" r:id="rId2"/>
    <sheet name="Segment Breakdown" sheetId="32" r:id="rId3"/>
    <sheet name="Dist Profitability" sheetId="15" r:id="rId4"/>
    <sheet name="MCK PPV VA" sheetId="31" r:id="rId5"/>
    <sheet name="ROIC" sheetId="18" r:id="rId6"/>
    <sheet name="Generic Lifecycle" sheetId="17" r:id="rId7"/>
    <sheet name="Pharmacy Buying Groups" sheetId="2" r:id="rId8"/>
    <sheet name="Custom Concentration" sheetId="3" r:id="rId9"/>
    <sheet name="Independent Pharmacies" sheetId="19" r:id="rId10"/>
    <sheet name="Warehouse Delivery" sheetId="20" r:id="rId11"/>
    <sheet name="RX Sales Growth (E)" sheetId="4" r:id="rId12"/>
    <sheet name="NMEs and BLAs" sheetId="5" r:id="rId13"/>
    <sheet name="Therapeutics under development" sheetId="6" r:id="rId14"/>
    <sheet name="Biotech sales share" sheetId="7" r:id="rId15"/>
    <sheet name="Traditional vs Specialty Costs" sheetId="8" r:id="rId16"/>
    <sheet name="Specialty Drug Spend" sheetId="10" r:id="rId17"/>
    <sheet name="Chronic Disease" sheetId="9" r:id="rId18"/>
    <sheet name="U.S. Specialty Distributors" sheetId="11" r:id="rId19"/>
    <sheet name="Specialty Pharmacy" sheetId="12" r:id="rId20"/>
    <sheet name="Pharmacy vs Medical" sheetId="13" r:id="rId21"/>
    <sheet name="Retail Pharmacy M&amp;A" sheetId="29" r:id="rId22"/>
    <sheet name="Dist Customers" sheetId="30" r:id="rId23"/>
    <sheet name="Specialty Pharm and Dist" sheetId="14" r:id="rId24"/>
    <sheet name="2003-2016 Branded to Generic" sheetId="24" r:id="rId25"/>
    <sheet name="Branded to Generic Charts " sheetId="34" r:id="rId26"/>
    <sheet name="Limited_Multiple_Source" sheetId="28" r:id="rId27"/>
    <sheet name="Generic Prx inflation" sheetId="37" r:id="rId28"/>
    <sheet name="Earnings Est Matrix" sheetId="35" r:id="rId29"/>
    <sheet name="Sourcing of New Generics" sheetId="36" r:id="rId30"/>
    <sheet name="Section titles" sheetId="38" r:id="rId31"/>
  </sheets>
  <externalReferences>
    <externalReference r:id="rId32"/>
    <externalReference r:id="rId33"/>
    <externalReference r:id="rId34"/>
    <externalReference r:id="rId35"/>
    <externalReference r:id="rId36"/>
    <externalReference r:id="rId37"/>
    <externalReference r:id="rId38"/>
    <externalReference r:id="rId39"/>
    <externalReference r:id="rId40"/>
    <externalReference r:id="rId41"/>
  </externalReferences>
  <definedNames>
    <definedName name="__FDS_HYPERLINK_TOGGLE_STATE__" hidden="1">"ON"</definedName>
  </definedNames>
  <calcPr calcId="191029" iterate="1" calcOnSave="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16" i="32" l="1"/>
  <c r="G15" i="32"/>
  <c r="G14" i="32"/>
  <c r="G13" i="32"/>
  <c r="F16" i="32"/>
  <c r="F15" i="32"/>
  <c r="C15" i="32" s="1"/>
  <c r="F14" i="32"/>
  <c r="C14" i="32" s="1"/>
  <c r="F13" i="32"/>
  <c r="C13" i="32" s="1"/>
  <c r="G12" i="32"/>
  <c r="C7" i="32"/>
  <c r="C6" i="32"/>
  <c r="C5" i="32"/>
  <c r="C4" i="32"/>
  <c r="H7" i="32"/>
  <c r="H6" i="32"/>
  <c r="H5" i="32"/>
  <c r="H4" i="32"/>
  <c r="G7" i="32"/>
  <c r="G6" i="32"/>
  <c r="G5" i="32"/>
  <c r="G4" i="32"/>
  <c r="F7" i="32"/>
  <c r="F6" i="32"/>
  <c r="F5" i="32"/>
  <c r="F4" i="32"/>
  <c r="C11" i="15"/>
  <c r="D11" i="15"/>
  <c r="E11" i="15"/>
  <c r="F11" i="15"/>
  <c r="G11" i="15"/>
  <c r="H11" i="15"/>
  <c r="I11" i="15"/>
  <c r="J11" i="15"/>
  <c r="K11" i="15"/>
  <c r="L11" i="15"/>
  <c r="M11" i="15"/>
  <c r="N11" i="15"/>
  <c r="O11" i="15"/>
  <c r="P11" i="15"/>
  <c r="Q11" i="15"/>
  <c r="R11" i="15"/>
  <c r="S11" i="15"/>
  <c r="T11" i="15"/>
  <c r="U11" i="15"/>
  <c r="V11" i="15"/>
  <c r="W11" i="15"/>
  <c r="X11" i="15"/>
  <c r="Y11" i="15"/>
  <c r="Z11" i="15"/>
  <c r="AA11" i="15"/>
  <c r="AB11" i="15"/>
  <c r="AC11" i="15"/>
  <c r="AD11" i="15"/>
  <c r="AE11" i="15"/>
  <c r="AF11" i="15"/>
  <c r="AG11" i="15"/>
  <c r="AH11" i="15"/>
  <c r="AI11" i="15"/>
  <c r="AJ11" i="15"/>
  <c r="B11" i="15"/>
  <c r="C9" i="15"/>
  <c r="D9" i="15"/>
  <c r="E9" i="15"/>
  <c r="F9" i="15"/>
  <c r="G9" i="15"/>
  <c r="H9" i="15"/>
  <c r="I9" i="15"/>
  <c r="J9" i="15"/>
  <c r="K9" i="15"/>
  <c r="L9" i="15"/>
  <c r="M9" i="15"/>
  <c r="N9" i="15"/>
  <c r="O9" i="15"/>
  <c r="P9" i="15"/>
  <c r="Q9" i="15"/>
  <c r="R9" i="15"/>
  <c r="S9" i="15"/>
  <c r="T9" i="15"/>
  <c r="U9" i="15"/>
  <c r="V9" i="15"/>
  <c r="W9" i="15"/>
  <c r="X9" i="15"/>
  <c r="Y9" i="15"/>
  <c r="Z9" i="15"/>
  <c r="AA9" i="15"/>
  <c r="AB9" i="15"/>
  <c r="AC9" i="15"/>
  <c r="AD9" i="15"/>
  <c r="AE9" i="15"/>
  <c r="AF9" i="15"/>
  <c r="AG9" i="15"/>
  <c r="AH9" i="15"/>
  <c r="AI9" i="15"/>
  <c r="AJ9" i="15"/>
  <c r="B9" i="15"/>
  <c r="C8" i="15"/>
  <c r="D8" i="15"/>
  <c r="E8" i="15"/>
  <c r="F8" i="15"/>
  <c r="G8" i="15"/>
  <c r="H8" i="15"/>
  <c r="I8" i="15"/>
  <c r="J8" i="15"/>
  <c r="K8" i="15"/>
  <c r="L8" i="15"/>
  <c r="M8" i="15"/>
  <c r="N8" i="15"/>
  <c r="O8" i="15"/>
  <c r="P8" i="15"/>
  <c r="Q8" i="15"/>
  <c r="R8" i="15"/>
  <c r="S8" i="15"/>
  <c r="T8" i="15"/>
  <c r="U8" i="15"/>
  <c r="V8" i="15"/>
  <c r="W8" i="15"/>
  <c r="X8" i="15"/>
  <c r="Y8" i="15"/>
  <c r="Z8" i="15"/>
  <c r="AA8" i="15"/>
  <c r="AB8" i="15"/>
  <c r="AC8" i="15"/>
  <c r="AD8" i="15"/>
  <c r="AE8" i="15"/>
  <c r="AF8" i="15"/>
  <c r="AG8" i="15"/>
  <c r="AH8" i="15"/>
  <c r="AI8" i="15"/>
  <c r="AJ8" i="15"/>
  <c r="B8" i="15"/>
  <c r="C16" i="32" l="1"/>
  <c r="C19" i="15"/>
  <c r="D19" i="15"/>
  <c r="E19" i="15"/>
  <c r="F19" i="15"/>
  <c r="G19" i="15"/>
  <c r="H19" i="15"/>
  <c r="I19" i="15"/>
  <c r="J19" i="15"/>
  <c r="K19" i="15"/>
  <c r="L19" i="15"/>
  <c r="M19" i="15"/>
  <c r="N19" i="15"/>
  <c r="O19" i="15"/>
  <c r="P19" i="15"/>
  <c r="Q19" i="15"/>
  <c r="R19" i="15"/>
  <c r="S19" i="15"/>
  <c r="T19" i="15"/>
  <c r="U19" i="15"/>
  <c r="V19" i="15"/>
  <c r="W19" i="15"/>
  <c r="X19" i="15"/>
  <c r="Y19" i="15"/>
  <c r="Z19" i="15"/>
  <c r="AA19" i="15"/>
  <c r="AB19" i="15"/>
  <c r="AC19" i="15"/>
  <c r="AD19" i="15"/>
  <c r="AE19" i="15"/>
  <c r="AF19" i="15"/>
  <c r="AG19" i="15"/>
  <c r="AH19" i="15"/>
  <c r="AI19" i="15"/>
  <c r="AJ19" i="15"/>
  <c r="B19" i="15"/>
  <c r="C17" i="15"/>
  <c r="D17" i="15"/>
  <c r="E17" i="15"/>
  <c r="F17" i="15"/>
  <c r="G17" i="15"/>
  <c r="H17" i="15"/>
  <c r="I17" i="15"/>
  <c r="J17" i="15"/>
  <c r="K17" i="15"/>
  <c r="L17" i="15"/>
  <c r="M17" i="15"/>
  <c r="N17" i="15"/>
  <c r="O17" i="15"/>
  <c r="P17" i="15"/>
  <c r="Q17" i="15"/>
  <c r="R17" i="15"/>
  <c r="S17" i="15"/>
  <c r="T17" i="15"/>
  <c r="U17" i="15"/>
  <c r="V17" i="15"/>
  <c r="W17" i="15"/>
  <c r="X17" i="15"/>
  <c r="Y17" i="15"/>
  <c r="Z17" i="15"/>
  <c r="AA17" i="15"/>
  <c r="AB17" i="15"/>
  <c r="AC17" i="15"/>
  <c r="AD17" i="15"/>
  <c r="AE17" i="15"/>
  <c r="AF17" i="15"/>
  <c r="AG17" i="15"/>
  <c r="AH17" i="15"/>
  <c r="AI17" i="15"/>
  <c r="AJ17" i="15"/>
  <c r="B17" i="15"/>
  <c r="D16" i="15"/>
  <c r="E16" i="15"/>
  <c r="F16" i="15"/>
  <c r="G16" i="15"/>
  <c r="H16" i="15"/>
  <c r="I16" i="15"/>
  <c r="J16" i="15"/>
  <c r="K16" i="15"/>
  <c r="L16" i="15"/>
  <c r="M16" i="15"/>
  <c r="N16" i="15"/>
  <c r="O16" i="15"/>
  <c r="P16" i="15"/>
  <c r="Q16" i="15"/>
  <c r="R16" i="15"/>
  <c r="S16" i="15"/>
  <c r="T16" i="15"/>
  <c r="U16" i="15"/>
  <c r="V16" i="15"/>
  <c r="W16" i="15"/>
  <c r="X16" i="15"/>
  <c r="Y16" i="15"/>
  <c r="Z16" i="15"/>
  <c r="AA16" i="15"/>
  <c r="AB16" i="15"/>
  <c r="AC16" i="15"/>
  <c r="AD16" i="15"/>
  <c r="AE16" i="15"/>
  <c r="AF16" i="15"/>
  <c r="AG16" i="15"/>
  <c r="AH16" i="15"/>
  <c r="AI16" i="15"/>
  <c r="AJ16" i="15"/>
  <c r="C16" i="15"/>
  <c r="B16" i="15"/>
  <c r="C27" i="15"/>
  <c r="D27" i="15"/>
  <c r="E27" i="15"/>
  <c r="F27" i="15"/>
  <c r="G27" i="15"/>
  <c r="H27" i="15"/>
  <c r="I27" i="15"/>
  <c r="J27" i="15"/>
  <c r="K27" i="15"/>
  <c r="L27" i="15"/>
  <c r="M27" i="15"/>
  <c r="N27" i="15"/>
  <c r="O27" i="15"/>
  <c r="P27" i="15"/>
  <c r="Q27" i="15"/>
  <c r="R27" i="15"/>
  <c r="S27" i="15"/>
  <c r="T27" i="15"/>
  <c r="U27" i="15"/>
  <c r="V27" i="15"/>
  <c r="W27" i="15"/>
  <c r="X27" i="15"/>
  <c r="Y27" i="15"/>
  <c r="Z27" i="15"/>
  <c r="AA27" i="15"/>
  <c r="AB27" i="15"/>
  <c r="AC27" i="15"/>
  <c r="AD27" i="15"/>
  <c r="AE27" i="15"/>
  <c r="AF27" i="15"/>
  <c r="AG27" i="15"/>
  <c r="AH27" i="15"/>
  <c r="AI27" i="15"/>
  <c r="AJ27" i="15"/>
  <c r="B27" i="15"/>
  <c r="C25" i="15"/>
  <c r="D25" i="15"/>
  <c r="E25" i="15"/>
  <c r="F25" i="15"/>
  <c r="G25" i="15"/>
  <c r="H25" i="15"/>
  <c r="I25" i="15"/>
  <c r="J25" i="15"/>
  <c r="K25" i="15"/>
  <c r="L25" i="15"/>
  <c r="M25" i="15"/>
  <c r="N25" i="15"/>
  <c r="O25" i="15"/>
  <c r="P25" i="15"/>
  <c r="Q25" i="15"/>
  <c r="R25" i="15"/>
  <c r="S25" i="15"/>
  <c r="T25" i="15"/>
  <c r="U25" i="15"/>
  <c r="V25" i="15"/>
  <c r="W25" i="15"/>
  <c r="X25" i="15"/>
  <c r="Y25" i="15"/>
  <c r="Z25" i="15"/>
  <c r="AA25" i="15"/>
  <c r="AB25" i="15"/>
  <c r="AC25" i="15"/>
  <c r="AD25" i="15"/>
  <c r="AE25" i="15"/>
  <c r="AF25" i="15"/>
  <c r="AG25" i="15"/>
  <c r="AH25" i="15"/>
  <c r="AI25" i="15"/>
  <c r="AJ25" i="15"/>
  <c r="B25" i="15"/>
  <c r="D24" i="15"/>
  <c r="E24" i="15"/>
  <c r="F24" i="15"/>
  <c r="G24" i="15"/>
  <c r="H24" i="15"/>
  <c r="I24" i="15"/>
  <c r="J24" i="15"/>
  <c r="K24" i="15"/>
  <c r="L24" i="15"/>
  <c r="M24" i="15"/>
  <c r="N24" i="15"/>
  <c r="O24" i="15"/>
  <c r="P24" i="15"/>
  <c r="Q24" i="15"/>
  <c r="R24" i="15"/>
  <c r="S24" i="15"/>
  <c r="T24" i="15"/>
  <c r="U24" i="15"/>
  <c r="V24" i="15"/>
  <c r="W24" i="15"/>
  <c r="X24" i="15"/>
  <c r="Y24" i="15"/>
  <c r="Z24" i="15"/>
  <c r="AA24" i="15"/>
  <c r="AB24" i="15"/>
  <c r="AC24" i="15"/>
  <c r="AD24" i="15"/>
  <c r="AE24" i="15"/>
  <c r="AF24" i="15"/>
  <c r="AG24" i="15"/>
  <c r="AH24" i="15"/>
  <c r="AI24" i="15"/>
  <c r="AJ24" i="15"/>
  <c r="C24" i="15"/>
  <c r="B24" i="15"/>
  <c r="G34" i="32"/>
  <c r="G33" i="32"/>
  <c r="G32" i="32"/>
  <c r="G31" i="32"/>
  <c r="F34" i="32"/>
  <c r="F33" i="32"/>
  <c r="F32" i="32"/>
  <c r="F31" i="32"/>
  <c r="C25" i="32"/>
  <c r="C24" i="32"/>
  <c r="C23" i="32"/>
  <c r="C22" i="32"/>
  <c r="G25" i="32"/>
  <c r="G24" i="32"/>
  <c r="G23" i="32"/>
  <c r="G22" i="32"/>
  <c r="F25" i="32"/>
  <c r="F24" i="32"/>
  <c r="F23" i="32"/>
  <c r="F22" i="32"/>
  <c r="G52" i="32"/>
  <c r="G51" i="32"/>
  <c r="G50" i="32"/>
  <c r="G49" i="32"/>
  <c r="F52" i="32"/>
  <c r="F51" i="32"/>
  <c r="F50" i="32"/>
  <c r="F49" i="32"/>
  <c r="C43" i="32"/>
  <c r="C42" i="32"/>
  <c r="C41" i="32"/>
  <c r="C40" i="32"/>
  <c r="G43" i="32"/>
  <c r="G42" i="32"/>
  <c r="G41" i="32"/>
  <c r="G40" i="32"/>
  <c r="F43" i="32"/>
  <c r="F42" i="32"/>
  <c r="F41" i="32"/>
  <c r="F40" i="32"/>
  <c r="B50" i="32" l="1"/>
  <c r="B51" i="32"/>
  <c r="B52" i="32"/>
  <c r="B49" i="32"/>
  <c r="B32" i="32"/>
  <c r="B23" i="32" s="1"/>
  <c r="B5" i="32" s="1"/>
  <c r="B14" i="32" s="1"/>
  <c r="B33" i="32"/>
  <c r="B24" i="32" s="1"/>
  <c r="B6" i="32" s="1"/>
  <c r="B15" i="32" s="1"/>
  <c r="B34" i="32"/>
  <c r="B25" i="32" s="1"/>
  <c r="B7" i="32" s="1"/>
  <c r="B16" i="32" s="1"/>
  <c r="B31" i="32"/>
  <c r="B22" i="32" s="1"/>
  <c r="B4" i="32" s="1"/>
  <c r="B13" i="32" s="1"/>
  <c r="S28" i="15" l="1"/>
  <c r="E29" i="15"/>
  <c r="F26" i="15"/>
  <c r="J26" i="15"/>
  <c r="N26" i="15"/>
  <c r="R26" i="15"/>
  <c r="V26" i="15"/>
  <c r="Y29" i="15"/>
  <c r="Z26" i="15"/>
  <c r="AC26" i="15"/>
  <c r="AD26" i="15"/>
  <c r="AF26" i="15"/>
  <c r="AH26" i="15"/>
  <c r="H26" i="15"/>
  <c r="T26" i="15"/>
  <c r="C29" i="15"/>
  <c r="D29" i="15"/>
  <c r="F28" i="15"/>
  <c r="R28" i="15"/>
  <c r="T29" i="15"/>
  <c r="V28" i="15"/>
  <c r="W28" i="15"/>
  <c r="X29" i="15"/>
  <c r="Z28" i="15"/>
  <c r="AB29" i="15"/>
  <c r="AC28" i="15"/>
  <c r="AD28" i="15"/>
  <c r="AE29" i="15"/>
  <c r="AF29" i="15"/>
  <c r="AH28" i="15"/>
  <c r="AI28" i="15"/>
  <c r="AJ29" i="15"/>
  <c r="S29" i="15"/>
  <c r="AF20" i="15"/>
  <c r="AJ20" i="15"/>
  <c r="Z18" i="15"/>
  <c r="AB21" i="15"/>
  <c r="AE18" i="15"/>
  <c r="AF21" i="15"/>
  <c r="AI18" i="15"/>
  <c r="AJ21" i="15"/>
  <c r="AC18" i="15"/>
  <c r="AD18" i="15"/>
  <c r="AG18" i="15"/>
  <c r="AH18" i="15"/>
  <c r="Z20" i="15"/>
  <c r="AA21" i="15"/>
  <c r="AD20" i="15"/>
  <c r="AE20" i="15"/>
  <c r="AH21" i="15"/>
  <c r="AI20" i="15"/>
  <c r="AC20" i="15"/>
  <c r="AG20" i="15"/>
  <c r="Y21" i="15"/>
  <c r="AC21" i="15"/>
  <c r="AG21" i="15"/>
  <c r="Y10" i="15"/>
  <c r="Z10" i="15"/>
  <c r="AA10" i="15"/>
  <c r="AB10" i="15"/>
  <c r="AC10" i="15"/>
  <c r="AD10" i="15"/>
  <c r="AE10" i="15"/>
  <c r="AF10" i="15"/>
  <c r="AG10" i="15"/>
  <c r="AH10" i="15"/>
  <c r="AI10" i="15"/>
  <c r="AJ10" i="15"/>
  <c r="Y12" i="15"/>
  <c r="Z12" i="15"/>
  <c r="AA12" i="15"/>
  <c r="AB12" i="15"/>
  <c r="AC12" i="15"/>
  <c r="AD12" i="15"/>
  <c r="AE12" i="15"/>
  <c r="AF12" i="15"/>
  <c r="AG12" i="15"/>
  <c r="AH12" i="15"/>
  <c r="AI12" i="15"/>
  <c r="AJ12" i="15"/>
  <c r="Y13" i="15"/>
  <c r="Z13" i="15"/>
  <c r="AA13" i="15"/>
  <c r="AB13" i="15"/>
  <c r="AC13" i="15"/>
  <c r="AD13" i="15"/>
  <c r="AE13" i="15"/>
  <c r="AF13" i="15"/>
  <c r="AG13" i="15"/>
  <c r="AH13" i="15"/>
  <c r="AI13" i="15"/>
  <c r="AJ13" i="15"/>
  <c r="X12" i="15" l="1"/>
  <c r="AA18" i="15"/>
  <c r="AD21" i="15"/>
  <c r="AH20" i="15"/>
  <c r="AB18" i="15"/>
  <c r="AI21" i="15"/>
  <c r="AE21" i="15"/>
  <c r="AJ18" i="15"/>
  <c r="AF18" i="15"/>
  <c r="Y18" i="15"/>
  <c r="Z29" i="15"/>
  <c r="X28" i="15"/>
  <c r="Z21" i="15"/>
  <c r="AJ28" i="15"/>
  <c r="AJ26" i="15"/>
  <c r="AB26" i="15"/>
  <c r="X26" i="15"/>
  <c r="AC29" i="15"/>
  <c r="R29" i="15"/>
  <c r="AI26" i="15"/>
  <c r="AA29" i="15"/>
  <c r="W29" i="15"/>
  <c r="S26" i="15"/>
  <c r="G28" i="15"/>
  <c r="AH29" i="15"/>
  <c r="G29" i="15"/>
  <c r="E28" i="15"/>
  <c r="AG26" i="15"/>
  <c r="Y26" i="15"/>
  <c r="U26" i="15"/>
  <c r="Q26" i="15"/>
  <c r="M26" i="15"/>
  <c r="I26" i="15"/>
  <c r="E26" i="15"/>
  <c r="AI29" i="15"/>
  <c r="AD29" i="15"/>
  <c r="AG28" i="15"/>
  <c r="Y28" i="15"/>
  <c r="P26" i="15"/>
  <c r="L26" i="15"/>
  <c r="D26" i="15"/>
  <c r="AG29" i="15"/>
  <c r="V29" i="15"/>
  <c r="F29" i="15"/>
  <c r="AA20" i="15"/>
  <c r="AB20" i="15"/>
  <c r="Y20" i="15"/>
  <c r="X18" i="15"/>
  <c r="X13" i="15"/>
  <c r="AF28" i="15"/>
  <c r="T28" i="15"/>
  <c r="AB28" i="15"/>
  <c r="D28" i="15"/>
  <c r="AE26" i="15"/>
  <c r="AA26" i="15"/>
  <c r="W26" i="15"/>
  <c r="O26" i="15"/>
  <c r="K26" i="15"/>
  <c r="G26" i="15"/>
  <c r="C28" i="15"/>
  <c r="C26" i="15"/>
  <c r="X10" i="15"/>
  <c r="AE28" i="15"/>
  <c r="AA28" i="15"/>
  <c r="X20" i="15"/>
  <c r="X21" i="15"/>
  <c r="B163" i="15" l="1"/>
  <c r="B160" i="15"/>
  <c r="B159" i="15"/>
  <c r="B155" i="15"/>
  <c r="B154" i="15"/>
  <c r="B156" i="15" s="1"/>
  <c r="B161" i="15" l="1"/>
  <c r="B165" i="15" s="1"/>
  <c r="B167" i="15" s="1"/>
  <c r="B169" i="15" l="1"/>
  <c r="B168" i="15"/>
  <c r="D42" i="3"/>
  <c r="D41" i="3"/>
  <c r="D40" i="3"/>
  <c r="D39" i="3"/>
  <c r="D38" i="3"/>
  <c r="D37" i="3"/>
  <c r="D36" i="3"/>
  <c r="C35" i="3"/>
  <c r="D35" i="3" s="1"/>
  <c r="D32" i="3"/>
  <c r="D29" i="3"/>
  <c r="D28" i="3"/>
  <c r="C16" i="19"/>
  <c r="O12" i="1"/>
  <c r="P12" i="1"/>
  <c r="Q12" i="1"/>
  <c r="R12" i="1"/>
  <c r="S12" i="1"/>
  <c r="T12" i="1"/>
  <c r="R9" i="1"/>
  <c r="S9" i="1"/>
  <c r="T9" i="1"/>
  <c r="A34" i="34"/>
  <c r="F63" i="34"/>
  <c r="F76" i="34"/>
  <c r="G8" i="1" l="1"/>
  <c r="K8" i="1"/>
  <c r="J8" i="1"/>
  <c r="I8" i="1"/>
  <c r="M8" i="1"/>
  <c r="F8" i="1"/>
  <c r="N8" i="1"/>
  <c r="H8" i="1"/>
  <c r="L8" i="1"/>
  <c r="F75" i="34"/>
  <c r="G75" i="34" s="1"/>
  <c r="L82" i="34" s="1"/>
  <c r="F74" i="34"/>
  <c r="N33" i="34"/>
  <c r="N32" i="34"/>
  <c r="M33" i="34"/>
  <c r="L33" i="34"/>
  <c r="L32" i="34"/>
  <c r="M32" i="34"/>
  <c r="K33" i="34"/>
  <c r="J33" i="34"/>
  <c r="I33" i="34"/>
  <c r="H33" i="34"/>
  <c r="G33" i="34"/>
  <c r="F33" i="34"/>
  <c r="E33" i="34"/>
  <c r="D33" i="34"/>
  <c r="C33" i="34"/>
  <c r="B33" i="34"/>
  <c r="G76" i="34" l="1"/>
  <c r="M82" i="34" s="1"/>
  <c r="Q9" i="34"/>
  <c r="R9" i="34"/>
  <c r="S9" i="34"/>
  <c r="E44" i="4"/>
  <c r="F44" i="4"/>
  <c r="G44" i="4"/>
  <c r="H44" i="4"/>
  <c r="I44" i="4"/>
  <c r="J44" i="4"/>
  <c r="K44" i="4"/>
  <c r="L44" i="4"/>
  <c r="M44" i="4"/>
  <c r="N44" i="4"/>
  <c r="O44" i="4"/>
  <c r="D44" i="4"/>
  <c r="N40" i="4"/>
  <c r="O40" i="4"/>
  <c r="R40" i="4"/>
  <c r="Q39" i="4"/>
  <c r="E40" i="4"/>
  <c r="C40" i="4"/>
  <c r="D40" i="4"/>
  <c r="F40" i="4"/>
  <c r="G40" i="4"/>
  <c r="H40" i="4"/>
  <c r="I40" i="4"/>
  <c r="J40" i="4"/>
  <c r="K40" i="4"/>
  <c r="L40" i="4"/>
  <c r="M40" i="4"/>
  <c r="N10" i="4" l="1"/>
  <c r="E12" i="35" l="1"/>
  <c r="E7" i="35"/>
  <c r="E2" i="35"/>
  <c r="A81" i="34" l="1"/>
  <c r="F73" i="34"/>
  <c r="F72" i="34"/>
  <c r="F71" i="34"/>
  <c r="F70" i="34"/>
  <c r="F69" i="34"/>
  <c r="F68" i="34"/>
  <c r="F67" i="34"/>
  <c r="F66" i="34"/>
  <c r="F65" i="34"/>
  <c r="F64" i="34"/>
  <c r="B64" i="34"/>
  <c r="B65" i="34" s="1"/>
  <c r="B66" i="34" s="1"/>
  <c r="B67" i="34" s="1"/>
  <c r="B68" i="34" s="1"/>
  <c r="B69" i="34" s="1"/>
  <c r="B70" i="34" s="1"/>
  <c r="B71" i="34" s="1"/>
  <c r="B72" i="34" s="1"/>
  <c r="K32" i="34"/>
  <c r="J32" i="34"/>
  <c r="I32" i="34"/>
  <c r="H32" i="34"/>
  <c r="G32" i="34"/>
  <c r="F32" i="34"/>
  <c r="E32" i="34"/>
  <c r="D32" i="34"/>
  <c r="C32" i="34"/>
  <c r="B32" i="34"/>
  <c r="P9" i="34"/>
  <c r="O9" i="34"/>
  <c r="N9" i="34"/>
  <c r="M81" i="34" s="1"/>
  <c r="M9" i="34"/>
  <c r="L81" i="34" s="1"/>
  <c r="L9" i="34"/>
  <c r="K81" i="34" s="1"/>
  <c r="K9" i="34"/>
  <c r="J81" i="34" s="1"/>
  <c r="J9" i="34"/>
  <c r="I81" i="34" s="1"/>
  <c r="I9" i="34"/>
  <c r="H81" i="34" s="1"/>
  <c r="H9" i="34"/>
  <c r="G81" i="34" s="1"/>
  <c r="G9" i="34"/>
  <c r="F81" i="34" s="1"/>
  <c r="E8" i="34"/>
  <c r="F9" i="34" s="1"/>
  <c r="E81" i="34" s="1"/>
  <c r="D8" i="34"/>
  <c r="C8" i="34"/>
  <c r="B8" i="34"/>
  <c r="G70" i="34" l="1"/>
  <c r="G82" i="34" s="1"/>
  <c r="G71" i="34"/>
  <c r="H82" i="34" s="1"/>
  <c r="G72" i="34"/>
  <c r="I82" i="34" s="1"/>
  <c r="G73" i="34"/>
  <c r="J82" i="34" s="1"/>
  <c r="G74" i="34"/>
  <c r="K82" i="34" s="1"/>
  <c r="G66" i="34"/>
  <c r="C82" i="34" s="1"/>
  <c r="C9" i="34"/>
  <c r="B81" i="34" s="1"/>
  <c r="N83" i="34" s="1"/>
  <c r="D9" i="34"/>
  <c r="C81" i="34" s="1"/>
  <c r="G65" i="34"/>
  <c r="B82" i="34" s="1"/>
  <c r="G67" i="34"/>
  <c r="D82" i="34" s="1"/>
  <c r="G64" i="34"/>
  <c r="G69" i="34"/>
  <c r="F82" i="34" s="1"/>
  <c r="E9" i="34"/>
  <c r="D81" i="34" s="1"/>
  <c r="G68" i="34"/>
  <c r="E82" i="34" s="1"/>
  <c r="C53" i="32"/>
  <c r="G53" i="32" l="1"/>
  <c r="G54" i="32" s="1"/>
  <c r="F53" i="32"/>
  <c r="F54" i="32" s="1"/>
  <c r="C35" i="32" l="1"/>
  <c r="F35" i="32"/>
  <c r="F36" i="32" s="1"/>
  <c r="G35" i="32" l="1"/>
  <c r="G36" i="32" s="1"/>
  <c r="C17" i="32"/>
  <c r="G17" i="32" l="1"/>
  <c r="G18" i="32" s="1"/>
  <c r="F17" i="32"/>
  <c r="F18" i="32" l="1"/>
  <c r="C44" i="32" l="1"/>
  <c r="F44" i="32" l="1"/>
  <c r="F45" i="32" s="1"/>
  <c r="G44" i="32"/>
  <c r="G45" i="32" s="1"/>
  <c r="G26" i="32" l="1"/>
  <c r="F26" i="32"/>
  <c r="C26" i="32"/>
  <c r="H8" i="32"/>
  <c r="G8" i="32"/>
  <c r="F8" i="32"/>
  <c r="C8" i="32"/>
  <c r="F27" i="32" l="1"/>
  <c r="G27" i="32"/>
  <c r="H9" i="32"/>
  <c r="G9" i="32"/>
  <c r="F9" i="32"/>
  <c r="B86" i="15" a="1"/>
  <c r="B86" i="15" l="1"/>
  <c r="C86" i="15" a="1"/>
  <c r="C86" i="15" l="1"/>
  <c r="D86" i="15" a="1"/>
  <c r="D86" i="15" l="1"/>
  <c r="E86" i="15" a="1"/>
  <c r="E86" i="15" l="1"/>
  <c r="B87" i="15"/>
  <c r="C87" i="15"/>
  <c r="D87" i="15"/>
  <c r="E87" i="15"/>
  <c r="B88" i="15"/>
  <c r="C88" i="15"/>
  <c r="D88" i="15"/>
  <c r="E88" i="15"/>
  <c r="B89" i="15"/>
  <c r="C89" i="15"/>
  <c r="D89" i="15"/>
  <c r="E89" i="15"/>
  <c r="B90" i="15"/>
  <c r="C90" i="15"/>
  <c r="D90" i="15"/>
  <c r="E90" i="15"/>
  <c r="B91" i="15"/>
  <c r="C91" i="15"/>
  <c r="D91" i="15"/>
  <c r="E91" i="15"/>
  <c r="B92" i="15"/>
  <c r="C92" i="15"/>
  <c r="D92" i="15"/>
  <c r="E92" i="15"/>
  <c r="B93" i="15"/>
  <c r="C93" i="15"/>
  <c r="D93" i="15"/>
  <c r="E93" i="15"/>
  <c r="B94" i="15"/>
  <c r="C94" i="15"/>
  <c r="D94" i="15"/>
  <c r="E94" i="15"/>
  <c r="B95" i="15"/>
  <c r="C95" i="15"/>
  <c r="D95" i="15"/>
  <c r="E95" i="15"/>
  <c r="G86" i="15" a="1"/>
  <c r="G86" i="15" l="1"/>
  <c r="H86" i="15" a="1"/>
  <c r="H86" i="15" l="1"/>
  <c r="I86" i="15" a="1"/>
  <c r="I86" i="15" l="1"/>
  <c r="J86" i="15" a="1"/>
  <c r="J86" i="15" l="1"/>
  <c r="G87" i="15"/>
  <c r="H87" i="15"/>
  <c r="I87" i="15"/>
  <c r="J87" i="15"/>
  <c r="G88" i="15"/>
  <c r="H88" i="15"/>
  <c r="I88" i="15"/>
  <c r="J88" i="15"/>
  <c r="G89" i="15"/>
  <c r="H89" i="15"/>
  <c r="I89" i="15"/>
  <c r="J89" i="15"/>
  <c r="G90" i="15"/>
  <c r="H90" i="15"/>
  <c r="I90" i="15"/>
  <c r="J90" i="15"/>
  <c r="G91" i="15"/>
  <c r="H91" i="15"/>
  <c r="I91" i="15"/>
  <c r="J91" i="15"/>
  <c r="G92" i="15"/>
  <c r="H92" i="15"/>
  <c r="I92" i="15"/>
  <c r="J92" i="15"/>
  <c r="G93" i="15"/>
  <c r="H93" i="15"/>
  <c r="I93" i="15"/>
  <c r="J93" i="15"/>
  <c r="G94" i="15"/>
  <c r="H94" i="15"/>
  <c r="I94" i="15"/>
  <c r="J94" i="15"/>
  <c r="G95" i="15"/>
  <c r="H95" i="15"/>
  <c r="I95" i="15"/>
  <c r="J95" i="15"/>
  <c r="N86" i="15" a="1"/>
  <c r="V86" i="15" a="1"/>
  <c r="U86" i="15" a="1"/>
  <c r="T86" i="15" a="1"/>
  <c r="K86" i="15" a="1"/>
  <c r="S86" i="15" a="1"/>
  <c r="W86" i="15" a="1"/>
  <c r="P86" i="15" a="1"/>
  <c r="L86" i="15" a="1"/>
  <c r="Q86" i="15" a="1"/>
  <c r="R86" i="15" a="1"/>
  <c r="O86" i="15" a="1"/>
  <c r="M86" i="15" a="1"/>
  <c r="S86" i="15" l="1"/>
  <c r="S90" i="15"/>
  <c r="S94" i="15"/>
  <c r="S87" i="15"/>
  <c r="S91" i="15"/>
  <c r="S95" i="15"/>
  <c r="S88" i="15"/>
  <c r="S93" i="15"/>
  <c r="S92" i="15"/>
  <c r="S89" i="15"/>
  <c r="K86" i="15"/>
  <c r="K90" i="15"/>
  <c r="K94" i="15"/>
  <c r="K87" i="15"/>
  <c r="K91" i="15"/>
  <c r="K95" i="15"/>
  <c r="K88" i="15"/>
  <c r="K89" i="15"/>
  <c r="K93" i="15"/>
  <c r="K92" i="15"/>
  <c r="Q86" i="15"/>
  <c r="Q88" i="15"/>
  <c r="Q92" i="15"/>
  <c r="Q89" i="15"/>
  <c r="Q93" i="15"/>
  <c r="Q95" i="15"/>
  <c r="Q94" i="15"/>
  <c r="Q91" i="15"/>
  <c r="Q87" i="15"/>
  <c r="Q90" i="15"/>
  <c r="W86" i="15"/>
  <c r="W90" i="15"/>
  <c r="W94" i="15"/>
  <c r="W87" i="15"/>
  <c r="W91" i="15"/>
  <c r="W95" i="15"/>
  <c r="W88" i="15"/>
  <c r="W89" i="15"/>
  <c r="W93" i="15"/>
  <c r="W92" i="15"/>
  <c r="O86" i="15"/>
  <c r="O90" i="15"/>
  <c r="O94" i="15"/>
  <c r="O87" i="15"/>
  <c r="O91" i="15"/>
  <c r="O95" i="15"/>
  <c r="O88" i="15"/>
  <c r="O89" i="15"/>
  <c r="O93" i="15"/>
  <c r="O92" i="15"/>
  <c r="U86" i="15"/>
  <c r="U88" i="15"/>
  <c r="U92" i="15"/>
  <c r="U89" i="15"/>
  <c r="U93" i="15"/>
  <c r="U87" i="15"/>
  <c r="U91" i="15"/>
  <c r="U90" i="15"/>
  <c r="U95" i="15"/>
  <c r="U94" i="15"/>
  <c r="M86" i="15"/>
  <c r="M88" i="15"/>
  <c r="M92" i="15"/>
  <c r="M89" i="15"/>
  <c r="M93" i="15"/>
  <c r="M91" i="15"/>
  <c r="M90" i="15"/>
  <c r="M87" i="15"/>
  <c r="M95" i="15"/>
  <c r="M94" i="15"/>
  <c r="V87" i="15"/>
  <c r="V91" i="15"/>
  <c r="V95" i="15"/>
  <c r="V88" i="15"/>
  <c r="V92" i="15"/>
  <c r="V86" i="15"/>
  <c r="V94" i="15"/>
  <c r="V93" i="15"/>
  <c r="V90" i="15"/>
  <c r="V89" i="15"/>
  <c r="T89" i="15"/>
  <c r="T93" i="15"/>
  <c r="T90" i="15"/>
  <c r="T94" i="15"/>
  <c r="T86" i="15"/>
  <c r="T87" i="15"/>
  <c r="T95" i="15"/>
  <c r="T92" i="15"/>
  <c r="T88" i="15"/>
  <c r="T91" i="15"/>
  <c r="R87" i="15"/>
  <c r="R91" i="15"/>
  <c r="R95" i="15"/>
  <c r="R88" i="15"/>
  <c r="R92" i="15"/>
  <c r="R86" i="15"/>
  <c r="R89" i="15"/>
  <c r="R90" i="15"/>
  <c r="R94" i="15"/>
  <c r="R93" i="15"/>
  <c r="P89" i="15"/>
  <c r="P93" i="15"/>
  <c r="P90" i="15"/>
  <c r="P94" i="15"/>
  <c r="P86" i="15"/>
  <c r="P87" i="15"/>
  <c r="P92" i="15"/>
  <c r="P91" i="15"/>
  <c r="P88" i="15"/>
  <c r="P95" i="15"/>
  <c r="N87" i="15"/>
  <c r="N91" i="15"/>
  <c r="N95" i="15"/>
  <c r="N88" i="15"/>
  <c r="N92" i="15"/>
  <c r="N86" i="15"/>
  <c r="N89" i="15"/>
  <c r="N94" i="15"/>
  <c r="N93" i="15"/>
  <c r="N90" i="15"/>
  <c r="L89" i="15"/>
  <c r="L93" i="15"/>
  <c r="L90" i="15"/>
  <c r="L94" i="15"/>
  <c r="L86" i="15"/>
  <c r="L87" i="15"/>
  <c r="L88" i="15"/>
  <c r="L95" i="15"/>
  <c r="L92" i="15"/>
  <c r="L91" i="15"/>
  <c r="B26" i="15" l="1"/>
  <c r="O20" i="15"/>
  <c r="T20" i="15"/>
  <c r="C18" i="15"/>
  <c r="S21" i="15"/>
  <c r="S18" i="15"/>
  <c r="V20" i="15"/>
  <c r="V21" i="15"/>
  <c r="H21" i="15"/>
  <c r="M21" i="15"/>
  <c r="I20" i="15"/>
  <c r="N20" i="15"/>
  <c r="O18" i="15"/>
  <c r="Q21" i="15"/>
  <c r="E18" i="15"/>
  <c r="D18" i="15"/>
  <c r="E21" i="15"/>
  <c r="H20" i="15"/>
  <c r="I21" i="15"/>
  <c r="M18" i="15"/>
  <c r="W20" i="15"/>
  <c r="B18" i="15"/>
  <c r="D20" i="15"/>
  <c r="G20" i="15"/>
  <c r="L20" i="15"/>
  <c r="N21" i="15"/>
  <c r="R18" i="15"/>
  <c r="T21" i="15"/>
  <c r="C21" i="15"/>
  <c r="G21" i="15"/>
  <c r="J20" i="15"/>
  <c r="L21" i="15"/>
  <c r="R21" i="15"/>
  <c r="J21" i="15"/>
  <c r="W21" i="15"/>
  <c r="B29" i="15"/>
  <c r="B28" i="15"/>
  <c r="B12" i="15"/>
  <c r="B13" i="15"/>
  <c r="B10" i="15"/>
  <c r="W18" i="15"/>
  <c r="V18" i="15"/>
  <c r="T18" i="15"/>
  <c r="S20" i="15"/>
  <c r="R20" i="15"/>
  <c r="Q18" i="15"/>
  <c r="Q20" i="15"/>
  <c r="O21" i="15"/>
  <c r="N18" i="15"/>
  <c r="M20" i="15"/>
  <c r="L18" i="15"/>
  <c r="J18" i="15"/>
  <c r="I18" i="15"/>
  <c r="H18" i="15"/>
  <c r="G18" i="15"/>
  <c r="E20" i="15"/>
  <c r="D21" i="15"/>
  <c r="C20" i="15"/>
  <c r="B20" i="15"/>
  <c r="U20" i="15"/>
  <c r="U21" i="15" l="1"/>
  <c r="U18" i="15"/>
  <c r="W10" i="15" l="1"/>
  <c r="W12" i="15"/>
  <c r="W13" i="15"/>
  <c r="V10" i="15"/>
  <c r="V12" i="15"/>
  <c r="V13" i="15"/>
  <c r="T10" i="15"/>
  <c r="T12" i="15"/>
  <c r="T13" i="15"/>
  <c r="U12" i="15" l="1"/>
  <c r="U10" i="15"/>
  <c r="U13" i="15"/>
  <c r="D5" i="30" l="1"/>
  <c r="H5" i="30"/>
  <c r="C18" i="30" s="1"/>
  <c r="I5" i="30"/>
  <c r="J5" i="30"/>
  <c r="D6" i="30"/>
  <c r="B19" i="30" s="1"/>
  <c r="H6" i="30"/>
  <c r="C19" i="30" s="1"/>
  <c r="I6" i="30"/>
  <c r="J6" i="30"/>
  <c r="D7" i="30"/>
  <c r="B20" i="30" s="1"/>
  <c r="H7" i="30"/>
  <c r="C20" i="30" s="1"/>
  <c r="I7" i="30"/>
  <c r="J7" i="30"/>
  <c r="D8" i="30"/>
  <c r="B21" i="30" s="1"/>
  <c r="H8" i="30"/>
  <c r="C21" i="30" s="1"/>
  <c r="I8" i="30"/>
  <c r="J8" i="30"/>
  <c r="D9" i="30"/>
  <c r="B22" i="30" s="1"/>
  <c r="H9" i="30"/>
  <c r="C22" i="30" s="1"/>
  <c r="I9" i="30"/>
  <c r="J9" i="30"/>
  <c r="D10" i="30"/>
  <c r="B23" i="30" s="1"/>
  <c r="H10" i="30"/>
  <c r="C23" i="30" s="1"/>
  <c r="I10" i="30"/>
  <c r="J10" i="30"/>
  <c r="D11" i="30"/>
  <c r="B24" i="30" s="1"/>
  <c r="H11" i="30"/>
  <c r="C24" i="30" s="1"/>
  <c r="I11" i="30"/>
  <c r="J11" i="30"/>
  <c r="D12" i="30"/>
  <c r="H12" i="30"/>
  <c r="I12" i="30"/>
  <c r="J12" i="30"/>
  <c r="D13" i="30"/>
  <c r="H13" i="30"/>
  <c r="I13" i="30"/>
  <c r="J13" i="30"/>
  <c r="B14" i="30"/>
  <c r="F14" i="30"/>
  <c r="H14" i="30"/>
  <c r="J14" i="30"/>
  <c r="B18" i="30"/>
  <c r="E18" i="30"/>
  <c r="G18" i="30" s="1"/>
  <c r="E19" i="30"/>
  <c r="F19" i="30" s="1"/>
  <c r="E20" i="30"/>
  <c r="F20" i="30" s="1"/>
  <c r="E21" i="30"/>
  <c r="G21" i="30" s="1"/>
  <c r="E22" i="30"/>
  <c r="F22" i="30" s="1"/>
  <c r="E23" i="30"/>
  <c r="F23" i="30" s="1"/>
  <c r="E24" i="30"/>
  <c r="F24" i="30" s="1"/>
  <c r="D22" i="30" l="1"/>
  <c r="D21" i="30"/>
  <c r="D18" i="30"/>
  <c r="I14" i="30"/>
  <c r="D24" i="30"/>
  <c r="D20" i="30"/>
  <c r="D19" i="30"/>
  <c r="F25" i="30"/>
  <c r="G25" i="30"/>
  <c r="D23" i="30"/>
  <c r="N85" i="28"/>
  <c r="N30" i="28"/>
  <c r="N13" i="28"/>
  <c r="J15" i="28"/>
  <c r="J99" i="28" s="1"/>
  <c r="J100" i="28" s="1"/>
  <c r="J33" i="28"/>
  <c r="K99" i="28" s="1"/>
  <c r="K100" i="28" s="1"/>
  <c r="G261" i="24"/>
  <c r="R44" i="28"/>
  <c r="N43" i="28" s="1"/>
  <c r="J53" i="28"/>
  <c r="L99" i="28" s="1"/>
  <c r="L100" i="28" s="1"/>
  <c r="R65" i="28"/>
  <c r="N63" i="28" s="1"/>
  <c r="J75" i="28"/>
  <c r="M99" i="28" s="1"/>
  <c r="M100" i="28" s="1"/>
  <c r="J88" i="28"/>
  <c r="N99" i="28" s="1"/>
  <c r="N100" i="28" s="1"/>
  <c r="N91" i="28" l="1"/>
  <c r="N89" i="28" s="1"/>
  <c r="N19" i="28"/>
  <c r="N16" i="28" s="1"/>
  <c r="N69" i="28"/>
  <c r="N67" i="28" s="1"/>
  <c r="N48" i="28"/>
  <c r="N46" i="28" s="1"/>
  <c r="N35" i="28"/>
  <c r="N32" i="28" s="1"/>
  <c r="M9" i="4"/>
  <c r="M6" i="4"/>
  <c r="N7" i="4"/>
  <c r="M12" i="4" l="1"/>
  <c r="N88" i="28"/>
  <c r="N17" i="28"/>
  <c r="N45" i="28"/>
  <c r="N33" i="28"/>
  <c r="N66" i="28"/>
  <c r="L10" i="4"/>
  <c r="K10" i="4"/>
  <c r="J10" i="4"/>
  <c r="I10" i="4"/>
  <c r="H10" i="4"/>
  <c r="G10" i="4"/>
  <c r="F10" i="4"/>
  <c r="E10" i="4"/>
  <c r="D10" i="4"/>
  <c r="C10" i="4"/>
  <c r="L7" i="4"/>
  <c r="K7" i="4"/>
  <c r="J7" i="4"/>
  <c r="I7" i="4"/>
  <c r="H7" i="4"/>
  <c r="G7" i="4"/>
  <c r="F7" i="4"/>
  <c r="E7" i="4"/>
  <c r="D7" i="4"/>
  <c r="C7" i="4"/>
  <c r="J195" i="24" l="1"/>
  <c r="I271" i="24" l="1"/>
  <c r="I272" i="24"/>
  <c r="I273" i="24"/>
  <c r="I274" i="24"/>
  <c r="I275" i="24"/>
  <c r="I276" i="24"/>
  <c r="I277" i="24"/>
  <c r="I270" i="24"/>
  <c r="J264" i="24"/>
  <c r="J265" i="24"/>
  <c r="J266" i="24"/>
  <c r="J267" i="24"/>
  <c r="J268" i="24"/>
  <c r="J269" i="24"/>
  <c r="J263" i="24"/>
  <c r="I264" i="24"/>
  <c r="I265" i="24"/>
  <c r="I266" i="24"/>
  <c r="I267" i="24"/>
  <c r="I263" i="24"/>
  <c r="I257" i="24"/>
  <c r="I258" i="24"/>
  <c r="I259" i="24"/>
  <c r="I260" i="24"/>
  <c r="I256" i="24"/>
  <c r="J255" i="24"/>
  <c r="J250" i="24"/>
  <c r="J251" i="24"/>
  <c r="J252" i="24"/>
  <c r="J253" i="24"/>
  <c r="J254" i="24"/>
  <c r="J241" i="24"/>
  <c r="J242" i="24"/>
  <c r="J243" i="24"/>
  <c r="J244" i="24"/>
  <c r="J245" i="24"/>
  <c r="J246" i="24"/>
  <c r="J247" i="24"/>
  <c r="J248" i="24"/>
  <c r="J249" i="24"/>
  <c r="J240" i="24"/>
  <c r="I241" i="24"/>
  <c r="I240" i="24"/>
  <c r="I235" i="24"/>
  <c r="I234" i="24"/>
  <c r="J233" i="24"/>
  <c r="J224" i="24"/>
  <c r="J225" i="24"/>
  <c r="J226" i="24"/>
  <c r="J227" i="24"/>
  <c r="J228" i="24"/>
  <c r="J229" i="24"/>
  <c r="J230" i="24"/>
  <c r="J231" i="24"/>
  <c r="J232" i="24"/>
  <c r="J217" i="24"/>
  <c r="J218" i="24"/>
  <c r="J219" i="24"/>
  <c r="J220" i="24"/>
  <c r="J221" i="24"/>
  <c r="J222" i="24"/>
  <c r="J223" i="24"/>
  <c r="J216" i="24"/>
  <c r="I217" i="24"/>
  <c r="I216" i="24"/>
  <c r="I211" i="24"/>
  <c r="I210" i="24"/>
  <c r="I209" i="24"/>
  <c r="J204" i="24"/>
  <c r="J205" i="24"/>
  <c r="J206" i="24"/>
  <c r="J207" i="24"/>
  <c r="J208" i="24"/>
  <c r="J203" i="24"/>
  <c r="I204" i="24"/>
  <c r="I205" i="24"/>
  <c r="I206" i="24"/>
  <c r="I203" i="24"/>
  <c r="J197" i="24"/>
  <c r="J198" i="24"/>
  <c r="J199" i="24"/>
  <c r="J196" i="24"/>
  <c r="J192" i="24"/>
  <c r="J193" i="24"/>
  <c r="J194" i="24"/>
  <c r="I185" i="24"/>
  <c r="I184" i="24"/>
  <c r="J183" i="24"/>
  <c r="J185" i="24"/>
  <c r="J186" i="24"/>
  <c r="J188" i="24"/>
  <c r="J189" i="24"/>
  <c r="J191" i="24"/>
  <c r="J181" i="24"/>
  <c r="G187" i="24"/>
  <c r="J187" i="24" s="1"/>
  <c r="G184" i="24"/>
  <c r="J184" i="24" s="1"/>
  <c r="I236" i="24" l="1"/>
  <c r="I261" i="24"/>
  <c r="I279" i="24"/>
  <c r="I213" i="24"/>
  <c r="G182" i="24"/>
  <c r="G190" i="24"/>
  <c r="J190" i="24" s="1"/>
  <c r="G279" i="24"/>
  <c r="G236" i="24"/>
  <c r="I181" i="24"/>
  <c r="G213" i="24"/>
  <c r="I174" i="24"/>
  <c r="I176" i="24"/>
  <c r="I177" i="24"/>
  <c r="J170" i="24"/>
  <c r="J171" i="24"/>
  <c r="J172" i="24"/>
  <c r="J173" i="24"/>
  <c r="J169" i="24"/>
  <c r="I170" i="24"/>
  <c r="I169" i="24"/>
  <c r="I165" i="24"/>
  <c r="I164" i="24"/>
  <c r="J156" i="24"/>
  <c r="J158" i="24"/>
  <c r="J159" i="24"/>
  <c r="J160" i="24"/>
  <c r="J161" i="24"/>
  <c r="J162" i="24"/>
  <c r="J154" i="24"/>
  <c r="I155" i="24"/>
  <c r="I156" i="24"/>
  <c r="I157" i="24"/>
  <c r="I158" i="24"/>
  <c r="I159" i="24"/>
  <c r="I154" i="24"/>
  <c r="I145" i="24"/>
  <c r="I146" i="24"/>
  <c r="I147" i="24"/>
  <c r="I148" i="24"/>
  <c r="I149" i="24"/>
  <c r="I144" i="24"/>
  <c r="J128" i="24"/>
  <c r="J129" i="24"/>
  <c r="J130" i="24"/>
  <c r="J131" i="24"/>
  <c r="J132" i="24"/>
  <c r="J133" i="24"/>
  <c r="J134" i="24"/>
  <c r="J135" i="24"/>
  <c r="J136" i="24"/>
  <c r="J137" i="24"/>
  <c r="J138" i="24"/>
  <c r="J139" i="24"/>
  <c r="J140" i="24"/>
  <c r="J141" i="24"/>
  <c r="J143" i="24"/>
  <c r="J127" i="24"/>
  <c r="I128" i="24"/>
  <c r="I129" i="24"/>
  <c r="I130" i="24"/>
  <c r="I131" i="24"/>
  <c r="I132" i="24"/>
  <c r="I127" i="24"/>
  <c r="I118" i="24"/>
  <c r="I119" i="24"/>
  <c r="I120" i="24"/>
  <c r="I121" i="24"/>
  <c r="I122" i="24"/>
  <c r="I117" i="24"/>
  <c r="J112" i="24"/>
  <c r="J113" i="24"/>
  <c r="J114" i="24"/>
  <c r="J115" i="24"/>
  <c r="J116" i="24"/>
  <c r="J99" i="24"/>
  <c r="J100" i="24"/>
  <c r="J101" i="24"/>
  <c r="J102" i="24"/>
  <c r="J103" i="24"/>
  <c r="J104" i="24"/>
  <c r="J105" i="24"/>
  <c r="J106" i="24"/>
  <c r="J107" i="24"/>
  <c r="J108" i="24"/>
  <c r="J109" i="24"/>
  <c r="J110" i="24"/>
  <c r="J111" i="24"/>
  <c r="J98" i="24"/>
  <c r="I98" i="24"/>
  <c r="I94" i="24"/>
  <c r="J84" i="24"/>
  <c r="J85" i="24"/>
  <c r="J86" i="24"/>
  <c r="J87" i="24"/>
  <c r="J88" i="24"/>
  <c r="J89" i="24"/>
  <c r="J90" i="24"/>
  <c r="J91" i="24"/>
  <c r="J92" i="24"/>
  <c r="J93" i="24"/>
  <c r="J83" i="24"/>
  <c r="I84" i="24"/>
  <c r="I85" i="24"/>
  <c r="I83" i="24"/>
  <c r="I78" i="24"/>
  <c r="I79" i="24"/>
  <c r="I77" i="24"/>
  <c r="J65" i="24"/>
  <c r="J66" i="24"/>
  <c r="J67" i="24"/>
  <c r="J68" i="24"/>
  <c r="J69" i="24"/>
  <c r="J70" i="24"/>
  <c r="J71" i="24"/>
  <c r="J72" i="24"/>
  <c r="J73" i="24"/>
  <c r="J74" i="24"/>
  <c r="J75" i="24"/>
  <c r="J76" i="24"/>
  <c r="J64" i="24"/>
  <c r="I65" i="24"/>
  <c r="I66" i="24"/>
  <c r="I67" i="24"/>
  <c r="I68" i="24"/>
  <c r="I64" i="24"/>
  <c r="I57" i="24"/>
  <c r="I58" i="24"/>
  <c r="I59" i="24"/>
  <c r="I60" i="24"/>
  <c r="I56" i="24"/>
  <c r="J55" i="24"/>
  <c r="J43" i="24"/>
  <c r="J44" i="24"/>
  <c r="J45" i="24"/>
  <c r="J46" i="24"/>
  <c r="J47" i="24"/>
  <c r="J48" i="24"/>
  <c r="J49" i="24"/>
  <c r="J50" i="24"/>
  <c r="J51" i="24"/>
  <c r="J52" i="24"/>
  <c r="J53" i="24"/>
  <c r="J54" i="24"/>
  <c r="J42" i="24"/>
  <c r="I43" i="24"/>
  <c r="I44" i="24"/>
  <c r="I42" i="24"/>
  <c r="I38" i="24"/>
  <c r="I37" i="24"/>
  <c r="I36" i="24"/>
  <c r="I27" i="24"/>
  <c r="I28" i="24"/>
  <c r="I29" i="24"/>
  <c r="I30" i="24"/>
  <c r="I26" i="24"/>
  <c r="J31" i="24"/>
  <c r="J32" i="24"/>
  <c r="J33" i="24"/>
  <c r="J34" i="24"/>
  <c r="J35" i="24"/>
  <c r="J27" i="24"/>
  <c r="J28" i="24"/>
  <c r="J29" i="24"/>
  <c r="J30" i="24"/>
  <c r="J26" i="24"/>
  <c r="I22" i="24"/>
  <c r="I19" i="24"/>
  <c r="I20" i="24"/>
  <c r="I21" i="24"/>
  <c r="I18" i="24"/>
  <c r="G200" i="24" l="1"/>
  <c r="J182" i="24"/>
  <c r="I39" i="24"/>
  <c r="I123" i="24"/>
  <c r="I23" i="24"/>
  <c r="I80" i="24"/>
  <c r="I95" i="24"/>
  <c r="I61" i="24"/>
  <c r="G175" i="24" l="1"/>
  <c r="G157" i="24"/>
  <c r="J157" i="24" s="1"/>
  <c r="G155" i="24"/>
  <c r="G142" i="24"/>
  <c r="J142" i="24" s="1"/>
  <c r="I150" i="24" s="1"/>
  <c r="G123" i="24"/>
  <c r="G95" i="24"/>
  <c r="G80" i="24"/>
  <c r="G61" i="24"/>
  <c r="G39" i="24"/>
  <c r="G23" i="24"/>
  <c r="I175" i="24" l="1"/>
  <c r="I178" i="24" s="1"/>
  <c r="I183" i="24"/>
  <c r="I200" i="24" s="1"/>
  <c r="G150" i="24"/>
  <c r="G178" i="24"/>
  <c r="G166" i="24"/>
  <c r="J155" i="24"/>
  <c r="I166" i="24" s="1"/>
  <c r="D5" i="19" l="1"/>
  <c r="D6" i="19" l="1"/>
  <c r="D9" i="19"/>
  <c r="D7" i="19"/>
  <c r="D15" i="19"/>
  <c r="D13" i="19"/>
  <c r="D11" i="19"/>
  <c r="D16" i="19"/>
  <c r="D14" i="19"/>
  <c r="D12" i="19"/>
  <c r="D10" i="19"/>
  <c r="D8" i="19"/>
  <c r="B132" i="15" l="1"/>
  <c r="C130" i="15" s="1"/>
  <c r="B126" i="15"/>
  <c r="C125" i="15" s="1"/>
  <c r="T28" i="17"/>
  <c r="R27" i="17"/>
  <c r="S27" i="17" s="1"/>
  <c r="P27" i="17"/>
  <c r="P30" i="17" s="1"/>
  <c r="N27" i="17"/>
  <c r="N30" i="17" s="1"/>
  <c r="T25" i="17"/>
  <c r="T24" i="17"/>
  <c r="T23" i="17"/>
  <c r="T19" i="17"/>
  <c r="Q25" i="17" l="1"/>
  <c r="S24" i="17"/>
  <c r="C129" i="15"/>
  <c r="C131" i="15"/>
  <c r="T27" i="17"/>
  <c r="U23" i="17" s="1"/>
  <c r="C126" i="15"/>
  <c r="C124" i="15"/>
  <c r="C132" i="15"/>
  <c r="C123" i="15"/>
  <c r="Q24" i="17"/>
  <c r="R30" i="17"/>
  <c r="Q23" i="17"/>
  <c r="O24" i="17"/>
  <c r="S23" i="17"/>
  <c r="O25" i="17"/>
  <c r="Q27" i="17"/>
  <c r="O23" i="17"/>
  <c r="S25" i="17"/>
  <c r="O27" i="17"/>
  <c r="U25" i="17" l="1"/>
  <c r="T30" i="17"/>
  <c r="U27" i="17"/>
  <c r="U24" i="17"/>
  <c r="B99" i="15" a="1"/>
  <c r="B111" i="15" a="1"/>
  <c r="B112" i="15" l="1"/>
  <c r="B116" i="15"/>
  <c r="B111" i="15"/>
  <c r="B115" i="15"/>
  <c r="B119" i="15"/>
  <c r="B114" i="15"/>
  <c r="B118" i="15"/>
  <c r="B113" i="15"/>
  <c r="B117" i="15"/>
  <c r="B106" i="15"/>
  <c r="B102" i="15"/>
  <c r="B107" i="15"/>
  <c r="B103" i="15"/>
  <c r="B99" i="15"/>
  <c r="B108" i="15"/>
  <c r="B104" i="15"/>
  <c r="B100" i="15"/>
  <c r="B105" i="15"/>
  <c r="B101" i="15"/>
  <c r="T107" i="15" l="1"/>
  <c r="P107" i="15"/>
  <c r="M107" i="15"/>
  <c r="F107" i="15"/>
  <c r="Q106" i="15"/>
  <c r="J106" i="15"/>
  <c r="G106" i="15"/>
  <c r="R105" i="15"/>
  <c r="N105" i="15"/>
  <c r="K105" i="15"/>
  <c r="H105" i="15"/>
  <c r="S104" i="15"/>
  <c r="O104" i="15"/>
  <c r="L104" i="15"/>
  <c r="I104" i="15"/>
  <c r="T103" i="15"/>
  <c r="P103" i="15"/>
  <c r="M103" i="15"/>
  <c r="F103" i="15"/>
  <c r="Q102" i="15"/>
  <c r="J102" i="15"/>
  <c r="G102" i="15"/>
  <c r="R101" i="15"/>
  <c r="N101" i="15"/>
  <c r="K101" i="15"/>
  <c r="H101" i="15"/>
  <c r="S100" i="15"/>
  <c r="T99" i="15"/>
  <c r="S107" i="15"/>
  <c r="O107" i="15"/>
  <c r="L107" i="15"/>
  <c r="I107" i="15"/>
  <c r="T106" i="15"/>
  <c r="P106" i="15"/>
  <c r="M106" i="15"/>
  <c r="F106" i="15"/>
  <c r="Q105" i="15"/>
  <c r="J105" i="15"/>
  <c r="G105" i="15"/>
  <c r="R104" i="15"/>
  <c r="N104" i="15"/>
  <c r="K104" i="15"/>
  <c r="H104" i="15"/>
  <c r="S103" i="15"/>
  <c r="O103" i="15"/>
  <c r="L103" i="15"/>
  <c r="I103" i="15"/>
  <c r="T102" i="15"/>
  <c r="P102" i="15"/>
  <c r="M102" i="15"/>
  <c r="F102" i="15"/>
  <c r="Q101" i="15"/>
  <c r="J101" i="15"/>
  <c r="G101" i="15"/>
  <c r="S99" i="15"/>
  <c r="Q107" i="15"/>
  <c r="J107" i="15"/>
  <c r="N106" i="15"/>
  <c r="K106" i="15"/>
  <c r="H106" i="15"/>
  <c r="S105" i="15"/>
  <c r="O105" i="15"/>
  <c r="L105" i="15"/>
  <c r="I105" i="15"/>
  <c r="T104" i="15"/>
  <c r="P104" i="15"/>
  <c r="M104" i="15"/>
  <c r="F104" i="15"/>
  <c r="Q103" i="15"/>
  <c r="J103" i="15"/>
  <c r="G103" i="15"/>
  <c r="R102" i="15"/>
  <c r="N102" i="15"/>
  <c r="K102" i="15"/>
  <c r="H102" i="15"/>
  <c r="S101" i="15"/>
  <c r="O101" i="15"/>
  <c r="L101" i="15"/>
  <c r="I101" i="15"/>
  <c r="T100" i="15"/>
  <c r="R100" i="15"/>
  <c r="R99" i="15"/>
  <c r="K100" i="15"/>
  <c r="K99" i="15"/>
  <c r="H100" i="15"/>
  <c r="H99" i="15"/>
  <c r="O100" i="15"/>
  <c r="O99" i="15"/>
  <c r="L100" i="15"/>
  <c r="L99" i="15"/>
  <c r="P100" i="15"/>
  <c r="P99" i="15"/>
  <c r="M100" i="15"/>
  <c r="M99" i="15"/>
  <c r="F100" i="15"/>
  <c r="F99" i="15"/>
  <c r="G107" i="15"/>
  <c r="R106" i="15"/>
  <c r="N100" i="15"/>
  <c r="N99" i="15"/>
  <c r="I100" i="15"/>
  <c r="I99" i="15"/>
  <c r="Q100" i="15"/>
  <c r="Q99" i="15"/>
  <c r="J100" i="15"/>
  <c r="J99" i="15"/>
  <c r="G100" i="15"/>
  <c r="G99" i="15"/>
  <c r="R107" i="15"/>
  <c r="N107" i="15"/>
  <c r="K107" i="15"/>
  <c r="H107" i="15"/>
  <c r="S106" i="15"/>
  <c r="O106" i="15"/>
  <c r="L106" i="15"/>
  <c r="I106" i="15"/>
  <c r="T105" i="15"/>
  <c r="P105" i="15"/>
  <c r="M105" i="15"/>
  <c r="F105" i="15"/>
  <c r="Q104" i="15"/>
  <c r="J104" i="15"/>
  <c r="G104" i="15"/>
  <c r="R103" i="15"/>
  <c r="N103" i="15"/>
  <c r="K103" i="15"/>
  <c r="H103" i="15"/>
  <c r="S102" i="15"/>
  <c r="O102" i="15"/>
  <c r="L102" i="15"/>
  <c r="I102" i="15"/>
  <c r="T101" i="15"/>
  <c r="P101" i="15"/>
  <c r="M101" i="15"/>
  <c r="F101" i="15"/>
  <c r="D119" i="15" l="1"/>
  <c r="D113" i="15"/>
  <c r="D115" i="15"/>
  <c r="D118" i="15"/>
  <c r="D112" i="15"/>
  <c r="D114" i="15"/>
  <c r="D117" i="15"/>
  <c r="D111" i="15"/>
  <c r="D116" i="15"/>
  <c r="C100" i="15" l="1"/>
  <c r="C99" i="15"/>
  <c r="C107" i="15"/>
  <c r="C106" i="15"/>
  <c r="C105" i="15"/>
  <c r="C104" i="15"/>
  <c r="C103" i="15"/>
  <c r="C102" i="15"/>
  <c r="C101" i="15"/>
  <c r="D107" i="15"/>
  <c r="D106" i="15"/>
  <c r="D105" i="15"/>
  <c r="D104" i="15"/>
  <c r="D103" i="15"/>
  <c r="D102" i="15"/>
  <c r="D101" i="15"/>
  <c r="D100" i="15"/>
  <c r="D99" i="15"/>
  <c r="E107" i="15"/>
  <c r="E106" i="15"/>
  <c r="E105" i="15"/>
  <c r="E104" i="15"/>
  <c r="E103" i="15"/>
  <c r="E102" i="15"/>
  <c r="E101" i="15"/>
  <c r="E100" i="15"/>
  <c r="E99" i="15"/>
  <c r="F21" i="15"/>
  <c r="K21" i="15"/>
  <c r="P21" i="15"/>
  <c r="B21" i="15"/>
  <c r="F20" i="15"/>
  <c r="K20" i="15"/>
  <c r="P20" i="15"/>
  <c r="F18" i="15"/>
  <c r="K18" i="15"/>
  <c r="P18" i="15"/>
  <c r="C13" i="15"/>
  <c r="D13" i="15"/>
  <c r="E13" i="15"/>
  <c r="F13" i="15"/>
  <c r="G13" i="15"/>
  <c r="H13" i="15"/>
  <c r="I13" i="15"/>
  <c r="J13" i="15"/>
  <c r="K13" i="15"/>
  <c r="L13" i="15"/>
  <c r="M13" i="15"/>
  <c r="N13" i="15"/>
  <c r="O13" i="15"/>
  <c r="P13" i="15"/>
  <c r="Q13" i="15"/>
  <c r="R13" i="15"/>
  <c r="S13" i="15"/>
  <c r="C12" i="15"/>
  <c r="D12" i="15"/>
  <c r="E12" i="15"/>
  <c r="F12" i="15"/>
  <c r="G12" i="15"/>
  <c r="H12" i="15"/>
  <c r="I12" i="15"/>
  <c r="J12" i="15"/>
  <c r="K12" i="15"/>
  <c r="L12" i="15"/>
  <c r="M12" i="15"/>
  <c r="N12" i="15"/>
  <c r="O12" i="15"/>
  <c r="P12" i="15"/>
  <c r="Q12" i="15"/>
  <c r="R12" i="15"/>
  <c r="S12" i="15"/>
  <c r="C10" i="15"/>
  <c r="D10" i="15"/>
  <c r="E10" i="15"/>
  <c r="F10" i="15"/>
  <c r="G10" i="15"/>
  <c r="H10" i="15"/>
  <c r="I10" i="15"/>
  <c r="J10" i="15"/>
  <c r="K10" i="15"/>
  <c r="L10" i="15"/>
  <c r="M10" i="15"/>
  <c r="N10" i="15"/>
  <c r="O10" i="15"/>
  <c r="P10" i="15"/>
  <c r="Q10" i="15"/>
  <c r="R10" i="15"/>
  <c r="S10" i="15"/>
  <c r="G4" i="15"/>
  <c r="L4" i="15" s="1"/>
  <c r="Q4" i="15" s="1"/>
  <c r="V4" i="15" s="1"/>
  <c r="AA4" i="15" s="1"/>
  <c r="AF4" i="15" s="1"/>
  <c r="H54" i="14"/>
  <c r="G54" i="14"/>
  <c r="F53" i="14"/>
  <c r="B8" i="12"/>
  <c r="B7" i="12"/>
  <c r="B12" i="12" l="1"/>
  <c r="C113" i="15"/>
  <c r="C117" i="15"/>
  <c r="C112" i="15"/>
  <c r="C116" i="15"/>
  <c r="C111" i="15"/>
  <c r="C115" i="15"/>
  <c r="C119" i="15"/>
  <c r="C114" i="15"/>
  <c r="C118" i="15"/>
  <c r="B22" i="11"/>
  <c r="B26" i="11" s="1"/>
  <c r="D8" i="5" l="1"/>
  <c r="D7" i="5" s="1"/>
  <c r="E8" i="5"/>
  <c r="E7" i="5" s="1"/>
  <c r="F8" i="5"/>
  <c r="F7" i="5" s="1"/>
  <c r="G8" i="5"/>
  <c r="G7" i="5" s="1"/>
  <c r="H8" i="5"/>
  <c r="H7" i="5" s="1"/>
  <c r="I8" i="5"/>
  <c r="I7" i="5" s="1"/>
  <c r="J8" i="5"/>
  <c r="J7" i="5" s="1"/>
  <c r="K8" i="5"/>
  <c r="K7" i="5" s="1"/>
  <c r="L8" i="5"/>
  <c r="L7" i="5" s="1"/>
  <c r="M8" i="5"/>
  <c r="M7" i="5" s="1"/>
  <c r="N8" i="5"/>
  <c r="N7" i="5" s="1"/>
  <c r="O8" i="5"/>
  <c r="O7" i="5" s="1"/>
  <c r="P8" i="5"/>
  <c r="P7" i="5" s="1"/>
  <c r="C8" i="5"/>
  <c r="C7" i="5" s="1"/>
  <c r="C6" i="3"/>
  <c r="B39" i="1"/>
  <c r="C11" i="1"/>
  <c r="B11" i="1"/>
  <c r="O8" i="1"/>
  <c r="E8" i="1"/>
  <c r="D8" i="1"/>
  <c r="C8" i="1"/>
  <c r="B8" i="1"/>
  <c r="Q9" i="1" l="1"/>
  <c r="P9" i="1"/>
  <c r="O9" i="1"/>
  <c r="C9" i="1"/>
  <c r="K9" i="1"/>
  <c r="G9" i="1"/>
  <c r="F12" i="1"/>
  <c r="E9" i="1"/>
  <c r="I9" i="1"/>
  <c r="M9" i="1"/>
  <c r="D9" i="1"/>
  <c r="F9" i="1"/>
  <c r="H9" i="1"/>
  <c r="J9" i="1"/>
  <c r="L9" i="1"/>
  <c r="N9" i="1"/>
  <c r="C6" i="5"/>
  <c r="O6" i="5"/>
  <c r="M6" i="5"/>
  <c r="K6" i="5"/>
  <c r="I6" i="5"/>
  <c r="G6" i="5"/>
  <c r="E6" i="5"/>
  <c r="P6" i="5"/>
  <c r="N6" i="5"/>
  <c r="L6" i="5"/>
  <c r="J6" i="5"/>
  <c r="H6" i="5"/>
  <c r="F6" i="5"/>
  <c r="D6" i="5"/>
  <c r="M12" i="1"/>
  <c r="I12" i="1"/>
  <c r="E12" i="1"/>
  <c r="J12" i="1"/>
  <c r="K12" i="1"/>
  <c r="G12" i="1"/>
  <c r="C12" i="1"/>
  <c r="D12" i="1"/>
  <c r="H12" i="1"/>
  <c r="L12" i="1"/>
  <c r="N12" i="1"/>
  <c r="D6" i="3"/>
  <c r="D10" i="3" l="1"/>
  <c r="D14" i="3"/>
  <c r="D5" i="3"/>
  <c r="D9" i="3"/>
  <c r="D13" i="3"/>
  <c r="D3" i="3"/>
  <c r="D4" i="3"/>
  <c r="D8" i="3"/>
  <c r="D12" i="3"/>
  <c r="D7" i="3"/>
  <c r="D11" i="3"/>
  <c r="D15" i="3"/>
  <c r="L29" i="15" l="1"/>
  <c r="L28" i="15"/>
  <c r="H28" i="15" l="1"/>
  <c r="H29" i="15"/>
  <c r="M28" i="15"/>
  <c r="M29" i="15"/>
  <c r="J28" i="15"/>
  <c r="J29" i="15"/>
  <c r="I28" i="15" l="1"/>
  <c r="I29" i="15"/>
  <c r="N28" i="15"/>
  <c r="N29" i="15"/>
  <c r="K29" i="15" l="1"/>
  <c r="K28" i="15"/>
  <c r="Q28" i="15" l="1"/>
  <c r="Q29" i="15"/>
  <c r="U28" i="15"/>
  <c r="U29" i="15"/>
  <c r="O29" i="15" l="1"/>
  <c r="O28" i="15"/>
  <c r="P29" i="15" l="1"/>
  <c r="P28"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Steven Couche</author>
  </authors>
  <commentList>
    <comment ref="A1" authorId="0" shapeId="0" xr:uid="{00000000-0006-0000-0000-000001000000}">
      <text>
        <r>
          <rPr>
            <b/>
            <sz val="9"/>
            <color indexed="81"/>
            <rFont val="Tahoma"/>
            <charset val="1"/>
          </rPr>
          <t>&lt;?xml version="1.0" encoding="utf-8"?&gt;&lt;Schema xmlns:xsi="http://www.w3.org/2001/XMLSchema-instance" xmlns:xsd="http://www.w3.org/2001/XMLSchema" Version="1"&gt;&lt;FQL&gt;&lt;Q&gt;ABC^JULIAN(FF_SALES(CAL,0,-10AY).DATES)&lt;/Q&gt;&lt;R&gt;10&lt;/R&gt;&lt;C&gt;1&lt;/C&gt;&lt;D xsi:type="xsd:int"&gt;41274&lt;/D&gt;&lt;D xsi:type="xsd:int"&gt;40907&lt;/D&gt;&lt;D xsi:type="xsd:int"&gt;40543&lt;/D&gt;&lt;D xsi:type="xsd:int"&gt;40178&lt;/D&gt;&lt;D xsi:type="xsd:int"&gt;39813&lt;/D&gt;&lt;D xsi:type="xsd:int"&gt;39447&lt;/D&gt;&lt;D xsi:type="xsd:int"&gt;39080&lt;/D&gt;&lt;D xsi:type="xsd:int"&gt;38716&lt;/D&gt;&lt;D xsi:type="xsd:int"&gt;38352&lt;/D&gt;&lt;D xsi:type="xsd:int"&gt;37986&lt;/D&gt;&lt;/FQL&gt;&lt;FQL&gt;&lt;Q&gt;ABC^FF_SALES(CAL,0,-10AY)&lt;/Q&gt;&lt;R&gt;10&lt;/R&gt;&lt;C&gt;1&lt;/C&gt;&lt;D xsi:type="xsd:double"&gt;80759.943&lt;/D&gt;&lt;D xsi:type="xsd:double"&gt;80689.594&lt;/D&gt;&lt;D xsi:type="xsd:double"&gt;78506.729&lt;/D&gt;&lt;D xsi:type="xsd:double"&gt;73757.472&lt;/D&gt;&lt;D xsi:type="xsd:double"&gt;70339.135000000009&lt;/D&gt;&lt;D xsi:type="xsd:double"&gt;66721.834&lt;/D&gt;&lt;D xsi:type="xsd:double"&gt;63275.391&lt;/D&gt;&lt;D xsi:type="xsd:double"&gt;55595.042&lt;/D&gt;&lt;D xsi:type="xsd:double"&gt;53462.31&lt;/D&gt;&lt;D xsi:type="xsd:double"&gt;50579&lt;/D&gt;&lt;/FQL&gt;&lt;FQL&gt;&lt;Q&gt;CAH^FF_SALES(CAL,0,-10AY)&lt;/Q&gt;&lt;R&gt;10&lt;/R&gt;&lt;C&gt;1&lt;/C&gt;&lt;D xsi:type="xsd:double"&gt;104802&lt;/D&gt;&lt;D xsi:type="xsd:double"&gt;106704.6&lt;/D&gt;&lt;D xsi:type="xsd:double"&gt;98611.7&lt;/D&gt;&lt;D xsi:type="xsd:double"&gt;99838&lt;/D&gt;&lt;D xsi:type="xsd:double"&gt;95281.9&lt;/D&gt;&lt;D xsi:type="xsd:double"&gt;89386&lt;/D&gt;&lt;D xsi:type="xsd:double"&gt;85487.1&lt;/D&gt;&lt;D xsi:type="xsd:double"&gt;77852.5&lt;/D&gt;&lt;D xsi:type="xsd:double"&gt;69665.6&lt;/D&gt;&lt;D xsi:type="xsd:double"&gt;61299&lt;/D&gt;&lt;/FQL&gt;&lt;FQL&gt;&lt;Q&gt;MCK^FF_SALES(CAL,0,-10AY)&lt;/Q&gt;&lt;R&gt;10&lt;/R&gt;&lt;C&gt;1&lt;/C&gt;&lt;D xsi:type="xsd:double"&gt;123534&lt;/D&gt;&lt;D xsi:type="xsd:double"&gt;119888&lt;/D&gt;&lt;D xsi:type="xsd:double"&gt;109874&lt;/D&gt;&lt;D xsi:type="xsd:double"&gt;108283&lt;/D&gt;&lt;D xsi:type="xsd:double"&gt;106639&lt;/D&gt;&lt;D xsi:type="xsd:double"&gt;99637&lt;/D&gt;&lt;D xsi:type="xsd:double"&gt;92170&lt;/D&gt;&lt;D xsi:type="xsd:double"&gt;85876.8&lt;/D&gt;&lt;D xsi:type="xsd:double"&gt;77842.700000000012&lt;/D&gt;&lt;D xsi:type="xsd:double"&gt;66452.5&lt;/D&gt;&lt;/FQL&gt;&lt;FQL&gt;&lt;Q&gt;ABT^FF_SALES(CAL,0,-10AY)&lt;/Q&gt;&lt;R&gt;10&lt;/R&gt;&lt;C&gt;1&lt;/C&gt;&lt;D xsi:type="xsd:double"&gt;39873.91&lt;/D&gt;&lt;D xsi:type="xsd:double"&gt;38851.259&lt;/D&gt;&lt;D xsi:type="xsd:double"&gt;35166.721&lt;/D&gt;&lt;D xsi:type="xsd:double"&gt;30764.707&lt;/D&gt;&lt;D xsi:type="xsd:double"&gt;29527.552&lt;/D&gt;&lt;D xsi:type="xsd:double"&gt;25914.238&lt;/D&gt;&lt;D xsi:type="xsd:double"&gt;22476.322&lt;/D&gt;&lt;D xsi:type="xsd:double"&gt;22337.808&lt;/D&gt;&lt;D xsi:type="xsd:double"&gt;19680.016&lt;/D&gt;&lt;D xsi:type="xsd:double"&gt;19681&lt;/D&gt;&lt;/FQL&gt;&lt;FQL&gt;&lt;Q&gt;AGN^FF_SALES(CAL,0,-10AY)&lt;/Q&gt;&lt;R&gt;10&lt;/R&gt;&lt;C&gt;1&lt;/C&gt;&lt;D xsi:type="xsd:double"&gt;5806.1&lt;/D&gt;&lt;D xsi:type="xsd:double"&gt;5419.1&lt;/D&gt;&lt;D xsi:type="xsd:double"&gt;4919.4&lt;/D&gt;&lt;D xsi:type="xsd:double"&gt;4503.6&lt;/D&gt;&lt;D xsi:type="xsd:double"&gt;4403.4&lt;/D&gt;&lt;D xsi:type="xsd:double"&gt;3938.9&lt;/D&gt;&lt;D xsi:type="xsd:double"&gt;3063.3&lt;/D&gt;&lt;D xsi:type="xsd:double"&gt;2319.2&lt;/D&gt;&lt;D xsi:type="xsd:double"&gt;2045.6&lt;/D&gt;&lt;D xsi:type="xsd:double"&gt;1771.4&lt;/D&gt;&lt;/FQL&gt;&lt;FQL&gt;&lt;Q&gt;AZN^FF_SALES(CAL,0,-10AY)&lt;/Q&gt;&lt;R&gt;10&lt;/R&gt;&lt;C&gt;1&lt;/C&gt;&lt;D xsi:type="xsd:double"&gt;28025.249418401403&lt;/D&gt;&lt;D xsi:type="xsd:double"&gt;33687.530285385896&lt;/D&gt;&lt;D xsi:type="xsd:double"&gt;33303.497457825004&lt;/D&gt;&lt;D xsi:type="xsd:double"&gt;32794.1088034236&lt;/D&gt;&lt;D xsi:type="xsd:double"&gt;31575.9922832016&lt;/D&gt;&lt;D xsi:type="xsd:double"&gt;29535.4494224592&lt;/D&gt;&lt;D xsi:type="xsd:double"&gt;26445.1930021125&lt;/D&gt;&lt;D xsi:type="xsd:double"&gt;23963.138134145&lt;/D&gt;&lt;D xsi:type="xsd:double"&gt;21383.1212175&lt;/D&gt;&lt;D xsi:type="xsd:double"&gt;18847.505262990602&lt;/D&gt;&lt;/FQL&gt;&lt;FQL&gt;&lt;Q&gt;BMY^FF_SALES(CAL,0,-10AY)&lt;/Q&gt;&lt;R&gt;10&lt;/R&gt;&lt;C&gt;1&lt;/C&gt;&lt;D xsi:type="xsd:double"&gt;17621&lt;/D&gt;&lt;D xsi:type="xsd:double"&gt;21244&lt;/D&gt;&lt;D xsi:type="xsd:double"&gt;19484&lt;/D&gt;&lt;D xsi:type="xsd:double"&gt;18808&lt;/D&gt;&lt;D xsi:type="xsd:double"&gt;20597&lt;/D&gt;&lt;D xsi:type="xsd:double"&gt;19348&lt;/D&gt;&lt;D xsi:type="xsd:double"&gt;17914&lt;/D&gt;&lt;D xsi:type="xsd:double"&gt;19207&lt;/D&gt;&lt;D xsi:type="xsd:double"&gt;19380&lt;/D&gt;&lt;D xsi:type="xsd:double"&gt;20894&lt;/D&gt;&lt;/FQL&gt;&lt;FQL&gt;&lt;Q&gt;^FF_SALES(CAL,0,-10AY)&lt;/Q&gt;&lt;R&gt;10&lt;/R&gt;&lt;C&gt;1&lt;/C&gt;&lt;D xsi:type="xsd:string"&gt;@NA&lt;/D&gt;&lt;D xsi:type="xsd:string"&gt;@NA&lt;/D&gt;&lt;D xsi:type="xsd:string"&gt;@NA&lt;/D&gt;&lt;D xsi:type="xsd:string"&gt;@NA&lt;/D&gt;&lt;D xsi:type="xsd:string"&gt;@NA&lt;/D&gt;&lt;D xsi:type="xsd:string"&gt;@NA&lt;/D&gt;&lt;D xsi:type="xsd:string"&gt;@NA&lt;/D&gt;&lt;D xsi:type="xsd:string"&gt;@NA&lt;/D&gt;&lt;D xsi:type="xsd:string"&gt;@NA&lt;/D&gt;&lt;D xsi:type="xsd:string"&gt;@NA&lt;/D&gt;&lt;/FQL&gt;&lt;FQL&gt;&lt;Q&gt;FRX^FF_SALES(CAL,0,-10AY)&lt;/Q&gt;&lt;R&gt;10&lt;/R&gt;&lt;C&gt;1&lt;/C&gt;&lt;D xsi:type="xsd:double"&gt;3211.25&lt;/D&gt;&lt;D xsi:type="xsd:double"&gt;4487.4969999999994&lt;/D&gt;&lt;D xsi:type="xsd:double"&gt;4299.7970000000005&lt;/D&gt;&lt;D xsi:type="xsd:double"&gt;4013.9410000000003&lt;/D&gt;&lt;D xsi:type="xsd:double"&gt;3810.773&lt;/D&gt;&lt;D xsi:type="xsd:double"&gt;3644.9350000000004&lt;/D&gt;&lt;D xsi:type="xsd:double"&gt;3288.98&lt;/D&gt;&lt;D xsi:type="xsd:double"&gt;2736.5710000000004&lt;/D&gt;&lt;D xsi:type="xsd:double"&gt;3206.9289999999996&lt;/D&gt;&lt;D xsi:type="xsd:double"&gt;2546.4660000000003&lt;/D&gt;&lt;/FQL&gt;&lt;FQL&gt;&lt;Q&gt;GSK^FF_SALES(CAL,0,-10AY)&lt;/Q&gt;&lt;R&gt;10&lt;/R&gt;&lt;C&gt;1&lt;/C&gt;&lt;D xsi:type="xsd:double"&gt;42099.82542&lt;/D&gt;&lt;D xsi:type="xsd:double"&gt;44091.15291&lt;/D&gt;&lt;D xsi:type="xsd:double"&gt;43823.052&lt;/D&gt;&lt;D xsi:type="xsd:double"&gt;44521.02288&lt;/D&gt;&lt;D xsi:type="xsd:double"&gt;44821.56064&lt;/D&gt;&lt;D xsi:type="xsd:double"&gt;45570.79476&lt;/D&gt;&lt;D xsi:type="xsd:double"&gt;43102.11625&lt;/D&gt;&lt;D xsi:type="xsd:double"&gt;39298.3878&lt;/D&gt;&lt;D xsi:type="xsd:double"&gt;37366.9086&lt;/D&gt;&lt;D xsi:type="xsd:double"&gt;35277.09171&lt;/D&gt;&lt;/FQL&gt;&lt;FQL&gt;&lt;Q&gt;JNJ^FF_SALES(CAL,0,-10AY)&lt;/Q&gt;&lt;R&gt;10&lt;/R&gt;&lt;C&gt;1&lt;/C&gt;&lt;D xsi:type="xsd:double"&gt;67282&lt;/D&gt;&lt;D xsi:type="xsd:double"&gt;65039&lt;/D&gt;&lt;D xsi:type="xsd:double"&gt;61639&lt;/D&gt;&lt;D xsi:type="xsd:double"&gt;61944&lt;/D&gt;&lt;D xsi:type="xsd:double"&gt;63747&lt;/D&gt;&lt;D xsi:type="xsd:double"&gt;61095&lt;/D&gt;&lt;D xsi:type="xsd:double"&gt;53324&lt;/D&gt;&lt;D xsi:type="xsd:double"&gt;50514&lt;/D&gt;&lt;D xsi:type="xsd:double"&gt;47348&lt;/D&gt;&lt;D xsi:type="xsd:double"&gt;41862&lt;/D&gt;&lt;/FQL&gt;&lt;FQL&gt;&lt;Q&gt;LLY^FF_SALES(CAL,0,-10AY)&lt;/Q&gt;&lt;R&gt;10&lt;/R&gt;&lt;C&gt;1&lt;/C&gt;&lt;D xsi:type="xsd:double"&gt;22603.4&lt;/D&gt;&lt;D xsi:type="xsd:double"&gt;24286.5&lt;/D&gt;&lt;D xsi:type="xsd:double"&gt;23076&lt;/D&gt;&lt;D xsi:type="xsd:double"&gt;21836&lt;/D&gt;&lt;D xsi:type="xsd:double"&gt;20378&lt;/D&gt;&lt;D xsi:type="xsd:double"&gt;18633.5&lt;/D&gt;&lt;D xsi:type="xsd:double"&gt;15691&lt;/D&gt;&lt;D xsi:type="xsd:double"&gt;14645.3&lt;/D&gt;&lt;D xsi:type="xsd:double"&gt;13857.9&lt;/D&gt;&lt;D xsi:type="xsd:double"&gt;12582.5&lt;/D&gt;&lt;/FQL&gt;&lt;FQL&gt;&lt;Q&gt;MRK^FF_SALES(CAL,0,-10AY)&lt;/Q&gt;&lt;R&gt;10&lt;/R&gt;&lt;C&gt;1&lt;/C&gt;&lt;D xsi:type="xsd:double"&gt;47347&lt;/D&gt;&lt;D xsi:type="xsd:double"&gt;48132&lt;/D&gt;&lt;D xsi:type="xsd:double"&gt;45913&lt;/D&gt;&lt;D xsi:type="xsd:double"&gt;27428.3&lt;/D&gt;&lt;D xsi:type="xsd:double"&gt;23850.3&lt;/D&gt;&lt;D xsi:type="xsd:double"&gt;24197.7&lt;/D&gt;&lt;D xsi:type="xsd:double"&gt;22636&lt;/D&gt;&lt;D xsi:type="xsd:double"&gt;22011.9&lt;/D&gt;&lt;D xsi:type="xsd:double"&gt;22938.6&lt;/D&gt;&lt;D xsi:type="xsd:double"&gt;22485.9&lt;/D&gt;&lt;/FQL&gt;&lt;FQL&gt;&lt;Q&gt;NVO^FF_SALES(CAL,0,-10AY)&lt;/Q&gt;&lt;R&gt;10&lt;/R&gt;&lt;C&gt;1&lt;/C&gt;&lt;D xsi:type="xsd:double"&gt;13537.511&lt;/D&gt;&lt;D xsi:type="xsd:double"&gt;12469.06724&lt;/D&gt;&lt;D xsi:type="xsd:double"&gt;10785.91672&lt;/D&gt;&lt;D xsi:type="xsd:double"&gt;9574.5711&lt;/D&gt;&lt;D xsi:type="xsd:double"&gt;8978.4963&lt;/D&gt;&lt;D xsi:type="xsd:double"&gt;7739.57162&lt;/D&gt;&lt;D xsi:type="xsd:double"&gt;6571.97509&lt;/D&gt;&lt;D xsi:type="xsd:double"&gt;5614.9632&lt;/D&gt;&lt;D xsi:type="xsd:double"&gt;4868.78901&lt;/D&gt;&lt;D xsi:type="xsd:double"&gt;4075.63596&lt;/D&gt;&lt;/FQL&gt;&lt;FQL&gt;&lt;Q&gt;NVS^FF_SALES(CAL,0,-10AY)&lt;/Q&gt;&lt;R&gt;10&lt;/R&gt;&lt;C&gt;1&lt;/C&gt;&lt;D xsi:type="xsd:double"&gt;60810.129&lt;/D&gt;&lt;D xsi:type="xsd:double"&gt;58539.280580235&lt;/D&gt;&lt;D xsi:type="xsd:double"&gt;50634.1671672256&lt;/D&gt;&lt;D xsi:type="xsd:double"&gt;44331.417524321405&lt;/D&gt;&lt;D xsi:type="xsd:double"&gt;41704.165228944134&lt;/D&gt;&lt;D xsi:type="xsd:double"&gt;38218.055156736&lt;/D&gt;&lt;D xsi:type="xsd:double"&gt;36234.5519568453&lt;/D&gt;&lt;D xsi:type="xsd:double"&gt;32085.3673867424&lt;/D&gt;&lt;D xsi:type="xsd:double"&gt;28210.3153273312&lt;/D&gt;&lt;D xsi:type="xsd:double"&gt;24847.3620455424&lt;/D&gt;&lt;/FQL&gt;&lt;FQL&gt;&lt;Q&gt;PFE^FF_SALES(CAL,0,-10AY)&lt;/Q&gt;&lt;R&gt;10&lt;/R&gt;&lt;C&gt;1&lt;/C&gt;&lt;D xsi:type="xsd:double"&gt;58986&lt;/D&gt;&lt;D xsi:type="xsd:double"&gt;67425&lt;/D&gt;&lt;D xsi:type="xsd:double"&gt;67809&lt;/D&gt;&lt;D xsi:type="xsd:double"&gt;50009&lt;/D&gt;&lt;D xsi:type="xsd:double"&gt;48296&lt;/D&gt;&lt;D xsi:type="xsd:double"&gt;48428&lt;/D&gt;&lt;D xsi:type="xsd:double"&gt;48371&lt;/D&gt;&lt;D xsi:type="xsd:double"&gt;51298&lt;/D&gt;&lt;D xsi:type="xsd:double"&gt;52516&lt;/D&gt;&lt;D xsi:type="xsd:double"&gt;45188&lt;/D&gt;&lt;/FQL&gt;&lt;FQL&gt;&lt;Q&gt;SHPG^FF_SALES(CAL,0,-10AY)&lt;/Q&gt;&lt;R&gt;10&lt;/R&gt;&lt;C&gt;1&lt;/C&gt;&lt;D xsi:type="xsd:double"&gt;4689.94378784616&lt;/D&gt;&lt;D xsi:type="xsd:double"&gt;4275.65171083666&lt;/D&gt;&lt;D xsi:type="xsd:double"&gt;3474.6992703675&lt;/D&gt;&lt;D xsi:type="xsd:double"&gt;3006.7931059644297&lt;/D&gt;&lt;D xsi:type="xsd:double"&gt;3019.80835664352&lt;/D&gt;&lt;D xsi:type="xsd:double"&gt;2434.35892377744&lt;/D&gt;&lt;D xsi:type="xsd:double"&gt;1794.4774023907498&lt;/D&gt;&lt;D xsi:type="xsd:double"&gt;1600.1933289414722&lt;/D&gt;&lt;D xsi:type="xsd:double"&gt;1384.8661974000002&lt;/D&gt;&lt;D xsi:type="xsd:double"&gt;1252.19279108&lt;/D&gt;&lt;/FQL&gt;&lt;FQL&gt;&lt;Q&gt;SNY^FF_SALES(CAL,0,-10AY)&lt;/Q&gt;&lt;R&gt;10&lt;/R&gt;&lt;C&gt;1&lt;/C&gt;&lt;D xsi:type="xsd:double"&gt;45142.43778&lt;/D&gt;&lt;D xsi:type="xsd:double"&gt;46744.6&lt;/D&gt;&lt;D xsi:type="xsd:double"&gt;40161.26736&lt;/D&gt;&lt;D xsi:type="xsd:double"&gt;40902.67726&lt;/D&gt;&lt;D xsi:type="xsd:double"&gt;40510.90032&lt;/D&gt;&lt;D xsi:type="xsd:double"&gt;38673.04824&lt;/D&gt;&lt;D xsi:type="xsd:double"&gt;35898.93825&lt;/D&gt;&lt;D xsi:type="xsd:double"&gt;33850.34584&lt;/D&gt;&lt;D xsi:type="xsd:double"&gt;18768.39895&lt;/D&gt;&lt;D xsi:type="xsd:double"&gt;9183.81424&lt;/D&gt;&lt;/FQL&gt;&lt;FQL&gt;&lt;Q&gt;TEVA^FF_SALES(CAL,0,-10AY)&lt;/Q&gt;&lt;R&gt;10&lt;/R&gt;&lt;C&gt;1&lt;/C&gt;&lt;D xsi:type="xsd:double"&gt;20308.86832392&lt;/D&gt;&lt;D xsi:type="xsd:double"&gt;18240.079319683202&lt;/D&gt;&lt;D xsi:type="xsd:double"&gt;16121.3840650919&lt;/D&gt;&lt;D xsi:type="xsd:double"&gt;13908.270165993601&lt;/D&gt;&lt;D xsi:type="xsd:double"&gt;11125.287617752501&lt;/D&gt;&lt;D xsi:type="xsd:double"&gt;9411.466391712&lt;/D&gt;&lt;D xsi:type="xsd:double"&gt;8410.23047424&lt;/D&gt;&lt;D xsi:type="xsd:double"&gt;5248.74860848928&lt;/D&gt;&lt;D xsi:type="xsd:double"&gt;4798.0418942943&lt;/D&gt;&lt;D xsi:type="xsd:double"&gt;3278.47149276024&lt;/D&gt;&lt;/FQL&gt;&lt;FQL&gt;&lt;Q&gt;SP50^P_DATE(12/31/2012,1/1/2002,AY)&lt;/Q&gt;&lt;R&gt;11&lt;/R&gt;&lt;C&gt;1&lt;/C&gt;&lt;D xsi:type="xsd:string"&gt;12/31/2012&lt;/D&gt;&lt;D xsi:type="xsd:string"&gt;12/30/2011&lt;/D&gt;&lt;D xsi:type="xsd:string"&gt;12/31/2010&lt;/D&gt;&lt;D xsi:type="xsd:string"&gt;12/31/2009&lt;/D&gt;&lt;D xsi:type="xsd:string"&gt;12/31/2008&lt;/D&gt;&lt;D xsi:type="xsd:string"&gt;12/31/2007&lt;/D&gt;&lt;D xsi:type="xsd:string"&gt;12/29/2006&lt;/D&gt;&lt;D xsi:type="xsd:string"&gt;12/30/2005&lt;/D&gt;&lt;D xsi:type="xsd:string"&gt;12/31/2004&lt;/D&gt;&lt;D xsi:type="xsd:string"&gt;12/31/2003&lt;/D&gt;&lt;D xsi:type="xsd:string"&gt;12/31/2002&lt;/D&gt;&lt;/FQL&gt;&lt;FQL&gt;&lt;Q&gt;SP50^P_PRICE_CHANGE(12/31/2012,12/31/2002,AY)&lt;/Q&gt;&lt;R&gt;11&lt;/R&gt;&lt;C&gt;1&lt;/C&gt;&lt;D xsi:type="xsd:double"&gt;13.405693&lt;/D&gt;&lt;D xsi:type="xsd:double"&gt;-0.0028610230000000003&lt;/D&gt;&lt;D xsi:type="xsd:double"&gt;12.782347&lt;/D&gt;&lt;D xsi:type="xsd:double"&gt;23.45419&lt;/D&gt;&lt;D xsi:type="xsd:double"&gt;-38.48579&lt;/D&gt;&lt;D xsi:type="xsd:double"&gt;3.529572&lt;/D&gt;&lt;D xsi:type="xsd:double"&gt;13.619434&lt;/D&gt;&lt;D xsi:type="xsd:double"&gt;3.001022&lt;/D&gt;&lt;D xsi:type="xsd:double"&gt;8.9934459999999987&lt;/D&gt;&lt;D xsi:type="xsd:double"&gt;26.3804&lt;/D&gt;&lt;D xsi:type="xsd:double"&gt;-23.36596&lt;/D&gt;&lt;/FQL&gt;&lt;FQL&gt;&lt;Q&gt;INDEX:PERSONAL:DRUGDISTY.OFDB^P_PRICE_CHANGE(12/31/2012,12/31/2002,AY)&lt;/Q&gt;&lt;R&gt;11&lt;/R&gt;&lt;C&gt;1&lt;/C&gt;&lt;D xsi:type="xsd:string"&gt;@NA&lt;/D&gt;&lt;D xsi:type="xsd:string"&gt;@NA&lt;/D&gt;&lt;D xsi:type="xsd:string"&gt;@NA&lt;/D&gt;&lt;D xsi:type="xsd:string"&gt;@NA&lt;/D&gt;&lt;D xsi:type="xsd:string"&gt;@NA&lt;/D&gt;&lt;D xsi:type="xsd:string"&gt;@NA&lt;/D&gt;&lt;D xsi:type="xsd:string"&gt;@NA&lt;/D&gt;&lt;D xsi:type="xsd:string"&gt;@NA&lt;/D&gt;&lt;D xsi:type="xsd:string"&gt;@NA&lt;/D&gt;&lt;D xsi:type="xsd:string"&gt;@NA&lt;/D&gt;&lt;D xsi:type="xsd:string"&gt;@NA&lt;/D&gt;&lt;/FQL&gt;&lt;FQL&gt;&lt;Q&gt;DUMMY^P_DATEC_DAY(NOW)&lt;/Q&gt;&lt;R&gt;1&lt;/R&gt;&lt;C&gt;1&lt;/C&gt;&lt;D xsi:type="xsd:string"&gt;10/10/2013&lt;/D&gt;&lt;/FQL&gt;&lt;FQL&gt;&lt;Q&gt;ABC^P_PRICE(NOW)&lt;/Q&gt;&lt;R&gt;1&lt;/R&gt;&lt;C&gt;1&lt;/C&gt;&lt;D xsi:type="xsd:double"&gt;62.43&lt;/D&gt;&lt;/FQL&gt;&lt;FQL&gt;&lt;Q&gt;CAH^P_PRICE(NOW)&lt;/Q&gt;&lt;R&gt;1&lt;/R&gt;&lt;C&gt;1&lt;/C&gt;&lt;D xsi:type="xsd:double"&gt;54.7&lt;/D&gt;&lt;/FQL&gt;&lt;FQL&gt;&lt;Q&gt;MCK^P_PRICE(NOW)&lt;/Q&gt;&lt;R&gt;1&lt;/R&gt;&lt;C&gt;1&lt;/C&gt;&lt;D xsi:type="xsd:double"&gt;137.88&lt;/D&gt;&lt;/FQL&gt;&lt;FQL&gt;&lt;Q&gt;ABC^FE_ESTIMATE(SALES,MEAN,QUARTERLY,+1,NOW,,,'')&lt;/Q&gt;&lt;R&gt;1&lt;/R&gt;&lt;C&gt;1&lt;/C&gt;&lt;D xsi:type="xsd:double"&gt;23782.83&lt;/D&gt;&lt;/FQL&gt;&lt;FQL&gt;&lt;Q&gt;CAH^FE_ESTIMATE(SALES,MEAN,QUARTERLY,+1,NOW,,,'')&lt;/Q&gt;&lt;R&gt;1&lt;/R&gt;&lt;C&gt;1&lt;/C&gt;&lt;D xsi:type="xsd:double"&gt;22739.78&lt;/D&gt;&lt;/FQL&gt;&lt;FQL&gt;&lt;Q&gt;MCK^FE_ESTIMATE(SALES,MEAN,QUARTERLY,+1,NOW,,,'')&lt;/Q&gt;&lt;R&gt;1&lt;/R&gt;&lt;C&gt;1&lt;/C&gt;&lt;D xsi:type="xsd:double"&gt;32175.77&lt;/D&gt;&lt;/FQL&gt;&lt;FQL&gt;&lt;Q&gt;ABC^FE_ESTIMATE(EPS,MEAN,QUARTERLY,+1,NOW,,,'')&lt;/Q&gt;&lt;R&gt;1&lt;/R&gt;&lt;C&gt;1&lt;/C&gt;&lt;D xsi:type="xsd:double"&gt;0.740279&lt;/D&gt;&lt;/FQL&gt;&lt;FQL&gt;&lt;Q&gt;CAH^FE_ESTIMATE(EPS,MEAN,QUARTERLY,+1,NOW,,,'')&lt;/Q&gt;&lt;R&gt;1&lt;/R&gt;&lt;C&gt;1&lt;/C&gt;&lt;D xsi:type="xsd:double"&gt;0.855069&lt;/D&gt;&lt;/FQL&gt;&lt;FQL&gt;&lt;Q&gt;MCK^FE_ESTIMATE(EPS,MEAN,QUARTERLY,+1,NOW,,,'')&lt;/Q&gt;&lt;R&gt;1&lt;/R&gt;&lt;C&gt;1&lt;/C&gt;&lt;D xsi:type="xsd:double"&gt;2.034948&lt;/D&gt;&lt;/FQL&gt;&lt;FQL&gt;&lt;Q&gt;^P_DATE(12/31/2012,1/1/2002,AY)&lt;/Q&gt;&lt;R&gt;11&lt;/R&gt;&lt;C&gt;1&lt;/C&gt;&lt;D xsi:type="xsd:string"&gt;12/31/2012&lt;/D&gt;&lt;D xsi:type="xsd:string"&gt;12/30/2011&lt;/D&gt;&lt;D xsi:type="xsd:string"&gt;12/31/2010&lt;/D&gt;&lt;D xsi:type="xsd:string"&gt;12/31/2009&lt;/D&gt;&lt;D xsi:type="xsd:string"&gt;12/31/2008&lt;/D&gt;&lt;D xsi:type="xsd:string"&gt;12/31/2007&lt;/D&gt;&lt;D xsi:type="xsd:string"&gt;12/29/2006&lt;/D&gt;&lt;D xsi:type="xsd:string"&gt;12/30/2005&lt;/D&gt;&lt;D xsi:type="xsd:string"&gt;12/31/2004&lt;/D&gt;&lt;D xsi:type="xsd:string"&gt;12/31/2003&lt;/D&gt;&lt;D xsi:type="xsd:string"&gt;12/31/2002&lt;/D&gt;&lt;/FQL&gt;&lt;/Schema&gt;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Vrindavan</author>
    <author>gbolan</author>
  </authors>
  <commentList>
    <comment ref="G142" authorId="0" shapeId="0" xr:uid="{00000000-0006-0000-1800-000001000000}">
      <text>
        <r>
          <rPr>
            <b/>
            <sz val="9"/>
            <color indexed="81"/>
            <rFont val="Tahoma"/>
            <family val="2"/>
          </rPr>
          <t xml:space="preserve">HR: </t>
        </r>
        <r>
          <rPr>
            <sz val="9"/>
            <color indexed="81"/>
            <rFont val="Tahoma"/>
            <family val="2"/>
          </rPr>
          <t>Assumes 1 euro = $1.30</t>
        </r>
      </text>
    </comment>
    <comment ref="G155" authorId="0" shapeId="0" xr:uid="{00000000-0006-0000-1800-000002000000}">
      <text>
        <r>
          <rPr>
            <b/>
            <sz val="9"/>
            <color indexed="81"/>
            <rFont val="Tahoma"/>
            <family val="2"/>
          </rPr>
          <t xml:space="preserve">HR: </t>
        </r>
        <r>
          <rPr>
            <sz val="9"/>
            <color indexed="81"/>
            <rFont val="Tahoma"/>
            <family val="2"/>
          </rPr>
          <t>Assumes 1 euro = $1.30</t>
        </r>
      </text>
    </comment>
    <comment ref="G157" authorId="0" shapeId="0" xr:uid="{00000000-0006-0000-1800-000003000000}">
      <text>
        <r>
          <rPr>
            <b/>
            <sz val="9"/>
            <color indexed="81"/>
            <rFont val="Tahoma"/>
            <family val="2"/>
          </rPr>
          <t xml:space="preserve">HR: </t>
        </r>
        <r>
          <rPr>
            <sz val="9"/>
            <color indexed="81"/>
            <rFont val="Tahoma"/>
            <family val="2"/>
          </rPr>
          <t xml:space="preserve">Assumes 50% sales from US; company does not breakout product sales by geography
</t>
        </r>
      </text>
    </comment>
    <comment ref="G175" authorId="0" shapeId="0" xr:uid="{00000000-0006-0000-1800-000004000000}">
      <text>
        <r>
          <rPr>
            <b/>
            <sz val="9"/>
            <color indexed="81"/>
            <rFont val="Tahoma"/>
            <family val="2"/>
          </rPr>
          <t xml:space="preserve">HR: </t>
        </r>
        <r>
          <rPr>
            <sz val="9"/>
            <color indexed="81"/>
            <rFont val="Tahoma"/>
            <family val="2"/>
          </rPr>
          <t>Assumes 1 euro = $1.30</t>
        </r>
      </text>
    </comment>
    <comment ref="C239" authorId="1" shapeId="0" xr:uid="{00000000-0006-0000-1800-000005000000}">
      <text>
        <r>
          <rPr>
            <b/>
            <sz val="9"/>
            <color indexed="81"/>
            <rFont val="Tahoma"/>
            <family val="2"/>
          </rPr>
          <t>gbolan:</t>
        </r>
        <r>
          <rPr>
            <sz val="9"/>
            <color indexed="81"/>
            <rFont val="Tahoma"/>
            <family val="2"/>
          </rPr>
          <t xml:space="preserve">
This assumes early 2013 ANDA filing (if that occurs) and 24 month review</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gbolan</author>
  </authors>
  <commentList>
    <comment ref="G9" authorId="0" shapeId="0" xr:uid="{00000000-0006-0000-1D00-000001000000}">
      <text>
        <r>
          <rPr>
            <b/>
            <sz val="9"/>
            <color indexed="81"/>
            <rFont val="Tahoma"/>
            <family val="2"/>
          </rPr>
          <t>gbolan:</t>
        </r>
        <r>
          <rPr>
            <sz val="9"/>
            <color indexed="81"/>
            <rFont val="Tahoma"/>
            <family val="2"/>
          </rPr>
          <t xml:space="preserve">
At least $0.18 of accretion from AssuraMed</t>
        </r>
      </text>
    </comment>
  </commentList>
</comments>
</file>

<file path=xl/sharedStrings.xml><?xml version="1.0" encoding="utf-8"?>
<sst xmlns="http://schemas.openxmlformats.org/spreadsheetml/2006/main" count="2655" uniqueCount="1551">
  <si>
    <t>growth</t>
  </si>
  <si>
    <t>Pharmacies and drugstores (US Census NAICS 44611)</t>
  </si>
  <si>
    <t>Pharmaceutical wholesalers (US Census NAICS 4242)</t>
  </si>
  <si>
    <t>millions</t>
  </si>
  <si>
    <t>Buying Group</t>
  </si>
  <si>
    <t># of Pharmacies</t>
  </si>
  <si>
    <t>Primary Wholesaler(s)</t>
  </si>
  <si>
    <t>4,500+</t>
  </si>
  <si>
    <t>McKesson</t>
  </si>
  <si>
    <t>Independent Pharmacy Alliance</t>
  </si>
  <si>
    <t>Cardinal Health-Kinray, AmerisourceBergen</t>
  </si>
  <si>
    <t>American Associated Pharmacies</t>
  </si>
  <si>
    <t>2,000+</t>
  </si>
  <si>
    <t>Cardinal Health</t>
  </si>
  <si>
    <t>Pace Alliance</t>
  </si>
  <si>
    <t>http://www.retail-merchandiser.com/index.php/reports/retail-reports/33-pace-alliance</t>
  </si>
  <si>
    <t>American Pharmacy Cooperative</t>
  </si>
  <si>
    <t>http://www.drugstorenews.com/article/apci-targets-members%E2%80%99-needs-success</t>
  </si>
  <si>
    <t>EPIC Pharmacies</t>
  </si>
  <si>
    <t>not specified</t>
  </si>
  <si>
    <t>Total</t>
  </si>
  <si>
    <t>14,000+</t>
  </si>
  <si>
    <t>Rank</t>
  </si>
  <si>
    <t>Company</t>
  </si>
  <si>
    <t>Walgreens</t>
  </si>
  <si>
    <t>Market Share</t>
  </si>
  <si>
    <t>Pharmacy Dispensing Route</t>
  </si>
  <si>
    <t>CVS Caremark Corporation</t>
  </si>
  <si>
    <t>&gt;Retail Pharmacy</t>
  </si>
  <si>
    <t>Express Scripts, Inc.</t>
  </si>
  <si>
    <t>Rite Aid Corporation</t>
  </si>
  <si>
    <t>The Kroger Company</t>
  </si>
  <si>
    <t>Safeway, Inc</t>
  </si>
  <si>
    <t>Target Corporation</t>
  </si>
  <si>
    <t>Supervalu</t>
  </si>
  <si>
    <t>All Other Chains</t>
  </si>
  <si>
    <r>
      <t>Walmart</t>
    </r>
    <r>
      <rPr>
        <vertAlign val="superscript"/>
        <sz val="10"/>
        <color theme="1"/>
        <rFont val="Arial"/>
        <family val="2"/>
      </rPr>
      <t>2</t>
    </r>
  </si>
  <si>
    <r>
      <t xml:space="preserve">    &gt;Pharmacy Services</t>
    </r>
    <r>
      <rPr>
        <vertAlign val="superscript"/>
        <sz val="10"/>
        <color theme="1"/>
        <rFont val="Arial"/>
        <family val="2"/>
      </rPr>
      <t>1</t>
    </r>
  </si>
  <si>
    <t>2 Includes Walmart and Sam's Club stores</t>
  </si>
  <si>
    <r>
      <t>Sears Holding Corporation</t>
    </r>
    <r>
      <rPr>
        <vertAlign val="superscript"/>
        <sz val="10"/>
        <color theme="1"/>
        <rFont val="Arial"/>
        <family val="2"/>
      </rPr>
      <t>3</t>
    </r>
  </si>
  <si>
    <t>3 Includes Sears and Kmart</t>
  </si>
  <si>
    <t>Chain drugstore</t>
  </si>
  <si>
    <t>Mail-order pharmacy</t>
  </si>
  <si>
    <t>Mass merchant with pharmacy</t>
  </si>
  <si>
    <t>Supermarket with pharmacy</t>
  </si>
  <si>
    <t>various</t>
  </si>
  <si>
    <t>Primary Wholesaler</t>
  </si>
  <si>
    <t>Cardinal</t>
  </si>
  <si>
    <t>AmerisourceBergen</t>
  </si>
  <si>
    <t>United Health (Optum Rx)</t>
  </si>
  <si>
    <t>1 Excludes revenues from 90-day Maintenance Choice claims filled in CVS retail pharmacies. These revenues are included in Retail Pharmacy</t>
  </si>
  <si>
    <t>No. of NMEs Approved</t>
  </si>
  <si>
    <t>No. of BLAs Approved</t>
  </si>
  <si>
    <t>NMEs as % of Approvals</t>
  </si>
  <si>
    <t>BLAs as % of Approvals</t>
  </si>
  <si>
    <t>NMEs + BLA Approved</t>
  </si>
  <si>
    <t>Cancer/Related Conditions</t>
  </si>
  <si>
    <t>Infectious Diseases</t>
  </si>
  <si>
    <t>Autoimmune Disorders</t>
  </si>
  <si>
    <t>Cariovascular Disease</t>
  </si>
  <si>
    <t>Neurologic Disorder</t>
  </si>
  <si>
    <t>Respiratory Disease</t>
  </si>
  <si>
    <t>Other Diseases</t>
  </si>
  <si>
    <t>HIV Infection</t>
  </si>
  <si>
    <t>Digestive Disorders</t>
  </si>
  <si>
    <t>Diabetes/Related Conditions</t>
  </si>
  <si>
    <t>Musculoskeletal Disorders</t>
  </si>
  <si>
    <t>Skin Disorders</t>
  </si>
  <si>
    <t>Eye Conditions</t>
  </si>
  <si>
    <t>Genetic Disorders</t>
  </si>
  <si>
    <t>Transplantation</t>
  </si>
  <si>
    <t>Growth Disorders</t>
  </si>
  <si>
    <t>Blood Disorders</t>
  </si>
  <si>
    <t>Biotechnology Medicines in Development  - Therapeutic Category - 2011</t>
  </si>
  <si>
    <t>WW Market Share</t>
  </si>
  <si>
    <t>WW Sales (bn)</t>
  </si>
  <si>
    <t>Roche</t>
  </si>
  <si>
    <t>Novo Nordisk</t>
  </si>
  <si>
    <t>Sanofi</t>
  </si>
  <si>
    <t>Pfizer</t>
  </si>
  <si>
    <t>Amgen</t>
  </si>
  <si>
    <t>GlaxoSmithKline</t>
  </si>
  <si>
    <t>Johnson &amp; Johnson</t>
  </si>
  <si>
    <t>Merck &amp; Co</t>
  </si>
  <si>
    <t>Eli Lilly</t>
  </si>
  <si>
    <t>Abbot Laboratories</t>
  </si>
  <si>
    <t>2018E</t>
  </si>
  <si>
    <t>Percentage of Sales from bioengineered vaccines + biologics within top 100 drugs</t>
  </si>
  <si>
    <t>Source: EvaluatePharma</t>
  </si>
  <si>
    <t>http://www.express-scripts.com/research/research/dtr/archive/2012/dtrFinal.pdf</t>
  </si>
  <si>
    <t>http://www.phrma.org/sites/default/files/1776/biotech2011.pdf</t>
  </si>
  <si>
    <t>http://www.pugetsoundhealthalliance.org/resources/documents/ChronicDiseaseFactSheet.pdf</t>
  </si>
  <si>
    <t>Percentage of Population with a Chronic Condition</t>
  </si>
  <si>
    <t>Number of People with Chronic Conditions (millions)</t>
  </si>
  <si>
    <r>
      <t xml:space="preserve">Source: Wu, Shin-Yi, and Green, Anthony. </t>
    </r>
    <r>
      <rPr>
        <i/>
        <sz val="7"/>
        <color indexed="8"/>
        <rFont val="Arial"/>
        <family val="1"/>
        <charset val="204"/>
      </rPr>
      <t>Projection of Chronic Illness Prevalence and Cost Inflation</t>
    </r>
    <r>
      <rPr>
        <sz val="7"/>
        <color indexed="8"/>
        <rFont val="Arial"/>
        <family val="1"/>
        <charset val="204"/>
      </rPr>
      <t>.</t>
    </r>
  </si>
  <si>
    <t>RAND Corporation, October 2000.</t>
  </si>
  <si>
    <t>Traditional Rx costs</t>
  </si>
  <si>
    <t>Specialty Rx costs</t>
  </si>
  <si>
    <t>Specialty as % of Drug Spend</t>
  </si>
  <si>
    <t>US Specialty Distributor Market Capture by Customer</t>
  </si>
  <si>
    <t>Independent physician-owned/operated clinics</t>
  </si>
  <si>
    <t>Hospitals</t>
  </si>
  <si>
    <t>Clinics/specialty clinics owned operated by hospitals</t>
  </si>
  <si>
    <t>Specialty pharmacies</t>
  </si>
  <si>
    <t>Other healthcare distributors</t>
  </si>
  <si>
    <t>Government organizations</t>
  </si>
  <si>
    <t>Retail Pharmacies</t>
  </si>
  <si>
    <t xml:space="preserve">Other </t>
  </si>
  <si>
    <t>Market Share of Specialty Distributors</t>
  </si>
  <si>
    <t>ABC</t>
  </si>
  <si>
    <t>MCK</t>
  </si>
  <si>
    <t>CuraScript-ESRX</t>
  </si>
  <si>
    <t>Metro Medical</t>
  </si>
  <si>
    <t>Other</t>
  </si>
  <si>
    <t>http://www.hcsupplychainresearch.org/projects/pdfs/2012-SpecPharm-ExecSummary.pdf</t>
  </si>
  <si>
    <t>Percentage of Market          (Weighted Average)</t>
  </si>
  <si>
    <t>Oncology GPOs</t>
  </si>
  <si>
    <t>GPO</t>
  </si>
  <si>
    <t>Onmark-US Oncology</t>
  </si>
  <si>
    <t>Oncology Associates</t>
  </si>
  <si>
    <t>Bellwether Oncology Alliance</t>
  </si>
  <si>
    <t>Matrix</t>
  </si>
  <si>
    <t>Vital Source</t>
  </si>
  <si>
    <t>Metro Medical Supply</t>
  </si>
  <si>
    <t>Curascript Specialty Distribution (ESRX)</t>
  </si>
  <si>
    <t>Ownership</t>
  </si>
  <si>
    <t>Flordia Infusion</t>
  </si>
  <si>
    <t>Note: Florida Infusion does not own Oncology Associates, but rather is an exclusive distributor</t>
  </si>
  <si>
    <t>International Oncology Network (ION)</t>
  </si>
  <si>
    <t>Other Supportive Services</t>
  </si>
  <si>
    <t>Services</t>
  </si>
  <si>
    <t>Percentage of Services Offered by Specialty Distributors</t>
  </si>
  <si>
    <t>Third Party Logistics (3PL services)</t>
  </si>
  <si>
    <t>Customer call centers</t>
  </si>
  <si>
    <t>Electronic billing/reporting</t>
  </si>
  <si>
    <t>Loyalty/incentive programs</t>
  </si>
  <si>
    <t>Recall services</t>
  </si>
  <si>
    <t>Standardized billing</t>
  </si>
  <si>
    <t>Analytics/consulting</t>
  </si>
  <si>
    <t>Clinical pathways</t>
  </si>
  <si>
    <t>Formulary management</t>
  </si>
  <si>
    <t>Patient assistance/grant program mgmt.</t>
  </si>
  <si>
    <t>Sampling programs</t>
  </si>
  <si>
    <t>Claims/copayment collection</t>
  </si>
  <si>
    <t>Home delivery/infusion and orals</t>
  </si>
  <si>
    <t>Medication therapy mgmt</t>
  </si>
  <si>
    <t>Refill reminders</t>
  </si>
  <si>
    <t>Reimbursement services/consulting</t>
  </si>
  <si>
    <t>Utilization mgmt</t>
  </si>
  <si>
    <t>Share of Pharmacy Revenues from Specialty Drugs, 2011</t>
  </si>
  <si>
    <t>http://2.bp.blogspot.com/-vzoXJvJZXZg/T9c1radDCSI/AAAAAAAABL0/hfKd1xaczNA/s1600/Specialty_Pharmacy_Market_Share_2011.png</t>
  </si>
  <si>
    <t>CVS Caremark</t>
  </si>
  <si>
    <t>Express Scripts-Medco</t>
  </si>
  <si>
    <t>Walgreens-BioScrip</t>
  </si>
  <si>
    <t>Diplomat Specialty Pharmacy</t>
  </si>
  <si>
    <t>Omincare</t>
  </si>
  <si>
    <t>All other retail and specialty pharmacies</t>
  </si>
  <si>
    <t>http://www.oncbiz.com/documents/OBR_1107_GPOs.pdf</t>
  </si>
  <si>
    <t xml:space="preserve">Ability of health plan to track specialty drug costs and trend under the pharmacy and medical benefit </t>
  </si>
  <si>
    <t>Pharmacy benefit</t>
  </si>
  <si>
    <t>Medical benefit</t>
  </si>
  <si>
    <t>Locations</t>
  </si>
  <si>
    <t>Ambient Healthcare</t>
  </si>
  <si>
    <t>Assured Pharmacy</t>
  </si>
  <si>
    <t>Dougherty's Pharmacy</t>
  </si>
  <si>
    <t>LDI Integrated Pharmacy</t>
  </si>
  <si>
    <t>MOMS Pharmacy</t>
  </si>
  <si>
    <t>Town Total Healthcare Pharmacy</t>
  </si>
  <si>
    <t>Amber Pharmacy</t>
  </si>
  <si>
    <t xml:space="preserve">Identified Specialty Pharmacies </t>
  </si>
  <si>
    <t>M&amp;A within the Specialty Distributor and Pharmacy Channel</t>
  </si>
  <si>
    <t>Target</t>
  </si>
  <si>
    <t>Acquirer</t>
  </si>
  <si>
    <t>EV/EBITDA</t>
  </si>
  <si>
    <t>EV/Sales</t>
  </si>
  <si>
    <t>Deal Value (MM)</t>
  </si>
  <si>
    <t>BioScript Specialty Pharmacy and Mail Order</t>
  </si>
  <si>
    <t>NE, TX, PA, IL</t>
  </si>
  <si>
    <t>FL, GA, SC, AL, NC</t>
  </si>
  <si>
    <t>CA, WA, OR, KS</t>
  </si>
  <si>
    <t>MI, IL, FL, CA</t>
  </si>
  <si>
    <t>TX</t>
  </si>
  <si>
    <t>nationwide</t>
  </si>
  <si>
    <t>CA, CT, GA, TX, DC, FL, NY, WA</t>
  </si>
  <si>
    <t>NY, NJ</t>
  </si>
  <si>
    <t>Link to press release</t>
  </si>
  <si>
    <t>http://news.walgreens.com/article_display.cfm?article_id=5590</t>
  </si>
  <si>
    <t>PharMerica</t>
  </si>
  <si>
    <t>http://phx.corporate-ir.net/phoenix.zhtml?c=186053&amp;p=irol-newsArticle&amp;ID=1511961&amp;highlight=</t>
  </si>
  <si>
    <t>US Oncology</t>
  </si>
  <si>
    <t>http://www.mckesson.com/en_us/McKesson.com/About%2BUs/Newsroom/Press%2BReleases%2BArchives/2010/McKesson%2BCompletes%2BAcquisition%2Bof%2BUS%2BOncology.html</t>
  </si>
  <si>
    <t>http://ir.cardinalhealth.com/releasedetail.cfm?ReleaseID=629431</t>
  </si>
  <si>
    <t>Healthcare Solutions Holding</t>
  </si>
  <si>
    <t>http://phx.corporate-ir.net/phoenix.zhtml?c=186053&amp;p=irol-newsArticle&amp;ID=1370250&amp;highlight=</t>
  </si>
  <si>
    <t>Integrity Pharmacy Services</t>
  </si>
  <si>
    <t>http://www.allionhealthcare.com/raw-media/pressrelease75.pdf</t>
  </si>
  <si>
    <t>Allion Healthcare</t>
  </si>
  <si>
    <t>H.I.G. Capital</t>
  </si>
  <si>
    <t>Lone Star Pharmacy</t>
  </si>
  <si>
    <t>Advanced Care Scripts</t>
  </si>
  <si>
    <t>Omnicare</t>
  </si>
  <si>
    <t>http://ir.omnicare.com/phoenix.zhtml?c=65516&amp;p=irol-newsArticle&amp;ID=1175578&amp;highlight=</t>
  </si>
  <si>
    <t>Biomed America</t>
  </si>
  <si>
    <t>MOMS Pharmacy (AIDS Healthcare Foundation)</t>
  </si>
  <si>
    <t>AIDS Healthcare Foundation (AHF)</t>
  </si>
  <si>
    <t>-</t>
  </si>
  <si>
    <t>http://www.aidshealth.org/archives/14427</t>
  </si>
  <si>
    <t>http://www.reuters.com/article/2008/03/13/allion-idUSBNG31766020080313</t>
  </si>
  <si>
    <t>Coram</t>
  </si>
  <si>
    <t>Apria Healthcare</t>
  </si>
  <si>
    <t>http://phx.corporate-ir.net/phoenix.zhtml?c=111451&amp;p=irol-newsArticle&amp;ID=1083689&amp;highlight=</t>
  </si>
  <si>
    <t>CC City Pharmacy</t>
  </si>
  <si>
    <t>http://diplomatpharmacy.com/news_events/diplomat-expands-to-ft-lauderdale/</t>
  </si>
  <si>
    <t>Option Care</t>
  </si>
  <si>
    <t>http://news.walgreens.com/article_print.cfm?article_id=4803</t>
  </si>
  <si>
    <t>Access M.D.</t>
  </si>
  <si>
    <t>http://www.amerisourcebergen.com/investor/phoenix.zhtml?c=61181&amp;p=irol-newsArticle&amp;t=Regular&amp;id=937887&amp;</t>
  </si>
  <si>
    <t>Whittier Goodrich Pharmacy</t>
  </si>
  <si>
    <t>http://www.prnewswire.com/news-releases/allion-healthcare-inc-signs-letter-of-intent-to-acquire-los-angeles-based-whittier-goodrich-pharmacy-inc-55367812.html</t>
  </si>
  <si>
    <t>Priority Healthcare</t>
  </si>
  <si>
    <t>Express Scripts</t>
  </si>
  <si>
    <t>http://phx.corporate-ir.net/phoenix.zhtml?c=69641&amp;p=irol-newsArticle&amp;ID=767928&amp;highlight=</t>
  </si>
  <si>
    <t>Frontier Pharmacy &amp; Nutrition</t>
  </si>
  <si>
    <t>http://www.prnewswire.com/news-releases/allion-healthcare-inc-completes-acquisition-of-frontier-pharmacy--pmw-54696007.html</t>
  </si>
  <si>
    <t>excelleRX</t>
  </si>
  <si>
    <t>http://www.bloomberg.com/apps/news?pid=newsarchive&amp;sid=aA.NKaiyEsbg</t>
  </si>
  <si>
    <t>RxCrossroads</t>
  </si>
  <si>
    <t>http://www.bizjournals.com/louisville/stories/2005/07/04/daily1.html</t>
  </si>
  <si>
    <t>Accredo Health</t>
  </si>
  <si>
    <t>Medco Health Solutions</t>
  </si>
  <si>
    <t>http://www.accredo.com/about/our_history.html</t>
  </si>
  <si>
    <t>Pediatric Services of America/Specialty Pharmacy</t>
  </si>
  <si>
    <t>http://www.prnewswire.com/news-releases/accredo-completes-acquisition-of-specialty-pharmacy-business-55695857.html</t>
  </si>
  <si>
    <t>CuraScript Pharmacy</t>
  </si>
  <si>
    <t>Median</t>
  </si>
  <si>
    <t>http://phx.corporate-ir.net/phoenix.zhtml?c=69641&amp;p=irol-newsArticle&amp;ID=490267&amp;highlight=</t>
  </si>
  <si>
    <t>1Q:09A</t>
  </si>
  <si>
    <t>2Q:09A</t>
  </si>
  <si>
    <t>3Q:09A</t>
  </si>
  <si>
    <t>4Q:09A</t>
  </si>
  <si>
    <t>1Q:10A</t>
  </si>
  <si>
    <t>2Q:10A</t>
  </si>
  <si>
    <t>3Q:10A</t>
  </si>
  <si>
    <t>4Q:10A</t>
  </si>
  <si>
    <t>1Q:11A</t>
  </si>
  <si>
    <t>2Q:11A</t>
  </si>
  <si>
    <t>3Q:11A</t>
  </si>
  <si>
    <t>4Q:11A</t>
  </si>
  <si>
    <t>3Q:12A</t>
  </si>
  <si>
    <t>Gross Profit</t>
  </si>
  <si>
    <t>Sales</t>
  </si>
  <si>
    <t>Gross Margin</t>
  </si>
  <si>
    <t>EBIT</t>
  </si>
  <si>
    <t>EBIT Margin</t>
  </si>
  <si>
    <t>EBIT/Gross Profit</t>
  </si>
  <si>
    <t>CAH</t>
  </si>
  <si>
    <t>Operating Margin</t>
  </si>
  <si>
    <t>ABT</t>
  </si>
  <si>
    <t>AGN</t>
  </si>
  <si>
    <t>AZN</t>
  </si>
  <si>
    <t>BMY</t>
  </si>
  <si>
    <t>FRX</t>
  </si>
  <si>
    <t>GSK</t>
  </si>
  <si>
    <t>JNJ</t>
  </si>
  <si>
    <t>LLY</t>
  </si>
  <si>
    <t>MRK</t>
  </si>
  <si>
    <t>NVO</t>
  </si>
  <si>
    <t>NVS</t>
  </si>
  <si>
    <t>PFE</t>
  </si>
  <si>
    <t>SHPG</t>
  </si>
  <si>
    <t>SNY</t>
  </si>
  <si>
    <t>TEVA</t>
  </si>
  <si>
    <t>Big Three Distributors</t>
  </si>
  <si>
    <t>Big Pharma</t>
  </si>
  <si>
    <t>Dist and Pharm Sales</t>
  </si>
  <si>
    <t>Product Type:</t>
  </si>
  <si>
    <t>Brand-name Drugs (traditional distribution)</t>
  </si>
  <si>
    <t>Brand-name Drugs (warehouse deliveries)</t>
  </si>
  <si>
    <t>Generic drugs</t>
  </si>
  <si>
    <t>Buy-side gross margin components</t>
  </si>
  <si>
    <t>Fee-For-Service*</t>
  </si>
  <si>
    <t>Volume discounts, rebates, &amp; other fees</t>
  </si>
  <si>
    <t>Prompt Payment Discount</t>
  </si>
  <si>
    <t>Buy-side gross margin</t>
  </si>
  <si>
    <t>Sell-side gross margin</t>
  </si>
  <si>
    <t>bps</t>
  </si>
  <si>
    <t>% of Buy-side GM</t>
  </si>
  <si>
    <t>Total Gross Margin**</t>
  </si>
  <si>
    <t>* Figure reflects weighted average of small and large manufacturers. Includes the net value of allowable inventory appreciation</t>
  </si>
  <si>
    <t xml:space="preserve">      sales mix, client mix, and other factors</t>
  </si>
  <si>
    <t xml:space="preserve">** These figures represent an industry average model for the Big Three wholesalers. Any individual company's performance will be based on </t>
  </si>
  <si>
    <t>Percentage of Revenues:</t>
  </si>
  <si>
    <t>Exclusivity</t>
  </si>
  <si>
    <t>Maturity</t>
  </si>
  <si>
    <t>Post-Exclusivity</t>
  </si>
  <si>
    <t>Gross Profit Dollars</t>
  </si>
  <si>
    <t>Distributor Revenues</t>
  </si>
  <si>
    <t>Gross Profits</t>
  </si>
  <si>
    <t>Generics</t>
  </si>
  <si>
    <t>Brand-Name (warehouse deliveries)</t>
  </si>
  <si>
    <t>Brand-Name (traditional distribution)</t>
  </si>
  <si>
    <t>Est Drug Sales to Independent Pharmacies (billions)</t>
  </si>
  <si>
    <t>Share of Independent Pharmacy Market</t>
  </si>
  <si>
    <t>Morris &amp; Dickson</t>
  </si>
  <si>
    <t>HD Smith</t>
  </si>
  <si>
    <t>Smith Drug</t>
  </si>
  <si>
    <t>NC Mutual</t>
  </si>
  <si>
    <t>Value Drug</t>
  </si>
  <si>
    <t>ANDA</t>
  </si>
  <si>
    <t>Harvard Drug</t>
  </si>
  <si>
    <t>Year</t>
  </si>
  <si>
    <t>Period</t>
  </si>
  <si>
    <t>Brand Name</t>
  </si>
  <si>
    <t>Generic name</t>
  </si>
  <si>
    <t>Common use(s)</t>
  </si>
  <si>
    <t>montelukast</t>
  </si>
  <si>
    <t>Asthma, allergy
symptoms</t>
  </si>
  <si>
    <t>pioglitazone</t>
  </si>
  <si>
    <t>Type 2 diabetes</t>
  </si>
  <si>
    <t>levalbuterol inhalation
solution</t>
  </si>
  <si>
    <t>Asthma, COPD</t>
  </si>
  <si>
    <t>valsartan and valsartan/
hydrochlorothiazide</t>
  </si>
  <si>
    <t>High blood pressure</t>
  </si>
  <si>
    <t>Overactive bladder</t>
  </si>
  <si>
    <t>sildenafil</t>
  </si>
  <si>
    <t>Pulmonary arterial
hypertension</t>
  </si>
  <si>
    <t>lidocaine topical patch</t>
  </si>
  <si>
    <t>Pain due to post-
herpetic neuralgia</t>
  </si>
  <si>
    <t>candesartan and
candesartan/
hydrochlorothiazide</t>
  </si>
  <si>
    <t>pioglitazone/ metformin</t>
  </si>
  <si>
    <t>Migraines</t>
  </si>
  <si>
    <t>finasteride</t>
  </si>
  <si>
    <t>Male pattern hair loss</t>
  </si>
  <si>
    <t>fenofibrate</t>
  </si>
  <si>
    <t>High cholesterol</t>
  </si>
  <si>
    <t>valganciclovir</t>
  </si>
  <si>
    <t>Viral infections</t>
  </si>
  <si>
    <t>Innovator</t>
  </si>
  <si>
    <t>zolmitriptan</t>
  </si>
  <si>
    <t>Osteoporosis</t>
  </si>
  <si>
    <t>temozolomide
(generic approved, not launched 3/10)</t>
  </si>
  <si>
    <t>Glioblastoma multiforme</t>
  </si>
  <si>
    <t>niacin extended-release
tablet</t>
  </si>
  <si>
    <t>rabeprazole
(tablets approved but not launched 2/07)</t>
  </si>
  <si>
    <t>GERD</t>
  </si>
  <si>
    <t>estradiol extended-
release film</t>
  </si>
  <si>
    <t>Menopausal
symptoms</t>
  </si>
  <si>
    <t>duloxetine</t>
  </si>
  <si>
    <t>Depression, anxiety,
nerve/musculoskeletal pain, fibromyalgia</t>
  </si>
  <si>
    <t>fenofibric acid</t>
  </si>
  <si>
    <t>telmisartan and
telmisartan/
hydrochlorothiazide</t>
  </si>
  <si>
    <t>sirolimus</t>
  </si>
  <si>
    <t>Prevent organ
rejection</t>
  </si>
  <si>
    <t>ethinyl estradiol/
norethindrone</t>
  </si>
  <si>
    <t>Contraception</t>
  </si>
  <si>
    <t>mesalamine 400 mg delayed-release tablet</t>
  </si>
  <si>
    <t>Ulcerative colitis</t>
  </si>
  <si>
    <t>moxifloxacin</t>
  </si>
  <si>
    <t>Bacterial infections</t>
  </si>
  <si>
    <t>raloxifene</t>
  </si>
  <si>
    <t>Osteoporosis, reduce
risk of breast cancer</t>
  </si>
  <si>
    <t>mesalamine 800 mg
delayed-release tablet</t>
  </si>
  <si>
    <t>HIV infection</t>
  </si>
  <si>
    <t>leuprolide injection</t>
  </si>
  <si>
    <t>Endometriosis, fibroids</t>
  </si>
  <si>
    <t>NA</t>
  </si>
  <si>
    <t>esomeprazole</t>
  </si>
  <si>
    <t>GERD, ulcers</t>
  </si>
  <si>
    <t>eszopiclone</t>
  </si>
  <si>
    <t>Insomnia</t>
  </si>
  <si>
    <t>celecoxib</t>
  </si>
  <si>
    <t>Pain</t>
  </si>
  <si>
    <t>risedronate</t>
  </si>
  <si>
    <t>capecitabine</t>
  </si>
  <si>
    <t>Colorectal, breast
cancers</t>
  </si>
  <si>
    <t>mometasone nasal
spray</t>
  </si>
  <si>
    <t>Allergic rhinitis</t>
  </si>
  <si>
    <t>bimatoprost 0.03%
ophthalmic solution</t>
  </si>
  <si>
    <t>Glaucoma, ocular
hypertension</t>
  </si>
  <si>
    <t>sevelamer</t>
  </si>
  <si>
    <t>Chronic kidney
disease</t>
  </si>
  <si>
    <t>amlodipine/valsartan</t>
  </si>
  <si>
    <t>tobramycin inhalation</t>
  </si>
  <si>
    <t>glatiramer injection</t>
  </si>
  <si>
    <t>Multiple sclerosis</t>
  </si>
  <si>
    <t>ritonavir</t>
  </si>
  <si>
    <t>memantine
(generic approved
4/14/10, not launched)</t>
  </si>
  <si>
    <t>Alzheimer’s disease</t>
  </si>
  <si>
    <t>efavirenz</t>
  </si>
  <si>
    <t>omega-3-acid ethyl
esters</t>
  </si>
  <si>
    <t>High triglycerides</t>
  </si>
  <si>
    <t>aripiprazole</t>
  </si>
  <si>
    <t>Schizophrenia, bipolar
disorder, autistic disorder, depression</t>
  </si>
  <si>
    <t>linezolid</t>
  </si>
  <si>
    <t>dutasteride</t>
  </si>
  <si>
    <t>Benign prostatic
hyperplasia</t>
  </si>
  <si>
    <t>epoetin alfa injection</t>
  </si>
  <si>
    <t>Anemia</t>
  </si>
  <si>
    <t>Ortho Tri-Cyclen</t>
  </si>
  <si>
    <t>travoprost ophthalmic solution</t>
  </si>
  <si>
    <t>Glaucoma, ocular hypertension</t>
  </si>
  <si>
    <t>colesevelam 625 mg</t>
  </si>
  <si>
    <t>aspirin/dipyridamole
extended-release capsule</t>
  </si>
  <si>
    <t>Prevent blood clots</t>
  </si>
  <si>
    <t>imatinib</t>
  </si>
  <si>
    <t>Chronic myeloid
leukemia, gastrointestinal stromal tumors</t>
  </si>
  <si>
    <t>dornase alfa inhalation
solution</t>
  </si>
  <si>
    <t>Cystic fibrosis</t>
  </si>
  <si>
    <t>testosterone gel</t>
  </si>
  <si>
    <t>Low testosterone</t>
  </si>
  <si>
    <t>guanfacine extended-
release tablets</t>
  </si>
  <si>
    <t>ADHD</t>
  </si>
  <si>
    <t>olopatadine ophthalmic
solution</t>
  </si>
  <si>
    <t>Allergic conjunctivitis</t>
  </si>
  <si>
    <t>carvedilol extended-
release capsules</t>
  </si>
  <si>
    <t>albuterol/ipratropium
inhalation</t>
  </si>
  <si>
    <t>COPD</t>
  </si>
  <si>
    <t>ethinyl estradiol/
norgestimate</t>
  </si>
  <si>
    <t>etanercept injection</t>
  </si>
  <si>
    <t>Rheumatoid arthritis, JIA, plaque psoriasis, ankylosing spondylitis</t>
  </si>
  <si>
    <t>abacavir/lamivudine
tablets</t>
  </si>
  <si>
    <t>ethinyl estradiol/
norelgestromin transdermal system</t>
  </si>
  <si>
    <t>dexmethylphenidate
extended-release capsule</t>
  </si>
  <si>
    <t>armodafinil</t>
  </si>
  <si>
    <t>Excessive sleepiness
associated with obstructive sleep apnea, narcolepsy and shift work disorder</t>
  </si>
  <si>
    <t>darifenacin extended-
release tablets</t>
  </si>
  <si>
    <t>rosuvastatin calcium</t>
  </si>
  <si>
    <t>amlodipine/olmesartan</t>
  </si>
  <si>
    <t>olmesartan &amp;
olmesartan/
hydrochlorothiazide</t>
  </si>
  <si>
    <t>quetiapine extended- release tablets</t>
  </si>
  <si>
    <t>Schizophrenia,
depression, bipolar disorder</t>
  </si>
  <si>
    <t>ezetimibe</t>
  </si>
  <si>
    <t>Advanced prostate
cancer</t>
  </si>
  <si>
    <t>lopinavir/ritonavir tablet</t>
  </si>
  <si>
    <t>ritonavir 100 mg tablets</t>
  </si>
  <si>
    <t>adalimumab injection</t>
  </si>
  <si>
    <t>Rheumatoid arthritis,
JIA, ankylosing spondylitis, Crohn’s disease, plaque psoriasis</t>
  </si>
  <si>
    <t>P. aeruginosa infection
in cystic fibrosis</t>
  </si>
  <si>
    <t>1Q03</t>
  </si>
  <si>
    <t>Prilosec</t>
  </si>
  <si>
    <t>omeprazole</t>
  </si>
  <si>
    <t>AstraZeneca</t>
  </si>
  <si>
    <t>gastrointestinal</t>
  </si>
  <si>
    <t>Ortho 7/7/7</t>
  </si>
  <si>
    <t>J&amp;J</t>
  </si>
  <si>
    <t>norethindrone/ethinyl estradio</t>
  </si>
  <si>
    <t>US Sales Previous Year (MM)</t>
  </si>
  <si>
    <t>Remeron</t>
  </si>
  <si>
    <t>mirtazapine</t>
  </si>
  <si>
    <t>Organon</t>
  </si>
  <si>
    <t>depression</t>
  </si>
  <si>
    <t>Nolvadex</t>
  </si>
  <si>
    <t xml:space="preserve">AstraZeneca </t>
  </si>
  <si>
    <t xml:space="preserve"> tamoxifen citrate</t>
  </si>
  <si>
    <t>cancer</t>
  </si>
  <si>
    <t>Navelbine</t>
  </si>
  <si>
    <t>vinorelbine</t>
  </si>
  <si>
    <t>Glaxo</t>
  </si>
  <si>
    <t xml:space="preserve">loratadine </t>
  </si>
  <si>
    <t>Claritin</t>
  </si>
  <si>
    <t xml:space="preserve"> Schering-Plough</t>
  </si>
  <si>
    <t>allergy</t>
  </si>
  <si>
    <t>Claritin-D</t>
  </si>
  <si>
    <t xml:space="preserve"> loratadine &amp; PSE</t>
  </si>
  <si>
    <t>2Q03</t>
  </si>
  <si>
    <t>Calcijex</t>
  </si>
  <si>
    <t xml:space="preserve"> Abbott </t>
  </si>
  <si>
    <t>calcitriol injection</t>
  </si>
  <si>
    <t>dialysis</t>
  </si>
  <si>
    <t xml:space="preserve"> Tiazac</t>
  </si>
  <si>
    <t>diltiazem</t>
  </si>
  <si>
    <t xml:space="preserve"> Forest/Biovail</t>
  </si>
  <si>
    <t>hypertension</t>
  </si>
  <si>
    <t>Vicoprofen</t>
  </si>
  <si>
    <t>Abbott</t>
  </si>
  <si>
    <t>hydrocodone/ibuprofen</t>
  </si>
  <si>
    <t>pain</t>
  </si>
  <si>
    <t>Cipro</t>
  </si>
  <si>
    <t>ciprofloxacin</t>
  </si>
  <si>
    <t>Bayer</t>
  </si>
  <si>
    <t xml:space="preserve"> infection</t>
  </si>
  <si>
    <t>3Q03</t>
  </si>
  <si>
    <t>4Q03</t>
  </si>
  <si>
    <t>1Q04</t>
  </si>
  <si>
    <t>2Q04</t>
  </si>
  <si>
    <t>3Q04</t>
  </si>
  <si>
    <t>4Q04</t>
  </si>
  <si>
    <t>1Q05</t>
  </si>
  <si>
    <t xml:space="preserve">Paxil </t>
  </si>
  <si>
    <t xml:space="preserve">paroxetine </t>
  </si>
  <si>
    <t xml:space="preserve">Serzone </t>
  </si>
  <si>
    <t>nefazodone</t>
  </si>
  <si>
    <t xml:space="preserve"> Bristol</t>
  </si>
  <si>
    <t>Bactroban</t>
  </si>
  <si>
    <t xml:space="preserve">mupirocin ointment </t>
  </si>
  <si>
    <t xml:space="preserve"> Glaxo</t>
  </si>
  <si>
    <t xml:space="preserve">Glucotrol XL </t>
  </si>
  <si>
    <t>glipizide</t>
  </si>
  <si>
    <t>diabetes</t>
  </si>
  <si>
    <t>Monopril</t>
  </si>
  <si>
    <t xml:space="preserve">fosinopril </t>
  </si>
  <si>
    <t>Bristol</t>
  </si>
  <si>
    <t>Glucophage XR</t>
  </si>
  <si>
    <t xml:space="preserve"> metformin</t>
  </si>
  <si>
    <t xml:space="preserve">Bristol </t>
  </si>
  <si>
    <t>norgestimate/ethinyl estradiol</t>
  </si>
  <si>
    <t>oral contraceptive</t>
  </si>
  <si>
    <t>Glucovance</t>
  </si>
  <si>
    <t>Lotensin</t>
  </si>
  <si>
    <t xml:space="preserve">Novartis </t>
  </si>
  <si>
    <t>benazepril</t>
  </si>
  <si>
    <t>Macrobid</t>
  </si>
  <si>
    <t>Procter &amp; Gamble</t>
  </si>
  <si>
    <t>antibiotic</t>
  </si>
  <si>
    <t>Oxycontin (80 mg)</t>
  </si>
  <si>
    <t>oxycodone (80 mg only)</t>
  </si>
  <si>
    <t>Purdue</t>
  </si>
  <si>
    <t>Wellbutrin SR</t>
  </si>
  <si>
    <t xml:space="preserve">bupropion </t>
  </si>
  <si>
    <t xml:space="preserve">Glaxo </t>
  </si>
  <si>
    <t>Rebetol</t>
  </si>
  <si>
    <t>antiviral</t>
  </si>
  <si>
    <t>Synthroid</t>
  </si>
  <si>
    <t>hypothyroidism</t>
  </si>
  <si>
    <t>Levoxyl</t>
  </si>
  <si>
    <t>levothyroxine</t>
  </si>
  <si>
    <t xml:space="preserve">King </t>
  </si>
  <si>
    <t>Paraplatin</t>
  </si>
  <si>
    <t>carboplatin</t>
  </si>
  <si>
    <t>Diflucan</t>
  </si>
  <si>
    <t>fluconazole</t>
  </si>
  <si>
    <t>ribavirin</t>
  </si>
  <si>
    <t xml:space="preserve">levothyroxine </t>
  </si>
  <si>
    <t>nitrofurantoin capsules</t>
  </si>
  <si>
    <t>glyburide, metformin</t>
  </si>
  <si>
    <t>Celexa</t>
  </si>
  <si>
    <t>citalopram</t>
  </si>
  <si>
    <t>Forest</t>
  </si>
  <si>
    <t>Ribapharm/Schering</t>
  </si>
  <si>
    <t>Neurontin</t>
  </si>
  <si>
    <t>gabapentin</t>
  </si>
  <si>
    <t>seizure</t>
  </si>
  <si>
    <t>Plendil</t>
  </si>
  <si>
    <t xml:space="preserve"> felodipine</t>
  </si>
  <si>
    <t>Accupril/Accuretic</t>
  </si>
  <si>
    <t>quinapril</t>
  </si>
  <si>
    <t>Sporanox</t>
  </si>
  <si>
    <t>antifungal</t>
  </si>
  <si>
    <t>itraconazole</t>
  </si>
  <si>
    <t>Duragesic</t>
  </si>
  <si>
    <t>fentanyl patch</t>
  </si>
  <si>
    <t>Videx XC</t>
  </si>
  <si>
    <t>didanosine</t>
  </si>
  <si>
    <t>2Q05</t>
  </si>
  <si>
    <t xml:space="preserve">Ultracet </t>
  </si>
  <si>
    <t>acetaminophen - tramadol</t>
  </si>
  <si>
    <t>Tricor tablets</t>
  </si>
  <si>
    <t>dyslipidemia</t>
  </si>
  <si>
    <t>Biaxin</t>
  </si>
  <si>
    <t>clarithromycin</t>
  </si>
  <si>
    <t>infection</t>
  </si>
  <si>
    <t>Biaxin XL</t>
  </si>
  <si>
    <t>Lamictal chewable</t>
  </si>
  <si>
    <t>lamotrigine</t>
  </si>
  <si>
    <t>Cerenex/Glaxo</t>
  </si>
  <si>
    <t>Cerenex-Glaxo</t>
  </si>
  <si>
    <t xml:space="preserve">Oxycontin (10 20 40) </t>
  </si>
  <si>
    <t xml:space="preserve">Purdue </t>
  </si>
  <si>
    <t xml:space="preserve">oxycodone </t>
  </si>
  <si>
    <t>3Q05</t>
  </si>
  <si>
    <t>Rocephin</t>
  </si>
  <si>
    <t xml:space="preserve"> Roche</t>
  </si>
  <si>
    <t>ceftriaxone injection</t>
  </si>
  <si>
    <t>DDAVP</t>
  </si>
  <si>
    <t>desmopressin (tablets only)</t>
  </si>
  <si>
    <t xml:space="preserve">Aventis </t>
  </si>
  <si>
    <t>antidiuretic</t>
  </si>
  <si>
    <t>Arava</t>
  </si>
  <si>
    <t>leflunomide</t>
  </si>
  <si>
    <t>rheumatoid arthritis</t>
  </si>
  <si>
    <t xml:space="preserve">Allegra </t>
  </si>
  <si>
    <t xml:space="preserve">fexofenadine </t>
  </si>
  <si>
    <t>4Q05</t>
  </si>
  <si>
    <t xml:space="preserve">Amaryl </t>
  </si>
  <si>
    <t>Aventis</t>
  </si>
  <si>
    <t xml:space="preserve">glimepiride </t>
  </si>
  <si>
    <t>Zithromax tablets</t>
  </si>
  <si>
    <t>azithromycin</t>
  </si>
  <si>
    <t xml:space="preserve">Cefzil </t>
  </si>
  <si>
    <t>cefprozil</t>
  </si>
  <si>
    <t xml:space="preserve">antibiotic </t>
  </si>
  <si>
    <t xml:space="preserve">Copegus </t>
  </si>
  <si>
    <t>Zonegran</t>
  </si>
  <si>
    <t>zonisamide</t>
  </si>
  <si>
    <t>Elan</t>
  </si>
  <si>
    <t>epilepsy</t>
  </si>
  <si>
    <t>hep C</t>
  </si>
  <si>
    <t>1Q06</t>
  </si>
  <si>
    <t>Plavix</t>
  </si>
  <si>
    <t xml:space="preserve"> clopidogrel </t>
  </si>
  <si>
    <t>Sanofi-Bristol</t>
  </si>
  <si>
    <t>Flonase</t>
  </si>
  <si>
    <t xml:space="preserve"> fluticasone</t>
  </si>
  <si>
    <t>2Q06</t>
  </si>
  <si>
    <t>3Q06</t>
  </si>
  <si>
    <t>4Q06</t>
  </si>
  <si>
    <t>1Q07</t>
  </si>
  <si>
    <t>Effexor</t>
  </si>
  <si>
    <t xml:space="preserve"> venlafaxine</t>
  </si>
  <si>
    <t>Wyeth</t>
  </si>
  <si>
    <t xml:space="preserve">Pravachol </t>
  </si>
  <si>
    <t xml:space="preserve"> pravastatin </t>
  </si>
  <si>
    <t>hypercholesterolemia</t>
  </si>
  <si>
    <t xml:space="preserve">Proscar </t>
  </si>
  <si>
    <t xml:space="preserve">Merck </t>
  </si>
  <si>
    <t>BPH</t>
  </si>
  <si>
    <t>Lamictal</t>
  </si>
  <si>
    <t xml:space="preserve">seizure </t>
  </si>
  <si>
    <t>simvastatin</t>
  </si>
  <si>
    <t xml:space="preserve">Zoloft </t>
  </si>
  <si>
    <t xml:space="preserve">Zocor </t>
  </si>
  <si>
    <t>sertraline</t>
  </si>
  <si>
    <t xml:space="preserve">Pfizer </t>
  </si>
  <si>
    <t xml:space="preserve">Zithromax susp. </t>
  </si>
  <si>
    <t xml:space="preserve">azithromycin oral susp. </t>
  </si>
  <si>
    <t>Mobic tablet</t>
  </si>
  <si>
    <t xml:space="preserve">meloxicam </t>
  </si>
  <si>
    <t xml:space="preserve">Boehringer Ingelheim </t>
  </si>
  <si>
    <t>arthritis</t>
  </si>
  <si>
    <t>Propecia</t>
  </si>
  <si>
    <t xml:space="preserve">finasteride </t>
  </si>
  <si>
    <t xml:space="preserve">alopecia </t>
  </si>
  <si>
    <t xml:space="preserve">Toprol XL </t>
  </si>
  <si>
    <t>metoprolol ER (25 mg only)</t>
  </si>
  <si>
    <t xml:space="preserve">hypertension, CHF, angina </t>
  </si>
  <si>
    <t xml:space="preserve">Actiq </t>
  </si>
  <si>
    <t>fentanyl lozenge</t>
  </si>
  <si>
    <t>Cephalon</t>
  </si>
  <si>
    <t xml:space="preserve">Ditropan XL </t>
  </si>
  <si>
    <t>urinary incontinence</t>
  </si>
  <si>
    <t xml:space="preserve">oxybutynin </t>
  </si>
  <si>
    <t>Wellbutrin XL</t>
  </si>
  <si>
    <t>bupropion</t>
  </si>
  <si>
    <t>Glaxo/Biovail</t>
  </si>
  <si>
    <t xml:space="preserve">Zofran </t>
  </si>
  <si>
    <t xml:space="preserve">ondansetron </t>
  </si>
  <si>
    <t xml:space="preserve">nausea </t>
  </si>
  <si>
    <t>Duragesic 12</t>
  </si>
  <si>
    <t xml:space="preserve">fentanyl patch </t>
  </si>
  <si>
    <t xml:space="preserve">Inderal LA </t>
  </si>
  <si>
    <t xml:space="preserve">Akrimax </t>
  </si>
  <si>
    <t xml:space="preserve">propanolol ER </t>
  </si>
  <si>
    <t>Norvasc</t>
  </si>
  <si>
    <t>amlodipine besylate</t>
  </si>
  <si>
    <t>2Q07</t>
  </si>
  <si>
    <t xml:space="preserve">Ambien </t>
  </si>
  <si>
    <t>zolpidem</t>
  </si>
  <si>
    <t>insomnia</t>
  </si>
  <si>
    <t>Omnicef</t>
  </si>
  <si>
    <t>cefdinir capsules &amp; susp.</t>
  </si>
  <si>
    <t>bacterial infection</t>
  </si>
  <si>
    <t>Toprol XL</t>
  </si>
  <si>
    <t>metoprolol ER (50,100,200)</t>
  </si>
  <si>
    <t xml:space="preserve">Abbott </t>
  </si>
  <si>
    <t xml:space="preserve">Lotrel </t>
  </si>
  <si>
    <t>amlodipine-benazepril</t>
  </si>
  <si>
    <t>Novartis</t>
  </si>
  <si>
    <t>3Q07</t>
  </si>
  <si>
    <t xml:space="preserve">Lamisil </t>
  </si>
  <si>
    <t>terbinafine tablets</t>
  </si>
  <si>
    <t>nail fungal infections</t>
  </si>
  <si>
    <t xml:space="preserve">Protonix </t>
  </si>
  <si>
    <t xml:space="preserve">pantoprazole </t>
  </si>
  <si>
    <t xml:space="preserve">Wyeth </t>
  </si>
  <si>
    <t>ulcer</t>
  </si>
  <si>
    <t xml:space="preserve">Famvir </t>
  </si>
  <si>
    <t>famciclovir tablets</t>
  </si>
  <si>
    <t>herpes virus infections</t>
  </si>
  <si>
    <t xml:space="preserve">Coreg </t>
  </si>
  <si>
    <t xml:space="preserve">carvedilol </t>
  </si>
  <si>
    <t>hypertension, CHF</t>
  </si>
  <si>
    <t>4Q07</t>
  </si>
  <si>
    <t xml:space="preserve">Trileptal </t>
  </si>
  <si>
    <t>oxcarbazepine tablets</t>
  </si>
  <si>
    <t xml:space="preserve">seizures </t>
  </si>
  <si>
    <t>1Q08</t>
  </si>
  <si>
    <t xml:space="preserve">Altace </t>
  </si>
  <si>
    <t>ramipril</t>
  </si>
  <si>
    <t>King</t>
  </si>
  <si>
    <t xml:space="preserve">hypertension </t>
  </si>
  <si>
    <t>Camptosar</t>
  </si>
  <si>
    <t>irinotecan</t>
  </si>
  <si>
    <t xml:space="preserve">cancer </t>
  </si>
  <si>
    <t xml:space="preserve">Fosamax </t>
  </si>
  <si>
    <t>alendronate</t>
  </si>
  <si>
    <t>Merck</t>
  </si>
  <si>
    <t xml:space="preserve">osteoporosis </t>
  </si>
  <si>
    <t>Kytril</t>
  </si>
  <si>
    <t>granisetron</t>
  </si>
  <si>
    <t>cancer antianauseant</t>
  </si>
  <si>
    <t>Zyrtec</t>
  </si>
  <si>
    <t>cetirizine (syrup)</t>
  </si>
  <si>
    <t xml:space="preserve">Zyrtec </t>
  </si>
  <si>
    <t xml:space="preserve">cetirizine (tablet) </t>
  </si>
  <si>
    <t xml:space="preserve">allergy </t>
  </si>
  <si>
    <t>cetirizine (12 hr)</t>
  </si>
  <si>
    <t>Dovonex Scalp</t>
  </si>
  <si>
    <t>2Q08</t>
  </si>
  <si>
    <t>calcipotriene solution</t>
  </si>
  <si>
    <t>Warner Chilcott</t>
  </si>
  <si>
    <t xml:space="preserve">psoriasis </t>
  </si>
  <si>
    <t xml:space="preserve">Marinol </t>
  </si>
  <si>
    <t>dronabinol</t>
  </si>
  <si>
    <t>Unimed</t>
  </si>
  <si>
    <t>anti-nausea</t>
  </si>
  <si>
    <t>Paxil CR</t>
  </si>
  <si>
    <t>paroxetine hydrochloride</t>
  </si>
  <si>
    <t>Prilosec 40 mg</t>
  </si>
  <si>
    <t>heartburn</t>
  </si>
  <si>
    <t>Requip</t>
  </si>
  <si>
    <t>ropinirole hydrochloride</t>
  </si>
  <si>
    <t>restless leg</t>
  </si>
  <si>
    <t>Wellbutrin XL 150 mg</t>
  </si>
  <si>
    <t>Yasmin</t>
  </si>
  <si>
    <t>drospirenone; ethinyl estradio</t>
  </si>
  <si>
    <t xml:space="preserve"> Bayer </t>
  </si>
  <si>
    <t>3Q08</t>
  </si>
  <si>
    <t xml:space="preserve">Depakote </t>
  </si>
  <si>
    <t>divalproex pellets 125 mg</t>
  </si>
  <si>
    <t>divalproex</t>
  </si>
  <si>
    <t xml:space="preserve">Depakote Sprinkle Capsules </t>
  </si>
  <si>
    <t>Razadyne</t>
  </si>
  <si>
    <t>Ortho-McNeil</t>
  </si>
  <si>
    <t>alzheimers</t>
  </si>
  <si>
    <t>galantamine tablets/capsule</t>
  </si>
  <si>
    <t>Risperdal</t>
  </si>
  <si>
    <t>risperidone (tablets)</t>
  </si>
  <si>
    <t>psychosis</t>
  </si>
  <si>
    <t xml:space="preserve">Imitrex </t>
  </si>
  <si>
    <t xml:space="preserve">sumatriptan </t>
  </si>
  <si>
    <t xml:space="preserve">migraine </t>
  </si>
  <si>
    <t>4Q08</t>
  </si>
  <si>
    <t xml:space="preserve">Keppra </t>
  </si>
  <si>
    <t>levetiracetam</t>
  </si>
  <si>
    <t xml:space="preserve">UCB </t>
  </si>
  <si>
    <t xml:space="preserve">epilepsy </t>
  </si>
  <si>
    <t>Pulmicort Respules</t>
  </si>
  <si>
    <t xml:space="preserve">budesonide inhaler </t>
  </si>
  <si>
    <t>asthma</t>
  </si>
  <si>
    <t xml:space="preserve">Rhinocort </t>
  </si>
  <si>
    <t xml:space="preserve">budesonide </t>
  </si>
  <si>
    <t>Astra-Zeneca</t>
  </si>
  <si>
    <t>nasal anti-imflammatory</t>
  </si>
  <si>
    <t>Trusopt/Cosopt</t>
  </si>
  <si>
    <t>dorzolamide drops</t>
  </si>
  <si>
    <t>glaucoma</t>
  </si>
  <si>
    <t xml:space="preserve">Zemuron </t>
  </si>
  <si>
    <t xml:space="preserve">rocuronium </t>
  </si>
  <si>
    <t>Akzo/Organon</t>
  </si>
  <si>
    <t>anesthesia adjunct</t>
  </si>
  <si>
    <t>1Q09</t>
  </si>
  <si>
    <t>Depakote ER</t>
  </si>
  <si>
    <t>divalproex ER</t>
  </si>
  <si>
    <t xml:space="preserve">oral contraceptive </t>
  </si>
  <si>
    <t xml:space="preserve">anticoagulant </t>
  </si>
  <si>
    <t>Keppra</t>
  </si>
  <si>
    <t>levetiracetam oral solution</t>
  </si>
  <si>
    <t>UCB</t>
  </si>
  <si>
    <t>Risperdal M-Tab</t>
  </si>
  <si>
    <t>risperidone orally disintegratin</t>
  </si>
  <si>
    <t>schizophrenia</t>
  </si>
  <si>
    <t>Topamax (tablet)</t>
  </si>
  <si>
    <t>topiramate</t>
  </si>
  <si>
    <t>Adderall XR</t>
  </si>
  <si>
    <t>dextroamphetamine salts</t>
  </si>
  <si>
    <t>Shire</t>
  </si>
  <si>
    <t>2Q09</t>
  </si>
  <si>
    <t>CellCept</t>
  </si>
  <si>
    <t xml:space="preserve">mycophenolate </t>
  </si>
  <si>
    <t>transplants</t>
  </si>
  <si>
    <t xml:space="preserve">Ortho Tri-Cyclen Lo </t>
  </si>
  <si>
    <t xml:space="preserve">Tegretol XR </t>
  </si>
  <si>
    <t xml:space="preserve">carbamazepine </t>
  </si>
  <si>
    <t>3Q09</t>
  </si>
  <si>
    <t xml:space="preserve">Benzaclin </t>
  </si>
  <si>
    <t>clindamycin/benzoyl peroxide</t>
  </si>
  <si>
    <t>Sanofi-Aventis</t>
  </si>
  <si>
    <t>acne</t>
  </si>
  <si>
    <t>Casodex</t>
  </si>
  <si>
    <t>bicalutamide</t>
  </si>
  <si>
    <t>Catapres TTS</t>
  </si>
  <si>
    <t>clonidine patch</t>
  </si>
  <si>
    <t xml:space="preserve">Eloxatin </t>
  </si>
  <si>
    <t>oxaliplatin</t>
  </si>
  <si>
    <t xml:space="preserve">Sanofi </t>
  </si>
  <si>
    <t>colon cancer</t>
  </si>
  <si>
    <t xml:space="preserve">Fosamax Plus D </t>
  </si>
  <si>
    <t>alendronate/cholecalciferol</t>
  </si>
  <si>
    <t>osteoporosis</t>
  </si>
  <si>
    <t>Prograf</t>
  </si>
  <si>
    <t>tacrolimus</t>
  </si>
  <si>
    <t>Fujisawa</t>
  </si>
  <si>
    <t xml:space="preserve">immunomodulator </t>
  </si>
  <si>
    <t>4Q09</t>
  </si>
  <si>
    <t>Prevacid</t>
  </si>
  <si>
    <t xml:space="preserve">lansoprazole </t>
  </si>
  <si>
    <t xml:space="preserve">Ultram </t>
  </si>
  <si>
    <t>tramadol</t>
  </si>
  <si>
    <t>chronic pain</t>
  </si>
  <si>
    <t>Acular</t>
  </si>
  <si>
    <t>ketorolac ophthalmic solution</t>
  </si>
  <si>
    <t>Allergan</t>
  </si>
  <si>
    <t xml:space="preserve">ophthalmic pain </t>
  </si>
  <si>
    <t>Ambien CR</t>
  </si>
  <si>
    <t xml:space="preserve">Cardizem LA </t>
  </si>
  <si>
    <t xml:space="preserve">diltiazem </t>
  </si>
  <si>
    <t>Primaxin</t>
  </si>
  <si>
    <t>cilastatin, imipenim</t>
  </si>
  <si>
    <t>1Q10</t>
  </si>
  <si>
    <t>Astelin Nasal Spray</t>
  </si>
  <si>
    <t>Sepracor</t>
  </si>
  <si>
    <t>azelastine</t>
  </si>
  <si>
    <t>Solodyn</t>
  </si>
  <si>
    <t>Medicis</t>
  </si>
  <si>
    <t>minocycline</t>
  </si>
  <si>
    <t>Yaz</t>
  </si>
  <si>
    <t>drospirenone/ethinyl estradiol</t>
  </si>
  <si>
    <t>contraceptive</t>
  </si>
  <si>
    <t>Nasacort AQ</t>
  </si>
  <si>
    <t>triamcinolone</t>
  </si>
  <si>
    <t>allergic rhinitis</t>
  </si>
  <si>
    <t>2009 Sales (US)</t>
  </si>
  <si>
    <t>Aldara</t>
  </si>
  <si>
    <t>Graceway</t>
  </si>
  <si>
    <t>imiquimod</t>
  </si>
  <si>
    <t>actinic keratosis</t>
  </si>
  <si>
    <t>2Q10</t>
  </si>
  <si>
    <t>Arimidex</t>
  </si>
  <si>
    <t>anastrozole</t>
  </si>
  <si>
    <t>Cozaar/Hyzaar</t>
  </si>
  <si>
    <t xml:space="preserve">losartan </t>
  </si>
  <si>
    <t>Effexor XR</t>
  </si>
  <si>
    <t>venlafaxine</t>
  </si>
  <si>
    <t>Flomax</t>
  </si>
  <si>
    <t>Boehringer Ingelheim</t>
  </si>
  <si>
    <t>tamsulosin</t>
  </si>
  <si>
    <t>Merrem</t>
  </si>
  <si>
    <t>meropenem</t>
  </si>
  <si>
    <t>Valtrex</t>
  </si>
  <si>
    <t>valacyclovir</t>
  </si>
  <si>
    <t>herpes</t>
  </si>
  <si>
    <t>Vfend</t>
  </si>
  <si>
    <t>triazole</t>
  </si>
  <si>
    <t>4Q10</t>
  </si>
  <si>
    <t>Hycamtin</t>
  </si>
  <si>
    <t>topotecan</t>
  </si>
  <si>
    <t>Mirapex</t>
  </si>
  <si>
    <t>pramipexole</t>
  </si>
  <si>
    <t>Parkinson's disease</t>
  </si>
  <si>
    <t>2010 Sales (US)</t>
  </si>
  <si>
    <t>1Q11</t>
  </si>
  <si>
    <t>Fentora</t>
  </si>
  <si>
    <t>fentanyl</t>
  </si>
  <si>
    <t>cancer pain</t>
  </si>
  <si>
    <t>Gemzar</t>
  </si>
  <si>
    <t>Lilly</t>
  </si>
  <si>
    <t>gemcitabine</t>
  </si>
  <si>
    <t>Xalatan</t>
  </si>
  <si>
    <t>latanoprost</t>
  </si>
  <si>
    <t>2Q11</t>
  </si>
  <si>
    <t>Femara</t>
  </si>
  <si>
    <t>letrozole</t>
  </si>
  <si>
    <t>fertility</t>
  </si>
  <si>
    <t>Levaquin</t>
  </si>
  <si>
    <t>levofloxacin</t>
  </si>
  <si>
    <t>4Q11</t>
  </si>
  <si>
    <t>Lipitor</t>
  </si>
  <si>
    <t>atorvastatin</t>
  </si>
  <si>
    <t>high cholesterol</t>
  </si>
  <si>
    <t>Lovenox</t>
  </si>
  <si>
    <t>enoxaparin</t>
  </si>
  <si>
    <t>anithrombotic</t>
  </si>
  <si>
    <t>Tricor</t>
  </si>
  <si>
    <t>Zyprexa</t>
  </si>
  <si>
    <t>olanzapine</t>
  </si>
  <si>
    <t>Branded to Generic</t>
  </si>
  <si>
    <t>y/y gr%</t>
  </si>
  <si>
    <t>EPS</t>
  </si>
  <si>
    <t>Disty Relative Performance</t>
  </si>
  <si>
    <t>Sum</t>
  </si>
  <si>
    <t>EPS growth</t>
  </si>
  <si>
    <t>Pro-rata</t>
  </si>
  <si>
    <t>3Q12</t>
  </si>
  <si>
    <t>Singulair</t>
  </si>
  <si>
    <t>Actos</t>
  </si>
  <si>
    <t>Diovan and
Diovan HCT</t>
  </si>
  <si>
    <t>Revatio</t>
  </si>
  <si>
    <t>Lidoderm</t>
  </si>
  <si>
    <t>Atacand and
Atacand HCT</t>
  </si>
  <si>
    <t>Actoplus Met</t>
  </si>
  <si>
    <t>4Q12</t>
  </si>
  <si>
    <t>1Q12</t>
  </si>
  <si>
    <t>Valcyte</t>
  </si>
  <si>
    <t>1Q13</t>
  </si>
  <si>
    <t>2Q13</t>
  </si>
  <si>
    <t>3Q13</t>
  </si>
  <si>
    <t>4Q13</t>
  </si>
  <si>
    <t>Zomig</t>
  </si>
  <si>
    <t>Temodar</t>
  </si>
  <si>
    <t>Niaspan</t>
  </si>
  <si>
    <t>AcipHex</t>
  </si>
  <si>
    <t>Vivelle-DOT</t>
  </si>
  <si>
    <t>Cymbalta</t>
  </si>
  <si>
    <t>Trilipix</t>
  </si>
  <si>
    <t>Micardis and
Micardis HCT</t>
  </si>
  <si>
    <t>Rapamune</t>
  </si>
  <si>
    <t>Loestrin 24 Fe</t>
  </si>
  <si>
    <t>1Q14</t>
  </si>
  <si>
    <t>Lupron 3.75 mg</t>
  </si>
  <si>
    <t>Nexium</t>
  </si>
  <si>
    <t>Lunesta</t>
  </si>
  <si>
    <t>Celebrex</t>
  </si>
  <si>
    <t>Actonel</t>
  </si>
  <si>
    <t>Asacol 400 mg</t>
  </si>
  <si>
    <t>Avelox</t>
  </si>
  <si>
    <t>Evista</t>
  </si>
  <si>
    <t>Asacol 800 mg</t>
  </si>
  <si>
    <t>Xeloda</t>
  </si>
  <si>
    <t>Nasonex</t>
  </si>
  <si>
    <t>Lumigan</t>
  </si>
  <si>
    <t>Renagel</t>
  </si>
  <si>
    <t>Exforge</t>
  </si>
  <si>
    <t>TOBI</t>
  </si>
  <si>
    <t>Copaxone</t>
  </si>
  <si>
    <t>4Q14</t>
  </si>
  <si>
    <t>2Q14</t>
  </si>
  <si>
    <t>3Q14</t>
  </si>
  <si>
    <t>Norvir</t>
  </si>
  <si>
    <t>Namenda</t>
  </si>
  <si>
    <t>Sustiva</t>
  </si>
  <si>
    <t>Renvela</t>
  </si>
  <si>
    <t>Lovaza</t>
  </si>
  <si>
    <t>Abilify</t>
  </si>
  <si>
    <t>Zyvox</t>
  </si>
  <si>
    <t>Avodart</t>
  </si>
  <si>
    <t>Procrit</t>
  </si>
  <si>
    <t>Travatan Z</t>
  </si>
  <si>
    <t>WelChol</t>
  </si>
  <si>
    <t>Aggrenox</t>
  </si>
  <si>
    <t>Gleevec</t>
  </si>
  <si>
    <t>Pulmozyme</t>
  </si>
  <si>
    <t>AndroGel</t>
  </si>
  <si>
    <t>Intuniv</t>
  </si>
  <si>
    <t>Pataday</t>
  </si>
  <si>
    <t>Patanol</t>
  </si>
  <si>
    <t>Coreg CR</t>
  </si>
  <si>
    <t>Combivent</t>
  </si>
  <si>
    <t>Ortho Tri-Cyclen
Lo</t>
  </si>
  <si>
    <t>1Q15</t>
  </si>
  <si>
    <t>2Q15</t>
  </si>
  <si>
    <t>3Q15</t>
  </si>
  <si>
    <t>4Q15</t>
  </si>
  <si>
    <t>Enbrel</t>
  </si>
  <si>
    <t>Epzicom tablets</t>
  </si>
  <si>
    <t>Ortho Evra</t>
  </si>
  <si>
    <t>Focalin XR</t>
  </si>
  <si>
    <t>Nuvigil</t>
  </si>
  <si>
    <t>Enablex</t>
  </si>
  <si>
    <t>Crestor</t>
  </si>
  <si>
    <t>Azor</t>
  </si>
  <si>
    <t>Benicar &amp; Benicar HCT</t>
  </si>
  <si>
    <t>Seroquel XR</t>
  </si>
  <si>
    <t>Zetia</t>
  </si>
  <si>
    <t>Lupron</t>
  </si>
  <si>
    <t>Kaletra</t>
  </si>
  <si>
    <t>Humira</t>
  </si>
  <si>
    <t>1Q16</t>
  </si>
  <si>
    <t>2Q16</t>
  </si>
  <si>
    <t>3Q16</t>
  </si>
  <si>
    <t>4Q16</t>
  </si>
  <si>
    <t xml:space="preserve">Xopenex - liquid
</t>
  </si>
  <si>
    <t>Boniva</t>
  </si>
  <si>
    <t>Geodon</t>
  </si>
  <si>
    <t>Lexapro</t>
  </si>
  <si>
    <t>Seroquel</t>
  </si>
  <si>
    <t>ibandronate sodium</t>
  </si>
  <si>
    <t>ziprasidone</t>
  </si>
  <si>
    <t>escitalopram</t>
  </si>
  <si>
    <t>quetiapine fumarate</t>
  </si>
  <si>
    <t>osteoprosis</t>
  </si>
  <si>
    <t>psychotic disorders</t>
  </si>
  <si>
    <t>2Q12</t>
  </si>
  <si>
    <t>Provigil</t>
  </si>
  <si>
    <t>modafinil</t>
  </si>
  <si>
    <t>wakefulness</t>
  </si>
  <si>
    <t>Stalevo</t>
  </si>
  <si>
    <t>carbidopa, entracapone, levodopa</t>
  </si>
  <si>
    <t>Parkinsons</t>
  </si>
  <si>
    <t>Avapro/Avalide</t>
  </si>
  <si>
    <t>irbesartan</t>
  </si>
  <si>
    <t>clopidogrel</t>
  </si>
  <si>
    <t>anticoagulant</t>
  </si>
  <si>
    <t>Vancocin</t>
  </si>
  <si>
    <t>vancomycin</t>
  </si>
  <si>
    <t>ViroPharma</t>
  </si>
  <si>
    <t>Clarinex</t>
  </si>
  <si>
    <t>desloratadine</t>
  </si>
  <si>
    <t>allergies</t>
  </si>
  <si>
    <t>Forest Laboratories</t>
  </si>
  <si>
    <t>Cephalom</t>
  </si>
  <si>
    <t>Diovan HCT</t>
  </si>
  <si>
    <t>Doryx -150mg</t>
  </si>
  <si>
    <t>Viramune</t>
  </si>
  <si>
    <t>Prometrium</t>
  </si>
  <si>
    <t>Approvals</t>
  </si>
  <si>
    <t>Date</t>
  </si>
  <si>
    <t>Drug</t>
  </si>
  <si>
    <t>2012 Approvals</t>
  </si>
  <si>
    <t>Limited Source</t>
  </si>
  <si>
    <t>Aricept</t>
  </si>
  <si>
    <t>donepezil</t>
  </si>
  <si>
    <t>Concerta</t>
  </si>
  <si>
    <t>methylphenidate</t>
  </si>
  <si>
    <t>Pfizer-Eisai</t>
  </si>
  <si>
    <t>Advair Diskus</t>
  </si>
  <si>
    <t>salmeterol-fluticason</t>
  </si>
  <si>
    <t>2014E</t>
  </si>
  <si>
    <t>2015E</t>
  </si>
  <si>
    <t>2016E</t>
  </si>
  <si>
    <t>2012 Limited Source Generics</t>
  </si>
  <si>
    <t>2012 Multiple Source Generics</t>
  </si>
  <si>
    <t>2011 Sales</t>
  </si>
  <si>
    <t>Diovan</t>
  </si>
  <si>
    <t>Expected 2013 Launches</t>
  </si>
  <si>
    <t>2013 Limited Source Generics</t>
  </si>
  <si>
    <t>2013 Multiple Source Generics</t>
  </si>
  <si>
    <t>Couldn't classify</t>
  </si>
  <si>
    <t>Number</t>
  </si>
  <si>
    <t>Aciphex</t>
  </si>
  <si>
    <t>Valcyte tablets</t>
  </si>
  <si>
    <t>Expected 2014 Launches</t>
  </si>
  <si>
    <t>2014 Limited Source Generics</t>
  </si>
  <si>
    <t>2014 Multiple Source Generics</t>
  </si>
  <si>
    <t>Actonel OaW</t>
  </si>
  <si>
    <t>Asacol</t>
  </si>
  <si>
    <t>Asacol HD</t>
  </si>
  <si>
    <t>Micardis</t>
  </si>
  <si>
    <t>Rapmune</t>
  </si>
  <si>
    <t>Expected 2015 Launches</t>
  </si>
  <si>
    <t>2015 Limited Source Generics</t>
  </si>
  <si>
    <t>2015 Multiple Source Generics</t>
  </si>
  <si>
    <t>Paragraph IV Challenges</t>
  </si>
  <si>
    <t>Celebrex, 50 mg</t>
  </si>
  <si>
    <t>Micardis HCT</t>
  </si>
  <si>
    <t>Valcyte Oral Solution</t>
  </si>
  <si>
    <t>w/o ACA</t>
  </si>
  <si>
    <t>w/ ACA</t>
  </si>
  <si>
    <t>% gr</t>
  </si>
  <si>
    <t>National Retail Prescription Drug expenditures w/ ACA</t>
  </si>
  <si>
    <t>National Retail Prescription Drug expenditures w/o ACA</t>
  </si>
  <si>
    <t>CAGR</t>
  </si>
  <si>
    <t>2017E</t>
  </si>
  <si>
    <t>Excluded biologics</t>
  </si>
  <si>
    <t>Epzicom</t>
  </si>
  <si>
    <t>2016 Multiple Source Generics</t>
  </si>
  <si>
    <t>2016 Limited Source Generics</t>
  </si>
  <si>
    <t>Expected 2016 Launches</t>
  </si>
  <si>
    <t>Multiple-Source</t>
  </si>
  <si>
    <t>Limited-Source</t>
  </si>
  <si>
    <t>Nominal U.S. GDP Growth</t>
  </si>
  <si>
    <t>Multi-Source</t>
  </si>
  <si>
    <t>Source: Center for Healthcare Supply Chain Research</t>
  </si>
  <si>
    <t>2. Date given for Walgreen's acquistion of 25 Snyder's Drug Stores is the anouncement date.</t>
  </si>
  <si>
    <t>1. Date of Walgreen's acquisition of Omnicare's home infusion business is approximate. Deal was an exchange for Walgreen's long tern care pharmacy.</t>
  </si>
  <si>
    <t>Notes:</t>
  </si>
  <si>
    <t>not disclosed</t>
  </si>
  <si>
    <t>Katz Group (25 Snyder's Drug Stores in Minnesota)</t>
  </si>
  <si>
    <t>Walgreen Co.</t>
  </si>
  <si>
    <t>Allion Healthcare Inc.</t>
  </si>
  <si>
    <t>HIG Capital, LLC</t>
  </si>
  <si>
    <t>Salu, Inc.</t>
  </si>
  <si>
    <t>Drugstore.com</t>
  </si>
  <si>
    <t>SpecialtyScripts, LLC (certain assets)</t>
  </si>
  <si>
    <t>Critical Homecare Solutions Holdings, Inc.</t>
  </si>
  <si>
    <t>BioScrip, Inc.</t>
  </si>
  <si>
    <t>exchange</t>
  </si>
  <si>
    <t>El Amal pharmacies (3 stores plus files from 11 stores)</t>
  </si>
  <si>
    <t>USA Drug (pharmacy business and assets)</t>
  </si>
  <si>
    <t>Eaton Apothecary (12 stores)</t>
  </si>
  <si>
    <t>Duane Reade Holdings, Inc.</t>
  </si>
  <si>
    <t>3Q10</t>
  </si>
  <si>
    <t>Graymark Healthcare Inc. (18 ApothecaryRx pharmacies)</t>
  </si>
  <si>
    <t>Continuing Care Rx (CCRx) Holdings, Inc.</t>
  </si>
  <si>
    <t>Omnicare, Inc.</t>
  </si>
  <si>
    <t>Omnicare, Inc. (home infusion business)</t>
  </si>
  <si>
    <t>Walgreen Co. (long term pharmacy business)</t>
  </si>
  <si>
    <t>ChemRx Corp.</t>
  </si>
  <si>
    <t>PharMerica Corp.</t>
  </si>
  <si>
    <t>Lang's Pharmacy</t>
  </si>
  <si>
    <t>Essco Discount Center</t>
  </si>
  <si>
    <t>CVS</t>
  </si>
  <si>
    <t>Jim Myers Drug</t>
  </si>
  <si>
    <t xml:space="preserve">Stephen L. LaFrance Pharmacy </t>
  </si>
  <si>
    <t>Medicine Chest Pharmacies (19 locations)</t>
  </si>
  <si>
    <t>Deal Value ($mil)</t>
  </si>
  <si>
    <t>Effective Date</t>
  </si>
  <si>
    <t>Target Company</t>
  </si>
  <si>
    <t>Pharmacies - Mergers and Acquisitions</t>
  </si>
  <si>
    <t xml:space="preserve">         is from the NACDS Economic Department.</t>
  </si>
  <si>
    <t xml:space="preserve">Note: Includes prescription and pharmacy-dispensed diagnostic products; hospital data are the number of departments; mass merchandiser estimate </t>
  </si>
  <si>
    <r>
      <t>1</t>
    </r>
    <r>
      <rPr>
        <sz val="10"/>
        <rFont val="Times New Roman"/>
        <family val="1"/>
      </rPr>
      <t>Mail is not projected.</t>
    </r>
  </si>
  <si>
    <t>Nursing homes/home health</t>
  </si>
  <si>
    <t>Clinics</t>
  </si>
  <si>
    <r>
      <t>Mail service</t>
    </r>
    <r>
      <rPr>
        <vertAlign val="superscript"/>
        <sz val="10"/>
        <rFont val="Times New Roman"/>
        <family val="1"/>
      </rPr>
      <t>1</t>
    </r>
  </si>
  <si>
    <t>Food stores with pharmacy</t>
  </si>
  <si>
    <t>Independent pharmacy</t>
  </si>
  <si>
    <t>Chain and mass merchandiser with pharmacy</t>
  </si>
  <si>
    <t>Bad (MM's)</t>
  </si>
  <si>
    <t>Good (MM's)</t>
  </si>
  <si>
    <t>$ Market Share Gain/Loss (MM's)</t>
  </si>
  <si>
    <t>% Market Share Gain/Loss</t>
  </si>
  <si>
    <t>2009 Market Share</t>
  </si>
  <si>
    <t>2010 Market Share</t>
  </si>
  <si>
    <t>Dispensaries</t>
  </si>
  <si>
    <t>Source: IMS National Sales Perspectives™</t>
  </si>
  <si>
    <t xml:space="preserve">   Total</t>
  </si>
  <si>
    <t>Miscellaneous</t>
  </si>
  <si>
    <t>Healthcare plans</t>
  </si>
  <si>
    <r>
      <t>Mail service</t>
    </r>
    <r>
      <rPr>
        <vertAlign val="superscript"/>
        <sz val="10"/>
        <rFont val="Arial"/>
        <family val="2"/>
      </rPr>
      <t>1</t>
    </r>
  </si>
  <si>
    <t xml:space="preserve">Sales Growth </t>
  </si>
  <si>
    <t xml:space="preserve">Change in Number of Outlets </t>
  </si>
  <si>
    <t>Dollars ($mil)</t>
  </si>
  <si>
    <t>Outlets</t>
  </si>
  <si>
    <t>Dollars (MM)</t>
  </si>
  <si>
    <t>109  - Pharmaceutical Sales by Customer Categories: 2009-2010</t>
  </si>
  <si>
    <t>Base performance period</t>
  </si>
  <si>
    <t xml:space="preserve">Previous </t>
  </si>
  <si>
    <t>New</t>
  </si>
  <si>
    <t>Fast Pay Accounts</t>
  </si>
  <si>
    <t>Net 15 Accounts</t>
  </si>
  <si>
    <t>1Q:13A</t>
  </si>
  <si>
    <t>4Q:12A</t>
  </si>
  <si>
    <t>2Q:13A</t>
  </si>
  <si>
    <t>This sheet contains FactSet XML data for use with this workbook's =FDS codes.  Modifying the worksheet's contents may damage the workbook's =FDS functionality.</t>
  </si>
  <si>
    <t>Revenue</t>
  </si>
  <si>
    <t>LTM Total Revenue</t>
  </si>
  <si>
    <t>Segment</t>
  </si>
  <si>
    <t>% of total</t>
  </si>
  <si>
    <t>Specialty Group</t>
  </si>
  <si>
    <t>Pharmaceutical</t>
  </si>
  <si>
    <t>Medical</t>
  </si>
  <si>
    <t>Distribution Solutions</t>
  </si>
  <si>
    <t>Technology Solutions</t>
  </si>
  <si>
    <t>LTM Non-GAAP EBIT</t>
  </si>
  <si>
    <t>Drug Corporation</t>
  </si>
  <si>
    <t>Drug Co. &amp; Specialty Group</t>
  </si>
  <si>
    <t>Operating Income ex Corp. Expense</t>
  </si>
  <si>
    <t>Other Services</t>
  </si>
  <si>
    <t>2011 Total Rx Sales                 (billions)</t>
  </si>
  <si>
    <t>Kerr Drug</t>
  </si>
  <si>
    <t>STERNE, AGEE &amp; LEACH, INC.</t>
  </si>
  <si>
    <t>Consensus</t>
  </si>
  <si>
    <t>Guidance</t>
  </si>
  <si>
    <t>Revenues</t>
  </si>
  <si>
    <t>FY 2014</t>
  </si>
  <si>
    <t>significantly lower y/y</t>
  </si>
  <si>
    <t>$3.45-3.60</t>
  </si>
  <si>
    <t>F1Q 2014</t>
  </si>
  <si>
    <t>F2Q 2014</t>
  </si>
  <si>
    <t>$31.9bn, up 7%</t>
  </si>
  <si>
    <t>$130.24bn, up 6.4%</t>
  </si>
  <si>
    <t>$8.05 to $8.35</t>
  </si>
  <si>
    <t>revenue growth rebound significantly</t>
  </si>
  <si>
    <t>original</t>
  </si>
  <si>
    <t>Nominal U.S. GDP Growth (CE)</t>
  </si>
  <si>
    <t>$22.74B, down 12%</t>
  </si>
  <si>
    <t>$22.5B, down 13%</t>
  </si>
  <si>
    <t>$82.1B, down 18.8%</t>
  </si>
  <si>
    <t>$83B, down 18%</t>
  </si>
  <si>
    <t>$32.18B, up 7.8%</t>
  </si>
  <si>
    <t>$130.8bn, up 6.8%</t>
  </si>
  <si>
    <t>Source: FactSet, Sterne Agee estimates, company filings</t>
  </si>
  <si>
    <t>FY 2015</t>
  </si>
  <si>
    <t>$3.60-3.73</t>
  </si>
  <si>
    <t>$121.2bn</t>
  </si>
  <si>
    <t>$115.5bn</t>
  </si>
  <si>
    <t>up 30-34%</t>
  </si>
  <si>
    <t>$116.5bn</t>
  </si>
  <si>
    <t>$121.3bn</t>
  </si>
  <si>
    <t>So just thinking about Copaxone going generic (glatiramer) around mid-year, no one distributor will have  better terms from manufacturer right? Or is it all about scale in terms of how much a distributor purchases from the authorized manufacturer and first to file manufacturer, which in turn dictates rebates and such?</t>
  </si>
  <si>
    <t xml:space="preserve"> </t>
  </si>
  <si>
    <t>Forgive the pun, but this is more a "generic" question with Copaxone as an example.</t>
  </si>
  <si>
    <t>Hi Greg, regardless of the drug or timing, the most important thing to remember is that our acquisition cost has nothing to do with how we price in the market.  In fact, there are two completely separate teams and we don't allow one to see data from the other.  So I will answer from a pure sourcing perspective as that seems to be the heart of your question. </t>
  </si>
  <si>
    <t>Each distributor would negotiate their own terms for sourcing a particular product.  It would be based on the agreement with the generic manufacturer and the size and scale that the distributor can bring to the discussion.  Recall that generic manufacturers are essentially paying for "shelf space", and so that is the value that we bring to the discussion.  With our CVS Caremark sourcing JV, we will be the largest sourcer of generics in the US.  </t>
  </si>
  <si>
    <t>Bottom line, acquisition prices (sourcing) varies among distributors.   </t>
  </si>
  <si>
    <t>I hope that helps?</t>
  </si>
  <si>
    <t>http://lab.express-scripts.com/drug-trend-report/trend-forecast/forecast-traditional-therapy-classes</t>
  </si>
  <si>
    <t>http://lab.express-scripts.com/drug-trend-report/therapy-class-review/cost-and-utilization-for-top-10-specialty-therapy-classes</t>
  </si>
  <si>
    <t>TOP 10 spec pharma utilization</t>
  </si>
  <si>
    <t xml:space="preserve">*2011, 2012, 2013 are actuals </t>
  </si>
  <si>
    <t>2011A</t>
  </si>
  <si>
    <t>2012A</t>
  </si>
  <si>
    <t>2013A</t>
  </si>
  <si>
    <t>Catamaran Corporation</t>
  </si>
  <si>
    <t>15.5x</t>
  </si>
  <si>
    <t>0.6x</t>
  </si>
  <si>
    <t>Salveo Specialty Pharmacy</t>
  </si>
  <si>
    <t>Catamaran Corp.</t>
  </si>
  <si>
    <t>http://www.unitedhealthgroup.com/newsroom/articles/feed/optum/2015/0330optumrxcatamaran.aspx</t>
  </si>
  <si>
    <t>Burman's Apothecary LLC</t>
  </si>
  <si>
    <t>Diplomat Pharmacy, Inc.</t>
  </si>
  <si>
    <t>UnitedHealth Group, Inc.</t>
  </si>
  <si>
    <t>4.0x</t>
  </si>
  <si>
    <t>0.2x</t>
  </si>
  <si>
    <t>BrioRx LLC</t>
  </si>
  <si>
    <t>1.7x</t>
  </si>
  <si>
    <t>MedPro Rx, Inc.</t>
  </si>
  <si>
    <t xml:space="preserve">Omnicare, Inc. </t>
  </si>
  <si>
    <t>CVS Health Corp.</t>
  </si>
  <si>
    <t>15.0x</t>
  </si>
  <si>
    <t>Coram LLC</t>
  </si>
  <si>
    <t xml:space="preserve">Medco Health Solutions, Inc. </t>
  </si>
  <si>
    <t>10.9x</t>
  </si>
  <si>
    <t>0.5x</t>
  </si>
  <si>
    <t>Metro Medical Supply, Inc.</t>
  </si>
  <si>
    <t>Cardinal Health, Inc.</t>
  </si>
  <si>
    <t>http://www.bizjournals.com/columbus/news/2015/04/28/cardinal-health-acquires-nashville-specialty.html</t>
  </si>
  <si>
    <t>http://www.prnewswire.com/news-releases/catamaran-completes-acquisition-of-salveo-specialty-pharmacy-287488911.html</t>
  </si>
  <si>
    <t>http://www.prnewswire.com/news-releases/diplomat-expands-hepatitis-c-specialty-services-with-acquisition-of-burmans-specialty-pharmacy-300102142.html</t>
  </si>
  <si>
    <t>http://www.biorx.com/company/news/BioRx-Agrees-to-Acquisition-by-Diplomat-Pharmacy-Inc.aspx</t>
  </si>
  <si>
    <t>http://www.medprorx.com/medpro-rx-acquired-diplomat-pharmacy/</t>
  </si>
  <si>
    <t>http://www.prnewswire.com/news-releases/cvs-caremark-completes-acquisition-of-coram-infusion-business-from-apria-healthcare-240771181.html</t>
  </si>
  <si>
    <t>http://phx.corporate-ir.net/phoenix.zhtml?c=69641&amp;p=irol-newsArticle&amp;ID=1679001</t>
  </si>
  <si>
    <t>http://www.cvshealth.com/content/cvs-health-and-omnicare-sign-definitive-agreement-cvs-health-acquire-omnicare</t>
  </si>
  <si>
    <t>updated 2/24/16 with Dec-14 data</t>
  </si>
  <si>
    <t>National Retail Prescription Drug expenditures</t>
  </si>
  <si>
    <t xml:space="preserve">National Health Expenditures </t>
  </si>
  <si>
    <t>2019E</t>
  </si>
  <si>
    <t>2020E</t>
  </si>
  <si>
    <t>Big_Three_Distys - Price</t>
  </si>
  <si>
    <t>SPDR S&amp;P 500 ETF Trust - Price</t>
  </si>
  <si>
    <t>Big_Three_Distys - Price change</t>
  </si>
  <si>
    <t>SPDR S&amp;P 500 ETF Trust - Price change</t>
  </si>
  <si>
    <t>Detrol LA</t>
  </si>
  <si>
    <t>Jan-14    tolterodine                                   overactive bladder</t>
  </si>
  <si>
    <t>Jan-14    Sirolimus                                      organ transplant</t>
  </si>
  <si>
    <t>Jan-14    Telmisartan                                 blood pressure</t>
  </si>
  <si>
    <t>Jan-14    Hydrochlorothiazide                  high blood pressure</t>
  </si>
  <si>
    <t>Abbvie</t>
  </si>
  <si>
    <t>Jan-14    Choline Fenofibrate                   cholestrol control</t>
  </si>
  <si>
    <t>Actavis</t>
  </si>
  <si>
    <t>Loestrin 24 FE</t>
  </si>
  <si>
    <t>Jan-14    ethinyl estradiol                          hormonal contraceptive</t>
  </si>
  <si>
    <t>Genzyme Corp</t>
  </si>
  <si>
    <t>Hectorol</t>
  </si>
  <si>
    <t>Feb-14    doxercalciferol                            kidney disorder</t>
  </si>
  <si>
    <t>Mar-14    raloxifene                                     osteoporosis</t>
  </si>
  <si>
    <t>Bayer Schering Pharma</t>
  </si>
  <si>
    <t>Mar-14    moxifloxacin                                antibiotic</t>
  </si>
  <si>
    <t>Mar-14    sevelamer                                    kidney dialysis</t>
  </si>
  <si>
    <t>GSK Phama</t>
  </si>
  <si>
    <t>Apr-14    ocosahexanoic acid                  dyslipidemia</t>
  </si>
  <si>
    <t>Apr-14    eszopiclone                                 prescription sleep aid</t>
  </si>
  <si>
    <t>Ortho Pharma</t>
  </si>
  <si>
    <t>Apr-14    ethinyl estradiol                          hormonal contraceptive</t>
  </si>
  <si>
    <t>Jun-14    risedronate                                  Bone calcium regulator</t>
  </si>
  <si>
    <t>Jul-14    valsartan                                      angio tension</t>
  </si>
  <si>
    <t>Mallinckrodt</t>
  </si>
  <si>
    <t>Exalgo</t>
  </si>
  <si>
    <t>Jul-14    hydromorphone                          narcotic analgesic</t>
  </si>
  <si>
    <t>Aug-14    bimatoprost                                 glaucoma/ocular hypertension</t>
  </si>
  <si>
    <t>Schering</t>
  </si>
  <si>
    <t>Sep-14    mometasone                               allergies</t>
  </si>
  <si>
    <t>Gentech</t>
  </si>
  <si>
    <t>Sep-14    valganciclovir                               anti viral</t>
  </si>
  <si>
    <t>Genzyme</t>
  </si>
  <si>
    <t>Sep-14    sevelamer                                    kidney dialysis</t>
  </si>
  <si>
    <t>Purdue Pharma</t>
  </si>
  <si>
    <t>Oxycontin</t>
  </si>
  <si>
    <t>Oct-14    oxycodone                                  relieve cancer pain</t>
  </si>
  <si>
    <t>Oct-14    valsartan &amp; amlodipine             hypertension</t>
  </si>
  <si>
    <t>Exforge HCT</t>
  </si>
  <si>
    <t>Oct-14    hydrochlorothiazide                   hypertension</t>
  </si>
  <si>
    <t>Invega</t>
  </si>
  <si>
    <t>Oct-14    paliperidone                                 schizophrenia</t>
  </si>
  <si>
    <t>Dec-14    celecoxib                                     arthritis</t>
  </si>
  <si>
    <t>Shire Inc</t>
  </si>
  <si>
    <t>Dec-14    guanfacine                                   ADHD</t>
  </si>
  <si>
    <t>Dec-14    Esomeprazole                            heartburn/GERD/ulcers</t>
  </si>
  <si>
    <t>Travatan</t>
  </si>
  <si>
    <t>Dec-14    travoprost                                     high blood pressure</t>
  </si>
  <si>
    <t>Bristol-Myers</t>
  </si>
  <si>
    <t>Apr-14    Aripiprazole                                 schizophrenia</t>
  </si>
  <si>
    <t>Dec-14    olopatadine                                  anti allergy</t>
  </si>
  <si>
    <t>Daiichi Sankyo</t>
  </si>
  <si>
    <t>Welchol</t>
  </si>
  <si>
    <t>Jan-15    colesevelam hydrochloride      Dyslipidemia</t>
  </si>
  <si>
    <t>Abbott Laboratories</t>
  </si>
  <si>
    <t>Jan-15    ritonavir                                        HIV</t>
  </si>
  <si>
    <t>Baraclude</t>
  </si>
  <si>
    <t>Jan-15    Entecavir                                      hepatitis</t>
  </si>
  <si>
    <t>Mar-15    Efavirenz                                      HIV</t>
  </si>
  <si>
    <t>Emend</t>
  </si>
  <si>
    <t>Apr-15    fosaprepitant                               nausea</t>
  </si>
  <si>
    <t>Apr-15    Memantine                                  alzheimers</t>
  </si>
  <si>
    <t>Advair HFA</t>
  </si>
  <si>
    <t>Apr-15    fluticasone                                   stimulant</t>
  </si>
  <si>
    <t>May-15    Linezolid                                      fungal infections</t>
  </si>
  <si>
    <t>Schering Plough</t>
  </si>
  <si>
    <t>Integrilin</t>
  </si>
  <si>
    <t>Jun-15    Eptifibatide                                  blood clots</t>
  </si>
  <si>
    <t>Jun-15    albuterol sulfate &amp; ipratropiumchronic obstructuve pulmonary disease</t>
  </si>
  <si>
    <t>Jul-15    acetylsalicyclic acid                 stroke prophylaxis</t>
  </si>
  <si>
    <t>Androgel</t>
  </si>
  <si>
    <t>Aug-15    testosteron                                  sex harmones</t>
  </si>
  <si>
    <t>Teva Pharmaceutical</t>
  </si>
  <si>
    <t>Sep-15    Glatiramer                                   neurological disorder</t>
  </si>
  <si>
    <t>Nov-15    dutasteride                                  Prostate therapy</t>
  </si>
  <si>
    <t>Dec-15    olopatadine                                  anti allergy</t>
  </si>
  <si>
    <t>Ortho Pharm</t>
  </si>
  <si>
    <t>Ortho-Tri-CY-28</t>
  </si>
  <si>
    <t>Dec-15    ethinylestradiol                           harmonal contraceptive</t>
  </si>
  <si>
    <t>Symbicort</t>
  </si>
  <si>
    <t>Jan-16    budesonide + formoterol          Asthma</t>
  </si>
  <si>
    <t>Feb-16    imatinib                                        Cancer</t>
  </si>
  <si>
    <t>Mar-16    darifenacin                                   urinary incontinence</t>
  </si>
  <si>
    <t>Mar-16    abacavir + lamivudine               HIV</t>
  </si>
  <si>
    <t>Apr-16    carvedilol                                      adrenergic blocker</t>
  </si>
  <si>
    <t>Lantus</t>
  </si>
  <si>
    <t>Jun-16    insulin glargine                           Diabetes</t>
  </si>
  <si>
    <t>Teva</t>
  </si>
  <si>
    <t>Jun-16    armodafinil                                   psychstimulant</t>
  </si>
  <si>
    <t>Jun-16    lopinavir/ritonavir                         HIV</t>
  </si>
  <si>
    <t>Jul-16    mesalamine                                Crohn's disease</t>
  </si>
  <si>
    <t>AstraZeneca Pharma</t>
  </si>
  <si>
    <t>Jul-16    rosuvastatin calcium                 cholesterol</t>
  </si>
  <si>
    <t>Multaq</t>
  </si>
  <si>
    <t>Jul-16    dronnedarone                              antiarrhythmics</t>
  </si>
  <si>
    <t>Aug-16    fluticasone/salmeterol               asthma</t>
  </si>
  <si>
    <t>Oct-16    amlodipine                                   hypertension</t>
  </si>
  <si>
    <t>Benicar and Benicar HCT</t>
  </si>
  <si>
    <t>Oct-16    olmesartan medoxomil             hypertension</t>
  </si>
  <si>
    <t>Nov-16    quetiapine fumarate                   schizophrenia</t>
  </si>
  <si>
    <t>Dec-16    Ezetimibe                                    cholesterol</t>
  </si>
  <si>
    <t>Proair HFA</t>
  </si>
  <si>
    <t>Dec-16    albuterol                                       asthma</t>
  </si>
  <si>
    <t>Azilect</t>
  </si>
  <si>
    <t>Feb-17    rasagiline                                     movement disorder</t>
  </si>
  <si>
    <t>Axiron</t>
  </si>
  <si>
    <t>Feb-17    testosterone                                sex harmones</t>
  </si>
  <si>
    <t>Myfortic</t>
  </si>
  <si>
    <t>Apr-17    mycophenolic acid                    transplant agent</t>
  </si>
  <si>
    <t>Vytorin</t>
  </si>
  <si>
    <t>Apr-17    ezetimibe/simvastatin               cholesterol</t>
  </si>
  <si>
    <t>Fanapt</t>
  </si>
  <si>
    <t>May-17    iloperidone                                   antipsyohotics</t>
  </si>
  <si>
    <t>Effient</t>
  </si>
  <si>
    <t>May-17    prasugrel                                      anticoagulant</t>
  </si>
  <si>
    <t>Strattera</t>
  </si>
  <si>
    <t>May-17    atomoxetine                                heart clot and strokes</t>
  </si>
  <si>
    <t>Reyataz</t>
  </si>
  <si>
    <t>Jun-17    atazanavir sulphate                   HIV</t>
  </si>
  <si>
    <t>Tamiflu</t>
  </si>
  <si>
    <t>Jun-17    oseltamivir                                   Influenza</t>
  </si>
  <si>
    <t>Viagra</t>
  </si>
  <si>
    <t>Dec-17    sildenafil                                       erectile dysfunction</t>
  </si>
  <si>
    <t>Gilead Sciences</t>
  </si>
  <si>
    <t>Truvada</t>
  </si>
  <si>
    <t>Dec-17    emtricitabine                               HIV</t>
  </si>
  <si>
    <t>Viread</t>
  </si>
  <si>
    <t>Dec-17    tenofovir                                        HIV</t>
  </si>
  <si>
    <t>BMS Gilead</t>
  </si>
  <si>
    <t>Atripla</t>
  </si>
  <si>
    <t>Jan-18    efavirenz                                       HIV</t>
  </si>
  <si>
    <t>Qvar</t>
  </si>
  <si>
    <t>Jan-18    beclomethasone                        steroid</t>
  </si>
  <si>
    <t>Pulmicort</t>
  </si>
  <si>
    <t>Jan-18    budesonide                                  respiratory disease</t>
  </si>
  <si>
    <t>VIIV Healthcare</t>
  </si>
  <si>
    <t>Lexiva</t>
  </si>
  <si>
    <t>Jan-18    fosamprenavir                             HIV</t>
  </si>
  <si>
    <t>Medicis Derm</t>
  </si>
  <si>
    <t>Feb-18    minocycline                                 antiinfectant</t>
  </si>
  <si>
    <t>Sensipar</t>
  </si>
  <si>
    <t>Mar-18    cinacalcet                                    dialysis</t>
  </si>
  <si>
    <t>NuvaRing</t>
  </si>
  <si>
    <t>Apr-18    etonogestrel                                contraception</t>
  </si>
  <si>
    <t>Salix Pharma</t>
  </si>
  <si>
    <t>Apriso</t>
  </si>
  <si>
    <t>Jun-18    mesalamine                                anti inflamatory</t>
  </si>
  <si>
    <t>Valeant Pharma</t>
  </si>
  <si>
    <t>Acanya</t>
  </si>
  <si>
    <t>Jul-18    benzoyl peroxide                       Acne therapy</t>
  </si>
  <si>
    <t>Sunovion</t>
  </si>
  <si>
    <t>Latuda</t>
  </si>
  <si>
    <t>Jul-18    lurasidone                                    antipsychotics</t>
  </si>
  <si>
    <t>Asmanex</t>
  </si>
  <si>
    <t>Sep-18    mometasone inhalation            allergies</t>
  </si>
  <si>
    <t>Astellas Pharma</t>
  </si>
  <si>
    <t>Vesicare</t>
  </si>
  <si>
    <t>Oct-18    solifenacin                                   urinary incontinence</t>
  </si>
  <si>
    <t>Levitra</t>
  </si>
  <si>
    <t>Oct-18    vardenafil                                      erectile dysfunction</t>
  </si>
  <si>
    <t>Lyrica</t>
  </si>
  <si>
    <t>Dec-18    Pregabalin                                   treat pain due to nerve damage - diabet</t>
  </si>
  <si>
    <t>Exelon</t>
  </si>
  <si>
    <t>Jan-19    rivastigmine</t>
  </si>
  <si>
    <t>Alzheimer</t>
  </si>
  <si>
    <t>Folvent HFA</t>
  </si>
  <si>
    <t>Feb-19    fluticasone</t>
  </si>
  <si>
    <t>steroid</t>
  </si>
  <si>
    <t>Takeda</t>
  </si>
  <si>
    <t>Uloric</t>
  </si>
  <si>
    <t>Mar-19    febuxostat</t>
  </si>
  <si>
    <t>anti gout preparation</t>
  </si>
  <si>
    <t>Shire Pharmaceuticals</t>
  </si>
  <si>
    <t>Fosrenol</t>
  </si>
  <si>
    <t>Apr-19    lanthanum</t>
  </si>
  <si>
    <t>specific antagonist</t>
  </si>
  <si>
    <t>Flector</t>
  </si>
  <si>
    <t>Apr-19    diclofenac</t>
  </si>
  <si>
    <t>Antirheumatics</t>
  </si>
  <si>
    <t>Toviaz</t>
  </si>
  <si>
    <t>May-19    fesoterodine</t>
  </si>
  <si>
    <t>Overactive bladder treatment</t>
  </si>
  <si>
    <t>Ranexa</t>
  </si>
  <si>
    <t>May-19    ranolazine</t>
  </si>
  <si>
    <t>Angina</t>
  </si>
  <si>
    <t>Lexiscan</t>
  </si>
  <si>
    <t>Jun-19    regadenoson</t>
  </si>
  <si>
    <t>Stress testing</t>
  </si>
  <si>
    <t>Ortho Biotech</t>
  </si>
  <si>
    <t>Intelence</t>
  </si>
  <si>
    <t>Nov-19    etravirine</t>
  </si>
  <si>
    <t>HIV</t>
  </si>
  <si>
    <t>Prevacid Solutab</t>
  </si>
  <si>
    <t>Nov-19    lansoprazole</t>
  </si>
  <si>
    <t>acid pump inhibitor</t>
  </si>
  <si>
    <t>Relpax</t>
  </si>
  <si>
    <t>Dec-19    eletriptan</t>
  </si>
  <si>
    <t>anti migraine</t>
  </si>
  <si>
    <t>Epogen</t>
  </si>
  <si>
    <t>Jan-20    erthropoietin alpha</t>
  </si>
  <si>
    <t>Vigamox</t>
  </si>
  <si>
    <t>Mar-20    moxifloxacin</t>
  </si>
  <si>
    <t>bacterial infections</t>
  </si>
  <si>
    <t>Bayer healthcare</t>
  </si>
  <si>
    <t>Beyaz</t>
  </si>
  <si>
    <t>Apr-20    drospirenone</t>
  </si>
  <si>
    <t>Chantix</t>
  </si>
  <si>
    <t>May-20    varenicline</t>
  </si>
  <si>
    <t>Smoking cessation</t>
  </si>
  <si>
    <t>Risperdal Consta</t>
  </si>
  <si>
    <t>May-20    Risperidone</t>
  </si>
  <si>
    <t>Lialda</t>
  </si>
  <si>
    <t>Jun-20    mesalamine</t>
  </si>
  <si>
    <t>Amylin Pharma</t>
  </si>
  <si>
    <t>Byetta</t>
  </si>
  <si>
    <t>Jul-20    exenatide</t>
  </si>
  <si>
    <t>Diabetes</t>
  </si>
  <si>
    <t>Bydureon</t>
  </si>
  <si>
    <t>Aug-20    exenatide</t>
  </si>
  <si>
    <t>Ciprodex</t>
  </si>
  <si>
    <t>Aug-20    ciprofloxain</t>
  </si>
  <si>
    <t>ear infection</t>
  </si>
  <si>
    <t>Amitiza</t>
  </si>
  <si>
    <t>Sep-20    lubiprostone</t>
  </si>
  <si>
    <t>chronic constipation</t>
  </si>
  <si>
    <t>Cialis</t>
  </si>
  <si>
    <t>Nov-20    tadalafil</t>
  </si>
  <si>
    <t>erectile dysfunction</t>
  </si>
  <si>
    <t>Kowa Pharma</t>
  </si>
  <si>
    <t>Livalo</t>
  </si>
  <si>
    <t>Dec-20    pitavastatin</t>
  </si>
  <si>
    <t>reduce cholestrol</t>
  </si>
  <si>
    <t>Patent Losses</t>
  </si>
  <si>
    <t>FY13</t>
  </si>
  <si>
    <t>FY14</t>
  </si>
  <si>
    <t>FY15</t>
  </si>
  <si>
    <t>FY16E</t>
  </si>
  <si>
    <t>FY17E</t>
  </si>
  <si>
    <t>MCK JPM 2015 presentation</t>
  </si>
  <si>
    <t>http://www.drugchannels.net/2014/08/retail-generic-drug-inflation-reaches.html</t>
  </si>
  <si>
    <t>Adam Fein - Aug 2014</t>
  </si>
  <si>
    <t>http://www.drugchannels.net/2015/08/the-retail-generic-drug-inflation.html</t>
  </si>
  <si>
    <t>Adam - Aug 2015</t>
  </si>
  <si>
    <t xml:space="preserve">I. </t>
  </si>
  <si>
    <t>Portfolio Manager Work-up</t>
  </si>
  <si>
    <t xml:space="preserve">II. </t>
  </si>
  <si>
    <t>Price Performance of Drug Distributors</t>
  </si>
  <si>
    <t xml:space="preserve">III. </t>
  </si>
  <si>
    <t>Valuation Framework</t>
  </si>
  <si>
    <t xml:space="preserve">IV. </t>
  </si>
  <si>
    <t>Investment Positives</t>
  </si>
  <si>
    <t>Investment Negatives</t>
  </si>
  <si>
    <t xml:space="preserve">V. </t>
  </si>
  <si>
    <t xml:space="preserve">VI. </t>
  </si>
  <si>
    <t>Pharmaceutical Distribution Industry Primer</t>
  </si>
  <si>
    <t xml:space="preserve">VII. </t>
  </si>
  <si>
    <t>Traditional Channel - The Role of Wholesalers and Buying Behavior by End-Markets</t>
  </si>
  <si>
    <t xml:space="preserve">VIII. </t>
  </si>
  <si>
    <t xml:space="preserve">Specialty Channel: </t>
  </si>
  <si>
    <t>Role of Wholesalers, Specialty Distributors, and Specialty Pharmacies</t>
  </si>
  <si>
    <t xml:space="preserve">IX. </t>
  </si>
  <si>
    <t>Revenue and Margin Dynamics of Drug Distributors</t>
  </si>
  <si>
    <t>https://www.ipcrx.com/membership-options</t>
  </si>
  <si>
    <t>Independent Pharmacy Cooperative (IPC)</t>
  </si>
  <si>
    <t>http://www.drugchannels.net/2016/01/the-top-15-pharmacies-of-2015.html</t>
  </si>
  <si>
    <t>http://www.drugchannels.net/2016/03/the-top-10-specialty-pharmacies-of-2015.html</t>
  </si>
  <si>
    <t>2010 Rank</t>
  </si>
  <si>
    <t>CVS Health Corporation</t>
  </si>
  <si>
    <r>
      <t>&gt;Retail Pharmacy</t>
    </r>
    <r>
      <rPr>
        <sz val="8"/>
        <color theme="1"/>
        <rFont val="Arial"/>
        <family val="2"/>
      </rPr>
      <t>1</t>
    </r>
  </si>
  <si>
    <r>
      <t xml:space="preserve">    &gt;Pharmacy Services</t>
    </r>
    <r>
      <rPr>
        <sz val="8"/>
        <color theme="1"/>
        <rFont val="Arial"/>
        <family val="2"/>
      </rPr>
      <t>2</t>
    </r>
  </si>
  <si>
    <r>
      <t>Walmart</t>
    </r>
    <r>
      <rPr>
        <sz val="8"/>
        <color theme="1"/>
        <rFont val="Arial"/>
        <family val="2"/>
      </rPr>
      <t>3</t>
    </r>
  </si>
  <si>
    <t xml:space="preserve">Walgreens Boots Alliance </t>
  </si>
  <si>
    <t xml:space="preserve">                       &gt;Retail Pharmacy USA</t>
  </si>
  <si>
    <t xml:space="preserve">                       &gt;Rite Aid Corporation</t>
  </si>
  <si>
    <t>http://www.drugchannels.net/2015/10/the-walgreens-rite-aid-deal-ten-things.html</t>
  </si>
  <si>
    <t>http://www.drugchannels.net/2015/09/new-cardinal-and-mckesson-customer.html</t>
  </si>
  <si>
    <t>Safeway, Inc and Albertsons</t>
  </si>
  <si>
    <t xml:space="preserve"> &gt;Target pharmacies</t>
  </si>
  <si>
    <t>Pharma</t>
  </si>
  <si>
    <t>SD</t>
  </si>
  <si>
    <t>DS</t>
  </si>
  <si>
    <t>Int DS</t>
  </si>
  <si>
    <t>Pharma DS</t>
  </si>
  <si>
    <t>total</t>
  </si>
  <si>
    <t>3Q:13A</t>
  </si>
  <si>
    <t>4Q:13A</t>
  </si>
  <si>
    <t>1Q:14A</t>
  </si>
  <si>
    <t>2Q:14A</t>
  </si>
  <si>
    <t>3Q:14A</t>
  </si>
  <si>
    <t>4Q:14A</t>
  </si>
  <si>
    <t>1Q:15A</t>
  </si>
  <si>
    <t>2Q:15A</t>
  </si>
  <si>
    <t>3Q:15A</t>
  </si>
  <si>
    <t>4Q:15A</t>
  </si>
  <si>
    <t>1Q:12A</t>
  </si>
  <si>
    <t>2Q:12A</t>
  </si>
  <si>
    <t>Institutional pharmacy</t>
  </si>
  <si>
    <t xml:space="preserve">                    &gt;Omnicare LT care and specialty</t>
  </si>
  <si>
    <t>McKesson (until ~03/2017)</t>
  </si>
  <si>
    <t>I.</t>
  </si>
  <si>
    <t>II.</t>
  </si>
  <si>
    <t>9/31/2015</t>
  </si>
  <si>
    <t>6/31/2015</t>
  </si>
  <si>
    <t>Profitability vs. Peer Group</t>
  </si>
  <si>
    <t>Company Description</t>
  </si>
  <si>
    <t>Segment Discussion</t>
  </si>
  <si>
    <t>Thoughts on Most Recent Quarter and Our FY16-FY17 Projections</t>
  </si>
  <si>
    <t>Biologics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</si>
</sst>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2">
    <numFmt numFmtId="6" formatCode="&quot;$&quot;#,##0_);[Red]\(&quot;$&quot;#,##0\)"/>
    <numFmt numFmtId="7" formatCode="&quot;$&quot;#,##0.00_);\(&quot;$&quot;#,##0.00\)"/>
    <numFmt numFmtId="44" formatCode="_(&quot;$&quot;* #,##0.00_);_(&quot;$&quot;* \(#,##0.00\);_(&quot;$&quot;* &quot;-&quot;??_);_(@_)"/>
    <numFmt numFmtId="43" formatCode="_(* #,##0.00_);_(* \(#,##0.00\);_(* &quot;-&quot;??_);_(@_)"/>
    <numFmt numFmtId="164" formatCode="0.0%"/>
    <numFmt numFmtId="165" formatCode="&quot;$&quot;#,##0.0_);[Red]\(&quot;$&quot;#,##0.0\)"/>
    <numFmt numFmtId="166" formatCode="_(&quot;$&quot;* #,##0.0_);_(&quot;$&quot;* \(#,##0.0\);_(&quot;$&quot;* &quot;-&quot;??_);_(@_)"/>
    <numFmt numFmtId="167" formatCode="0.0\x"/>
    <numFmt numFmtId="168" formatCode="_(&quot;$&quot;* #,##0_);_(&quot;$&quot;* \(#,##0\);_(&quot;$&quot;* &quot;-&quot;??_);_(@_)"/>
    <numFmt numFmtId="169" formatCode="_(* #,##0_);_(* \(#,##0\);_(* &quot;-&quot;??_);_(@_)"/>
    <numFmt numFmtId="170" formatCode="_(&quot;$&quot;* #,##0.0_);_(&quot;$&quot;* \(#,##0.0\);_(&quot;$&quot;* &quot;-&quot;?_);_(@_)"/>
    <numFmt numFmtId="171" formatCode="\$#,##0;\$#,##0"/>
    <numFmt numFmtId="172" formatCode="\$###0;\$###0"/>
    <numFmt numFmtId="173" formatCode="&quot;$&quot;#,##0"/>
    <numFmt numFmtId="174" formatCode="&quot;$&quot;#,##0.00"/>
    <numFmt numFmtId="175" formatCode="&quot;$&quot;#,##0.0"/>
    <numFmt numFmtId="176" formatCode="m/d/yy;@"/>
    <numFmt numFmtId="177" formatCode="[$-409]mmm\-yy;@"/>
    <numFmt numFmtId="178" formatCode="0.0_%"/>
    <numFmt numFmtId="179" formatCode="mm/dd/yy"/>
    <numFmt numFmtId="180" formatCode="\$0"/>
    <numFmt numFmtId="181" formatCode="\$#,##0"/>
  </numFmts>
  <fonts count="73" x14ac:knownFonts="1">
    <font>
      <sz val="11"/>
      <color theme="1"/>
      <name val="Calibri"/>
      <family val="2"/>
      <scheme val="minor"/>
    </font>
    <font>
      <sz val="10"/>
      <color theme="1"/>
      <name val="Arial"/>
      <family val="2"/>
    </font>
    <font>
      <sz val="11"/>
      <color theme="1"/>
      <name val="Calibri"/>
      <family val="2"/>
      <scheme val="minor"/>
    </font>
    <font>
      <b/>
      <sz val="9"/>
      <name val="Arial"/>
      <family val="2"/>
    </font>
    <font>
      <sz val="10"/>
      <color theme="1"/>
      <name val="Arial"/>
      <family val="2"/>
    </font>
    <font>
      <vertAlign val="superscript"/>
      <sz val="10"/>
      <color indexed="8"/>
      <name val="Arial"/>
      <family val="2"/>
    </font>
    <font>
      <sz val="10"/>
      <color indexed="8"/>
      <name val="Arial"/>
      <family val="2"/>
    </font>
    <font>
      <vertAlign val="superscript"/>
      <sz val="10"/>
      <color theme="1"/>
      <name val="Arial"/>
      <family val="2"/>
    </font>
    <font>
      <sz val="10"/>
      <color theme="0"/>
      <name val="Arial"/>
      <family val="2"/>
    </font>
    <font>
      <b/>
      <sz val="10"/>
      <color theme="0"/>
      <name val="Arial"/>
      <family val="2"/>
    </font>
    <font>
      <i/>
      <sz val="10"/>
      <color theme="1"/>
      <name val="Arial"/>
      <family val="2"/>
    </font>
    <font>
      <b/>
      <sz val="11"/>
      <color theme="0"/>
      <name val="Calibri"/>
      <family val="2"/>
      <scheme val="minor"/>
    </font>
    <font>
      <b/>
      <sz val="11"/>
      <color theme="1"/>
      <name val="Calibri"/>
      <family val="2"/>
      <scheme val="minor"/>
    </font>
    <font>
      <b/>
      <sz val="11"/>
      <color theme="1"/>
      <name val="Arial"/>
      <family val="2"/>
    </font>
    <font>
      <i/>
      <sz val="7"/>
      <color indexed="8"/>
      <name val="Arial"/>
      <family val="1"/>
      <charset val="204"/>
    </font>
    <font>
      <sz val="7"/>
      <color indexed="8"/>
      <name val="Arial"/>
      <family val="1"/>
      <charset val="204"/>
    </font>
    <font>
      <sz val="11"/>
      <color theme="1"/>
      <name val="Times New Roman"/>
      <family val="1"/>
    </font>
    <font>
      <b/>
      <sz val="11"/>
      <color theme="0"/>
      <name val="Times New Roman"/>
      <family val="1"/>
    </font>
    <font>
      <b/>
      <u/>
      <sz val="11"/>
      <color theme="1"/>
      <name val="Times New Roman"/>
      <family val="1"/>
    </font>
    <font>
      <sz val="8"/>
      <color theme="1"/>
      <name val="Times New Roman"/>
      <family val="1"/>
    </font>
    <font>
      <sz val="8"/>
      <name val="Times New Roman"/>
      <family val="1"/>
    </font>
    <font>
      <sz val="10"/>
      <color theme="1"/>
      <name val="Times New Roman"/>
      <family val="1"/>
    </font>
    <font>
      <b/>
      <sz val="10"/>
      <color theme="0"/>
      <name val="Times New Roman"/>
      <family val="1"/>
    </font>
    <font>
      <sz val="10"/>
      <color theme="1"/>
      <name val="Calibri"/>
      <family val="2"/>
      <scheme val="minor"/>
    </font>
    <font>
      <sz val="10"/>
      <name val="Times New Roman"/>
      <family val="1"/>
    </font>
    <font>
      <b/>
      <sz val="10"/>
      <color theme="0"/>
      <name val="Calibri"/>
      <family val="2"/>
      <scheme val="minor"/>
    </font>
    <font>
      <b/>
      <sz val="8"/>
      <color theme="0"/>
      <name val="Arial"/>
      <family val="2"/>
    </font>
    <font>
      <sz val="8"/>
      <color theme="1"/>
      <name val="Arial"/>
      <family val="2"/>
    </font>
    <font>
      <u/>
      <sz val="11"/>
      <color theme="1"/>
      <name val="Calibri"/>
      <family val="2"/>
      <scheme val="minor"/>
    </font>
    <font>
      <sz val="8"/>
      <color theme="1"/>
      <name val="Calibri"/>
      <family val="2"/>
      <scheme val="minor"/>
    </font>
    <font>
      <b/>
      <sz val="9"/>
      <color indexed="81"/>
      <name val="Tahoma"/>
      <family val="2"/>
    </font>
    <font>
      <b/>
      <u/>
      <sz val="11"/>
      <color theme="1"/>
      <name val="Calibri"/>
      <family val="2"/>
      <scheme val="minor"/>
    </font>
    <font>
      <b/>
      <sz val="10"/>
      <color theme="1"/>
      <name val="Times New Roman"/>
      <family val="1"/>
    </font>
    <font>
      <b/>
      <sz val="10"/>
      <color theme="1"/>
      <name val="Arial"/>
      <family val="2"/>
    </font>
    <font>
      <i/>
      <sz val="10"/>
      <color indexed="8"/>
      <name val="Arial"/>
      <family val="2"/>
    </font>
    <font>
      <u/>
      <sz val="10"/>
      <color indexed="8"/>
      <name val="Arial"/>
      <family val="2"/>
    </font>
    <font>
      <u/>
      <sz val="10"/>
      <color theme="1"/>
      <name val="Arial"/>
      <family val="2"/>
    </font>
    <font>
      <sz val="9"/>
      <color indexed="81"/>
      <name val="Tahoma"/>
      <family val="2"/>
    </font>
    <font>
      <u val="singleAccounting"/>
      <sz val="11"/>
      <color theme="1"/>
      <name val="Calibri"/>
      <family val="2"/>
      <scheme val="minor"/>
    </font>
    <font>
      <sz val="10"/>
      <color rgb="FF000000"/>
      <name val="Arial"/>
      <family val="2"/>
    </font>
    <font>
      <sz val="11"/>
      <color theme="1"/>
      <name val="Arial Narrow"/>
      <family val="2"/>
    </font>
    <font>
      <b/>
      <sz val="10"/>
      <name val="Arial"/>
      <family val="2"/>
    </font>
    <font>
      <sz val="10"/>
      <name val="Arial"/>
      <family val="2"/>
    </font>
    <font>
      <b/>
      <sz val="10"/>
      <color theme="1"/>
      <name val="Verdana"/>
      <family val="2"/>
    </font>
    <font>
      <b/>
      <sz val="10"/>
      <name val="Times New Roman"/>
      <family val="1"/>
    </font>
    <font>
      <vertAlign val="superscript"/>
      <sz val="10"/>
      <name val="Times New Roman"/>
      <family val="1"/>
    </font>
    <font>
      <vertAlign val="superscript"/>
      <sz val="10"/>
      <name val="Arial"/>
      <family val="2"/>
    </font>
    <font>
      <sz val="9"/>
      <name val="Arial"/>
      <family val="2"/>
    </font>
    <font>
      <b/>
      <sz val="9"/>
      <color theme="0"/>
      <name val="Arial"/>
      <family val="2"/>
    </font>
    <font>
      <sz val="10"/>
      <color indexed="12"/>
      <name val="Arial"/>
      <family val="2"/>
    </font>
    <font>
      <sz val="11"/>
      <color rgb="FFFF0000"/>
      <name val="Times New Roman"/>
      <family val="1"/>
    </font>
    <font>
      <b/>
      <sz val="11"/>
      <color theme="1"/>
      <name val="Times New Roman"/>
      <family val="2"/>
    </font>
    <font>
      <sz val="11"/>
      <color theme="0"/>
      <name val="Times New Roman"/>
      <family val="2"/>
    </font>
    <font>
      <sz val="8"/>
      <name val="Arial"/>
      <family val="2"/>
    </font>
    <font>
      <b/>
      <i/>
      <u/>
      <sz val="11"/>
      <color theme="1"/>
      <name val="Calibri"/>
      <family val="2"/>
      <scheme val="minor"/>
    </font>
    <font>
      <b/>
      <sz val="8"/>
      <color indexed="9"/>
      <name val="Arial"/>
      <family val="2"/>
    </font>
    <font>
      <sz val="10"/>
      <color indexed="9"/>
      <name val="Arial"/>
      <family val="2"/>
    </font>
    <font>
      <i/>
      <sz val="11"/>
      <color theme="1"/>
      <name val="Calibri"/>
      <family val="2"/>
      <scheme val="minor"/>
    </font>
    <font>
      <u/>
      <sz val="9.35"/>
      <color theme="10"/>
      <name val="Calibri"/>
      <family val="2"/>
    </font>
    <font>
      <sz val="7"/>
      <name val="Arial"/>
      <family val="2"/>
    </font>
    <font>
      <sz val="8"/>
      <color indexed="8"/>
      <name val="Trebuchet MS"/>
      <family val="2"/>
    </font>
    <font>
      <b/>
      <sz val="10"/>
      <color indexed="62"/>
      <name val="Arial"/>
      <family val="2"/>
    </font>
    <font>
      <sz val="12"/>
      <name val="Arial"/>
      <family val="2"/>
    </font>
    <font>
      <sz val="12"/>
      <color rgb="FF000000"/>
      <name val="Arial"/>
      <family val="2"/>
    </font>
    <font>
      <b/>
      <sz val="12"/>
      <name val="Arial"/>
      <family val="2"/>
    </font>
    <font>
      <sz val="12"/>
      <color theme="1"/>
      <name val="Calibri"/>
      <family val="2"/>
      <scheme val="minor"/>
    </font>
    <font>
      <b/>
      <sz val="12"/>
      <color rgb="FF000000"/>
      <name val="Arial"/>
      <family val="2"/>
    </font>
    <font>
      <b/>
      <sz val="16"/>
      <color theme="1"/>
      <name val="Calibri"/>
      <family val="2"/>
      <scheme val="minor"/>
    </font>
    <font>
      <sz val="8"/>
      <color rgb="FF666666"/>
      <name val="Verdana"/>
      <family val="2"/>
    </font>
    <font>
      <b/>
      <sz val="14"/>
      <color theme="0"/>
      <name val="FrankRuehl"/>
      <family val="2"/>
      <charset val="177"/>
    </font>
    <font>
      <b/>
      <sz val="14"/>
      <color theme="0"/>
      <name val="Calibri"/>
      <family val="2"/>
      <scheme val="minor"/>
    </font>
    <font>
      <u/>
      <sz val="10"/>
      <name val="Arial"/>
      <family val="2"/>
    </font>
    <font>
      <b/>
      <sz val="9"/>
      <color indexed="81"/>
      <name val="Tahoma"/>
      <charset val="1"/>
    </font>
  </fonts>
  <fills count="16">
    <fill>
      <patternFill patternType="none"/>
    </fill>
    <fill>
      <patternFill patternType="gray125"/>
    </fill>
    <fill>
      <patternFill patternType="solid">
        <fgColor theme="6" tint="-0.499984740745262"/>
        <bgColor indexed="64"/>
      </patternFill>
    </fill>
    <fill>
      <patternFill patternType="solid">
        <fgColor theme="0"/>
        <bgColor indexed="64"/>
      </patternFill>
    </fill>
    <fill>
      <patternFill patternType="solid">
        <fgColor theme="6" tint="-0.249977111117893"/>
        <bgColor indexed="64"/>
      </patternFill>
    </fill>
    <fill>
      <patternFill patternType="solid">
        <fgColor rgb="FFFFFFFF"/>
        <bgColor indexed="64"/>
      </patternFill>
    </fill>
    <fill>
      <patternFill patternType="solid">
        <fgColor theme="9" tint="-0.249977111117893"/>
        <bgColor indexed="64"/>
      </patternFill>
    </fill>
    <fill>
      <patternFill patternType="solid">
        <fgColor theme="6" tint="0.39997558519241921"/>
        <bgColor indexed="64"/>
      </patternFill>
    </fill>
    <fill>
      <patternFill patternType="solid">
        <fgColor theme="4" tint="0.59999389629810485"/>
        <bgColor indexed="64"/>
      </patternFill>
    </fill>
    <fill>
      <patternFill patternType="solid">
        <fgColor theme="6"/>
      </patternFill>
    </fill>
    <fill>
      <patternFill patternType="solid">
        <fgColor theme="3"/>
        <bgColor indexed="64"/>
      </patternFill>
    </fill>
    <fill>
      <patternFill patternType="solid">
        <fgColor theme="4"/>
        <bgColor indexed="64"/>
      </patternFill>
    </fill>
    <fill>
      <patternFill patternType="solid">
        <fgColor indexed="9"/>
      </patternFill>
    </fill>
    <fill>
      <gradientFill degree="90">
        <stop position="0">
          <color theme="0" tint="-5.0965910824915313E-2"/>
        </stop>
        <stop position="1">
          <color theme="0" tint="-0.1490218817712943"/>
        </stop>
      </gradientFill>
    </fill>
    <fill>
      <patternFill patternType="solid">
        <fgColor rgb="FF92D050"/>
        <bgColor indexed="64"/>
      </patternFill>
    </fill>
    <fill>
      <patternFill patternType="solid">
        <fgColor theme="2" tint="0.79998168889431442"/>
        <bgColor indexed="64"/>
      </patternFill>
    </fill>
  </fills>
  <borders count="35">
    <border>
      <left/>
      <right/>
      <top/>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style="thin">
        <color indexed="64"/>
      </right>
      <top/>
      <bottom/>
      <diagonal/>
    </border>
    <border>
      <left style="thin">
        <color indexed="64"/>
      </left>
      <right/>
      <top/>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right/>
      <top/>
      <bottom style="double">
        <color indexed="64"/>
      </bottom>
      <diagonal/>
    </border>
    <border>
      <left style="thin">
        <color rgb="FF5F5F5F"/>
      </left>
      <right style="thin">
        <color rgb="FFC0C0C0"/>
      </right>
      <top style="thin">
        <color rgb="FF000000"/>
      </top>
      <bottom style="thin">
        <color rgb="FFC0C0C0"/>
      </bottom>
      <diagonal/>
    </border>
    <border>
      <left style="thin">
        <color rgb="FFC0C0C0"/>
      </left>
      <right style="thin">
        <color rgb="FFC0C0C0"/>
      </right>
      <top style="thin">
        <color rgb="FF000000"/>
      </top>
      <bottom style="thin">
        <color rgb="FFC0C0C0"/>
      </bottom>
      <diagonal/>
    </border>
    <border>
      <left/>
      <right/>
      <top style="thin">
        <color theme="4"/>
      </top>
      <bottom style="double">
        <color theme="4"/>
      </bottom>
      <diagonal/>
    </border>
    <border>
      <left style="thin">
        <color indexed="64"/>
      </left>
      <right/>
      <top style="thin">
        <color indexed="64"/>
      </top>
      <bottom style="thin">
        <color indexed="9"/>
      </bottom>
      <diagonal/>
    </border>
    <border>
      <left/>
      <right/>
      <top style="thin">
        <color indexed="64"/>
      </top>
      <bottom style="thin">
        <color indexed="9"/>
      </bottom>
      <diagonal/>
    </border>
    <border>
      <left/>
      <right style="thin">
        <color indexed="9"/>
      </right>
      <top style="thin">
        <color indexed="64"/>
      </top>
      <bottom style="thin">
        <color indexed="9"/>
      </bottom>
      <diagonal/>
    </border>
    <border>
      <left style="thin">
        <color indexed="9"/>
      </left>
      <right/>
      <top style="thin">
        <color indexed="64"/>
      </top>
      <bottom style="thin">
        <color indexed="9"/>
      </bottom>
      <diagonal/>
    </border>
    <border>
      <left/>
      <right style="thin">
        <color indexed="64"/>
      </right>
      <top style="thin">
        <color indexed="64"/>
      </top>
      <bottom style="thin">
        <color indexed="9"/>
      </bottom>
      <diagonal/>
    </border>
    <border>
      <left/>
      <right/>
      <top style="thin">
        <color indexed="9"/>
      </top>
      <bottom style="thin">
        <color indexed="64"/>
      </bottom>
      <diagonal/>
    </border>
    <border>
      <left/>
      <right style="thin">
        <color indexed="9"/>
      </right>
      <top style="thin">
        <color indexed="9"/>
      </top>
      <bottom style="thin">
        <color indexed="64"/>
      </bottom>
      <diagonal/>
    </border>
    <border>
      <left style="thin">
        <color indexed="9"/>
      </left>
      <right/>
      <top style="thin">
        <color indexed="9"/>
      </top>
      <bottom style="thin">
        <color indexed="64"/>
      </bottom>
      <diagonal/>
    </border>
    <border>
      <left/>
      <right style="thin">
        <color indexed="64"/>
      </right>
      <top style="thin">
        <color indexed="9"/>
      </top>
      <bottom style="thin">
        <color indexed="64"/>
      </bottom>
      <diagonal/>
    </border>
    <border>
      <left style="thin">
        <color theme="0"/>
      </left>
      <right/>
      <top style="thin">
        <color indexed="64"/>
      </top>
      <bottom style="thin">
        <color indexed="9"/>
      </bottom>
      <diagonal/>
    </border>
    <border>
      <left style="hair">
        <color indexed="22"/>
      </left>
      <right style="hair">
        <color indexed="22"/>
      </right>
      <top style="hair">
        <color indexed="22"/>
      </top>
      <bottom style="hair">
        <color indexed="22"/>
      </bottom>
      <diagonal/>
    </border>
    <border>
      <left style="thin">
        <color rgb="FFE1E1E1"/>
      </left>
      <right style="thin">
        <color rgb="FFE1E1E1"/>
      </right>
      <top style="thin">
        <color rgb="FFE1E1E1"/>
      </top>
      <bottom/>
      <diagonal/>
    </border>
    <border>
      <left/>
      <right/>
      <top style="thin">
        <color rgb="FF000000"/>
      </top>
      <bottom/>
      <diagonal/>
    </border>
    <border>
      <left/>
      <right/>
      <top/>
      <bottom style="thin">
        <color rgb="FF000000"/>
      </bottom>
      <diagonal/>
    </border>
    <border>
      <left/>
      <right/>
      <top style="thin">
        <color rgb="FF000000"/>
      </top>
      <bottom style="thin">
        <color rgb="FF000000"/>
      </bottom>
      <diagonal/>
    </border>
  </borders>
  <cellStyleXfs count="19">
    <xf numFmtId="0" fontId="0" fillId="0" borderId="0"/>
    <xf numFmtId="9" fontId="2" fillId="0" borderId="0" applyFont="0" applyFill="0" applyBorder="0" applyAlignment="0" applyProtection="0"/>
    <xf numFmtId="44" fontId="2" fillId="0" borderId="0" applyFont="0" applyFill="0" applyBorder="0" applyAlignment="0" applyProtection="0"/>
    <xf numFmtId="43" fontId="2" fillId="0" borderId="0" applyFont="0" applyFill="0" applyBorder="0" applyAlignment="0" applyProtection="0"/>
    <xf numFmtId="0" fontId="2" fillId="0" borderId="0"/>
    <xf numFmtId="0" fontId="42" fillId="0" borderId="0"/>
    <xf numFmtId="0" fontId="42" fillId="0" borderId="0"/>
    <xf numFmtId="9" fontId="42" fillId="0" borderId="0" applyFont="0" applyFill="0" applyBorder="0" applyAlignment="0" applyProtection="0"/>
    <xf numFmtId="9" fontId="2" fillId="0" borderId="0" applyFont="0" applyFill="0" applyBorder="0" applyAlignment="0" applyProtection="0"/>
    <xf numFmtId="9"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4" fontId="42" fillId="0" borderId="0" applyFont="0" applyFill="0" applyBorder="0" applyAlignment="0" applyProtection="0"/>
    <xf numFmtId="44" fontId="2" fillId="0" borderId="0" applyFont="0" applyFill="0" applyBorder="0" applyAlignment="0" applyProtection="0"/>
    <xf numFmtId="0" fontId="49" fillId="0" borderId="0"/>
    <xf numFmtId="0" fontId="51" fillId="0" borderId="19" applyNumberFormat="0" applyFill="0" applyAlignment="0" applyProtection="0"/>
    <xf numFmtId="0" fontId="52" fillId="9" borderId="0" applyNumberFormat="0" applyBorder="0" applyAlignment="0" applyProtection="0"/>
    <xf numFmtId="0" fontId="58" fillId="0" borderId="0" applyNumberFormat="0" applyFill="0" applyBorder="0" applyAlignment="0" applyProtection="0">
      <alignment vertical="top"/>
      <protection locked="0"/>
    </xf>
    <xf numFmtId="0" fontId="60" fillId="12" borderId="30" applyNumberFormat="0" applyBorder="0" applyProtection="0">
      <alignment horizontal="right" vertical="center"/>
    </xf>
  </cellStyleXfs>
  <cellXfs count="400">
    <xf numFmtId="0" fontId="0" fillId="0" borderId="0" xfId="0"/>
    <xf numFmtId="0" fontId="3" fillId="0" borderId="1" xfId="0" applyFont="1" applyBorder="1" applyAlignment="1">
      <alignment horizontal="center" vertical="center"/>
    </xf>
    <xf numFmtId="0" fontId="3" fillId="0" borderId="2" xfId="0" applyFont="1" applyBorder="1" applyAlignment="1">
      <alignment horizontal="center" vertical="center" wrapText="1"/>
    </xf>
    <xf numFmtId="0" fontId="3" fillId="0" borderId="2" xfId="0" applyFont="1" applyBorder="1" applyAlignment="1">
      <alignment horizontal="center" vertical="center"/>
    </xf>
    <xf numFmtId="3" fontId="0" fillId="0" borderId="0" xfId="0" applyNumberFormat="1"/>
    <xf numFmtId="164" fontId="0" fillId="0" borderId="0" xfId="1" applyNumberFormat="1" applyFont="1"/>
    <xf numFmtId="44" fontId="0" fillId="0" borderId="0" xfId="2" applyFont="1"/>
    <xf numFmtId="0" fontId="0" fillId="3" borderId="0" xfId="0" applyFill="1"/>
    <xf numFmtId="0" fontId="4" fillId="3" borderId="0" xfId="0" applyFont="1" applyFill="1" applyAlignment="1">
      <alignment horizontal="center"/>
    </xf>
    <xf numFmtId="0" fontId="4" fillId="3" borderId="0" xfId="0" applyFont="1" applyFill="1" applyAlignment="1">
      <alignment horizontal="center" wrapText="1"/>
    </xf>
    <xf numFmtId="0" fontId="4" fillId="3" borderId="0" xfId="0" applyFont="1" applyFill="1"/>
    <xf numFmtId="6" fontId="4" fillId="3" borderId="0" xfId="0" applyNumberFormat="1" applyFont="1" applyFill="1" applyAlignment="1">
      <alignment horizontal="right"/>
    </xf>
    <xf numFmtId="9" fontId="4" fillId="3" borderId="0" xfId="0" applyNumberFormat="1" applyFont="1" applyFill="1" applyAlignment="1">
      <alignment horizontal="right"/>
    </xf>
    <xf numFmtId="3" fontId="4" fillId="3" borderId="0" xfId="0" applyNumberFormat="1" applyFont="1" applyFill="1" applyAlignment="1">
      <alignment horizontal="right"/>
    </xf>
    <xf numFmtId="0" fontId="6" fillId="3" borderId="0" xfId="0" applyFont="1" applyFill="1"/>
    <xf numFmtId="164" fontId="4" fillId="3" borderId="0" xfId="0" applyNumberFormat="1" applyFont="1" applyFill="1" applyAlignment="1">
      <alignment horizontal="right"/>
    </xf>
    <xf numFmtId="0" fontId="8" fillId="2" borderId="0" xfId="0" applyFont="1" applyFill="1" applyAlignment="1">
      <alignment horizontal="center"/>
    </xf>
    <xf numFmtId="0" fontId="8" fillId="2" borderId="0" xfId="0" applyFont="1" applyFill="1" applyAlignment="1">
      <alignment horizontal="center" wrapText="1"/>
    </xf>
    <xf numFmtId="0" fontId="0" fillId="3" borderId="0" xfId="0" applyFont="1" applyFill="1"/>
    <xf numFmtId="165" fontId="4" fillId="3" borderId="0" xfId="0" applyNumberFormat="1" applyFont="1" applyFill="1" applyAlignment="1">
      <alignment horizontal="right"/>
    </xf>
    <xf numFmtId="9" fontId="4" fillId="3" borderId="0" xfId="1" applyFont="1" applyFill="1" applyAlignment="1">
      <alignment horizontal="center" wrapText="1"/>
    </xf>
    <xf numFmtId="0" fontId="5" fillId="3" borderId="0" xfId="0" applyFont="1" applyFill="1" applyAlignment="1">
      <alignment horizontal="left"/>
    </xf>
    <xf numFmtId="0" fontId="7" fillId="3" borderId="0" xfId="0" applyFont="1" applyFill="1" applyAlignment="1">
      <alignment horizontal="left"/>
    </xf>
    <xf numFmtId="0" fontId="4" fillId="3" borderId="0" xfId="0" applyFont="1" applyFill="1" applyAlignment="1">
      <alignment horizontal="left" wrapText="1"/>
    </xf>
    <xf numFmtId="3" fontId="4" fillId="3" borderId="0" xfId="0" applyNumberFormat="1" applyFont="1" applyFill="1" applyAlignment="1">
      <alignment horizontal="left"/>
    </xf>
    <xf numFmtId="3" fontId="4" fillId="0" borderId="0" xfId="0" applyNumberFormat="1" applyFont="1" applyAlignment="1">
      <alignment horizontal="center"/>
    </xf>
    <xf numFmtId="0" fontId="10" fillId="3" borderId="0" xfId="0" applyFont="1" applyFill="1"/>
    <xf numFmtId="3" fontId="4" fillId="3" borderId="0" xfId="0" applyNumberFormat="1" applyFont="1" applyFill="1" applyAlignment="1">
      <alignment horizontal="center"/>
    </xf>
    <xf numFmtId="0" fontId="0" fillId="3" borderId="0" xfId="0" applyFill="1" applyAlignment="1">
      <alignment horizontal="center"/>
    </xf>
    <xf numFmtId="0" fontId="13" fillId="0" borderId="0" xfId="0" applyFont="1" applyAlignment="1">
      <alignment horizontal="center"/>
    </xf>
    <xf numFmtId="9" fontId="0" fillId="0" borderId="0" xfId="1" applyFont="1"/>
    <xf numFmtId="0" fontId="12" fillId="3" borderId="0" xfId="0" applyFont="1" applyFill="1"/>
    <xf numFmtId="0" fontId="12" fillId="3" borderId="0" xfId="0" applyFont="1" applyFill="1" applyAlignment="1">
      <alignment horizontal="center"/>
    </xf>
    <xf numFmtId="0" fontId="0" fillId="3" borderId="0" xfId="0" applyFill="1" applyAlignment="1">
      <alignment horizontal="center" wrapText="1"/>
    </xf>
    <xf numFmtId="166" fontId="0" fillId="3" borderId="0" xfId="2" applyNumberFormat="1" applyFont="1" applyFill="1" applyAlignment="1">
      <alignment horizontal="center"/>
    </xf>
    <xf numFmtId="0" fontId="0" fillId="4" borderId="0" xfId="0" applyFill="1"/>
    <xf numFmtId="0" fontId="11" fillId="4" borderId="0" xfId="0" applyFont="1" applyFill="1"/>
    <xf numFmtId="0" fontId="11" fillId="4" borderId="0" xfId="0" applyFont="1" applyFill="1" applyAlignment="1">
      <alignment horizontal="center"/>
    </xf>
    <xf numFmtId="164" fontId="0" fillId="3" borderId="0" xfId="1" applyNumberFormat="1" applyFont="1" applyFill="1" applyAlignment="1">
      <alignment horizontal="center"/>
    </xf>
    <xf numFmtId="164" fontId="0" fillId="0" borderId="0" xfId="0" applyNumberFormat="1"/>
    <xf numFmtId="0" fontId="15" fillId="5" borderId="0" xfId="0" applyFont="1" applyFill="1" applyAlignment="1">
      <alignment horizontal="left" vertical="top"/>
    </xf>
    <xf numFmtId="0" fontId="12" fillId="0" borderId="0" xfId="0" applyFont="1"/>
    <xf numFmtId="0" fontId="16" fillId="3" borderId="0" xfId="0" applyFont="1" applyFill="1"/>
    <xf numFmtId="0" fontId="17" fillId="6" borderId="0" xfId="0" applyFont="1" applyFill="1" applyAlignment="1">
      <alignment horizontal="center" wrapText="1"/>
    </xf>
    <xf numFmtId="164" fontId="16" fillId="3" borderId="0" xfId="1" applyNumberFormat="1" applyFont="1" applyFill="1" applyAlignment="1">
      <alignment horizontal="center"/>
    </xf>
    <xf numFmtId="0" fontId="16" fillId="7" borderId="0" xfId="0" applyFont="1" applyFill="1"/>
    <xf numFmtId="164" fontId="16" fillId="7" borderId="0" xfId="1" applyNumberFormat="1" applyFont="1" applyFill="1" applyAlignment="1">
      <alignment horizontal="center"/>
    </xf>
    <xf numFmtId="0" fontId="16" fillId="0" borderId="0" xfId="0" applyFont="1"/>
    <xf numFmtId="0" fontId="18" fillId="3" borderId="0" xfId="0" applyFont="1" applyFill="1" applyAlignment="1">
      <alignment horizontal="left"/>
    </xf>
    <xf numFmtId="0" fontId="19" fillId="3" borderId="0" xfId="0" applyFont="1" applyFill="1"/>
    <xf numFmtId="0" fontId="17" fillId="4" borderId="0" xfId="0" applyFont="1" applyFill="1"/>
    <xf numFmtId="9" fontId="16" fillId="3" borderId="0" xfId="1" applyFont="1" applyFill="1" applyAlignment="1">
      <alignment horizontal="center"/>
    </xf>
    <xf numFmtId="0" fontId="0" fillId="3" borderId="0" xfId="0" applyFill="1" applyAlignment="1">
      <alignment wrapText="1"/>
    </xf>
    <xf numFmtId="167" fontId="20" fillId="3" borderId="0" xfId="2" applyNumberFormat="1" applyFont="1" applyFill="1"/>
    <xf numFmtId="167" fontId="20" fillId="3" borderId="3" xfId="2" applyNumberFormat="1" applyFont="1" applyFill="1" applyBorder="1" applyAlignment="1">
      <alignment horizontal="center"/>
    </xf>
    <xf numFmtId="167" fontId="20" fillId="3" borderId="4" xfId="2" applyNumberFormat="1" applyFont="1" applyFill="1" applyBorder="1" applyAlignment="1">
      <alignment horizontal="center"/>
    </xf>
    <xf numFmtId="0" fontId="16" fillId="3" borderId="4" xfId="0" applyFont="1" applyFill="1" applyBorder="1" applyAlignment="1">
      <alignment horizontal="center"/>
    </xf>
    <xf numFmtId="167" fontId="20" fillId="3" borderId="5" xfId="2" applyNumberFormat="1" applyFont="1" applyFill="1" applyBorder="1" applyAlignment="1">
      <alignment horizontal="center"/>
    </xf>
    <xf numFmtId="0" fontId="16" fillId="3" borderId="3" xfId="0" applyFont="1" applyFill="1" applyBorder="1" applyAlignment="1">
      <alignment horizontal="center"/>
    </xf>
    <xf numFmtId="166" fontId="20" fillId="3" borderId="3" xfId="2" applyNumberFormat="1" applyFont="1" applyFill="1" applyBorder="1" applyAlignment="1">
      <alignment horizontal="center"/>
    </xf>
    <xf numFmtId="166" fontId="20" fillId="3" borderId="4" xfId="2" applyNumberFormat="1" applyFont="1" applyFill="1" applyBorder="1" applyAlignment="1">
      <alignment horizontal="center"/>
    </xf>
    <xf numFmtId="166" fontId="20" fillId="3" borderId="5" xfId="2" applyNumberFormat="1" applyFont="1" applyFill="1" applyBorder="1" applyAlignment="1">
      <alignment horizontal="center"/>
    </xf>
    <xf numFmtId="167" fontId="20" fillId="3" borderId="0" xfId="2" applyNumberFormat="1" applyFont="1" applyFill="1" applyBorder="1" applyAlignment="1">
      <alignment horizontal="center"/>
    </xf>
    <xf numFmtId="0" fontId="21" fillId="3" borderId="0" xfId="0" applyFont="1" applyFill="1"/>
    <xf numFmtId="17" fontId="21" fillId="3" borderId="0" xfId="0" applyNumberFormat="1" applyFont="1" applyFill="1"/>
    <xf numFmtId="0" fontId="21" fillId="3" borderId="3" xfId="0" applyFont="1" applyFill="1" applyBorder="1"/>
    <xf numFmtId="17" fontId="21" fillId="3" borderId="0" xfId="0" applyNumberFormat="1" applyFont="1" applyFill="1" applyBorder="1"/>
    <xf numFmtId="0" fontId="21" fillId="3" borderId="4" xfId="0" applyFont="1" applyFill="1" applyBorder="1"/>
    <xf numFmtId="0" fontId="21" fillId="3" borderId="5" xfId="0" applyFont="1" applyFill="1" applyBorder="1"/>
    <xf numFmtId="0" fontId="23" fillId="3" borderId="3" xfId="0" applyFont="1" applyFill="1" applyBorder="1"/>
    <xf numFmtId="0" fontId="23" fillId="3" borderId="3" xfId="0" applyFont="1" applyFill="1" applyBorder="1" applyAlignment="1">
      <alignment wrapText="1"/>
    </xf>
    <xf numFmtId="0" fontId="23" fillId="3" borderId="4" xfId="0" applyFont="1" applyFill="1" applyBorder="1" applyAlignment="1">
      <alignment wrapText="1"/>
    </xf>
    <xf numFmtId="0" fontId="23" fillId="3" borderId="5" xfId="0" applyFont="1" applyFill="1" applyBorder="1" applyAlignment="1">
      <alignment wrapText="1"/>
    </xf>
    <xf numFmtId="0" fontId="23" fillId="3" borderId="0" xfId="0" applyFont="1" applyFill="1" applyAlignment="1">
      <alignment wrapText="1"/>
    </xf>
    <xf numFmtId="166" fontId="20" fillId="3" borderId="0" xfId="2" applyNumberFormat="1" applyFont="1" applyFill="1" applyBorder="1" applyAlignment="1">
      <alignment horizontal="center"/>
    </xf>
    <xf numFmtId="0" fontId="23" fillId="3" borderId="4" xfId="0" applyFont="1" applyFill="1" applyBorder="1" applyAlignment="1">
      <alignment horizontal="left" wrapText="1"/>
    </xf>
    <xf numFmtId="167" fontId="24" fillId="3" borderId="0" xfId="2" applyNumberFormat="1" applyFont="1" applyFill="1" applyBorder="1" applyAlignment="1">
      <alignment horizontal="center"/>
    </xf>
    <xf numFmtId="0" fontId="23" fillId="0" borderId="0" xfId="0" applyFont="1"/>
    <xf numFmtId="0" fontId="26" fillId="4" borderId="0" xfId="0" applyFont="1" applyFill="1" applyAlignment="1">
      <alignment horizontal="centerContinuous"/>
    </xf>
    <xf numFmtId="0" fontId="26" fillId="4" borderId="6" xfId="0" applyFont="1" applyFill="1" applyBorder="1"/>
    <xf numFmtId="0" fontId="26" fillId="4" borderId="0" xfId="0" applyFont="1" applyFill="1" applyAlignment="1">
      <alignment horizontal="center"/>
    </xf>
    <xf numFmtId="0" fontId="26" fillId="4" borderId="7" xfId="0" applyFont="1" applyFill="1" applyBorder="1" applyAlignment="1">
      <alignment horizontal="center"/>
    </xf>
    <xf numFmtId="169" fontId="27" fillId="0" borderId="0" xfId="3" applyNumberFormat="1" applyFont="1"/>
    <xf numFmtId="0" fontId="28" fillId="0" borderId="0" xfId="0" applyFont="1"/>
    <xf numFmtId="10" fontId="29" fillId="0" borderId="0" xfId="1" applyNumberFormat="1" applyFont="1"/>
    <xf numFmtId="0" fontId="0" fillId="0" borderId="0" xfId="0" applyNumberFormat="1" applyFill="1"/>
    <xf numFmtId="14" fontId="0" fillId="0" borderId="0" xfId="0" applyNumberFormat="1" applyFill="1"/>
    <xf numFmtId="4" fontId="0" fillId="0" borderId="0" xfId="0" applyNumberFormat="1" applyFill="1"/>
    <xf numFmtId="9" fontId="0" fillId="0" borderId="0" xfId="0" applyNumberFormat="1"/>
    <xf numFmtId="0" fontId="31" fillId="0" borderId="0" xfId="0" applyFont="1"/>
    <xf numFmtId="0" fontId="21" fillId="0" borderId="0" xfId="0" applyFont="1"/>
    <xf numFmtId="0" fontId="32" fillId="3" borderId="0" xfId="0" applyFont="1" applyFill="1"/>
    <xf numFmtId="9" fontId="21" fillId="3" borderId="0" xfId="1" applyFont="1" applyFill="1"/>
    <xf numFmtId="0" fontId="22" fillId="6" borderId="0" xfId="0" applyFont="1" applyFill="1"/>
    <xf numFmtId="0" fontId="21" fillId="3" borderId="8" xfId="0" applyFont="1" applyFill="1" applyBorder="1"/>
    <xf numFmtId="9" fontId="21" fillId="3" borderId="8" xfId="1" applyFont="1" applyFill="1" applyBorder="1"/>
    <xf numFmtId="0" fontId="21" fillId="3" borderId="4" xfId="0" applyFont="1" applyFill="1" applyBorder="1" applyAlignment="1">
      <alignment wrapText="1"/>
    </xf>
    <xf numFmtId="0" fontId="21" fillId="3" borderId="11" xfId="0" applyFont="1" applyFill="1" applyBorder="1" applyAlignment="1">
      <alignment wrapText="1"/>
    </xf>
    <xf numFmtId="0" fontId="21" fillId="3" borderId="11" xfId="0" applyFont="1" applyFill="1" applyBorder="1"/>
    <xf numFmtId="0" fontId="22" fillId="6" borderId="8" xfId="0" applyFont="1" applyFill="1" applyBorder="1"/>
    <xf numFmtId="0" fontId="21" fillId="3" borderId="13" xfId="0" applyFont="1" applyFill="1" applyBorder="1" applyAlignment="1">
      <alignment wrapText="1"/>
    </xf>
    <xf numFmtId="0" fontId="21" fillId="3" borderId="9" xfId="0" applyFont="1" applyFill="1" applyBorder="1"/>
    <xf numFmtId="9" fontId="21" fillId="3" borderId="9" xfId="1" applyFont="1" applyFill="1" applyBorder="1"/>
    <xf numFmtId="0" fontId="22" fillId="6" borderId="9" xfId="0" applyFont="1" applyFill="1" applyBorder="1"/>
    <xf numFmtId="0" fontId="21" fillId="3" borderId="13" xfId="0" applyFont="1" applyFill="1" applyBorder="1"/>
    <xf numFmtId="0" fontId="32" fillId="3" borderId="9" xfId="0" applyFont="1" applyFill="1" applyBorder="1"/>
    <xf numFmtId="0" fontId="22" fillId="3" borderId="9" xfId="0" applyFont="1" applyFill="1" applyBorder="1"/>
    <xf numFmtId="0" fontId="22" fillId="3" borderId="0" xfId="0" applyFont="1" applyFill="1"/>
    <xf numFmtId="0" fontId="21" fillId="3" borderId="0" xfId="0" applyFont="1" applyFill="1" applyAlignment="1">
      <alignment horizontal="right"/>
    </xf>
    <xf numFmtId="1" fontId="21" fillId="3" borderId="9" xfId="0" applyNumberFormat="1" applyFont="1" applyFill="1" applyBorder="1"/>
    <xf numFmtId="1" fontId="22" fillId="6" borderId="15" xfId="0" applyNumberFormat="1" applyFont="1" applyFill="1" applyBorder="1"/>
    <xf numFmtId="0" fontId="21" fillId="3" borderId="6" xfId="0" applyFont="1" applyFill="1" applyBorder="1"/>
    <xf numFmtId="0" fontId="21" fillId="8" borderId="0" xfId="0" applyFont="1" applyFill="1"/>
    <xf numFmtId="0" fontId="16" fillId="3" borderId="0" xfId="0" applyFont="1" applyFill="1" applyAlignment="1">
      <alignment textRotation="90"/>
    </xf>
    <xf numFmtId="0" fontId="0" fillId="0" borderId="0" xfId="0" applyAlignment="1">
      <alignment horizontal="center"/>
    </xf>
    <xf numFmtId="166" fontId="0" fillId="0" borderId="0" xfId="2" applyNumberFormat="1" applyFont="1"/>
    <xf numFmtId="44" fontId="0" fillId="0" borderId="0" xfId="0" applyNumberFormat="1"/>
    <xf numFmtId="14" fontId="0" fillId="0" borderId="0" xfId="0" applyNumberFormat="1"/>
    <xf numFmtId="170" fontId="4" fillId="3" borderId="0" xfId="2" applyNumberFormat="1" applyFont="1" applyFill="1"/>
    <xf numFmtId="164" fontId="4" fillId="3" borderId="0" xfId="1" applyNumberFormat="1" applyFont="1" applyFill="1"/>
    <xf numFmtId="0" fontId="33" fillId="3" borderId="0" xfId="0" applyFont="1" applyFill="1"/>
    <xf numFmtId="170" fontId="33" fillId="3" borderId="0" xfId="2" applyNumberFormat="1" applyFont="1" applyFill="1"/>
    <xf numFmtId="0" fontId="4" fillId="3" borderId="16" xfId="0" applyFont="1" applyFill="1" applyBorder="1"/>
    <xf numFmtId="170" fontId="4" fillId="3" borderId="16" xfId="2" applyNumberFormat="1" applyFont="1" applyFill="1" applyBorder="1"/>
    <xf numFmtId="164" fontId="4" fillId="3" borderId="16" xfId="1" applyNumberFormat="1" applyFont="1" applyFill="1" applyBorder="1"/>
    <xf numFmtId="0" fontId="6" fillId="3" borderId="17" xfId="0" applyFont="1" applyFill="1" applyBorder="1" applyAlignment="1">
      <alignment horizontal="left" vertical="top" wrapText="1"/>
    </xf>
    <xf numFmtId="0" fontId="6" fillId="3" borderId="18" xfId="0" applyFont="1" applyFill="1" applyBorder="1" applyAlignment="1">
      <alignment horizontal="left" vertical="top" wrapText="1"/>
    </xf>
    <xf numFmtId="0" fontId="6" fillId="3" borderId="18" xfId="0" applyFont="1" applyFill="1" applyBorder="1" applyAlignment="1">
      <alignment horizontal="center" vertical="top" wrapText="1"/>
    </xf>
    <xf numFmtId="0" fontId="6" fillId="3" borderId="0" xfId="0" applyFont="1" applyFill="1" applyBorder="1" applyAlignment="1">
      <alignment horizontal="center" vertical="top" wrapText="1"/>
    </xf>
    <xf numFmtId="0" fontId="6" fillId="3" borderId="0" xfId="0" applyFont="1" applyFill="1" applyBorder="1" applyAlignment="1">
      <alignment horizontal="left" vertical="top" wrapText="1"/>
    </xf>
    <xf numFmtId="0" fontId="34" fillId="3" borderId="0" xfId="0" applyFont="1" applyFill="1" applyBorder="1" applyAlignment="1">
      <alignment vertical="top" wrapText="1"/>
    </xf>
    <xf numFmtId="0" fontId="6" fillId="3" borderId="0" xfId="0" applyFont="1" applyFill="1" applyBorder="1" applyAlignment="1">
      <alignment vertical="top" wrapText="1"/>
    </xf>
    <xf numFmtId="171" fontId="33" fillId="3" borderId="0" xfId="0" applyNumberFormat="1" applyFont="1" applyFill="1"/>
    <xf numFmtId="0" fontId="6" fillId="3" borderId="18" xfId="0" applyFont="1" applyFill="1" applyBorder="1" applyAlignment="1">
      <alignment vertical="top" wrapText="1"/>
    </xf>
    <xf numFmtId="0" fontId="33" fillId="0" borderId="0" xfId="0" applyFont="1"/>
    <xf numFmtId="0" fontId="35" fillId="3" borderId="0" xfId="0" applyFont="1" applyFill="1" applyBorder="1" applyAlignment="1">
      <alignment horizontal="center" vertical="top" wrapText="1"/>
    </xf>
    <xf numFmtId="164" fontId="0" fillId="0" borderId="0" xfId="1" applyNumberFormat="1" applyFont="1" applyAlignment="1">
      <alignment horizontal="right"/>
    </xf>
    <xf numFmtId="0" fontId="33" fillId="0" borderId="0" xfId="0" applyFont="1" applyAlignment="1">
      <alignment horizontal="center"/>
    </xf>
    <xf numFmtId="4" fontId="0" fillId="0" borderId="0" xfId="0" applyNumberFormat="1"/>
    <xf numFmtId="0" fontId="1" fillId="3" borderId="0" xfId="0" applyFont="1" applyFill="1"/>
    <xf numFmtId="0" fontId="1" fillId="3" borderId="0" xfId="0" applyFont="1" applyFill="1" applyBorder="1"/>
    <xf numFmtId="172" fontId="1" fillId="3" borderId="0" xfId="0" applyNumberFormat="1" applyFont="1" applyFill="1"/>
    <xf numFmtId="0" fontId="1" fillId="3" borderId="0" xfId="0" applyFont="1" applyFill="1" applyAlignment="1">
      <alignment horizontal="left"/>
    </xf>
    <xf numFmtId="173" fontId="1" fillId="3" borderId="0" xfId="0" applyNumberFormat="1" applyFont="1" applyFill="1"/>
    <xf numFmtId="0" fontId="33" fillId="3" borderId="0" xfId="0" applyFont="1" applyFill="1" applyAlignment="1">
      <alignment horizontal="right"/>
    </xf>
    <xf numFmtId="173" fontId="33" fillId="3" borderId="0" xfId="0" applyNumberFormat="1" applyFont="1" applyFill="1"/>
    <xf numFmtId="0" fontId="36" fillId="3" borderId="0" xfId="0" applyFont="1" applyFill="1" applyAlignment="1">
      <alignment horizontal="center"/>
    </xf>
    <xf numFmtId="174" fontId="1" fillId="3" borderId="0" xfId="0" applyNumberFormat="1" applyFont="1" applyFill="1"/>
    <xf numFmtId="169" fontId="1" fillId="3" borderId="0" xfId="3" applyNumberFormat="1" applyFont="1" applyFill="1"/>
    <xf numFmtId="169" fontId="1" fillId="3" borderId="0" xfId="0" applyNumberFormat="1" applyFont="1" applyFill="1"/>
    <xf numFmtId="169" fontId="33" fillId="3" borderId="0" xfId="0" applyNumberFormat="1" applyFont="1" applyFill="1"/>
    <xf numFmtId="0" fontId="6" fillId="5" borderId="0" xfId="0" applyFont="1" applyFill="1" applyBorder="1" applyAlignment="1">
      <alignment vertical="top" wrapText="1"/>
    </xf>
    <xf numFmtId="0" fontId="6" fillId="5" borderId="0" xfId="0" applyFont="1" applyFill="1" applyBorder="1" applyAlignment="1">
      <alignment vertical="center" wrapText="1"/>
    </xf>
    <xf numFmtId="0" fontId="6" fillId="5" borderId="0" xfId="0" applyFont="1" applyFill="1" applyBorder="1" applyAlignment="1">
      <alignment horizontal="left" vertical="top" wrapText="1"/>
    </xf>
    <xf numFmtId="172" fontId="6" fillId="5" borderId="0" xfId="0" applyNumberFormat="1" applyFont="1" applyFill="1" applyBorder="1" applyAlignment="1">
      <alignment horizontal="left" vertical="top" wrapText="1"/>
    </xf>
    <xf numFmtId="171" fontId="6" fillId="5" borderId="0" xfId="0" applyNumberFormat="1" applyFont="1" applyFill="1" applyBorder="1" applyAlignment="1">
      <alignment horizontal="left" vertical="top" wrapText="1"/>
    </xf>
    <xf numFmtId="172" fontId="6" fillId="5" borderId="0" xfId="0" applyNumberFormat="1" applyFont="1" applyFill="1" applyBorder="1" applyAlignment="1">
      <alignment horizontal="left" vertical="center" wrapText="1"/>
    </xf>
    <xf numFmtId="175" fontId="1" fillId="3" borderId="0" xfId="0" applyNumberFormat="1" applyFont="1" applyFill="1"/>
    <xf numFmtId="1" fontId="1" fillId="3" borderId="0" xfId="0" applyNumberFormat="1" applyFont="1" applyFill="1"/>
    <xf numFmtId="13" fontId="0" fillId="0" borderId="0" xfId="0" applyNumberFormat="1"/>
    <xf numFmtId="0" fontId="12" fillId="0" borderId="0" xfId="0" applyFont="1" applyAlignment="1">
      <alignment horizontal="center"/>
    </xf>
    <xf numFmtId="0" fontId="12" fillId="4" borderId="0" xfId="0" applyFont="1" applyFill="1"/>
    <xf numFmtId="0" fontId="33" fillId="0" borderId="0" xfId="0" applyFont="1" applyAlignment="1">
      <alignment horizontal="right"/>
    </xf>
    <xf numFmtId="0" fontId="1" fillId="4" borderId="0" xfId="0" applyFont="1" applyFill="1"/>
    <xf numFmtId="169" fontId="1" fillId="4" borderId="0" xfId="3" applyNumberFormat="1" applyFont="1" applyFill="1"/>
    <xf numFmtId="9" fontId="0" fillId="4" borderId="0" xfId="1" applyFont="1" applyFill="1"/>
    <xf numFmtId="169" fontId="0" fillId="0" borderId="0" xfId="3" applyNumberFormat="1" applyFont="1" applyAlignment="1">
      <alignment horizontal="center"/>
    </xf>
    <xf numFmtId="169" fontId="38" fillId="0" borderId="0" xfId="3" applyNumberFormat="1" applyFont="1" applyAlignment="1">
      <alignment horizontal="center"/>
    </xf>
    <xf numFmtId="169" fontId="0" fillId="0" borderId="0" xfId="0" applyNumberFormat="1"/>
    <xf numFmtId="169" fontId="0" fillId="0" borderId="0" xfId="3" applyNumberFormat="1" applyFont="1"/>
    <xf numFmtId="169" fontId="38" fillId="0" borderId="0" xfId="3" applyNumberFormat="1" applyFont="1"/>
    <xf numFmtId="169" fontId="2" fillId="0" borderId="0" xfId="3" applyNumberFormat="1" applyFont="1"/>
    <xf numFmtId="0" fontId="0" fillId="0" borderId="0" xfId="0" applyFont="1"/>
    <xf numFmtId="169" fontId="38" fillId="0" borderId="0" xfId="0" applyNumberFormat="1" applyFont="1"/>
    <xf numFmtId="169" fontId="28" fillId="0" borderId="0" xfId="3" applyNumberFormat="1" applyFont="1"/>
    <xf numFmtId="0" fontId="39" fillId="0" borderId="0" xfId="0" applyFont="1"/>
    <xf numFmtId="169" fontId="12" fillId="4" borderId="0" xfId="0" applyNumberFormat="1" applyFont="1" applyFill="1"/>
    <xf numFmtId="0" fontId="0" fillId="0" borderId="0" xfId="0" applyProtection="1">
      <protection locked="0"/>
    </xf>
    <xf numFmtId="2" fontId="0" fillId="0" borderId="0" xfId="0" applyNumberFormat="1" applyProtection="1">
      <protection locked="0"/>
    </xf>
    <xf numFmtId="1" fontId="0" fillId="0" borderId="0" xfId="0" applyNumberFormat="1" applyProtection="1">
      <protection locked="0"/>
    </xf>
    <xf numFmtId="0" fontId="40" fillId="0" borderId="0" xfId="0" applyFont="1" applyProtection="1">
      <protection locked="0"/>
    </xf>
    <xf numFmtId="2" fontId="40" fillId="0" borderId="0" xfId="0" applyNumberFormat="1" applyFont="1" applyProtection="1">
      <protection locked="0"/>
    </xf>
    <xf numFmtId="1" fontId="40" fillId="0" borderId="0" xfId="0" applyNumberFormat="1" applyFont="1" applyProtection="1">
      <protection locked="0"/>
    </xf>
    <xf numFmtId="2" fontId="1" fillId="0" borderId="0" xfId="0" applyNumberFormat="1" applyFont="1" applyProtection="1">
      <protection locked="0"/>
    </xf>
    <xf numFmtId="14" fontId="1" fillId="0" borderId="0" xfId="0" applyNumberFormat="1" applyFont="1" applyProtection="1">
      <protection locked="0"/>
    </xf>
    <xf numFmtId="1" fontId="1" fillId="0" borderId="0" xfId="0" applyNumberFormat="1" applyFont="1" applyProtection="1">
      <protection locked="0"/>
    </xf>
    <xf numFmtId="1" fontId="41" fillId="0" borderId="0" xfId="0" applyNumberFormat="1" applyFont="1" applyAlignment="1" applyProtection="1">
      <protection locked="0"/>
    </xf>
    <xf numFmtId="1" fontId="42" fillId="0" borderId="0" xfId="0" applyNumberFormat="1" applyFont="1" applyFill="1" applyBorder="1" applyAlignment="1" applyProtection="1">
      <alignment horizontal="left"/>
      <protection locked="0"/>
    </xf>
    <xf numFmtId="1" fontId="1" fillId="0" borderId="0" xfId="0" applyNumberFormat="1" applyFont="1" applyAlignment="1" applyProtection="1">
      <alignment horizontal="left" wrapText="1"/>
      <protection locked="0"/>
    </xf>
    <xf numFmtId="0" fontId="1" fillId="0" borderId="0" xfId="0" applyFont="1" applyProtection="1">
      <protection locked="0"/>
    </xf>
    <xf numFmtId="14" fontId="21" fillId="3" borderId="0" xfId="0" applyNumberFormat="1" applyFont="1" applyFill="1" applyAlignment="1" applyProtection="1">
      <alignment horizontal="center"/>
      <protection locked="0"/>
    </xf>
    <xf numFmtId="1" fontId="21" fillId="3" borderId="0" xfId="0" applyNumberFormat="1" applyFont="1" applyFill="1" applyAlignment="1" applyProtection="1">
      <alignment wrapText="1"/>
      <protection locked="0"/>
    </xf>
    <xf numFmtId="1" fontId="21" fillId="3" borderId="0" xfId="0" applyNumberFormat="1" applyFont="1" applyFill="1" applyProtection="1">
      <protection locked="0"/>
    </xf>
    <xf numFmtId="0" fontId="21" fillId="3" borderId="0" xfId="0" applyFont="1" applyFill="1" applyProtection="1">
      <protection locked="0"/>
    </xf>
    <xf numFmtId="174" fontId="1" fillId="0" borderId="0" xfId="3" applyNumberFormat="1" applyFont="1" applyProtection="1">
      <protection locked="0"/>
    </xf>
    <xf numFmtId="0" fontId="21" fillId="3" borderId="0" xfId="0" applyFont="1" applyFill="1" applyAlignment="1" applyProtection="1">
      <alignment wrapText="1"/>
      <protection locked="0"/>
    </xf>
    <xf numFmtId="175" fontId="1" fillId="0" borderId="0" xfId="3" applyNumberFormat="1" applyFont="1" applyProtection="1">
      <protection locked="0"/>
    </xf>
    <xf numFmtId="1" fontId="24" fillId="3" borderId="0" xfId="0" applyNumberFormat="1" applyFont="1" applyFill="1" applyAlignment="1" applyProtection="1">
      <alignment horizontal="center" wrapText="1"/>
      <protection locked="0"/>
    </xf>
    <xf numFmtId="0" fontId="21" fillId="3" borderId="0" xfId="0" applyFont="1" applyFill="1" applyBorder="1"/>
    <xf numFmtId="1" fontId="41" fillId="0" borderId="0" xfId="0" applyNumberFormat="1" applyFont="1" applyAlignment="1" applyProtection="1">
      <alignment horizontal="center" wrapText="1"/>
      <protection locked="0"/>
    </xf>
    <xf numFmtId="0" fontId="0" fillId="3" borderId="0" xfId="0" applyFill="1" applyProtection="1">
      <protection locked="0"/>
    </xf>
    <xf numFmtId="1" fontId="41" fillId="3" borderId="0" xfId="0" applyNumberFormat="1" applyFont="1" applyFill="1" applyAlignment="1" applyProtection="1">
      <alignment horizontal="center" wrapText="1"/>
      <protection locked="0"/>
    </xf>
    <xf numFmtId="1" fontId="22" fillId="6" borderId="0" xfId="0" applyNumberFormat="1" applyFont="1" applyFill="1" applyAlignment="1" applyProtection="1">
      <alignment horizontal="center" wrapText="1"/>
      <protection locked="0"/>
    </xf>
    <xf numFmtId="1" fontId="22" fillId="6" borderId="0" xfId="0" applyNumberFormat="1" applyFont="1" applyFill="1" applyAlignment="1" applyProtection="1">
      <alignment wrapText="1"/>
      <protection locked="0"/>
    </xf>
    <xf numFmtId="2" fontId="42" fillId="0" borderId="0" xfId="0" applyNumberFormat="1" applyFont="1" applyAlignment="1" applyProtection="1">
      <alignment horizontal="center" wrapText="1"/>
      <protection locked="0"/>
    </xf>
    <xf numFmtId="1" fontId="42" fillId="0" borderId="0" xfId="0" applyNumberFormat="1" applyFont="1" applyAlignment="1" applyProtection="1">
      <alignment horizontal="center" wrapText="1"/>
      <protection locked="0"/>
    </xf>
    <xf numFmtId="1" fontId="42" fillId="0" borderId="0" xfId="0" applyNumberFormat="1" applyFont="1" applyAlignment="1" applyProtection="1">
      <alignment wrapText="1"/>
      <protection locked="0"/>
    </xf>
    <xf numFmtId="0" fontId="41" fillId="0" borderId="0" xfId="0" applyFont="1" applyAlignment="1"/>
    <xf numFmtId="0" fontId="2" fillId="0" borderId="0" xfId="4"/>
    <xf numFmtId="0" fontId="43" fillId="0" borderId="0" xfId="5" applyFont="1" applyAlignment="1">
      <alignment horizontal="left"/>
    </xf>
    <xf numFmtId="0" fontId="43" fillId="0" borderId="0" xfId="5" applyFont="1" applyFill="1" applyAlignment="1">
      <alignment horizontal="left"/>
    </xf>
    <xf numFmtId="3" fontId="42" fillId="0" borderId="0" xfId="5" applyNumberFormat="1"/>
    <xf numFmtId="164" fontId="42" fillId="0" borderId="0" xfId="5" applyNumberFormat="1" applyAlignment="1">
      <alignment horizontal="right"/>
    </xf>
    <xf numFmtId="0" fontId="42" fillId="0" borderId="0" xfId="5"/>
    <xf numFmtId="3" fontId="42" fillId="0" borderId="0" xfId="5" applyNumberFormat="1" applyFill="1"/>
    <xf numFmtId="164" fontId="42" fillId="0" borderId="0" xfId="5" applyNumberFormat="1" applyFill="1" applyAlignment="1">
      <alignment horizontal="right"/>
    </xf>
    <xf numFmtId="0" fontId="42" fillId="0" borderId="0" xfId="5" applyFill="1"/>
    <xf numFmtId="3" fontId="42" fillId="3" borderId="0" xfId="5" applyNumberFormat="1" applyFill="1"/>
    <xf numFmtId="164" fontId="42" fillId="3" borderId="0" xfId="5" applyNumberFormat="1" applyFill="1" applyAlignment="1">
      <alignment horizontal="right"/>
    </xf>
    <xf numFmtId="0" fontId="42" fillId="3" borderId="0" xfId="5" applyFill="1"/>
    <xf numFmtId="0" fontId="43" fillId="3" borderId="0" xfId="5" applyFont="1" applyFill="1" applyAlignment="1">
      <alignment horizontal="left"/>
    </xf>
    <xf numFmtId="3" fontId="24" fillId="3" borderId="0" xfId="5" applyNumberFormat="1" applyFont="1" applyFill="1"/>
    <xf numFmtId="164" fontId="24" fillId="3" borderId="0" xfId="5" applyNumberFormat="1" applyFont="1" applyFill="1" applyAlignment="1">
      <alignment horizontal="right"/>
    </xf>
    <xf numFmtId="0" fontId="24" fillId="3" borderId="0" xfId="5" applyFont="1" applyFill="1"/>
    <xf numFmtId="0" fontId="32" fillId="3" borderId="0" xfId="5" applyFont="1" applyFill="1" applyAlignment="1">
      <alignment horizontal="left"/>
    </xf>
    <xf numFmtId="0" fontId="24" fillId="3" borderId="0" xfId="6" applyFont="1" applyFill="1"/>
    <xf numFmtId="3" fontId="42" fillId="0" borderId="0" xfId="5" applyNumberFormat="1" applyAlignment="1">
      <alignment horizontal="right"/>
    </xf>
    <xf numFmtId="3" fontId="24" fillId="3" borderId="0" xfId="5" applyNumberFormat="1" applyFont="1" applyFill="1" applyAlignment="1">
      <alignment horizontal="right"/>
    </xf>
    <xf numFmtId="6" fontId="24" fillId="3" borderId="0" xfId="5" applyNumberFormat="1" applyFont="1" applyFill="1" applyAlignment="1">
      <alignment horizontal="center"/>
    </xf>
    <xf numFmtId="164" fontId="44" fillId="3" borderId="0" xfId="7" applyNumberFormat="1" applyFont="1" applyFill="1" applyAlignment="1">
      <alignment horizontal="center" wrapText="1"/>
    </xf>
    <xf numFmtId="6" fontId="22" fillId="3" borderId="0" xfId="5" applyNumberFormat="1" applyFont="1" applyFill="1" applyAlignment="1">
      <alignment horizontal="center"/>
    </xf>
    <xf numFmtId="0" fontId="45" fillId="0" borderId="0" xfId="6" applyFont="1"/>
    <xf numFmtId="6" fontId="22" fillId="6" borderId="0" xfId="5" applyNumberFormat="1" applyFont="1" applyFill="1" applyAlignment="1">
      <alignment horizontal="center"/>
    </xf>
    <xf numFmtId="3" fontId="42" fillId="0" borderId="0" xfId="5" applyNumberFormat="1" applyFill="1" applyAlignment="1">
      <alignment horizontal="right"/>
    </xf>
    <xf numFmtId="3" fontId="24" fillId="3" borderId="0" xfId="5" applyNumberFormat="1" applyFont="1" applyFill="1" applyAlignment="1">
      <alignment horizontal="center"/>
    </xf>
    <xf numFmtId="164" fontId="24" fillId="3" borderId="0" xfId="5" applyNumberFormat="1" applyFont="1" applyFill="1" applyAlignment="1">
      <alignment horizontal="center"/>
    </xf>
    <xf numFmtId="0" fontId="16" fillId="0" borderId="0" xfId="4" applyFont="1"/>
    <xf numFmtId="3" fontId="22" fillId="4" borderId="0" xfId="5" applyNumberFormat="1" applyFont="1" applyFill="1" applyAlignment="1">
      <alignment horizontal="center"/>
    </xf>
    <xf numFmtId="164" fontId="22" fillId="4" borderId="0" xfId="5" applyNumberFormat="1" applyFont="1" applyFill="1" applyAlignment="1">
      <alignment horizontal="center"/>
    </xf>
    <xf numFmtId="0" fontId="22" fillId="4" borderId="0" xfId="5" applyFont="1" applyFill="1" applyAlignment="1">
      <alignment horizontal="center" wrapText="1"/>
    </xf>
    <xf numFmtId="0" fontId="16" fillId="3" borderId="3" xfId="4" applyFont="1" applyFill="1" applyBorder="1" applyAlignment="1">
      <alignment horizontal="center"/>
    </xf>
    <xf numFmtId="3" fontId="2" fillId="0" borderId="0" xfId="4" applyNumberFormat="1"/>
    <xf numFmtId="0" fontId="42" fillId="0" borderId="0" xfId="5" applyAlignment="1">
      <alignment horizontal="right"/>
    </xf>
    <xf numFmtId="0" fontId="43" fillId="0" borderId="0" xfId="5" quotePrefix="1" applyFont="1" applyAlignment="1">
      <alignment horizontal="left"/>
    </xf>
    <xf numFmtId="0" fontId="41" fillId="3" borderId="0" xfId="6" applyFont="1" applyFill="1"/>
    <xf numFmtId="0" fontId="42" fillId="0" borderId="0" xfId="6"/>
    <xf numFmtId="0" fontId="41" fillId="3" borderId="0" xfId="6" applyFont="1" applyFill="1" applyAlignment="1">
      <alignment horizontal="center"/>
    </xf>
    <xf numFmtId="3" fontId="41" fillId="3" borderId="0" xfId="6" applyNumberFormat="1" applyFont="1" applyFill="1" applyAlignment="1">
      <alignment horizontal="center"/>
    </xf>
    <xf numFmtId="164" fontId="42" fillId="3" borderId="0" xfId="6" applyNumberFormat="1" applyFont="1" applyFill="1" applyAlignment="1"/>
    <xf numFmtId="9" fontId="42" fillId="0" borderId="0" xfId="8" applyNumberFormat="1" applyFont="1" applyFill="1"/>
    <xf numFmtId="6" fontId="42" fillId="0" borderId="0" xfId="5" applyNumberFormat="1" applyAlignment="1">
      <alignment horizontal="right"/>
    </xf>
    <xf numFmtId="3" fontId="2" fillId="0" borderId="0" xfId="4" applyNumberFormat="1" applyFont="1"/>
    <xf numFmtId="164" fontId="42" fillId="0" borderId="0" xfId="8" applyNumberFormat="1" applyFont="1" applyFill="1"/>
    <xf numFmtId="0" fontId="41" fillId="3" borderId="0" xfId="6" applyFont="1" applyFill="1" applyAlignment="1">
      <alignment horizontal="center" wrapText="1"/>
    </xf>
    <xf numFmtId="0" fontId="3" fillId="3" borderId="0" xfId="6" applyFont="1" applyFill="1" applyAlignment="1">
      <alignment horizontal="center" wrapText="1"/>
    </xf>
    <xf numFmtId="0" fontId="3" fillId="3" borderId="0" xfId="6" applyFont="1" applyFill="1" applyAlignment="1">
      <alignment horizontal="center"/>
    </xf>
    <xf numFmtId="0" fontId="47" fillId="3" borderId="0" xfId="6" applyFont="1" applyFill="1"/>
    <xf numFmtId="0" fontId="3" fillId="3" borderId="0" xfId="6" applyFont="1" applyFill="1"/>
    <xf numFmtId="0" fontId="42" fillId="0" borderId="0" xfId="6" applyAlignment="1">
      <alignment horizontal="center"/>
    </xf>
    <xf numFmtId="0" fontId="42" fillId="0" borderId="0" xfId="6" applyFont="1" applyAlignment="1">
      <alignment horizontal="center"/>
    </xf>
    <xf numFmtId="0" fontId="41" fillId="0" borderId="0" xfId="6" applyFont="1"/>
    <xf numFmtId="10" fontId="50" fillId="3" borderId="0" xfId="1" applyNumberFormat="1" applyFont="1" applyFill="1" applyAlignment="1">
      <alignment horizontal="center"/>
    </xf>
    <xf numFmtId="0" fontId="17" fillId="4" borderId="0" xfId="0" applyFont="1" applyFill="1" applyAlignment="1">
      <alignment horizontal="center"/>
    </xf>
    <xf numFmtId="0" fontId="17" fillId="3" borderId="0" xfId="0" applyFont="1" applyFill="1" applyAlignment="1">
      <alignment horizontal="center"/>
    </xf>
    <xf numFmtId="176" fontId="27" fillId="0" borderId="0" xfId="0" applyNumberFormat="1" applyFont="1"/>
    <xf numFmtId="176" fontId="27" fillId="3" borderId="0" xfId="0" applyNumberFormat="1" applyFont="1" applyFill="1"/>
    <xf numFmtId="169" fontId="27" fillId="3" borderId="0" xfId="3" applyNumberFormat="1" applyFont="1" applyFill="1"/>
    <xf numFmtId="0" fontId="51" fillId="3" borderId="19" xfId="15" applyFill="1"/>
    <xf numFmtId="169" fontId="51" fillId="3" borderId="19" xfId="15" applyNumberFormat="1" applyFill="1"/>
    <xf numFmtId="10" fontId="0" fillId="3" borderId="0" xfId="1" applyNumberFormat="1" applyFont="1" applyFill="1"/>
    <xf numFmtId="0" fontId="52" fillId="9" borderId="0" xfId="16"/>
    <xf numFmtId="0" fontId="54" fillId="3" borderId="0" xfId="0" applyFont="1" applyFill="1"/>
    <xf numFmtId="169" fontId="53" fillId="3" borderId="0" xfId="3" applyNumberFormat="1" applyFont="1" applyFill="1"/>
    <xf numFmtId="169" fontId="0" fillId="3" borderId="0" xfId="0" applyNumberFormat="1" applyFill="1"/>
    <xf numFmtId="0" fontId="41" fillId="3" borderId="0" xfId="0" applyFont="1" applyFill="1" applyBorder="1"/>
    <xf numFmtId="0" fontId="56" fillId="3" borderId="12" xfId="0" applyFont="1" applyFill="1" applyBorder="1" applyAlignment="1">
      <alignment wrapText="1"/>
    </xf>
    <xf numFmtId="0" fontId="55" fillId="2" borderId="25" xfId="0" applyFont="1" applyFill="1" applyBorder="1" applyAlignment="1">
      <alignment horizontal="center" vertical="center" wrapText="1"/>
    </xf>
    <xf numFmtId="0" fontId="55" fillId="2" borderId="26" xfId="0" applyFont="1" applyFill="1" applyBorder="1" applyAlignment="1">
      <alignment horizontal="center" vertical="center" wrapText="1"/>
    </xf>
    <xf numFmtId="0" fontId="55" fillId="2" borderId="27" xfId="0" applyFont="1" applyFill="1" applyBorder="1" applyAlignment="1">
      <alignment horizontal="center" vertical="center" wrapText="1"/>
    </xf>
    <xf numFmtId="0" fontId="55" fillId="2" borderId="28" xfId="0" applyFont="1" applyFill="1" applyBorder="1" applyAlignment="1">
      <alignment horizontal="center" vertical="center" wrapText="1"/>
    </xf>
    <xf numFmtId="0" fontId="42" fillId="3" borderId="8" xfId="0" applyFont="1" applyFill="1" applyBorder="1" applyAlignment="1">
      <alignment wrapText="1"/>
    </xf>
    <xf numFmtId="7" fontId="42" fillId="3" borderId="11" xfId="2" applyNumberFormat="1" applyFont="1" applyFill="1" applyBorder="1" applyAlignment="1">
      <alignment horizontal="center" wrapText="1"/>
    </xf>
    <xf numFmtId="7" fontId="42" fillId="3" borderId="13" xfId="0" applyNumberFormat="1" applyFont="1" applyFill="1" applyBorder="1" applyAlignment="1">
      <alignment horizontal="center" wrapText="1"/>
    </xf>
    <xf numFmtId="7" fontId="42" fillId="3" borderId="13" xfId="2" applyNumberFormat="1" applyFont="1" applyFill="1" applyBorder="1" applyAlignment="1">
      <alignment horizontal="center" wrapText="1"/>
    </xf>
    <xf numFmtId="0" fontId="42" fillId="3" borderId="8" xfId="0" applyFont="1" applyFill="1" applyBorder="1"/>
    <xf numFmtId="0" fontId="0" fillId="7" borderId="0" xfId="0" applyFill="1" applyBorder="1"/>
    <xf numFmtId="10" fontId="0" fillId="0" borderId="0" xfId="1" applyNumberFormat="1" applyFont="1"/>
    <xf numFmtId="2" fontId="0" fillId="0" borderId="0" xfId="0" applyNumberFormat="1"/>
    <xf numFmtId="43" fontId="0" fillId="0" borderId="0" xfId="3" applyFont="1"/>
    <xf numFmtId="0" fontId="47" fillId="3" borderId="9" xfId="0" applyFont="1" applyFill="1" applyBorder="1" applyAlignment="1">
      <alignment horizontal="center" vertical="center"/>
    </xf>
    <xf numFmtId="0" fontId="47" fillId="3" borderId="13" xfId="0" applyFont="1" applyFill="1" applyBorder="1" applyAlignment="1">
      <alignment horizontal="center" vertical="center"/>
    </xf>
    <xf numFmtId="0" fontId="42" fillId="0" borderId="13" xfId="0" applyFont="1" applyBorder="1" applyAlignment="1">
      <alignment horizontal="center" vertical="center"/>
    </xf>
    <xf numFmtId="0" fontId="57" fillId="3" borderId="0" xfId="0" applyFont="1" applyFill="1"/>
    <xf numFmtId="0" fontId="0" fillId="0" borderId="0" xfId="0" applyAlignment="1">
      <alignment vertical="center"/>
    </xf>
    <xf numFmtId="177" fontId="21" fillId="3" borderId="0" xfId="0" applyNumberFormat="1" applyFont="1" applyFill="1"/>
    <xf numFmtId="177" fontId="21" fillId="3" borderId="0" xfId="0" applyNumberFormat="1" applyFont="1" applyFill="1" applyBorder="1"/>
    <xf numFmtId="0" fontId="21" fillId="0" borderId="5" xfId="0" applyFont="1" applyFill="1" applyBorder="1"/>
    <xf numFmtId="0" fontId="0" fillId="0" borderId="0" xfId="0" applyBorder="1"/>
    <xf numFmtId="0" fontId="21" fillId="0" borderId="4" xfId="0" applyFont="1" applyFill="1" applyBorder="1"/>
    <xf numFmtId="170" fontId="19" fillId="0" borderId="5" xfId="0" applyNumberFormat="1" applyFont="1" applyFill="1" applyBorder="1"/>
    <xf numFmtId="170" fontId="19" fillId="0" borderId="4" xfId="0" applyNumberFormat="1" applyFont="1" applyFill="1" applyBorder="1"/>
    <xf numFmtId="0" fontId="58" fillId="0" borderId="4" xfId="17" applyFill="1" applyBorder="1" applyAlignment="1" applyProtection="1"/>
    <xf numFmtId="0" fontId="19" fillId="0" borderId="5" xfId="0" applyFont="1" applyFill="1" applyBorder="1" applyAlignment="1">
      <alignment horizontal="center"/>
    </xf>
    <xf numFmtId="167" fontId="19" fillId="0" borderId="5" xfId="0" applyNumberFormat="1" applyFont="1" applyFill="1" applyBorder="1" applyAlignment="1">
      <alignment horizontal="center"/>
    </xf>
    <xf numFmtId="167" fontId="19" fillId="0" borderId="4" xfId="0" applyNumberFormat="1" applyFont="1" applyFill="1" applyBorder="1" applyAlignment="1">
      <alignment horizontal="center"/>
    </xf>
    <xf numFmtId="0" fontId="19" fillId="0" borderId="4" xfId="0" applyFont="1" applyFill="1" applyBorder="1" applyAlignment="1">
      <alignment horizontal="center"/>
    </xf>
    <xf numFmtId="0" fontId="22" fillId="10" borderId="0" xfId="0" applyFont="1" applyFill="1"/>
    <xf numFmtId="0" fontId="22" fillId="10" borderId="0" xfId="0" applyFont="1" applyFill="1" applyAlignment="1">
      <alignment horizontal="center"/>
    </xf>
    <xf numFmtId="168" fontId="25" fillId="10" borderId="0" xfId="2" applyNumberFormat="1" applyFont="1" applyFill="1" applyAlignment="1"/>
    <xf numFmtId="0" fontId="44" fillId="11" borderId="0" xfId="0" applyFont="1" applyFill="1" applyAlignment="1">
      <alignment horizontal="center"/>
    </xf>
    <xf numFmtId="167" fontId="44" fillId="11" borderId="0" xfId="2" applyNumberFormat="1" applyFont="1" applyFill="1" applyAlignment="1">
      <alignment horizontal="center"/>
    </xf>
    <xf numFmtId="178" fontId="59" fillId="0" borderId="0" xfId="3" applyNumberFormat="1" applyFont="1" applyFill="1" applyAlignment="1">
      <alignment horizontal="right"/>
    </xf>
    <xf numFmtId="179" fontId="61" fillId="3" borderId="0" xfId="18" applyNumberFormat="1" applyFont="1" applyFill="1" applyBorder="1" applyAlignment="1">
      <alignment horizontal="right" vertical="center"/>
    </xf>
    <xf numFmtId="4" fontId="6" fillId="3" borderId="0" xfId="18" applyNumberFormat="1" applyFont="1" applyFill="1" applyBorder="1">
      <alignment horizontal="right" vertical="center"/>
    </xf>
    <xf numFmtId="2" fontId="6" fillId="3" borderId="0" xfId="18" applyNumberFormat="1" applyFont="1" applyFill="1" applyBorder="1">
      <alignment horizontal="right" vertical="center"/>
    </xf>
    <xf numFmtId="9" fontId="6" fillId="3" borderId="0" xfId="18" applyNumberFormat="1" applyFont="1" applyFill="1" applyBorder="1">
      <alignment horizontal="right" vertical="center"/>
    </xf>
    <xf numFmtId="0" fontId="1" fillId="13" borderId="31" xfId="6" applyFont="1" applyFill="1" applyBorder="1" applyAlignment="1">
      <alignment horizontal="center" vertical="center" wrapText="1"/>
    </xf>
    <xf numFmtId="0" fontId="0" fillId="0" borderId="0" xfId="0" applyFill="1"/>
    <xf numFmtId="0" fontId="12" fillId="0" borderId="0" xfId="0" applyFont="1" applyFill="1"/>
    <xf numFmtId="0" fontId="67" fillId="0" borderId="0" xfId="0" applyFont="1" applyFill="1"/>
    <xf numFmtId="1" fontId="66" fillId="0" borderId="33" xfId="0" applyNumberFormat="1" applyFont="1" applyFill="1" applyBorder="1" applyAlignment="1">
      <alignment vertical="top" wrapText="1"/>
    </xf>
    <xf numFmtId="0" fontId="65" fillId="0" borderId="33" xfId="0" applyFont="1" applyFill="1" applyBorder="1" applyAlignment="1">
      <alignment vertical="top" wrapText="1"/>
    </xf>
    <xf numFmtId="164" fontId="0" fillId="14" borderId="0" xfId="1" applyNumberFormat="1" applyFont="1" applyFill="1"/>
    <xf numFmtId="0" fontId="33" fillId="15" borderId="0" xfId="0" applyFont="1" applyFill="1"/>
    <xf numFmtId="4" fontId="0" fillId="15" borderId="0" xfId="0" applyNumberFormat="1" applyFill="1"/>
    <xf numFmtId="164" fontId="0" fillId="15" borderId="0" xfId="1" applyNumberFormat="1" applyFont="1" applyFill="1"/>
    <xf numFmtId="0" fontId="33" fillId="15" borderId="0" xfId="0" applyFont="1" applyFill="1" applyAlignment="1">
      <alignment horizontal="right"/>
    </xf>
    <xf numFmtId="9" fontId="0" fillId="3" borderId="0" xfId="1" applyFont="1" applyFill="1"/>
    <xf numFmtId="164" fontId="0" fillId="3" borderId="0" xfId="1" applyNumberFormat="1" applyFont="1" applyFill="1"/>
    <xf numFmtId="164" fontId="0" fillId="15" borderId="0" xfId="0" applyNumberFormat="1" applyFill="1"/>
    <xf numFmtId="9" fontId="0" fillId="15" borderId="0" xfId="0" applyNumberFormat="1" applyFill="1"/>
    <xf numFmtId="164" fontId="0" fillId="3" borderId="0" xfId="0" applyNumberFormat="1" applyFill="1"/>
    <xf numFmtId="9" fontId="0" fillId="14" borderId="0" xfId="0" applyNumberFormat="1" applyFill="1"/>
    <xf numFmtId="164" fontId="0" fillId="14" borderId="0" xfId="0" applyNumberFormat="1" applyFill="1"/>
    <xf numFmtId="0" fontId="68" fillId="0" borderId="0" xfId="0" applyFont="1"/>
    <xf numFmtId="0" fontId="69" fillId="10" borderId="0" xfId="0" applyFont="1" applyFill="1"/>
    <xf numFmtId="0" fontId="70" fillId="10" borderId="0" xfId="0" applyFont="1" applyFill="1"/>
    <xf numFmtId="0" fontId="0" fillId="10" borderId="0" xfId="0" applyFill="1"/>
    <xf numFmtId="0" fontId="70" fillId="3" borderId="0" xfId="0" applyFont="1" applyFill="1"/>
    <xf numFmtId="0" fontId="9" fillId="4" borderId="0" xfId="6" applyFont="1" applyFill="1" applyBorder="1" applyAlignment="1"/>
    <xf numFmtId="0" fontId="42" fillId="3" borderId="0" xfId="6" applyFont="1" applyFill="1"/>
    <xf numFmtId="3" fontId="2" fillId="3" borderId="0" xfId="4" applyNumberFormat="1" applyFont="1" applyFill="1"/>
    <xf numFmtId="6" fontId="42" fillId="3" borderId="0" xfId="5" applyNumberFormat="1" applyFill="1" applyAlignment="1">
      <alignment horizontal="right"/>
    </xf>
    <xf numFmtId="164" fontId="42" fillId="3" borderId="0" xfId="8" applyNumberFormat="1" applyFont="1" applyFill="1"/>
    <xf numFmtId="3" fontId="28" fillId="3" borderId="0" xfId="4" applyNumberFormat="1" applyFont="1" applyFill="1"/>
    <xf numFmtId="6" fontId="71" fillId="3" borderId="0" xfId="5" applyNumberFormat="1" applyFont="1" applyFill="1" applyAlignment="1">
      <alignment horizontal="right"/>
    </xf>
    <xf numFmtId="164" fontId="71" fillId="3" borderId="0" xfId="8" applyNumberFormat="1" applyFont="1" applyFill="1"/>
    <xf numFmtId="9" fontId="42" fillId="3" borderId="0" xfId="9" applyFont="1" applyFill="1"/>
    <xf numFmtId="0" fontId="9" fillId="10" borderId="0" xfId="0" applyFont="1" applyFill="1"/>
    <xf numFmtId="0" fontId="9" fillId="10" borderId="0" xfId="0" applyFont="1" applyFill="1" applyAlignment="1">
      <alignment wrapText="1"/>
    </xf>
    <xf numFmtId="0" fontId="1" fillId="3" borderId="0" xfId="0" applyFont="1" applyFill="1" applyAlignment="1">
      <alignment horizontal="center"/>
    </xf>
    <xf numFmtId="3" fontId="1" fillId="3" borderId="0" xfId="0" applyNumberFormat="1" applyFont="1" applyFill="1" applyAlignment="1">
      <alignment horizontal="left"/>
    </xf>
    <xf numFmtId="0" fontId="8" fillId="10" borderId="0" xfId="0" applyFont="1" applyFill="1" applyAlignment="1">
      <alignment horizontal="center"/>
    </xf>
    <xf numFmtId="0" fontId="8" fillId="10" borderId="0" xfId="0" applyFont="1" applyFill="1" applyAlignment="1">
      <alignment horizontal="center" wrapText="1"/>
    </xf>
    <xf numFmtId="168" fontId="0" fillId="0" borderId="0" xfId="2" applyNumberFormat="1" applyFont="1"/>
    <xf numFmtId="0" fontId="0" fillId="0" borderId="0" xfId="0" applyAlignment="1">
      <alignment horizontal="right"/>
    </xf>
    <xf numFmtId="168" fontId="0" fillId="0" borderId="0" xfId="0" applyNumberFormat="1"/>
    <xf numFmtId="0" fontId="1" fillId="3" borderId="0" xfId="0" applyFont="1" applyFill="1" applyAlignment="1">
      <alignment horizontal="left" wrapText="1"/>
    </xf>
    <xf numFmtId="0" fontId="0" fillId="0" borderId="4" xfId="0" applyBorder="1"/>
    <xf numFmtId="0" fontId="17" fillId="4" borderId="0" xfId="0" applyFont="1" applyFill="1" applyAlignment="1">
      <alignment horizontal="center"/>
    </xf>
    <xf numFmtId="0" fontId="32" fillId="8" borderId="0" xfId="0" applyFont="1" applyFill="1" applyAlignment="1">
      <alignment horizontal="center"/>
    </xf>
    <xf numFmtId="0" fontId="32" fillId="3" borderId="0" xfId="0" applyFont="1" applyFill="1" applyAlignment="1">
      <alignment horizontal="center"/>
    </xf>
    <xf numFmtId="0" fontId="32" fillId="3" borderId="14" xfId="0" applyFont="1" applyFill="1" applyBorder="1" applyAlignment="1">
      <alignment horizontal="center"/>
    </xf>
    <xf numFmtId="0" fontId="32" fillId="3" borderId="12" xfId="0" applyFont="1" applyFill="1" applyBorder="1" applyAlignment="1">
      <alignment horizontal="center"/>
    </xf>
    <xf numFmtId="9" fontId="21" fillId="3" borderId="10" xfId="0" applyNumberFormat="1" applyFont="1" applyFill="1" applyBorder="1" applyAlignment="1">
      <alignment horizontal="center"/>
    </xf>
    <xf numFmtId="9" fontId="21" fillId="3" borderId="8" xfId="0" applyNumberFormat="1" applyFont="1" applyFill="1" applyBorder="1" applyAlignment="1">
      <alignment horizontal="center"/>
    </xf>
    <xf numFmtId="0" fontId="32" fillId="3" borderId="0" xfId="0" applyFont="1" applyFill="1" applyAlignment="1">
      <alignment horizontal="center" wrapText="1"/>
    </xf>
    <xf numFmtId="9" fontId="21" fillId="3" borderId="0" xfId="1" applyFont="1" applyFill="1" applyAlignment="1">
      <alignment horizontal="center"/>
    </xf>
    <xf numFmtId="0" fontId="11" fillId="4" borderId="0" xfId="0" applyFont="1" applyFill="1" applyAlignment="1">
      <alignment horizontal="center"/>
    </xf>
    <xf numFmtId="9" fontId="12" fillId="3" borderId="0" xfId="1" applyFont="1" applyFill="1" applyAlignment="1">
      <alignment horizontal="center"/>
    </xf>
    <xf numFmtId="9" fontId="12" fillId="3" borderId="0" xfId="0" applyNumberFormat="1" applyFont="1" applyFill="1" applyAlignment="1">
      <alignment horizontal="center"/>
    </xf>
    <xf numFmtId="0" fontId="48" fillId="3" borderId="0" xfId="6" applyFont="1" applyFill="1" applyBorder="1" applyAlignment="1">
      <alignment horizontal="center"/>
    </xf>
    <xf numFmtId="0" fontId="33" fillId="3" borderId="0" xfId="0" applyFont="1" applyFill="1" applyAlignment="1">
      <alignment horizontal="center"/>
    </xf>
    <xf numFmtId="0" fontId="62" fillId="0" borderId="0" xfId="0" applyFont="1" applyFill="1" applyBorder="1" applyAlignment="1">
      <alignment horizontal="left" vertical="top" wrapText="1"/>
    </xf>
    <xf numFmtId="0" fontId="62" fillId="0" borderId="0" xfId="0" applyFont="1" applyFill="1" applyBorder="1" applyAlignment="1">
      <alignment horizontal="left" vertical="top" wrapText="1" indent="1"/>
    </xf>
    <xf numFmtId="180" fontId="63" fillId="0" borderId="0" xfId="0" applyNumberFormat="1" applyFont="1" applyFill="1" applyBorder="1" applyAlignment="1">
      <alignment horizontal="right" vertical="top" wrapText="1" indent="1"/>
    </xf>
    <xf numFmtId="0" fontId="62" fillId="0" borderId="32" xfId="0" applyFont="1" applyFill="1" applyBorder="1" applyAlignment="1">
      <alignment horizontal="left" vertical="top" wrapText="1"/>
    </xf>
    <xf numFmtId="0" fontId="62" fillId="0" borderId="32" xfId="0" applyFont="1" applyFill="1" applyBorder="1" applyAlignment="1">
      <alignment horizontal="left" vertical="top" wrapText="1" indent="1"/>
    </xf>
    <xf numFmtId="180" fontId="63" fillId="0" borderId="32" xfId="0" applyNumberFormat="1" applyFont="1" applyFill="1" applyBorder="1" applyAlignment="1">
      <alignment horizontal="right" vertical="top" wrapText="1" indent="1"/>
    </xf>
    <xf numFmtId="181" fontId="63" fillId="0" borderId="0" xfId="0" applyNumberFormat="1" applyFont="1" applyFill="1" applyBorder="1" applyAlignment="1">
      <alignment horizontal="right" vertical="top" wrapText="1" indent="1"/>
    </xf>
    <xf numFmtId="0" fontId="64" fillId="0" borderId="32" xfId="0" applyFont="1" applyFill="1" applyBorder="1" applyAlignment="1">
      <alignment horizontal="left" vertical="top" wrapText="1"/>
    </xf>
    <xf numFmtId="0" fontId="65" fillId="0" borderId="32" xfId="0" applyFont="1" applyFill="1" applyBorder="1" applyAlignment="1">
      <alignment horizontal="left" vertical="top" wrapText="1"/>
    </xf>
    <xf numFmtId="181" fontId="63" fillId="0" borderId="32" xfId="0" applyNumberFormat="1" applyFont="1" applyFill="1" applyBorder="1" applyAlignment="1">
      <alignment horizontal="right" vertical="top" wrapText="1" indent="1"/>
    </xf>
    <xf numFmtId="0" fontId="62" fillId="0" borderId="33" xfId="0" applyFont="1" applyFill="1" applyBorder="1" applyAlignment="1">
      <alignment horizontal="left" vertical="top" wrapText="1"/>
    </xf>
    <xf numFmtId="0" fontId="62" fillId="0" borderId="33" xfId="0" applyFont="1" applyFill="1" applyBorder="1" applyAlignment="1">
      <alignment horizontal="left" vertical="top" wrapText="1" indent="1"/>
    </xf>
    <xf numFmtId="180" fontId="63" fillId="0" borderId="33" xfId="0" applyNumberFormat="1" applyFont="1" applyFill="1" applyBorder="1" applyAlignment="1">
      <alignment horizontal="right" vertical="top" wrapText="1" indent="1"/>
    </xf>
    <xf numFmtId="0" fontId="65" fillId="0" borderId="33" xfId="0" applyFont="1" applyFill="1" applyBorder="1" applyAlignment="1">
      <alignment horizontal="left" vertical="top" wrapText="1"/>
    </xf>
    <xf numFmtId="181" fontId="63" fillId="0" borderId="33" xfId="0" applyNumberFormat="1" applyFont="1" applyFill="1" applyBorder="1" applyAlignment="1">
      <alignment horizontal="right" vertical="top" wrapText="1" indent="1"/>
    </xf>
    <xf numFmtId="0" fontId="64" fillId="0" borderId="34" xfId="0" applyFont="1" applyFill="1" applyBorder="1" applyAlignment="1">
      <alignment horizontal="left" vertical="top" wrapText="1"/>
    </xf>
    <xf numFmtId="0" fontId="65" fillId="0" borderId="34" xfId="0" applyFont="1" applyFill="1" applyBorder="1" applyAlignment="1">
      <alignment horizontal="left" vertical="top" wrapText="1"/>
    </xf>
    <xf numFmtId="181" fontId="63" fillId="0" borderId="34" xfId="0" applyNumberFormat="1" applyFont="1" applyFill="1" applyBorder="1" applyAlignment="1">
      <alignment horizontal="right" vertical="top" wrapText="1" indent="1"/>
    </xf>
    <xf numFmtId="0" fontId="62" fillId="0" borderId="0" xfId="0" applyFont="1" applyFill="1" applyBorder="1" applyAlignment="1">
      <alignment horizontal="left" vertical="top" wrapText="1" indent="2"/>
    </xf>
    <xf numFmtId="0" fontId="62" fillId="0" borderId="32" xfId="0" applyFont="1" applyFill="1" applyBorder="1" applyAlignment="1">
      <alignment horizontal="left" vertical="top" wrapText="1" indent="2"/>
    </xf>
    <xf numFmtId="0" fontId="62" fillId="0" borderId="33" xfId="0" applyFont="1" applyFill="1" applyBorder="1" applyAlignment="1">
      <alignment horizontal="left" vertical="top" wrapText="1" indent="2"/>
    </xf>
    <xf numFmtId="0" fontId="55" fillId="2" borderId="20" xfId="0" applyFont="1" applyFill="1" applyBorder="1" applyAlignment="1">
      <alignment horizontal="center"/>
    </xf>
    <xf numFmtId="0" fontId="55" fillId="2" borderId="21" xfId="0" applyFont="1" applyFill="1" applyBorder="1" applyAlignment="1">
      <alignment horizontal="center"/>
    </xf>
    <xf numFmtId="0" fontId="55" fillId="2" borderId="22" xfId="0" applyFont="1" applyFill="1" applyBorder="1" applyAlignment="1">
      <alignment horizontal="center"/>
    </xf>
    <xf numFmtId="0" fontId="55" fillId="2" borderId="23" xfId="0" applyFont="1" applyFill="1" applyBorder="1" applyAlignment="1">
      <alignment horizontal="center"/>
    </xf>
    <xf numFmtId="0" fontId="55" fillId="2" borderId="24" xfId="0" applyFont="1" applyFill="1" applyBorder="1" applyAlignment="1">
      <alignment horizontal="center"/>
    </xf>
    <xf numFmtId="0" fontId="55" fillId="2" borderId="29" xfId="0" applyFont="1" applyFill="1" applyBorder="1" applyAlignment="1">
      <alignment horizontal="center"/>
    </xf>
  </cellXfs>
  <cellStyles count="19">
    <cellStyle name="Accent3" xfId="16" builtinId="37"/>
    <cellStyle name="Comma" xfId="3" builtinId="3"/>
    <cellStyle name="Comma 2" xfId="10" xr:uid="{00000000-0005-0000-0000-000002000000}"/>
    <cellStyle name="Comma 3" xfId="11" xr:uid="{00000000-0005-0000-0000-000003000000}"/>
    <cellStyle name="Currency" xfId="2" builtinId="4"/>
    <cellStyle name="Currency 2" xfId="12" xr:uid="{00000000-0005-0000-0000-000005000000}"/>
    <cellStyle name="Currency 3" xfId="13" xr:uid="{00000000-0005-0000-0000-000006000000}"/>
    <cellStyle name="Gen_Black_pD" xfId="18" xr:uid="{00000000-0005-0000-0000-000007000000}"/>
    <cellStyle name="Hyperlink" xfId="17" builtinId="8"/>
    <cellStyle name="Normal" xfId="0" builtinId="0"/>
    <cellStyle name="Normal 2" xfId="4" xr:uid="{00000000-0005-0000-0000-00000A000000}"/>
    <cellStyle name="Normal 2 2" xfId="6" xr:uid="{00000000-0005-0000-0000-00000B000000}"/>
    <cellStyle name="Normal 3" xfId="5" xr:uid="{00000000-0005-0000-0000-00000C000000}"/>
    <cellStyle name="Normal 4" xfId="14" xr:uid="{00000000-0005-0000-0000-00000D000000}"/>
    <cellStyle name="Percent" xfId="1" builtinId="5"/>
    <cellStyle name="Percent 2" xfId="7" xr:uid="{00000000-0005-0000-0000-00000F000000}"/>
    <cellStyle name="Percent 2 2" xfId="8" xr:uid="{00000000-0005-0000-0000-000010000000}"/>
    <cellStyle name="Percent 3" xfId="9" xr:uid="{00000000-0005-0000-0000-000011000000}"/>
    <cellStyle name="Total" xfId="15" builtinId="25"/>
  </cellStyles>
  <dxfs count="1">
    <dxf>
      <fill>
        <patternFill>
          <bgColor theme="0" tint="-4.9989318521683403E-2"/>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externalLink" Target="externalLinks/externalLink8.xml"/><Relationship Id="rId21" Type="http://schemas.openxmlformats.org/officeDocument/2006/relationships/worksheet" Target="worksheets/sheet21.xml"/><Relationship Id="rId34" Type="http://schemas.openxmlformats.org/officeDocument/2006/relationships/externalLink" Target="externalLinks/externalLink3.xml"/><Relationship Id="rId42"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1.xml"/><Relationship Id="rId37" Type="http://schemas.openxmlformats.org/officeDocument/2006/relationships/externalLink" Target="externalLinks/externalLink6.xml"/><Relationship Id="rId40" Type="http://schemas.openxmlformats.org/officeDocument/2006/relationships/externalLink" Target="externalLinks/externalLink9.xml"/><Relationship Id="rId45"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4.xml"/><Relationship Id="rId43"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2.xml"/><Relationship Id="rId38" Type="http://schemas.openxmlformats.org/officeDocument/2006/relationships/externalLink" Target="externalLinks/externalLink7.xml"/><Relationship Id="rId20" Type="http://schemas.openxmlformats.org/officeDocument/2006/relationships/worksheet" Target="worksheets/sheet20.xml"/><Relationship Id="rId41" Type="http://schemas.openxmlformats.org/officeDocument/2006/relationships/externalLink" Target="externalLinks/externalLink10.xml"/></Relationships>
</file>

<file path=xl/charts/_rels/chart5.xml.rels><?xml version="1.0" encoding="UTF-8" standalone="yes"?>
<Relationships xmlns="http://schemas.openxmlformats.org/package/2006/relationships"><Relationship Id="rId1" Type="http://schemas.openxmlformats.org/officeDocument/2006/relationships/chartUserShapes" Target="../drawings/drawing3.xml"/></Relationships>
</file>

<file path=xl/charts/_rels/chart6.xml.rels><?xml version="1.0" encoding="UTF-8" standalone="yes"?>
<Relationships xmlns="http://schemas.openxmlformats.org/package/2006/relationships"><Relationship Id="rId1" Type="http://schemas.openxmlformats.org/officeDocument/2006/relationships/chartUserShapes" Target="../drawings/drawing4.xml"/></Relationships>
</file>

<file path=xl/charts/_rels/chart7.xml.rels><?xml version="1.0" encoding="UTF-8" standalone="yes"?>
<Relationships xmlns="http://schemas.openxmlformats.org/package/2006/relationships"><Relationship Id="rId1" Type="http://schemas.openxmlformats.org/officeDocument/2006/relationships/chartUserShapes" Target="../drawings/drawing5.xml"/></Relationships>
</file>

<file path=xl/charts/_rels/chart28.xml.rels><?xml version="1.0" encoding="UTF-8" standalone="yes"?>
<Relationships xmlns="http://schemas.openxmlformats.org/package/2006/relationships"><Relationship Id="rId1" Type="http://schemas.openxmlformats.org/officeDocument/2006/relationships/chartUserShapes" Target="../drawings/drawing20.xml"/></Relationships>
</file>

<file path=xl/charts/_rels/chart30.xml.rels><?xml version="1.0" encoding="UTF-8" standalone="yes"?>
<Relationships xmlns="http://schemas.openxmlformats.org/package/2006/relationships"><Relationship Id="rId1" Type="http://schemas.openxmlformats.org/officeDocument/2006/relationships/chartUserShapes" Target="../drawings/drawing2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'Pharmacy-Wholesale data'!$A$8</c:f>
              <c:strCache>
                <c:ptCount val="1"/>
                <c:pt idx="0">
                  <c:v>Pharmacies and drugstores (US Census NAICS 44611)</c:v>
                </c:pt>
              </c:strCache>
            </c:strRef>
          </c:tx>
          <c:spPr>
            <a:ln>
              <a:solidFill>
                <a:schemeClr val="accent3">
                  <a:lumMod val="50000"/>
                </a:schemeClr>
              </a:solidFill>
            </a:ln>
          </c:spPr>
          <c:marker>
            <c:symbol val="none"/>
          </c:marker>
          <c:cat>
            <c:numRef>
              <c:f>'Pharmacy-Wholesale data'!$C$6:$T$6</c:f>
              <c:numCache>
                <c:formatCode>General</c:formatCode>
                <c:ptCount val="17"/>
                <c:pt idx="0">
                  <c:v>1999</c:v>
                </c:pt>
                <c:pt idx="1">
                  <c:v>2000</c:v>
                </c:pt>
                <c:pt idx="2">
                  <c:v>2001</c:v>
                </c:pt>
                <c:pt idx="3">
                  <c:v>2002</c:v>
                </c:pt>
                <c:pt idx="4">
                  <c:v>2003</c:v>
                </c:pt>
                <c:pt idx="5">
                  <c:v>2004</c:v>
                </c:pt>
                <c:pt idx="6">
                  <c:v>2005</c:v>
                </c:pt>
                <c:pt idx="7">
                  <c:v>2006</c:v>
                </c:pt>
                <c:pt idx="8">
                  <c:v>2007</c:v>
                </c:pt>
                <c:pt idx="9">
                  <c:v>2008</c:v>
                </c:pt>
                <c:pt idx="10">
                  <c:v>2009</c:v>
                </c:pt>
                <c:pt idx="11">
                  <c:v>2010</c:v>
                </c:pt>
                <c:pt idx="12">
                  <c:v>2011</c:v>
                </c:pt>
                <c:pt idx="13">
                  <c:v>2012</c:v>
                </c:pt>
                <c:pt idx="14">
                  <c:v>2013</c:v>
                </c:pt>
                <c:pt idx="15">
                  <c:v>2014</c:v>
                </c:pt>
                <c:pt idx="16">
                  <c:v>2015</c:v>
                </c:pt>
              </c:numCache>
            </c:numRef>
          </c:cat>
          <c:val>
            <c:numRef>
              <c:f>'Pharmacy-Wholesale data'!$C$9:$T$9</c:f>
              <c:numCache>
                <c:formatCode>0.0%</c:formatCode>
                <c:ptCount val="17"/>
                <c:pt idx="0">
                  <c:v>0.11868283909053168</c:v>
                </c:pt>
                <c:pt idx="1">
                  <c:v>7.8948236341749078E-2</c:v>
                </c:pt>
                <c:pt idx="2">
                  <c:v>8.3411663113169388E-2</c:v>
                </c:pt>
                <c:pt idx="3">
                  <c:v>8.5799734785430237E-2</c:v>
                </c:pt>
                <c:pt idx="4">
                  <c:v>7.5278037626026473E-2</c:v>
                </c:pt>
                <c:pt idx="5">
                  <c:v>2.2395543848626076E-2</c:v>
                </c:pt>
                <c:pt idx="6">
                  <c:v>5.8730374458580314E-2</c:v>
                </c:pt>
                <c:pt idx="7">
                  <c:v>6.6127141820617297E-2</c:v>
                </c:pt>
                <c:pt idx="8">
                  <c:v>5.8978734988325732E-2</c:v>
                </c:pt>
                <c:pt idx="9">
                  <c:v>4.3260959838642643E-2</c:v>
                </c:pt>
                <c:pt idx="10">
                  <c:v>3.1250740398512056E-2</c:v>
                </c:pt>
                <c:pt idx="11">
                  <c:v>2.376510591370673E-2</c:v>
                </c:pt>
                <c:pt idx="12">
                  <c:v>8.8622181636335284E-3</c:v>
                </c:pt>
                <c:pt idx="13">
                  <c:v>3.9092905442132952E-3</c:v>
                </c:pt>
                <c:pt idx="14">
                  <c:v>2.2987559775452304E-2</c:v>
                </c:pt>
                <c:pt idx="15">
                  <c:v>6.4508343530746748E-2</c:v>
                </c:pt>
                <c:pt idx="16">
                  <c:v>4.5623413920113265E-2</c:v>
                </c:pt>
              </c:numCache>
            </c:numRef>
          </c:val>
          <c:smooth val="0"/>
          <c:extLst>
            <c:ext xmlns:c16="http://schemas.microsoft.com/office/drawing/2014/chart" uri="{C3380CC4-5D6E-409C-BE32-E72D297353CC}">
              <c16:uniqueId val="{00000000-921B-4D59-AD4F-93B5641E4427}"/>
            </c:ext>
          </c:extLst>
        </c:ser>
        <c:ser>
          <c:idx val="1"/>
          <c:order val="1"/>
          <c:tx>
            <c:strRef>
              <c:f>'Pharmacy-Wholesale data'!$A$11</c:f>
              <c:strCache>
                <c:ptCount val="1"/>
                <c:pt idx="0">
                  <c:v>Pharmaceutical wholesalers (US Census NAICS 4242)</c:v>
                </c:pt>
              </c:strCache>
            </c:strRef>
          </c:tx>
          <c:spPr>
            <a:ln>
              <a:solidFill>
                <a:schemeClr val="accent6">
                  <a:lumMod val="75000"/>
                </a:schemeClr>
              </a:solidFill>
            </a:ln>
          </c:spPr>
          <c:marker>
            <c:symbol val="none"/>
          </c:marker>
          <c:cat>
            <c:numRef>
              <c:f>'Pharmacy-Wholesale data'!$C$6:$T$6</c:f>
              <c:numCache>
                <c:formatCode>General</c:formatCode>
                <c:ptCount val="17"/>
                <c:pt idx="0">
                  <c:v>1999</c:v>
                </c:pt>
                <c:pt idx="1">
                  <c:v>2000</c:v>
                </c:pt>
                <c:pt idx="2">
                  <c:v>2001</c:v>
                </c:pt>
                <c:pt idx="3">
                  <c:v>2002</c:v>
                </c:pt>
                <c:pt idx="4">
                  <c:v>2003</c:v>
                </c:pt>
                <c:pt idx="5">
                  <c:v>2004</c:v>
                </c:pt>
                <c:pt idx="6">
                  <c:v>2005</c:v>
                </c:pt>
                <c:pt idx="7">
                  <c:v>2006</c:v>
                </c:pt>
                <c:pt idx="8">
                  <c:v>2007</c:v>
                </c:pt>
                <c:pt idx="9">
                  <c:v>2008</c:v>
                </c:pt>
                <c:pt idx="10">
                  <c:v>2009</c:v>
                </c:pt>
                <c:pt idx="11">
                  <c:v>2010</c:v>
                </c:pt>
                <c:pt idx="12">
                  <c:v>2011</c:v>
                </c:pt>
                <c:pt idx="13">
                  <c:v>2012</c:v>
                </c:pt>
                <c:pt idx="14">
                  <c:v>2013</c:v>
                </c:pt>
                <c:pt idx="15">
                  <c:v>2014</c:v>
                </c:pt>
                <c:pt idx="16">
                  <c:v>2015</c:v>
                </c:pt>
              </c:numCache>
            </c:numRef>
          </c:cat>
          <c:val>
            <c:numRef>
              <c:f>'Pharmacy-Wholesale data'!$C$12:$T$12</c:f>
              <c:numCache>
                <c:formatCode>0.0%</c:formatCode>
                <c:ptCount val="17"/>
                <c:pt idx="0">
                  <c:v>0.20643476460799848</c:v>
                </c:pt>
                <c:pt idx="1">
                  <c:v>0.16308644663987271</c:v>
                </c:pt>
                <c:pt idx="2">
                  <c:v>0.19322624390742127</c:v>
                </c:pt>
                <c:pt idx="3">
                  <c:v>0.16693850960326784</c:v>
                </c:pt>
                <c:pt idx="4">
                  <c:v>0.10686270115200136</c:v>
                </c:pt>
                <c:pt idx="5">
                  <c:v>7.3635148717155818E-2</c:v>
                </c:pt>
                <c:pt idx="6">
                  <c:v>0.1083998573505609</c:v>
                </c:pt>
                <c:pt idx="7">
                  <c:v>5.7295598262569802E-2</c:v>
                </c:pt>
                <c:pt idx="8">
                  <c:v>2.8333079741101885E-2</c:v>
                </c:pt>
                <c:pt idx="9">
                  <c:v>6.428142579508811E-2</c:v>
                </c:pt>
                <c:pt idx="10">
                  <c:v>4.4592679731572327E-2</c:v>
                </c:pt>
                <c:pt idx="11">
                  <c:v>5.7984331049451221E-2</c:v>
                </c:pt>
                <c:pt idx="12">
                  <c:v>3.3424377959242912E-2</c:v>
                </c:pt>
                <c:pt idx="13">
                  <c:v>3.4189118185277145E-2</c:v>
                </c:pt>
                <c:pt idx="14">
                  <c:v>5.6361685353889301E-2</c:v>
                </c:pt>
                <c:pt idx="15">
                  <c:v>0.12687379373394658</c:v>
                </c:pt>
                <c:pt idx="16">
                  <c:v>0.13949056069230181</c:v>
                </c:pt>
              </c:numCache>
            </c:numRef>
          </c:val>
          <c:smooth val="0"/>
          <c:extLst>
            <c:ext xmlns:c16="http://schemas.microsoft.com/office/drawing/2014/chart" uri="{C3380CC4-5D6E-409C-BE32-E72D297353CC}">
              <c16:uniqueId val="{00000001-921B-4D59-AD4F-93B5641E4427}"/>
            </c:ext>
          </c:extLst>
        </c:ser>
        <c:dLbls>
          <c:showLegendKey val="0"/>
          <c:showVal val="0"/>
          <c:showCatName val="0"/>
          <c:showSerName val="0"/>
          <c:showPercent val="0"/>
          <c:showBubbleSize val="0"/>
        </c:dLbls>
        <c:smooth val="0"/>
        <c:axId val="40006016"/>
        <c:axId val="40008320"/>
      </c:lineChart>
      <c:catAx>
        <c:axId val="40006016"/>
        <c:scaling>
          <c:orientation val="minMax"/>
        </c:scaling>
        <c:delete val="0"/>
        <c:axPos val="b"/>
        <c:numFmt formatCode="General" sourceLinked="1"/>
        <c:majorTickMark val="out"/>
        <c:minorTickMark val="none"/>
        <c:tickLblPos val="nextTo"/>
        <c:crossAx val="40008320"/>
        <c:crosses val="autoZero"/>
        <c:auto val="1"/>
        <c:lblAlgn val="ctr"/>
        <c:lblOffset val="100"/>
        <c:noMultiLvlLbl val="0"/>
      </c:catAx>
      <c:valAx>
        <c:axId val="40008320"/>
        <c:scaling>
          <c:orientation val="minMax"/>
        </c:scaling>
        <c:delete val="0"/>
        <c:axPos val="l"/>
        <c:majorGridlines/>
        <c:numFmt formatCode="0.0%" sourceLinked="1"/>
        <c:majorTickMark val="out"/>
        <c:minorTickMark val="none"/>
        <c:tickLblPos val="nextTo"/>
        <c:crossAx val="40006016"/>
        <c:crosses val="autoZero"/>
        <c:crossBetween val="between"/>
      </c:valAx>
      <c:spPr>
        <a:noFill/>
      </c:spPr>
    </c:plotArea>
    <c:legend>
      <c:legendPos val="b"/>
      <c:overlay val="0"/>
    </c:legend>
    <c:plotVisOnly val="1"/>
    <c:dispBlanksAs val="gap"/>
    <c:showDLblsOverMax val="0"/>
  </c:chart>
  <c:spPr>
    <a:noFill/>
    <a:ln>
      <a:noFill/>
    </a:ln>
  </c:spPr>
  <c:printSettings>
    <c:headerFooter/>
    <c:pageMargins b="0.75000000000000488" l="0.70000000000000062" r="0.70000000000000062" t="0.75000000000000488"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a:pPr>
            <a:r>
              <a:rPr lang="en-US" sz="1400"/>
              <a:t>ABC Revenue by Segment (LTM)</a:t>
            </a:r>
          </a:p>
        </c:rich>
      </c:tx>
      <c:overlay val="0"/>
    </c:title>
    <c:autoTitleDeleted val="0"/>
    <c:plotArea>
      <c:layout/>
      <c:pieChart>
        <c:varyColors val="1"/>
        <c:ser>
          <c:idx val="0"/>
          <c:order val="0"/>
          <c:dPt>
            <c:idx val="0"/>
            <c:bubble3D val="0"/>
            <c:spPr>
              <a:solidFill>
                <a:schemeClr val="bg2"/>
              </a:solidFill>
            </c:spPr>
            <c:extLst>
              <c:ext xmlns:c16="http://schemas.microsoft.com/office/drawing/2014/chart" uri="{C3380CC4-5D6E-409C-BE32-E72D297353CC}">
                <c16:uniqueId val="{00000001-EBDE-47B0-B82B-B79A247FA4DF}"/>
              </c:ext>
            </c:extLst>
          </c:dPt>
          <c:dPt>
            <c:idx val="2"/>
            <c:bubble3D val="0"/>
            <c:spPr>
              <a:solidFill>
                <a:schemeClr val="accent1"/>
              </a:solidFill>
            </c:spPr>
            <c:extLst>
              <c:ext xmlns:c16="http://schemas.microsoft.com/office/drawing/2014/chart" uri="{C3380CC4-5D6E-409C-BE32-E72D297353CC}">
                <c16:uniqueId val="{00000003-EBDE-47B0-B82B-B79A247FA4DF}"/>
              </c:ext>
            </c:extLst>
          </c:dPt>
          <c:dLbls>
            <c:spPr>
              <a:noFill/>
              <a:ln>
                <a:noFill/>
              </a:ln>
              <a:effectLst/>
            </c:spPr>
            <c:showLegendKey val="0"/>
            <c:showVal val="0"/>
            <c:showCatName val="0"/>
            <c:showSerName val="0"/>
            <c:showPercent val="1"/>
            <c:showBubbleSize val="0"/>
            <c:showLeaderLines val="1"/>
            <c:extLst>
              <c:ext xmlns:c15="http://schemas.microsoft.com/office/drawing/2012/chart" uri="{CE6537A1-D6FC-4f65-9D91-7224C49458BB}"/>
            </c:extLst>
          </c:dLbls>
          <c:cat>
            <c:strRef>
              <c:f>'Segment Breakdown'!$F$3:$H$3</c:f>
              <c:strCache>
                <c:ptCount val="3"/>
                <c:pt idx="0">
                  <c:v>Drug Corporation</c:v>
                </c:pt>
                <c:pt idx="1">
                  <c:v>Specialty Group</c:v>
                </c:pt>
                <c:pt idx="2">
                  <c:v>Other Services</c:v>
                </c:pt>
              </c:strCache>
            </c:strRef>
          </c:cat>
          <c:val>
            <c:numRef>
              <c:f>'Segment Breakdown'!$F$9:$H$9</c:f>
              <c:numCache>
                <c:formatCode>0.00%</c:formatCode>
                <c:ptCount val="3"/>
                <c:pt idx="0">
                  <c:v>0.78338964691877599</c:v>
                </c:pt>
                <c:pt idx="1">
                  <c:v>0.17785816064648421</c:v>
                </c:pt>
                <c:pt idx="2">
                  <c:v>4.0652147358533834E-2</c:v>
                </c:pt>
              </c:numCache>
            </c:numRef>
          </c:val>
          <c:extLst>
            <c:ext xmlns:c16="http://schemas.microsoft.com/office/drawing/2014/chart" uri="{C3380CC4-5D6E-409C-BE32-E72D297353CC}">
              <c16:uniqueId val="{00000004-EBDE-47B0-B82B-B79A247FA4DF}"/>
            </c:ext>
          </c:extLst>
        </c:ser>
        <c:dLbls>
          <c:showLegendKey val="0"/>
          <c:showVal val="0"/>
          <c:showCatName val="0"/>
          <c:showSerName val="0"/>
          <c:showPercent val="1"/>
          <c:showBubbleSize val="0"/>
          <c:showLeaderLines val="1"/>
        </c:dLbls>
        <c:firstSliceAng val="0"/>
      </c:pieChart>
    </c:plotArea>
    <c:legend>
      <c:legendPos val="r"/>
      <c:layout>
        <c:manualLayout>
          <c:xMode val="edge"/>
          <c:yMode val="edge"/>
          <c:x val="0.7980846456692916"/>
          <c:y val="0.288718285214351"/>
          <c:w val="0.18524868766404293"/>
          <c:h val="0.40855898221055914"/>
        </c:manualLayout>
      </c:layout>
      <c:overlay val="1"/>
    </c:legend>
    <c:plotVisOnly val="1"/>
    <c:dispBlanksAs val="zero"/>
    <c:showDLblsOverMax val="0"/>
  </c:chart>
  <c:spPr>
    <a:noFill/>
    <a:ln>
      <a:noFill/>
    </a:ln>
  </c:spPr>
  <c:printSettings>
    <c:headerFooter/>
    <c:pageMargins b="0.75000000000000289" l="0.70000000000000062" r="0.70000000000000062" t="0.75000000000000289" header="0.30000000000000032" footer="0.3000000000000003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a:pPr>
            <a:r>
              <a:rPr lang="en-US" sz="1400"/>
              <a:t>CAH Revenue by Segment (LTM)</a:t>
            </a:r>
          </a:p>
        </c:rich>
      </c:tx>
      <c:overlay val="0"/>
    </c:title>
    <c:autoTitleDeleted val="0"/>
    <c:plotArea>
      <c:layout/>
      <c:pieChart>
        <c:varyColors val="1"/>
        <c:ser>
          <c:idx val="0"/>
          <c:order val="0"/>
          <c:dPt>
            <c:idx val="0"/>
            <c:bubble3D val="0"/>
            <c:spPr>
              <a:solidFill>
                <a:schemeClr val="bg2"/>
              </a:solidFill>
            </c:spPr>
            <c:extLst>
              <c:ext xmlns:c16="http://schemas.microsoft.com/office/drawing/2014/chart" uri="{C3380CC4-5D6E-409C-BE32-E72D297353CC}">
                <c16:uniqueId val="{00000001-685A-41DE-A583-789993DDE113}"/>
              </c:ext>
            </c:extLst>
          </c:dPt>
          <c:dLbls>
            <c:spPr>
              <a:noFill/>
              <a:ln>
                <a:noFill/>
              </a:ln>
              <a:effectLst/>
            </c:spPr>
            <c:showLegendKey val="0"/>
            <c:showVal val="0"/>
            <c:showCatName val="0"/>
            <c:showSerName val="0"/>
            <c:showPercent val="1"/>
            <c:showBubbleSize val="0"/>
            <c:showLeaderLines val="1"/>
            <c:extLst>
              <c:ext xmlns:c15="http://schemas.microsoft.com/office/drawing/2012/chart" uri="{CE6537A1-D6FC-4f65-9D91-7224C49458BB}"/>
            </c:extLst>
          </c:dLbls>
          <c:cat>
            <c:strRef>
              <c:f>'Segment Breakdown'!$F$21:$G$21</c:f>
              <c:strCache>
                <c:ptCount val="2"/>
                <c:pt idx="0">
                  <c:v>Pharmaceutical</c:v>
                </c:pt>
                <c:pt idx="1">
                  <c:v>Medical</c:v>
                </c:pt>
              </c:strCache>
            </c:strRef>
          </c:cat>
          <c:val>
            <c:numRef>
              <c:f>'Segment Breakdown'!$F$27:$G$27</c:f>
              <c:numCache>
                <c:formatCode>0.00%</c:formatCode>
                <c:ptCount val="2"/>
                <c:pt idx="0">
                  <c:v>0.895803312518902</c:v>
                </c:pt>
                <c:pt idx="1">
                  <c:v>0.10416110725658678</c:v>
                </c:pt>
              </c:numCache>
            </c:numRef>
          </c:val>
          <c:extLst>
            <c:ext xmlns:c16="http://schemas.microsoft.com/office/drawing/2014/chart" uri="{C3380CC4-5D6E-409C-BE32-E72D297353CC}">
              <c16:uniqueId val="{00000002-685A-41DE-A583-789993DDE113}"/>
            </c:ext>
          </c:extLst>
        </c:ser>
        <c:dLbls>
          <c:showLegendKey val="0"/>
          <c:showVal val="0"/>
          <c:showCatName val="0"/>
          <c:showSerName val="0"/>
          <c:showPercent val="1"/>
          <c:showBubbleSize val="0"/>
          <c:showLeaderLines val="1"/>
        </c:dLbls>
        <c:firstSliceAng val="0"/>
      </c:pieChart>
    </c:plotArea>
    <c:legend>
      <c:legendPos val="r"/>
      <c:layout>
        <c:manualLayout>
          <c:xMode val="edge"/>
          <c:yMode val="edge"/>
          <c:x val="0.75584999636240124"/>
          <c:y val="0.36965065039807082"/>
          <c:w val="0.22709243434123097"/>
          <c:h val="0.28337693727672553"/>
        </c:manualLayout>
      </c:layout>
      <c:overlay val="1"/>
    </c:legend>
    <c:plotVisOnly val="1"/>
    <c:dispBlanksAs val="zero"/>
    <c:showDLblsOverMax val="0"/>
  </c:chart>
  <c:printSettings>
    <c:headerFooter/>
    <c:pageMargins b="0.75000000000000289" l="0.70000000000000062" r="0.70000000000000062" t="0.75000000000000289" header="0.30000000000000032" footer="0.30000000000000032"/>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a:pPr>
            <a:r>
              <a:rPr lang="en-US" sz="1400"/>
              <a:t>MCK Revenue by Segment (LTM)</a:t>
            </a:r>
          </a:p>
        </c:rich>
      </c:tx>
      <c:overlay val="0"/>
    </c:title>
    <c:autoTitleDeleted val="0"/>
    <c:plotArea>
      <c:layout>
        <c:manualLayout>
          <c:layoutTarget val="inner"/>
          <c:xMode val="edge"/>
          <c:yMode val="edge"/>
          <c:x val="0.24817957456810436"/>
          <c:y val="0.19817928491438586"/>
          <c:w val="0.4581539994067903"/>
          <c:h val="0.742225170154866"/>
        </c:manualLayout>
      </c:layout>
      <c:pieChart>
        <c:varyColors val="1"/>
        <c:ser>
          <c:idx val="0"/>
          <c:order val="0"/>
          <c:spPr>
            <a:solidFill>
              <a:schemeClr val="accent1"/>
            </a:solidFill>
          </c:spPr>
          <c:dPt>
            <c:idx val="0"/>
            <c:bubble3D val="0"/>
            <c:spPr>
              <a:solidFill>
                <a:schemeClr val="bg2"/>
              </a:solidFill>
            </c:spPr>
            <c:extLst>
              <c:ext xmlns:c16="http://schemas.microsoft.com/office/drawing/2014/chart" uri="{C3380CC4-5D6E-409C-BE32-E72D297353CC}">
                <c16:uniqueId val="{00000001-B72E-4021-9A04-3A2EE4F86533}"/>
              </c:ext>
            </c:extLst>
          </c:dPt>
          <c:dLbls>
            <c:spPr>
              <a:noFill/>
              <a:ln>
                <a:noFill/>
              </a:ln>
              <a:effectLst/>
            </c:spPr>
            <c:showLegendKey val="0"/>
            <c:showVal val="0"/>
            <c:showCatName val="0"/>
            <c:showSerName val="0"/>
            <c:showPercent val="1"/>
            <c:showBubbleSize val="0"/>
            <c:showLeaderLines val="1"/>
            <c:extLst>
              <c:ext xmlns:c15="http://schemas.microsoft.com/office/drawing/2012/chart" uri="{CE6537A1-D6FC-4f65-9D91-7224C49458BB}"/>
            </c:extLst>
          </c:dLbls>
          <c:cat>
            <c:strRef>
              <c:f>'Segment Breakdown'!$F$39:$G$39</c:f>
              <c:strCache>
                <c:ptCount val="2"/>
                <c:pt idx="0">
                  <c:v>Distribution Solutions</c:v>
                </c:pt>
                <c:pt idx="1">
                  <c:v>Technology Solutions</c:v>
                </c:pt>
              </c:strCache>
            </c:strRef>
          </c:cat>
          <c:val>
            <c:numRef>
              <c:f>'Segment Breakdown'!$F$45:$G$45</c:f>
              <c:numCache>
                <c:formatCode>0.00%</c:formatCode>
                <c:ptCount val="2"/>
                <c:pt idx="0">
                  <c:v>0.97715074586215356</c:v>
                </c:pt>
                <c:pt idx="1">
                  <c:v>1.547604570377146E-2</c:v>
                </c:pt>
              </c:numCache>
            </c:numRef>
          </c:val>
          <c:extLst>
            <c:ext xmlns:c16="http://schemas.microsoft.com/office/drawing/2014/chart" uri="{C3380CC4-5D6E-409C-BE32-E72D297353CC}">
              <c16:uniqueId val="{00000002-B72E-4021-9A04-3A2EE4F86533}"/>
            </c:ext>
          </c:extLst>
        </c:ser>
        <c:dLbls>
          <c:showLegendKey val="0"/>
          <c:showVal val="0"/>
          <c:showCatName val="0"/>
          <c:showSerName val="0"/>
          <c:showPercent val="1"/>
          <c:showBubbleSize val="0"/>
          <c:showLeaderLines val="1"/>
        </c:dLbls>
        <c:firstSliceAng val="0"/>
      </c:pieChart>
    </c:plotArea>
    <c:legend>
      <c:legendPos val="r"/>
      <c:layout>
        <c:manualLayout>
          <c:xMode val="edge"/>
          <c:yMode val="edge"/>
          <c:x val="0.75573538382329075"/>
          <c:y val="0.30709367895128536"/>
          <c:w val="0.22720704688033527"/>
          <c:h val="0.34859507500261239"/>
        </c:manualLayout>
      </c:layout>
      <c:overlay val="1"/>
    </c:legend>
    <c:plotVisOnly val="1"/>
    <c:dispBlanksAs val="zero"/>
    <c:showDLblsOverMax val="0"/>
  </c:chart>
  <c:spPr>
    <a:noFill/>
    <a:ln>
      <a:noFill/>
    </a:ln>
  </c:spPr>
  <c:printSettings>
    <c:headerFooter/>
    <c:pageMargins b="0.75000000000000289" l="0.70000000000000062" r="0.70000000000000062" t="0.75000000000000289" header="0.30000000000000032" footer="0.30000000000000032"/>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a:pPr>
            <a:r>
              <a:rPr lang="en-US" sz="1400"/>
              <a:t>ABC Operating Income by Segment (LTM)</a:t>
            </a:r>
          </a:p>
        </c:rich>
      </c:tx>
      <c:overlay val="0"/>
    </c:title>
    <c:autoTitleDeleted val="0"/>
    <c:plotArea>
      <c:layout/>
      <c:pieChart>
        <c:varyColors val="1"/>
        <c:ser>
          <c:idx val="0"/>
          <c:order val="0"/>
          <c:dPt>
            <c:idx val="0"/>
            <c:bubble3D val="0"/>
            <c:spPr>
              <a:solidFill>
                <a:schemeClr val="bg2"/>
              </a:solidFill>
            </c:spPr>
            <c:extLst>
              <c:ext xmlns:c16="http://schemas.microsoft.com/office/drawing/2014/chart" uri="{C3380CC4-5D6E-409C-BE32-E72D297353CC}">
                <c16:uniqueId val="{00000001-1FE1-4C84-B10C-5E4021686EE2}"/>
              </c:ext>
            </c:extLst>
          </c:dPt>
          <c:dLbls>
            <c:spPr>
              <a:noFill/>
              <a:ln>
                <a:noFill/>
              </a:ln>
              <a:effectLst/>
            </c:spPr>
            <c:showLegendKey val="0"/>
            <c:showVal val="0"/>
            <c:showCatName val="0"/>
            <c:showSerName val="0"/>
            <c:showPercent val="1"/>
            <c:showBubbleSize val="0"/>
            <c:showLeaderLines val="1"/>
            <c:extLst>
              <c:ext xmlns:c15="http://schemas.microsoft.com/office/drawing/2012/chart" uri="{CE6537A1-D6FC-4f65-9D91-7224C49458BB}"/>
            </c:extLst>
          </c:dLbls>
          <c:cat>
            <c:strRef>
              <c:f>'Segment Breakdown'!$F$12:$G$12</c:f>
              <c:strCache>
                <c:ptCount val="2"/>
                <c:pt idx="0">
                  <c:v>Drug Co. &amp; Specialty Group</c:v>
                </c:pt>
                <c:pt idx="1">
                  <c:v>Other Services</c:v>
                </c:pt>
              </c:strCache>
            </c:strRef>
          </c:cat>
          <c:val>
            <c:numRef>
              <c:f>'Segment Breakdown'!$F$17:$G$17</c:f>
              <c:numCache>
                <c:formatCode>_(* #,##0_);_(* \(#,##0\);_(* "-"??_);_(@_)</c:formatCode>
                <c:ptCount val="2"/>
                <c:pt idx="0">
                  <c:v>1634.049</c:v>
                </c:pt>
                <c:pt idx="1">
                  <c:v>304.90499999999997</c:v>
                </c:pt>
              </c:numCache>
            </c:numRef>
          </c:val>
          <c:extLst>
            <c:ext xmlns:c16="http://schemas.microsoft.com/office/drawing/2014/chart" uri="{C3380CC4-5D6E-409C-BE32-E72D297353CC}">
              <c16:uniqueId val="{00000002-1FE1-4C84-B10C-5E4021686EE2}"/>
            </c:ext>
          </c:extLst>
        </c:ser>
        <c:dLbls>
          <c:showLegendKey val="0"/>
          <c:showVal val="0"/>
          <c:showCatName val="0"/>
          <c:showSerName val="0"/>
          <c:showPercent val="1"/>
          <c:showBubbleSize val="0"/>
          <c:showLeaderLines val="1"/>
        </c:dLbls>
        <c:firstSliceAng val="0"/>
      </c:pieChart>
    </c:plotArea>
    <c:legend>
      <c:legendPos val="r"/>
      <c:layout>
        <c:manualLayout>
          <c:xMode val="edge"/>
          <c:yMode val="edge"/>
          <c:x val="0.69927813163482244"/>
          <c:y val="0.37670339811707798"/>
          <c:w val="0.29222929936305936"/>
          <c:h val="0.34815315926742835"/>
        </c:manualLayout>
      </c:layout>
      <c:overlay val="1"/>
      <c:txPr>
        <a:bodyPr/>
        <a:lstStyle/>
        <a:p>
          <a:pPr rtl="0">
            <a:defRPr/>
          </a:pPr>
          <a:endParaRPr lang="en-US"/>
        </a:p>
      </c:txPr>
    </c:legend>
    <c:plotVisOnly val="1"/>
    <c:dispBlanksAs val="zero"/>
    <c:showDLblsOverMax val="0"/>
  </c:chart>
  <c:printSettings>
    <c:headerFooter/>
    <c:pageMargins b="0.75000000000000289" l="0.70000000000000062" r="0.70000000000000062" t="0.75000000000000289" header="0.30000000000000032" footer="0.30000000000000032"/>
    <c:pageSetup/>
  </c:printSettings>
  <c:userShapes r:id="rId1"/>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a:pPr>
            <a:r>
              <a:rPr lang="en-US" sz="1400"/>
              <a:t>CAH Operating Income by Segment (LTM)</a:t>
            </a:r>
          </a:p>
        </c:rich>
      </c:tx>
      <c:overlay val="0"/>
    </c:title>
    <c:autoTitleDeleted val="0"/>
    <c:plotArea>
      <c:layout/>
      <c:pieChart>
        <c:varyColors val="1"/>
        <c:ser>
          <c:idx val="0"/>
          <c:order val="0"/>
          <c:dPt>
            <c:idx val="0"/>
            <c:bubble3D val="0"/>
            <c:spPr>
              <a:solidFill>
                <a:srgbClr val="7387AF"/>
              </a:solidFill>
            </c:spPr>
            <c:extLst>
              <c:ext xmlns:c16="http://schemas.microsoft.com/office/drawing/2014/chart" uri="{C3380CC4-5D6E-409C-BE32-E72D297353CC}">
                <c16:uniqueId val="{00000001-A5EC-4FAD-A37A-616581527EB6}"/>
              </c:ext>
            </c:extLst>
          </c:dPt>
          <c:dLbls>
            <c:spPr>
              <a:noFill/>
              <a:ln>
                <a:noFill/>
              </a:ln>
              <a:effectLst/>
            </c:spPr>
            <c:showLegendKey val="0"/>
            <c:showVal val="0"/>
            <c:showCatName val="0"/>
            <c:showSerName val="0"/>
            <c:showPercent val="1"/>
            <c:showBubbleSize val="0"/>
            <c:showLeaderLines val="1"/>
            <c:extLst>
              <c:ext xmlns:c15="http://schemas.microsoft.com/office/drawing/2012/chart" uri="{CE6537A1-D6FC-4f65-9D91-7224C49458BB}"/>
            </c:extLst>
          </c:dLbls>
          <c:cat>
            <c:strRef>
              <c:f>'Segment Breakdown'!$F$30:$G$30</c:f>
              <c:strCache>
                <c:ptCount val="2"/>
                <c:pt idx="0">
                  <c:v>Pharmaceutical</c:v>
                </c:pt>
                <c:pt idx="1">
                  <c:v>Medical</c:v>
                </c:pt>
              </c:strCache>
            </c:strRef>
          </c:cat>
          <c:val>
            <c:numRef>
              <c:f>'Segment Breakdown'!$F$35:$G$35</c:f>
              <c:numCache>
                <c:formatCode>_(* #,##0_);_(* \(#,##0\);_(* "-"??_);_(@_)</c:formatCode>
                <c:ptCount val="2"/>
                <c:pt idx="0">
                  <c:v>2386</c:v>
                </c:pt>
                <c:pt idx="1">
                  <c:v>412</c:v>
                </c:pt>
              </c:numCache>
            </c:numRef>
          </c:val>
          <c:extLst>
            <c:ext xmlns:c16="http://schemas.microsoft.com/office/drawing/2014/chart" uri="{C3380CC4-5D6E-409C-BE32-E72D297353CC}">
              <c16:uniqueId val="{00000002-A5EC-4FAD-A37A-616581527EB6}"/>
            </c:ext>
          </c:extLst>
        </c:ser>
        <c:dLbls>
          <c:showLegendKey val="0"/>
          <c:showVal val="0"/>
          <c:showCatName val="0"/>
          <c:showSerName val="0"/>
          <c:showPercent val="1"/>
          <c:showBubbleSize val="0"/>
          <c:showLeaderLines val="1"/>
        </c:dLbls>
        <c:firstSliceAng val="0"/>
      </c:pieChart>
    </c:plotArea>
    <c:legend>
      <c:legendPos val="r"/>
      <c:layout>
        <c:manualLayout>
          <c:xMode val="edge"/>
          <c:yMode val="edge"/>
          <c:x val="0.69927813163482244"/>
          <c:y val="0.37670339811707798"/>
          <c:w val="0.29222929936305936"/>
          <c:h val="0.34815315926742835"/>
        </c:manualLayout>
      </c:layout>
      <c:overlay val="1"/>
      <c:txPr>
        <a:bodyPr/>
        <a:lstStyle/>
        <a:p>
          <a:pPr rtl="0">
            <a:defRPr/>
          </a:pPr>
          <a:endParaRPr lang="en-US"/>
        </a:p>
      </c:txPr>
    </c:legend>
    <c:plotVisOnly val="1"/>
    <c:dispBlanksAs val="zero"/>
    <c:showDLblsOverMax val="0"/>
  </c:chart>
  <c:printSettings>
    <c:headerFooter/>
    <c:pageMargins b="0.75000000000000289" l="0.70000000000000062" r="0.70000000000000062" t="0.75000000000000289" header="0.30000000000000032" footer="0.30000000000000032"/>
    <c:pageSetup/>
  </c:printSettings>
  <c:userShapes r:id="rId1"/>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a:pPr>
            <a:r>
              <a:rPr lang="en-US" sz="1400"/>
              <a:t>MCK</a:t>
            </a:r>
            <a:r>
              <a:rPr lang="en-US" sz="1400" baseline="0"/>
              <a:t> </a:t>
            </a:r>
            <a:r>
              <a:rPr lang="en-US" sz="1400"/>
              <a:t>Operating Income by Segment (LTM)</a:t>
            </a:r>
          </a:p>
        </c:rich>
      </c:tx>
      <c:overlay val="0"/>
    </c:title>
    <c:autoTitleDeleted val="0"/>
    <c:plotArea>
      <c:layout>
        <c:manualLayout>
          <c:layoutTarget val="inner"/>
          <c:xMode val="edge"/>
          <c:yMode val="edge"/>
          <c:x val="0.24463586901422729"/>
          <c:y val="0.19402772162507273"/>
          <c:w val="0.43919750374550831"/>
          <c:h val="0.70941420972553126"/>
        </c:manualLayout>
      </c:layout>
      <c:pieChart>
        <c:varyColors val="1"/>
        <c:ser>
          <c:idx val="0"/>
          <c:order val="0"/>
          <c:dPt>
            <c:idx val="0"/>
            <c:bubble3D val="0"/>
            <c:spPr>
              <a:solidFill>
                <a:srgbClr val="7387AF"/>
              </a:solidFill>
            </c:spPr>
            <c:extLst>
              <c:ext xmlns:c16="http://schemas.microsoft.com/office/drawing/2014/chart" uri="{C3380CC4-5D6E-409C-BE32-E72D297353CC}">
                <c16:uniqueId val="{00000001-8707-4732-8AB6-873CF2DFBFAC}"/>
              </c:ext>
            </c:extLst>
          </c:dPt>
          <c:dPt>
            <c:idx val="1"/>
            <c:bubble3D val="0"/>
            <c:spPr>
              <a:solidFill>
                <a:schemeClr val="accent1"/>
              </a:solidFill>
            </c:spPr>
            <c:extLst>
              <c:ext xmlns:c16="http://schemas.microsoft.com/office/drawing/2014/chart" uri="{C3380CC4-5D6E-409C-BE32-E72D297353CC}">
                <c16:uniqueId val="{00000003-8707-4732-8AB6-873CF2DFBFAC}"/>
              </c:ext>
            </c:extLst>
          </c:dPt>
          <c:dLbls>
            <c:spPr>
              <a:noFill/>
              <a:ln>
                <a:noFill/>
              </a:ln>
              <a:effectLst/>
            </c:spPr>
            <c:showLegendKey val="0"/>
            <c:showVal val="0"/>
            <c:showCatName val="0"/>
            <c:showSerName val="0"/>
            <c:showPercent val="1"/>
            <c:showBubbleSize val="0"/>
            <c:showLeaderLines val="1"/>
            <c:extLst>
              <c:ext xmlns:c15="http://schemas.microsoft.com/office/drawing/2012/chart" uri="{CE6537A1-D6FC-4f65-9D91-7224C49458BB}"/>
            </c:extLst>
          </c:dLbls>
          <c:cat>
            <c:strRef>
              <c:f>'Segment Breakdown'!$F$48:$G$48</c:f>
              <c:strCache>
                <c:ptCount val="2"/>
                <c:pt idx="0">
                  <c:v>Distribution Solutions</c:v>
                </c:pt>
                <c:pt idx="1">
                  <c:v>Technology Solutions</c:v>
                </c:pt>
              </c:strCache>
            </c:strRef>
          </c:cat>
          <c:val>
            <c:numRef>
              <c:f>'Segment Breakdown'!$F$53:$G$53</c:f>
              <c:numCache>
                <c:formatCode>_(* #,##0_);_(* \(#,##0\);_(* "-"??_);_(@_)</c:formatCode>
                <c:ptCount val="2"/>
                <c:pt idx="0">
                  <c:v>4413</c:v>
                </c:pt>
                <c:pt idx="1">
                  <c:v>600</c:v>
                </c:pt>
              </c:numCache>
            </c:numRef>
          </c:val>
          <c:extLst>
            <c:ext xmlns:c16="http://schemas.microsoft.com/office/drawing/2014/chart" uri="{C3380CC4-5D6E-409C-BE32-E72D297353CC}">
              <c16:uniqueId val="{00000004-8707-4732-8AB6-873CF2DFBFAC}"/>
            </c:ext>
          </c:extLst>
        </c:ser>
        <c:dLbls>
          <c:showLegendKey val="0"/>
          <c:showVal val="0"/>
          <c:showCatName val="0"/>
          <c:showSerName val="0"/>
          <c:showPercent val="1"/>
          <c:showBubbleSize val="0"/>
          <c:showLeaderLines val="1"/>
        </c:dLbls>
        <c:firstSliceAng val="0"/>
      </c:pieChart>
    </c:plotArea>
    <c:legend>
      <c:legendPos val="r"/>
      <c:layout>
        <c:manualLayout>
          <c:xMode val="edge"/>
          <c:yMode val="edge"/>
          <c:x val="0.69927813163482244"/>
          <c:y val="0.37670339811707798"/>
          <c:w val="0.29222929936305936"/>
          <c:h val="0.34815315926742835"/>
        </c:manualLayout>
      </c:layout>
      <c:overlay val="1"/>
      <c:txPr>
        <a:bodyPr/>
        <a:lstStyle/>
        <a:p>
          <a:pPr rtl="0">
            <a:defRPr/>
          </a:pPr>
          <a:endParaRPr lang="en-US"/>
        </a:p>
      </c:txPr>
    </c:legend>
    <c:plotVisOnly val="1"/>
    <c:dispBlanksAs val="zero"/>
    <c:showDLblsOverMax val="0"/>
  </c:chart>
  <c:spPr>
    <a:noFill/>
    <a:ln>
      <a:noFill/>
    </a:ln>
  </c:spPr>
  <c:printSettings>
    <c:headerFooter/>
    <c:pageMargins b="0.75000000000000289" l="0.70000000000000062" r="0.70000000000000062" t="0.75000000000000289" header="0.30000000000000032" footer="0.30000000000000032"/>
    <c:pageSetup/>
  </c:printSettings>
  <c:userShapes r:id="rId1"/>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'Dist Profitability'!$A$7</c:f>
              <c:strCache>
                <c:ptCount val="1"/>
                <c:pt idx="0">
                  <c:v>ABC</c:v>
                </c:pt>
              </c:strCache>
            </c:strRef>
          </c:tx>
          <c:spPr>
            <a:ln>
              <a:solidFill>
                <a:schemeClr val="accent1"/>
              </a:solidFill>
            </a:ln>
          </c:spPr>
          <c:marker>
            <c:symbol val="none"/>
          </c:marker>
          <c:cat>
            <c:strRef>
              <c:f>'Dist Profitability'!$B$5:$AI$5</c:f>
              <c:strCache>
                <c:ptCount val="28"/>
                <c:pt idx="0">
                  <c:v>1Q:09A</c:v>
                </c:pt>
                <c:pt idx="1">
                  <c:v>2Q:09A</c:v>
                </c:pt>
                <c:pt idx="2">
                  <c:v>3Q:09A</c:v>
                </c:pt>
                <c:pt idx="3">
                  <c:v>4Q:09A</c:v>
                </c:pt>
                <c:pt idx="4">
                  <c:v>1Q:10A</c:v>
                </c:pt>
                <c:pt idx="5">
                  <c:v>2Q:10A</c:v>
                </c:pt>
                <c:pt idx="6">
                  <c:v>3Q:10A</c:v>
                </c:pt>
                <c:pt idx="7">
                  <c:v>4Q:10A</c:v>
                </c:pt>
                <c:pt idx="8">
                  <c:v>1Q:11A</c:v>
                </c:pt>
                <c:pt idx="9">
                  <c:v>2Q:11A</c:v>
                </c:pt>
                <c:pt idx="10">
                  <c:v>3Q:11A</c:v>
                </c:pt>
                <c:pt idx="11">
                  <c:v>4Q:11A</c:v>
                </c:pt>
                <c:pt idx="12">
                  <c:v>1Q:12A</c:v>
                </c:pt>
                <c:pt idx="13">
                  <c:v>2Q:12A</c:v>
                </c:pt>
                <c:pt idx="14">
                  <c:v>3Q:12A</c:v>
                </c:pt>
                <c:pt idx="15">
                  <c:v>4Q:12A</c:v>
                </c:pt>
                <c:pt idx="16">
                  <c:v>1Q:13A</c:v>
                </c:pt>
                <c:pt idx="17">
                  <c:v>2Q:13A</c:v>
                </c:pt>
                <c:pt idx="18">
                  <c:v>3Q:13A</c:v>
                </c:pt>
                <c:pt idx="19">
                  <c:v>4Q:13A</c:v>
                </c:pt>
                <c:pt idx="20">
                  <c:v>1Q:14A</c:v>
                </c:pt>
                <c:pt idx="21">
                  <c:v>2Q:14A</c:v>
                </c:pt>
                <c:pt idx="22">
                  <c:v>3Q:14A</c:v>
                </c:pt>
                <c:pt idx="23">
                  <c:v>4Q:14A</c:v>
                </c:pt>
                <c:pt idx="24">
                  <c:v>1Q:15A</c:v>
                </c:pt>
                <c:pt idx="25">
                  <c:v>2Q:15A</c:v>
                </c:pt>
                <c:pt idx="26">
                  <c:v>3Q:15A</c:v>
                </c:pt>
                <c:pt idx="27">
                  <c:v>4Q:15A</c:v>
                </c:pt>
              </c:strCache>
            </c:strRef>
          </c:cat>
          <c:val>
            <c:numRef>
              <c:f>'Dist Profitability'!$B$10:$AI$10</c:f>
              <c:numCache>
                <c:formatCode>0.00%</c:formatCode>
                <c:ptCount val="28"/>
                <c:pt idx="0">
                  <c:v>3.1913247326901477E-2</c:v>
                </c:pt>
                <c:pt idx="1">
                  <c:v>2.8228001034473538E-2</c:v>
                </c:pt>
                <c:pt idx="2">
                  <c:v>2.87738398828856E-2</c:v>
                </c:pt>
                <c:pt idx="3">
                  <c:v>2.9136021316663457E-2</c:v>
                </c:pt>
                <c:pt idx="4">
                  <c:v>3.1712337635456056E-2</c:v>
                </c:pt>
                <c:pt idx="5">
                  <c:v>3.0015630962365245E-2</c:v>
                </c:pt>
                <c:pt idx="6">
                  <c:v>3.0069631449529205E-2</c:v>
                </c:pt>
                <c:pt idx="7">
                  <c:v>2.9174086533653509E-2</c:v>
                </c:pt>
                <c:pt idx="8">
                  <c:v>3.4783758126222898E-2</c:v>
                </c:pt>
                <c:pt idx="9">
                  <c:v>3.2418049045331229E-2</c:v>
                </c:pt>
                <c:pt idx="10">
                  <c:v>2.98164542441932E-2</c:v>
                </c:pt>
                <c:pt idx="11">
                  <c:v>2.8747501098123442E-2</c:v>
                </c:pt>
                <c:pt idx="12">
                  <c:v>3.448996368091499E-2</c:v>
                </c:pt>
                <c:pt idx="13">
                  <c:v>3.4556458291325712E-2</c:v>
                </c:pt>
                <c:pt idx="14">
                  <c:v>3.6989099970009674E-2</c:v>
                </c:pt>
                <c:pt idx="15">
                  <c:v>3.0849612088161744E-2</c:v>
                </c:pt>
                <c:pt idx="16">
                  <c:v>3.4755873072981051E-2</c:v>
                </c:pt>
                <c:pt idx="17">
                  <c:v>3.0974296021919989E-2</c:v>
                </c:pt>
                <c:pt idx="18">
                  <c:v>2.9440836256755441E-2</c:v>
                </c:pt>
                <c:pt idx="19">
                  <c:v>2.4850733617851329E-2</c:v>
                </c:pt>
                <c:pt idx="20">
                  <c:v>2.922318086338712E-2</c:v>
                </c:pt>
                <c:pt idx="21">
                  <c:v>2.7109293039701755E-2</c:v>
                </c:pt>
                <c:pt idx="22">
                  <c:v>2.934339701389491E-2</c:v>
                </c:pt>
                <c:pt idx="23">
                  <c:v>2.6685332125463285E-2</c:v>
                </c:pt>
                <c:pt idx="24">
                  <c:v>3.1884308882718392E-2</c:v>
                </c:pt>
                <c:pt idx="25">
                  <c:v>2.9404102804861887E-2</c:v>
                </c:pt>
                <c:pt idx="26">
                  <c:v>2.994216751792151E-2</c:v>
                </c:pt>
                <c:pt idx="27">
                  <c:v>2.8702679987924529E-2</c:v>
                </c:pt>
              </c:numCache>
            </c:numRef>
          </c:val>
          <c:smooth val="0"/>
          <c:extLst>
            <c:ext xmlns:c16="http://schemas.microsoft.com/office/drawing/2014/chart" uri="{C3380CC4-5D6E-409C-BE32-E72D297353CC}">
              <c16:uniqueId val="{00000000-64CA-49AC-9AEE-D8760FBA1022}"/>
            </c:ext>
          </c:extLst>
        </c:ser>
        <c:ser>
          <c:idx val="1"/>
          <c:order val="1"/>
          <c:tx>
            <c:strRef>
              <c:f>'Dist Profitability'!$A$15</c:f>
              <c:strCache>
                <c:ptCount val="1"/>
                <c:pt idx="0">
                  <c:v>CAH</c:v>
                </c:pt>
              </c:strCache>
            </c:strRef>
          </c:tx>
          <c:spPr>
            <a:ln>
              <a:solidFill>
                <a:schemeClr val="tx2"/>
              </a:solidFill>
            </a:ln>
          </c:spPr>
          <c:marker>
            <c:symbol val="none"/>
          </c:marker>
          <c:cat>
            <c:strRef>
              <c:f>'Dist Profitability'!$B$5:$AI$5</c:f>
              <c:strCache>
                <c:ptCount val="28"/>
                <c:pt idx="0">
                  <c:v>1Q:09A</c:v>
                </c:pt>
                <c:pt idx="1">
                  <c:v>2Q:09A</c:v>
                </c:pt>
                <c:pt idx="2">
                  <c:v>3Q:09A</c:v>
                </c:pt>
                <c:pt idx="3">
                  <c:v>4Q:09A</c:v>
                </c:pt>
                <c:pt idx="4">
                  <c:v>1Q:10A</c:v>
                </c:pt>
                <c:pt idx="5">
                  <c:v>2Q:10A</c:v>
                </c:pt>
                <c:pt idx="6">
                  <c:v>3Q:10A</c:v>
                </c:pt>
                <c:pt idx="7">
                  <c:v>4Q:10A</c:v>
                </c:pt>
                <c:pt idx="8">
                  <c:v>1Q:11A</c:v>
                </c:pt>
                <c:pt idx="9">
                  <c:v>2Q:11A</c:v>
                </c:pt>
                <c:pt idx="10">
                  <c:v>3Q:11A</c:v>
                </c:pt>
                <c:pt idx="11">
                  <c:v>4Q:11A</c:v>
                </c:pt>
                <c:pt idx="12">
                  <c:v>1Q:12A</c:v>
                </c:pt>
                <c:pt idx="13">
                  <c:v>2Q:12A</c:v>
                </c:pt>
                <c:pt idx="14">
                  <c:v>3Q:12A</c:v>
                </c:pt>
                <c:pt idx="15">
                  <c:v>4Q:12A</c:v>
                </c:pt>
                <c:pt idx="16">
                  <c:v>1Q:13A</c:v>
                </c:pt>
                <c:pt idx="17">
                  <c:v>2Q:13A</c:v>
                </c:pt>
                <c:pt idx="18">
                  <c:v>3Q:13A</c:v>
                </c:pt>
                <c:pt idx="19">
                  <c:v>4Q:13A</c:v>
                </c:pt>
                <c:pt idx="20">
                  <c:v>1Q:14A</c:v>
                </c:pt>
                <c:pt idx="21">
                  <c:v>2Q:14A</c:v>
                </c:pt>
                <c:pt idx="22">
                  <c:v>3Q:14A</c:v>
                </c:pt>
                <c:pt idx="23">
                  <c:v>4Q:14A</c:v>
                </c:pt>
                <c:pt idx="24">
                  <c:v>1Q:15A</c:v>
                </c:pt>
                <c:pt idx="25">
                  <c:v>2Q:15A</c:v>
                </c:pt>
                <c:pt idx="26">
                  <c:v>3Q:15A</c:v>
                </c:pt>
                <c:pt idx="27">
                  <c:v>4Q:15A</c:v>
                </c:pt>
              </c:strCache>
            </c:strRef>
          </c:cat>
          <c:val>
            <c:numRef>
              <c:f>'Dist Profitability'!$B$18:$AI$18</c:f>
              <c:numCache>
                <c:formatCode>0.00%</c:formatCode>
                <c:ptCount val="28"/>
                <c:pt idx="0">
                  <c:v>4.0968396757066323E-2</c:v>
                </c:pt>
                <c:pt idx="1">
                  <c:v>3.8784588024134065E-2</c:v>
                </c:pt>
                <c:pt idx="2">
                  <c:v>3.6673701711412481E-2</c:v>
                </c:pt>
                <c:pt idx="3">
                  <c:v>3.8431441791032826E-2</c:v>
                </c:pt>
                <c:pt idx="4">
                  <c:v>4.1494815715529793E-2</c:v>
                </c:pt>
                <c:pt idx="5">
                  <c:v>3.6962992035846812E-2</c:v>
                </c:pt>
                <c:pt idx="6">
                  <c:v>3.9373913043478294E-2</c:v>
                </c:pt>
                <c:pt idx="7">
                  <c:v>3.9185237153059729E-2</c:v>
                </c:pt>
                <c:pt idx="8">
                  <c:v>4.457758309872123E-2</c:v>
                </c:pt>
                <c:pt idx="9">
                  <c:v>3.8985932333215068E-2</c:v>
                </c:pt>
                <c:pt idx="10">
                  <c:v>4.0478501045088086E-2</c:v>
                </c:pt>
                <c:pt idx="11">
                  <c:v>4.1136716153334862E-2</c:v>
                </c:pt>
                <c:pt idx="12">
                  <c:v>4.4829571839881142E-2</c:v>
                </c:pt>
                <c:pt idx="13">
                  <c:v>4.2445075474518007E-2</c:v>
                </c:pt>
                <c:pt idx="14">
                  <c:v>4.4768048205801693E-2</c:v>
                </c:pt>
                <c:pt idx="15">
                  <c:v>4.8509828788839568E-2</c:v>
                </c:pt>
                <c:pt idx="16">
                  <c:v>5.2582274356467902E-2</c:v>
                </c:pt>
                <c:pt idx="17">
                  <c:v>4.90558615263572E-2</c:v>
                </c:pt>
                <c:pt idx="18">
                  <c:v>5.1543449007054605E-2</c:v>
                </c:pt>
                <c:pt idx="19">
                  <c:v>6.047661870503597E-2</c:v>
                </c:pt>
                <c:pt idx="20">
                  <c:v>6.0531105614411725E-2</c:v>
                </c:pt>
                <c:pt idx="21">
                  <c:v>5.4861535773565125E-2</c:v>
                </c:pt>
                <c:pt idx="22">
                  <c:v>5.5712505193186539E-2</c:v>
                </c:pt>
                <c:pt idx="23">
                  <c:v>5.6936993382151385E-2</c:v>
                </c:pt>
                <c:pt idx="24">
                  <c:v>5.7497536945812805E-2</c:v>
                </c:pt>
                <c:pt idx="25">
                  <c:v>5.2927723527062841E-2</c:v>
                </c:pt>
                <c:pt idx="26">
                  <c:v>5.6282302619853855E-2</c:v>
                </c:pt>
                <c:pt idx="27">
                  <c:v>5.1168707266656066E-2</c:v>
                </c:pt>
              </c:numCache>
            </c:numRef>
          </c:val>
          <c:smooth val="0"/>
          <c:extLst>
            <c:ext xmlns:c16="http://schemas.microsoft.com/office/drawing/2014/chart" uri="{C3380CC4-5D6E-409C-BE32-E72D297353CC}">
              <c16:uniqueId val="{00000001-64CA-49AC-9AEE-D8760FBA1022}"/>
            </c:ext>
          </c:extLst>
        </c:ser>
        <c:ser>
          <c:idx val="2"/>
          <c:order val="2"/>
          <c:tx>
            <c:strRef>
              <c:f>'Dist Profitability'!$A$23</c:f>
              <c:strCache>
                <c:ptCount val="1"/>
                <c:pt idx="0">
                  <c:v>MCK</c:v>
                </c:pt>
              </c:strCache>
            </c:strRef>
          </c:tx>
          <c:spPr>
            <a:ln>
              <a:solidFill>
                <a:srgbClr val="FF0000"/>
              </a:solidFill>
            </a:ln>
          </c:spPr>
          <c:marker>
            <c:symbol val="none"/>
          </c:marker>
          <c:cat>
            <c:strRef>
              <c:f>'Dist Profitability'!$B$5:$AI$5</c:f>
              <c:strCache>
                <c:ptCount val="28"/>
                <c:pt idx="0">
                  <c:v>1Q:09A</c:v>
                </c:pt>
                <c:pt idx="1">
                  <c:v>2Q:09A</c:v>
                </c:pt>
                <c:pt idx="2">
                  <c:v>3Q:09A</c:v>
                </c:pt>
                <c:pt idx="3">
                  <c:v>4Q:09A</c:v>
                </c:pt>
                <c:pt idx="4">
                  <c:v>1Q:10A</c:v>
                </c:pt>
                <c:pt idx="5">
                  <c:v>2Q:10A</c:v>
                </c:pt>
                <c:pt idx="6">
                  <c:v>3Q:10A</c:v>
                </c:pt>
                <c:pt idx="7">
                  <c:v>4Q:10A</c:v>
                </c:pt>
                <c:pt idx="8">
                  <c:v>1Q:11A</c:v>
                </c:pt>
                <c:pt idx="9">
                  <c:v>2Q:11A</c:v>
                </c:pt>
                <c:pt idx="10">
                  <c:v>3Q:11A</c:v>
                </c:pt>
                <c:pt idx="11">
                  <c:v>4Q:11A</c:v>
                </c:pt>
                <c:pt idx="12">
                  <c:v>1Q:12A</c:v>
                </c:pt>
                <c:pt idx="13">
                  <c:v>2Q:12A</c:v>
                </c:pt>
                <c:pt idx="14">
                  <c:v>3Q:12A</c:v>
                </c:pt>
                <c:pt idx="15">
                  <c:v>4Q:12A</c:v>
                </c:pt>
                <c:pt idx="16">
                  <c:v>1Q:13A</c:v>
                </c:pt>
                <c:pt idx="17">
                  <c:v>2Q:13A</c:v>
                </c:pt>
                <c:pt idx="18">
                  <c:v>3Q:13A</c:v>
                </c:pt>
                <c:pt idx="19">
                  <c:v>4Q:13A</c:v>
                </c:pt>
                <c:pt idx="20">
                  <c:v>1Q:14A</c:v>
                </c:pt>
                <c:pt idx="21">
                  <c:v>2Q:14A</c:v>
                </c:pt>
                <c:pt idx="22">
                  <c:v>3Q:14A</c:v>
                </c:pt>
                <c:pt idx="23">
                  <c:v>4Q:14A</c:v>
                </c:pt>
                <c:pt idx="24">
                  <c:v>1Q:15A</c:v>
                </c:pt>
                <c:pt idx="25">
                  <c:v>2Q:15A</c:v>
                </c:pt>
                <c:pt idx="26">
                  <c:v>3Q:15A</c:v>
                </c:pt>
                <c:pt idx="27">
                  <c:v>4Q:15A</c:v>
                </c:pt>
              </c:strCache>
            </c:strRef>
          </c:cat>
          <c:val>
            <c:numRef>
              <c:f>'Dist Profitability'!$B$26:$AI$26</c:f>
              <c:numCache>
                <c:formatCode>0.00%</c:formatCode>
                <c:ptCount val="28"/>
                <c:pt idx="0">
                  <c:v>5.5864856619890178E-2</c:v>
                </c:pt>
                <c:pt idx="1">
                  <c:v>4.8880219079416289E-2</c:v>
                </c:pt>
                <c:pt idx="2">
                  <c:v>4.9207519351271656E-2</c:v>
                </c:pt>
                <c:pt idx="3">
                  <c:v>5.1464346349745331E-2</c:v>
                </c:pt>
                <c:pt idx="4">
                  <c:v>5.9415231017528054E-2</c:v>
                </c:pt>
                <c:pt idx="5">
                  <c:v>5.0856102003642989E-2</c:v>
                </c:pt>
                <c:pt idx="6">
                  <c:v>4.9756664487542672E-2</c:v>
                </c:pt>
                <c:pt idx="7">
                  <c:v>5.1863914752009063E-2</c:v>
                </c:pt>
                <c:pt idx="8">
                  <c:v>6.0825564066128303E-2</c:v>
                </c:pt>
                <c:pt idx="9">
                  <c:v>5.0500333555703804E-2</c:v>
                </c:pt>
                <c:pt idx="10">
                  <c:v>5.4706115965051628E-2</c:v>
                </c:pt>
                <c:pt idx="11">
                  <c:v>5.0941989039852136E-2</c:v>
                </c:pt>
                <c:pt idx="12">
                  <c:v>5.832991577021357E-2</c:v>
                </c:pt>
                <c:pt idx="13">
                  <c:v>5.1951425417234888E-2</c:v>
                </c:pt>
                <c:pt idx="14">
                  <c:v>5.7621440536013403E-2</c:v>
                </c:pt>
                <c:pt idx="15">
                  <c:v>5.3483823387950109E-2</c:v>
                </c:pt>
                <c:pt idx="16">
                  <c:v>6.5186152841280209E-2</c:v>
                </c:pt>
                <c:pt idx="17">
                  <c:v>6.0516765408356342E-2</c:v>
                </c:pt>
                <c:pt idx="18">
                  <c:v>6.1846293769895408E-2</c:v>
                </c:pt>
                <c:pt idx="19">
                  <c:v>5.4461789375582478E-2</c:v>
                </c:pt>
                <c:pt idx="20">
                  <c:v>6.2169591879890039E-2</c:v>
                </c:pt>
                <c:pt idx="21">
                  <c:v>6.3484497707567297E-2</c:v>
                </c:pt>
                <c:pt idx="22">
                  <c:v>6.7473971133652083E-2</c:v>
                </c:pt>
                <c:pt idx="23">
                  <c:v>6.2589086267418353E-2</c:v>
                </c:pt>
                <c:pt idx="24">
                  <c:v>6.4930439621591535E-2</c:v>
                </c:pt>
                <c:pt idx="25">
                  <c:v>5.9899886425777142E-2</c:v>
                </c:pt>
                <c:pt idx="26">
                  <c:v>5.8325300957732612E-2</c:v>
                </c:pt>
                <c:pt idx="27">
                  <c:v>5.9959498110607738E-2</c:v>
                </c:pt>
              </c:numCache>
            </c:numRef>
          </c:val>
          <c:smooth val="0"/>
          <c:extLst>
            <c:ext xmlns:c16="http://schemas.microsoft.com/office/drawing/2014/chart" uri="{C3380CC4-5D6E-409C-BE32-E72D297353CC}">
              <c16:uniqueId val="{00000002-64CA-49AC-9AEE-D8760FBA1022}"/>
            </c:ext>
          </c:extLst>
        </c:ser>
        <c:dLbls>
          <c:showLegendKey val="0"/>
          <c:showVal val="0"/>
          <c:showCatName val="0"/>
          <c:showSerName val="0"/>
          <c:showPercent val="0"/>
          <c:showBubbleSize val="0"/>
        </c:dLbls>
        <c:smooth val="0"/>
        <c:axId val="338290560"/>
        <c:axId val="338292096"/>
      </c:lineChart>
      <c:catAx>
        <c:axId val="338290560"/>
        <c:scaling>
          <c:orientation val="minMax"/>
        </c:scaling>
        <c:delete val="0"/>
        <c:axPos val="b"/>
        <c:numFmt formatCode="General" sourceLinked="0"/>
        <c:majorTickMark val="out"/>
        <c:minorTickMark val="none"/>
        <c:tickLblPos val="nextTo"/>
        <c:crossAx val="338292096"/>
        <c:crosses val="autoZero"/>
        <c:auto val="1"/>
        <c:lblAlgn val="ctr"/>
        <c:lblOffset val="100"/>
        <c:noMultiLvlLbl val="0"/>
      </c:catAx>
      <c:valAx>
        <c:axId val="338292096"/>
        <c:scaling>
          <c:orientation val="minMax"/>
        </c:scaling>
        <c:delete val="0"/>
        <c:axPos val="l"/>
        <c:majorGridlines/>
        <c:numFmt formatCode="0.00%" sourceLinked="1"/>
        <c:majorTickMark val="out"/>
        <c:minorTickMark val="none"/>
        <c:tickLblPos val="nextTo"/>
        <c:crossAx val="338290560"/>
        <c:crosses val="autoZero"/>
        <c:crossBetween val="between"/>
      </c:valAx>
      <c:spPr>
        <a:noFill/>
        <a:ln w="25400">
          <a:noFill/>
        </a:ln>
      </c:spPr>
    </c:plotArea>
    <c:legend>
      <c:legendPos val="b"/>
      <c:overlay val="0"/>
    </c:legend>
    <c:plotVisOnly val="1"/>
    <c:dispBlanksAs val="gap"/>
    <c:showDLblsOverMax val="0"/>
  </c:chart>
  <c:spPr>
    <a:noFill/>
    <a:ln>
      <a:noFill/>
    </a:ln>
  </c:spPr>
  <c:printSettings>
    <c:headerFooter/>
    <c:pageMargins b="0.75000000000000422" l="0.70000000000000062" r="0.70000000000000062" t="0.75000000000000422" header="0.30000000000000032" footer="0.30000000000000032"/>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'Dist Profitability'!$A$7</c:f>
              <c:strCache>
                <c:ptCount val="1"/>
                <c:pt idx="0">
                  <c:v>ABC</c:v>
                </c:pt>
              </c:strCache>
            </c:strRef>
          </c:tx>
          <c:marker>
            <c:symbol val="none"/>
          </c:marker>
          <c:cat>
            <c:strRef>
              <c:f>'Dist Profitability'!$B$5:$AI$5</c:f>
              <c:strCache>
                <c:ptCount val="28"/>
                <c:pt idx="0">
                  <c:v>1Q:09A</c:v>
                </c:pt>
                <c:pt idx="1">
                  <c:v>2Q:09A</c:v>
                </c:pt>
                <c:pt idx="2">
                  <c:v>3Q:09A</c:v>
                </c:pt>
                <c:pt idx="3">
                  <c:v>4Q:09A</c:v>
                </c:pt>
                <c:pt idx="4">
                  <c:v>1Q:10A</c:v>
                </c:pt>
                <c:pt idx="5">
                  <c:v>2Q:10A</c:v>
                </c:pt>
                <c:pt idx="6">
                  <c:v>3Q:10A</c:v>
                </c:pt>
                <c:pt idx="7">
                  <c:v>4Q:10A</c:v>
                </c:pt>
                <c:pt idx="8">
                  <c:v>1Q:11A</c:v>
                </c:pt>
                <c:pt idx="9">
                  <c:v>2Q:11A</c:v>
                </c:pt>
                <c:pt idx="10">
                  <c:v>3Q:11A</c:v>
                </c:pt>
                <c:pt idx="11">
                  <c:v>4Q:11A</c:v>
                </c:pt>
                <c:pt idx="12">
                  <c:v>1Q:12A</c:v>
                </c:pt>
                <c:pt idx="13">
                  <c:v>2Q:12A</c:v>
                </c:pt>
                <c:pt idx="14">
                  <c:v>3Q:12A</c:v>
                </c:pt>
                <c:pt idx="15">
                  <c:v>4Q:12A</c:v>
                </c:pt>
                <c:pt idx="16">
                  <c:v>1Q:13A</c:v>
                </c:pt>
                <c:pt idx="17">
                  <c:v>2Q:13A</c:v>
                </c:pt>
                <c:pt idx="18">
                  <c:v>3Q:13A</c:v>
                </c:pt>
                <c:pt idx="19">
                  <c:v>4Q:13A</c:v>
                </c:pt>
                <c:pt idx="20">
                  <c:v>1Q:14A</c:v>
                </c:pt>
                <c:pt idx="21">
                  <c:v>2Q:14A</c:v>
                </c:pt>
                <c:pt idx="22">
                  <c:v>3Q:14A</c:v>
                </c:pt>
                <c:pt idx="23">
                  <c:v>4Q:14A</c:v>
                </c:pt>
                <c:pt idx="24">
                  <c:v>1Q:15A</c:v>
                </c:pt>
                <c:pt idx="25">
                  <c:v>2Q:15A</c:v>
                </c:pt>
                <c:pt idx="26">
                  <c:v>3Q:15A</c:v>
                </c:pt>
                <c:pt idx="27">
                  <c:v>4Q:15A</c:v>
                </c:pt>
              </c:strCache>
            </c:strRef>
          </c:cat>
          <c:val>
            <c:numRef>
              <c:f>'Dist Profitability'!$B$12:$AI$12</c:f>
              <c:numCache>
                <c:formatCode>0.00%</c:formatCode>
                <c:ptCount val="28"/>
                <c:pt idx="0">
                  <c:v>1.4340977645633066E-2</c:v>
                </c:pt>
                <c:pt idx="1">
                  <c:v>1.1579219827183008E-2</c:v>
                </c:pt>
                <c:pt idx="2">
                  <c:v>1.2001028207695148E-2</c:v>
                </c:pt>
                <c:pt idx="3">
                  <c:v>1.3569710039776302E-2</c:v>
                </c:pt>
                <c:pt idx="4">
                  <c:v>1.6125227434321137E-2</c:v>
                </c:pt>
                <c:pt idx="5">
                  <c:v>1.4378750869803825E-2</c:v>
                </c:pt>
                <c:pt idx="6">
                  <c:v>1.2587740541353134E-2</c:v>
                </c:pt>
                <c:pt idx="7">
                  <c:v>1.391580477045931E-2</c:v>
                </c:pt>
                <c:pt idx="8">
                  <c:v>1.8484020729082774E-2</c:v>
                </c:pt>
                <c:pt idx="9">
                  <c:v>1.5731295764669171E-2</c:v>
                </c:pt>
                <c:pt idx="10">
                  <c:v>1.1668737714518432E-2</c:v>
                </c:pt>
                <c:pt idx="11">
                  <c:v>1.3854868091754078E-2</c:v>
                </c:pt>
                <c:pt idx="12">
                  <c:v>1.9131971891537772E-2</c:v>
                </c:pt>
                <c:pt idx="13">
                  <c:v>1.6784252049497975E-2</c:v>
                </c:pt>
                <c:pt idx="14">
                  <c:v>1.522939371635406E-2</c:v>
                </c:pt>
                <c:pt idx="15">
                  <c:v>1.2013688062062934E-2</c:v>
                </c:pt>
                <c:pt idx="16">
                  <c:v>1.7346411957161016E-2</c:v>
                </c:pt>
                <c:pt idx="17">
                  <c:v>1.4257224564890142E-2</c:v>
                </c:pt>
                <c:pt idx="18">
                  <c:v>1.3310044039324764E-2</c:v>
                </c:pt>
                <c:pt idx="19">
                  <c:v>1.1070674267065924E-2</c:v>
                </c:pt>
                <c:pt idx="20">
                  <c:v>1.4638860696144493E-2</c:v>
                </c:pt>
                <c:pt idx="21">
                  <c:v>1.2965302601271793E-2</c:v>
                </c:pt>
                <c:pt idx="22">
                  <c:v>1.3442240182789313E-2</c:v>
                </c:pt>
                <c:pt idx="23">
                  <c:v>1.2967702555765803E-2</c:v>
                </c:pt>
                <c:pt idx="24">
                  <c:v>1.6918806289715614E-2</c:v>
                </c:pt>
                <c:pt idx="25">
                  <c:v>1.3295229978445603E-2</c:v>
                </c:pt>
                <c:pt idx="26">
                  <c:v>1.2854726273286403E-2</c:v>
                </c:pt>
                <c:pt idx="27">
                  <c:v>1.2942967790554977E-2</c:v>
                </c:pt>
              </c:numCache>
            </c:numRef>
          </c:val>
          <c:smooth val="0"/>
          <c:extLst>
            <c:ext xmlns:c16="http://schemas.microsoft.com/office/drawing/2014/chart" uri="{C3380CC4-5D6E-409C-BE32-E72D297353CC}">
              <c16:uniqueId val="{00000000-2A31-4A01-A216-FFC1CD1655EC}"/>
            </c:ext>
          </c:extLst>
        </c:ser>
        <c:ser>
          <c:idx val="1"/>
          <c:order val="1"/>
          <c:tx>
            <c:strRef>
              <c:f>'Dist Profitability'!$A$15</c:f>
              <c:strCache>
                <c:ptCount val="1"/>
                <c:pt idx="0">
                  <c:v>CAH</c:v>
                </c:pt>
              </c:strCache>
            </c:strRef>
          </c:tx>
          <c:spPr>
            <a:ln>
              <a:solidFill>
                <a:schemeClr val="tx2"/>
              </a:solidFill>
            </a:ln>
          </c:spPr>
          <c:marker>
            <c:symbol val="none"/>
          </c:marker>
          <c:cat>
            <c:strRef>
              <c:f>'Dist Profitability'!$B$5:$AI$5</c:f>
              <c:strCache>
                <c:ptCount val="28"/>
                <c:pt idx="0">
                  <c:v>1Q:09A</c:v>
                </c:pt>
                <c:pt idx="1">
                  <c:v>2Q:09A</c:v>
                </c:pt>
                <c:pt idx="2">
                  <c:v>3Q:09A</c:v>
                </c:pt>
                <c:pt idx="3">
                  <c:v>4Q:09A</c:v>
                </c:pt>
                <c:pt idx="4">
                  <c:v>1Q:10A</c:v>
                </c:pt>
                <c:pt idx="5">
                  <c:v>2Q:10A</c:v>
                </c:pt>
                <c:pt idx="6">
                  <c:v>3Q:10A</c:v>
                </c:pt>
                <c:pt idx="7">
                  <c:v>4Q:10A</c:v>
                </c:pt>
                <c:pt idx="8">
                  <c:v>1Q:11A</c:v>
                </c:pt>
                <c:pt idx="9">
                  <c:v>2Q:11A</c:v>
                </c:pt>
                <c:pt idx="10">
                  <c:v>3Q:11A</c:v>
                </c:pt>
                <c:pt idx="11">
                  <c:v>4Q:11A</c:v>
                </c:pt>
                <c:pt idx="12">
                  <c:v>1Q:12A</c:v>
                </c:pt>
                <c:pt idx="13">
                  <c:v>2Q:12A</c:v>
                </c:pt>
                <c:pt idx="14">
                  <c:v>3Q:12A</c:v>
                </c:pt>
                <c:pt idx="15">
                  <c:v>4Q:12A</c:v>
                </c:pt>
                <c:pt idx="16">
                  <c:v>1Q:13A</c:v>
                </c:pt>
                <c:pt idx="17">
                  <c:v>2Q:13A</c:v>
                </c:pt>
                <c:pt idx="18">
                  <c:v>3Q:13A</c:v>
                </c:pt>
                <c:pt idx="19">
                  <c:v>4Q:13A</c:v>
                </c:pt>
                <c:pt idx="20">
                  <c:v>1Q:14A</c:v>
                </c:pt>
                <c:pt idx="21">
                  <c:v>2Q:14A</c:v>
                </c:pt>
                <c:pt idx="22">
                  <c:v>3Q:14A</c:v>
                </c:pt>
                <c:pt idx="23">
                  <c:v>4Q:14A</c:v>
                </c:pt>
                <c:pt idx="24">
                  <c:v>1Q:15A</c:v>
                </c:pt>
                <c:pt idx="25">
                  <c:v>2Q:15A</c:v>
                </c:pt>
                <c:pt idx="26">
                  <c:v>3Q:15A</c:v>
                </c:pt>
                <c:pt idx="27">
                  <c:v>4Q:15A</c:v>
                </c:pt>
              </c:strCache>
            </c:strRef>
          </c:cat>
          <c:val>
            <c:numRef>
              <c:f>'Dist Profitability'!$B$20:$AI$20</c:f>
              <c:numCache>
                <c:formatCode>0.00%</c:formatCode>
                <c:ptCount val="28"/>
                <c:pt idx="0">
                  <c:v>1.722756576571341E-2</c:v>
                </c:pt>
                <c:pt idx="1">
                  <c:v>1.4621744505550925E-2</c:v>
                </c:pt>
                <c:pt idx="2">
                  <c:v>1.3155399161444188E-2</c:v>
                </c:pt>
                <c:pt idx="3">
                  <c:v>1.4486530736726365E-2</c:v>
                </c:pt>
                <c:pt idx="4">
                  <c:v>1.5939004551653878E-2</c:v>
                </c:pt>
                <c:pt idx="5">
                  <c:v>1.3082797756300186E-2</c:v>
                </c:pt>
                <c:pt idx="6">
                  <c:v>1.5631713554987211E-2</c:v>
                </c:pt>
                <c:pt idx="7">
                  <c:v>1.5489638102144902E-2</c:v>
                </c:pt>
                <c:pt idx="8">
                  <c:v>1.8909609763955906E-2</c:v>
                </c:pt>
                <c:pt idx="9">
                  <c:v>1.4011620303771928E-2</c:v>
                </c:pt>
                <c:pt idx="10">
                  <c:v>1.6497461928934011E-2</c:v>
                </c:pt>
                <c:pt idx="11">
                  <c:v>1.7541915946524853E-2</c:v>
                </c:pt>
                <c:pt idx="12">
                  <c:v>1.9466889569982354E-2</c:v>
                </c:pt>
                <c:pt idx="13">
                  <c:v>1.5879539680167389E-2</c:v>
                </c:pt>
                <c:pt idx="14">
                  <c:v>1.811580207810267E-2</c:v>
                </c:pt>
                <c:pt idx="15">
                  <c:v>2.080691185795815E-2</c:v>
                </c:pt>
                <c:pt idx="16">
                  <c:v>2.3582600195503421E-2</c:v>
                </c:pt>
                <c:pt idx="17">
                  <c:v>1.856805664830842E-2</c:v>
                </c:pt>
                <c:pt idx="18">
                  <c:v>2.1693919993475513E-2</c:v>
                </c:pt>
                <c:pt idx="19">
                  <c:v>2.6034172661870504E-2</c:v>
                </c:pt>
                <c:pt idx="20">
                  <c:v>2.6181920007467215E-2</c:v>
                </c:pt>
                <c:pt idx="21">
                  <c:v>2.0136280248099939E-2</c:v>
                </c:pt>
                <c:pt idx="22">
                  <c:v>2.3514748649771499E-2</c:v>
                </c:pt>
                <c:pt idx="23">
                  <c:v>2.5022516348827191E-2</c:v>
                </c:pt>
                <c:pt idx="24">
                  <c:v>2.5891625615763546E-2</c:v>
                </c:pt>
                <c:pt idx="25">
                  <c:v>2.2180273714016045E-2</c:v>
                </c:pt>
                <c:pt idx="26">
                  <c:v>2.6269827125289611E-2</c:v>
                </c:pt>
                <c:pt idx="27">
                  <c:v>2.3087931308634124E-2</c:v>
                </c:pt>
              </c:numCache>
            </c:numRef>
          </c:val>
          <c:smooth val="0"/>
          <c:extLst>
            <c:ext xmlns:c16="http://schemas.microsoft.com/office/drawing/2014/chart" uri="{C3380CC4-5D6E-409C-BE32-E72D297353CC}">
              <c16:uniqueId val="{00000001-2A31-4A01-A216-FFC1CD1655EC}"/>
            </c:ext>
          </c:extLst>
        </c:ser>
        <c:ser>
          <c:idx val="2"/>
          <c:order val="2"/>
          <c:tx>
            <c:strRef>
              <c:f>'Dist Profitability'!$A$23</c:f>
              <c:strCache>
                <c:ptCount val="1"/>
                <c:pt idx="0">
                  <c:v>MCK</c:v>
                </c:pt>
              </c:strCache>
            </c:strRef>
          </c:tx>
          <c:spPr>
            <a:ln>
              <a:solidFill>
                <a:srgbClr val="FF0000"/>
              </a:solidFill>
            </a:ln>
          </c:spPr>
          <c:marker>
            <c:symbol val="none"/>
          </c:marker>
          <c:cat>
            <c:strRef>
              <c:f>'Dist Profitability'!$B$5:$AI$5</c:f>
              <c:strCache>
                <c:ptCount val="28"/>
                <c:pt idx="0">
                  <c:v>1Q:09A</c:v>
                </c:pt>
                <c:pt idx="1">
                  <c:v>2Q:09A</c:v>
                </c:pt>
                <c:pt idx="2">
                  <c:v>3Q:09A</c:v>
                </c:pt>
                <c:pt idx="3">
                  <c:v>4Q:09A</c:v>
                </c:pt>
                <c:pt idx="4">
                  <c:v>1Q:10A</c:v>
                </c:pt>
                <c:pt idx="5">
                  <c:v>2Q:10A</c:v>
                </c:pt>
                <c:pt idx="6">
                  <c:v>3Q:10A</c:v>
                </c:pt>
                <c:pt idx="7">
                  <c:v>4Q:10A</c:v>
                </c:pt>
                <c:pt idx="8">
                  <c:v>1Q:11A</c:v>
                </c:pt>
                <c:pt idx="9">
                  <c:v>2Q:11A</c:v>
                </c:pt>
                <c:pt idx="10">
                  <c:v>3Q:11A</c:v>
                </c:pt>
                <c:pt idx="11">
                  <c:v>4Q:11A</c:v>
                </c:pt>
                <c:pt idx="12">
                  <c:v>1Q:12A</c:v>
                </c:pt>
                <c:pt idx="13">
                  <c:v>2Q:12A</c:v>
                </c:pt>
                <c:pt idx="14">
                  <c:v>3Q:12A</c:v>
                </c:pt>
                <c:pt idx="15">
                  <c:v>4Q:12A</c:v>
                </c:pt>
                <c:pt idx="16">
                  <c:v>1Q:13A</c:v>
                </c:pt>
                <c:pt idx="17">
                  <c:v>2Q:13A</c:v>
                </c:pt>
                <c:pt idx="18">
                  <c:v>3Q:13A</c:v>
                </c:pt>
                <c:pt idx="19">
                  <c:v>4Q:13A</c:v>
                </c:pt>
                <c:pt idx="20">
                  <c:v>1Q:14A</c:v>
                </c:pt>
                <c:pt idx="21">
                  <c:v>2Q:14A</c:v>
                </c:pt>
                <c:pt idx="22">
                  <c:v>3Q:14A</c:v>
                </c:pt>
                <c:pt idx="23">
                  <c:v>4Q:14A</c:v>
                </c:pt>
                <c:pt idx="24">
                  <c:v>1Q:15A</c:v>
                </c:pt>
                <c:pt idx="25">
                  <c:v>2Q:15A</c:v>
                </c:pt>
                <c:pt idx="26">
                  <c:v>3Q:15A</c:v>
                </c:pt>
                <c:pt idx="27">
                  <c:v>4Q:15A</c:v>
                </c:pt>
              </c:strCache>
            </c:strRef>
          </c:cat>
          <c:val>
            <c:numRef>
              <c:f>'Dist Profitability'!$B$28:$AI$28</c:f>
              <c:numCache>
                <c:formatCode>0.00%</c:formatCode>
                <c:ptCount val="28"/>
                <c:pt idx="0">
                  <c:v>2.0210494203782795E-2</c:v>
                </c:pt>
                <c:pt idx="1">
                  <c:v>1.8344149754285929E-2</c:v>
                </c:pt>
                <c:pt idx="2">
                  <c:v>1.7582012532252118E-2</c:v>
                </c:pt>
                <c:pt idx="3">
                  <c:v>1.9064799094510469E-2</c:v>
                </c:pt>
                <c:pt idx="4">
                  <c:v>2.2670119731261495E-2</c:v>
                </c:pt>
                <c:pt idx="5">
                  <c:v>1.8287795992714025E-2</c:v>
                </c:pt>
                <c:pt idx="6">
                  <c:v>1.7033485872012786E-2</c:v>
                </c:pt>
                <c:pt idx="7">
                  <c:v>1.9400290296314654E-2</c:v>
                </c:pt>
                <c:pt idx="8">
                  <c:v>2.3914324333691471E-2</c:v>
                </c:pt>
                <c:pt idx="9">
                  <c:v>1.7678452301534357E-2</c:v>
                </c:pt>
                <c:pt idx="10">
                  <c:v>2.1644162033359809E-2</c:v>
                </c:pt>
                <c:pt idx="11">
                  <c:v>1.8677648432180033E-2</c:v>
                </c:pt>
                <c:pt idx="12">
                  <c:v>2.3975519732483675E-2</c:v>
                </c:pt>
                <c:pt idx="13">
                  <c:v>2.1494902266380934E-2</c:v>
                </c:pt>
                <c:pt idx="14">
                  <c:v>2.7236180904522612E-2</c:v>
                </c:pt>
                <c:pt idx="15">
                  <c:v>2.1387116426716261E-2</c:v>
                </c:pt>
                <c:pt idx="16">
                  <c:v>2.2632266492488569E-2</c:v>
                </c:pt>
                <c:pt idx="17">
                  <c:v>2.6210490399826297E-2</c:v>
                </c:pt>
                <c:pt idx="18">
                  <c:v>2.4192814915870851E-2</c:v>
                </c:pt>
                <c:pt idx="19">
                  <c:v>2.0794501397949673E-2</c:v>
                </c:pt>
                <c:pt idx="20">
                  <c:v>2.310213575808839E-2</c:v>
                </c:pt>
                <c:pt idx="21">
                  <c:v>2.4445049707204139E-2</c:v>
                </c:pt>
                <c:pt idx="22">
                  <c:v>2.2342374547566917E-2</c:v>
                </c:pt>
                <c:pt idx="23">
                  <c:v>2.106158919263908E-2</c:v>
                </c:pt>
                <c:pt idx="24">
                  <c:v>2.2081246521981079E-2</c:v>
                </c:pt>
                <c:pt idx="25">
                  <c:v>2.734194253985614E-2</c:v>
                </c:pt>
                <c:pt idx="26">
                  <c:v>2.2825618834724472E-2</c:v>
                </c:pt>
                <c:pt idx="27">
                  <c:v>2.1086035199064698E-2</c:v>
                </c:pt>
              </c:numCache>
            </c:numRef>
          </c:val>
          <c:smooth val="0"/>
          <c:extLst>
            <c:ext xmlns:c16="http://schemas.microsoft.com/office/drawing/2014/chart" uri="{C3380CC4-5D6E-409C-BE32-E72D297353CC}">
              <c16:uniqueId val="{00000002-2A31-4A01-A216-FFC1CD1655EC}"/>
            </c:ext>
          </c:extLst>
        </c:ser>
        <c:dLbls>
          <c:showLegendKey val="0"/>
          <c:showVal val="0"/>
          <c:showCatName val="0"/>
          <c:showSerName val="0"/>
          <c:showPercent val="0"/>
          <c:showBubbleSize val="0"/>
        </c:dLbls>
        <c:smooth val="0"/>
        <c:axId val="338682624"/>
        <c:axId val="338684160"/>
      </c:lineChart>
      <c:catAx>
        <c:axId val="338682624"/>
        <c:scaling>
          <c:orientation val="minMax"/>
        </c:scaling>
        <c:delete val="0"/>
        <c:axPos val="b"/>
        <c:numFmt formatCode="General" sourceLinked="0"/>
        <c:majorTickMark val="out"/>
        <c:minorTickMark val="none"/>
        <c:tickLblPos val="nextTo"/>
        <c:crossAx val="338684160"/>
        <c:crosses val="autoZero"/>
        <c:auto val="1"/>
        <c:lblAlgn val="ctr"/>
        <c:lblOffset val="100"/>
        <c:noMultiLvlLbl val="0"/>
      </c:catAx>
      <c:valAx>
        <c:axId val="338684160"/>
        <c:scaling>
          <c:orientation val="minMax"/>
        </c:scaling>
        <c:delete val="0"/>
        <c:axPos val="l"/>
        <c:majorGridlines/>
        <c:numFmt formatCode="0.00%" sourceLinked="1"/>
        <c:majorTickMark val="out"/>
        <c:minorTickMark val="none"/>
        <c:tickLblPos val="nextTo"/>
        <c:crossAx val="338682624"/>
        <c:crosses val="autoZero"/>
        <c:crossBetween val="between"/>
      </c:valAx>
      <c:spPr>
        <a:noFill/>
        <a:ln w="25400">
          <a:noFill/>
        </a:ln>
      </c:spPr>
    </c:plotArea>
    <c:legend>
      <c:legendPos val="b"/>
      <c:overlay val="0"/>
    </c:legend>
    <c:plotVisOnly val="1"/>
    <c:dispBlanksAs val="gap"/>
    <c:showDLblsOverMax val="0"/>
  </c:chart>
  <c:spPr>
    <a:noFill/>
    <a:ln>
      <a:noFill/>
    </a:ln>
  </c:spPr>
  <c:printSettings>
    <c:headerFooter/>
    <c:pageMargins b="0.75000000000000422" l="0.70000000000000062" r="0.70000000000000062" t="0.75000000000000422" header="0.30000000000000032" footer="0.30000000000000032"/>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9.8469488060412766E-2"/>
          <c:y val="3.4737490611101283E-2"/>
          <c:w val="0.87489152287110816"/>
          <c:h val="0.66491598518030903"/>
        </c:manualLayout>
      </c:layout>
      <c:lineChart>
        <c:grouping val="standard"/>
        <c:varyColors val="0"/>
        <c:ser>
          <c:idx val="0"/>
          <c:order val="0"/>
          <c:tx>
            <c:strRef>
              <c:f>'Dist Profitability'!$A$7</c:f>
              <c:strCache>
                <c:ptCount val="1"/>
                <c:pt idx="0">
                  <c:v>ABC</c:v>
                </c:pt>
              </c:strCache>
            </c:strRef>
          </c:tx>
          <c:marker>
            <c:symbol val="none"/>
          </c:marker>
          <c:cat>
            <c:strRef>
              <c:f>'Dist Profitability'!$B$5:$AI$5</c:f>
              <c:strCache>
                <c:ptCount val="28"/>
                <c:pt idx="0">
                  <c:v>1Q:09A</c:v>
                </c:pt>
                <c:pt idx="1">
                  <c:v>2Q:09A</c:v>
                </c:pt>
                <c:pt idx="2">
                  <c:v>3Q:09A</c:v>
                </c:pt>
                <c:pt idx="3">
                  <c:v>4Q:09A</c:v>
                </c:pt>
                <c:pt idx="4">
                  <c:v>1Q:10A</c:v>
                </c:pt>
                <c:pt idx="5">
                  <c:v>2Q:10A</c:v>
                </c:pt>
                <c:pt idx="6">
                  <c:v>3Q:10A</c:v>
                </c:pt>
                <c:pt idx="7">
                  <c:v>4Q:10A</c:v>
                </c:pt>
                <c:pt idx="8">
                  <c:v>1Q:11A</c:v>
                </c:pt>
                <c:pt idx="9">
                  <c:v>2Q:11A</c:v>
                </c:pt>
                <c:pt idx="10">
                  <c:v>3Q:11A</c:v>
                </c:pt>
                <c:pt idx="11">
                  <c:v>4Q:11A</c:v>
                </c:pt>
                <c:pt idx="12">
                  <c:v>1Q:12A</c:v>
                </c:pt>
                <c:pt idx="13">
                  <c:v>2Q:12A</c:v>
                </c:pt>
                <c:pt idx="14">
                  <c:v>3Q:12A</c:v>
                </c:pt>
                <c:pt idx="15">
                  <c:v>4Q:12A</c:v>
                </c:pt>
                <c:pt idx="16">
                  <c:v>1Q:13A</c:v>
                </c:pt>
                <c:pt idx="17">
                  <c:v>2Q:13A</c:v>
                </c:pt>
                <c:pt idx="18">
                  <c:v>3Q:13A</c:v>
                </c:pt>
                <c:pt idx="19">
                  <c:v>4Q:13A</c:v>
                </c:pt>
                <c:pt idx="20">
                  <c:v>1Q:14A</c:v>
                </c:pt>
                <c:pt idx="21">
                  <c:v>2Q:14A</c:v>
                </c:pt>
                <c:pt idx="22">
                  <c:v>3Q:14A</c:v>
                </c:pt>
                <c:pt idx="23">
                  <c:v>4Q:14A</c:v>
                </c:pt>
                <c:pt idx="24">
                  <c:v>1Q:15A</c:v>
                </c:pt>
                <c:pt idx="25">
                  <c:v>2Q:15A</c:v>
                </c:pt>
                <c:pt idx="26">
                  <c:v>3Q:15A</c:v>
                </c:pt>
                <c:pt idx="27">
                  <c:v>4Q:15A</c:v>
                </c:pt>
              </c:strCache>
            </c:strRef>
          </c:cat>
          <c:val>
            <c:numRef>
              <c:f>'Dist Profitability'!$B$13:$AI$13</c:f>
              <c:numCache>
                <c:formatCode>0.00%</c:formatCode>
                <c:ptCount val="28"/>
                <c:pt idx="0">
                  <c:v>0.44937381328612852</c:v>
                </c:pt>
                <c:pt idx="1">
                  <c:v>0.4102033230423171</c:v>
                </c:pt>
                <c:pt idx="2">
                  <c:v>0.41708121879253396</c:v>
                </c:pt>
                <c:pt idx="3">
                  <c:v>0.46573654969203093</c:v>
                </c:pt>
                <c:pt idx="4">
                  <c:v>0.50848435141193404</c:v>
                </c:pt>
                <c:pt idx="5">
                  <c:v>0.4790420993592458</c:v>
                </c:pt>
                <c:pt idx="6">
                  <c:v>0.41861971479368493</c:v>
                </c:pt>
                <c:pt idx="7">
                  <c:v>0.47699196183595521</c:v>
                </c:pt>
                <c:pt idx="8">
                  <c:v>0.53139803531315311</c:v>
                </c:pt>
                <c:pt idx="9">
                  <c:v>0.48526349450183076</c:v>
                </c:pt>
                <c:pt idx="10">
                  <c:v>0.39135229222605966</c:v>
                </c:pt>
                <c:pt idx="11">
                  <c:v>0.48195034568268913</c:v>
                </c:pt>
                <c:pt idx="12">
                  <c:v>0.55471127973742818</c:v>
                </c:pt>
                <c:pt idx="13">
                  <c:v>0.48570521631584918</c:v>
                </c:pt>
                <c:pt idx="14">
                  <c:v>0.4117265283205559</c:v>
                </c:pt>
                <c:pt idx="15">
                  <c:v>0.38942752433094863</c:v>
                </c:pt>
                <c:pt idx="16">
                  <c:v>0.49909297115732604</c:v>
                </c:pt>
                <c:pt idx="17">
                  <c:v>0.46029212592275043</c:v>
                </c:pt>
                <c:pt idx="18">
                  <c:v>0.45209463220565499</c:v>
                </c:pt>
                <c:pt idx="19">
                  <c:v>0.44548681891279823</c:v>
                </c:pt>
                <c:pt idx="20">
                  <c:v>0.50093317235308554</c:v>
                </c:pt>
                <c:pt idx="21">
                  <c:v>0.4782604467878972</c:v>
                </c:pt>
                <c:pt idx="22">
                  <c:v>0.45810102274198317</c:v>
                </c:pt>
                <c:pt idx="23">
                  <c:v>0.48594870375969401</c:v>
                </c:pt>
                <c:pt idx="24">
                  <c:v>0.53063111237407989</c:v>
                </c:pt>
                <c:pt idx="25">
                  <c:v>0.45215560789861181</c:v>
                </c:pt>
                <c:pt idx="26">
                  <c:v>0.42931849424703028</c:v>
                </c:pt>
                <c:pt idx="27">
                  <c:v>0.45093237969416788</c:v>
                </c:pt>
              </c:numCache>
            </c:numRef>
          </c:val>
          <c:smooth val="0"/>
          <c:extLst>
            <c:ext xmlns:c16="http://schemas.microsoft.com/office/drawing/2014/chart" uri="{C3380CC4-5D6E-409C-BE32-E72D297353CC}">
              <c16:uniqueId val="{00000000-5526-44C7-9DFB-CE8018FF76F9}"/>
            </c:ext>
          </c:extLst>
        </c:ser>
        <c:ser>
          <c:idx val="1"/>
          <c:order val="1"/>
          <c:tx>
            <c:strRef>
              <c:f>'Dist Profitability'!$A$15</c:f>
              <c:strCache>
                <c:ptCount val="1"/>
                <c:pt idx="0">
                  <c:v>CAH</c:v>
                </c:pt>
              </c:strCache>
            </c:strRef>
          </c:tx>
          <c:spPr>
            <a:ln>
              <a:solidFill>
                <a:schemeClr val="tx2"/>
              </a:solidFill>
            </a:ln>
          </c:spPr>
          <c:marker>
            <c:symbol val="none"/>
          </c:marker>
          <c:cat>
            <c:strRef>
              <c:f>'Dist Profitability'!$B$5:$AI$5</c:f>
              <c:strCache>
                <c:ptCount val="28"/>
                <c:pt idx="0">
                  <c:v>1Q:09A</c:v>
                </c:pt>
                <c:pt idx="1">
                  <c:v>2Q:09A</c:v>
                </c:pt>
                <c:pt idx="2">
                  <c:v>3Q:09A</c:v>
                </c:pt>
                <c:pt idx="3">
                  <c:v>4Q:09A</c:v>
                </c:pt>
                <c:pt idx="4">
                  <c:v>1Q:10A</c:v>
                </c:pt>
                <c:pt idx="5">
                  <c:v>2Q:10A</c:v>
                </c:pt>
                <c:pt idx="6">
                  <c:v>3Q:10A</c:v>
                </c:pt>
                <c:pt idx="7">
                  <c:v>4Q:10A</c:v>
                </c:pt>
                <c:pt idx="8">
                  <c:v>1Q:11A</c:v>
                </c:pt>
                <c:pt idx="9">
                  <c:v>2Q:11A</c:v>
                </c:pt>
                <c:pt idx="10">
                  <c:v>3Q:11A</c:v>
                </c:pt>
                <c:pt idx="11">
                  <c:v>4Q:11A</c:v>
                </c:pt>
                <c:pt idx="12">
                  <c:v>1Q:12A</c:v>
                </c:pt>
                <c:pt idx="13">
                  <c:v>2Q:12A</c:v>
                </c:pt>
                <c:pt idx="14">
                  <c:v>3Q:12A</c:v>
                </c:pt>
                <c:pt idx="15">
                  <c:v>4Q:12A</c:v>
                </c:pt>
                <c:pt idx="16">
                  <c:v>1Q:13A</c:v>
                </c:pt>
                <c:pt idx="17">
                  <c:v>2Q:13A</c:v>
                </c:pt>
                <c:pt idx="18">
                  <c:v>3Q:13A</c:v>
                </c:pt>
                <c:pt idx="19">
                  <c:v>4Q:13A</c:v>
                </c:pt>
                <c:pt idx="20">
                  <c:v>1Q:14A</c:v>
                </c:pt>
                <c:pt idx="21">
                  <c:v>2Q:14A</c:v>
                </c:pt>
                <c:pt idx="22">
                  <c:v>3Q:14A</c:v>
                </c:pt>
                <c:pt idx="23">
                  <c:v>4Q:14A</c:v>
                </c:pt>
                <c:pt idx="24">
                  <c:v>1Q:15A</c:v>
                </c:pt>
                <c:pt idx="25">
                  <c:v>2Q:15A</c:v>
                </c:pt>
                <c:pt idx="26">
                  <c:v>3Q:15A</c:v>
                </c:pt>
                <c:pt idx="27">
                  <c:v>4Q:15A</c:v>
                </c:pt>
              </c:strCache>
            </c:strRef>
          </c:cat>
          <c:val>
            <c:numRef>
              <c:f>'Dist Profitability'!$B$21:$AI$21</c:f>
              <c:numCache>
                <c:formatCode>0.00%</c:formatCode>
                <c:ptCount val="28"/>
                <c:pt idx="0">
                  <c:v>0.42050866349174276</c:v>
                </c:pt>
                <c:pt idx="1">
                  <c:v>0.37699883511595922</c:v>
                </c:pt>
                <c:pt idx="2">
                  <c:v>0.35871478873239465</c:v>
                </c:pt>
                <c:pt idx="3">
                  <c:v>0.37694476349587525</c:v>
                </c:pt>
                <c:pt idx="4">
                  <c:v>0.38412038412038468</c:v>
                </c:pt>
                <c:pt idx="5">
                  <c:v>0.35394314788187203</c:v>
                </c:pt>
                <c:pt idx="6">
                  <c:v>0.39700685928081447</c:v>
                </c:pt>
                <c:pt idx="7">
                  <c:v>0.39529269764634856</c:v>
                </c:pt>
                <c:pt idx="8">
                  <c:v>0.424195491309585</c:v>
                </c:pt>
                <c:pt idx="9">
                  <c:v>0.35940195514663548</c:v>
                </c:pt>
                <c:pt idx="10">
                  <c:v>0.40756108805901337</c:v>
                </c:pt>
                <c:pt idx="11">
                  <c:v>0.42642966154951017</c:v>
                </c:pt>
                <c:pt idx="12">
                  <c:v>0.43424214800696087</c:v>
                </c:pt>
                <c:pt idx="13">
                  <c:v>0.37411971830985913</c:v>
                </c:pt>
                <c:pt idx="14">
                  <c:v>0.40465918895599656</c:v>
                </c:pt>
                <c:pt idx="15">
                  <c:v>0.42892156862745096</c:v>
                </c:pt>
                <c:pt idx="16">
                  <c:v>0.44848954298993027</c:v>
                </c:pt>
                <c:pt idx="17">
                  <c:v>0.3785084202085004</c:v>
                </c:pt>
                <c:pt idx="18">
                  <c:v>0.42088607594936711</c:v>
                </c:pt>
                <c:pt idx="19">
                  <c:v>0.43048327137546466</c:v>
                </c:pt>
                <c:pt idx="20">
                  <c:v>0.43253662297609868</c:v>
                </c:pt>
                <c:pt idx="21">
                  <c:v>0.36703821656050956</c:v>
                </c:pt>
                <c:pt idx="22">
                  <c:v>0.42207307979120062</c:v>
                </c:pt>
                <c:pt idx="23">
                  <c:v>0.43947730398899587</c:v>
                </c:pt>
                <c:pt idx="24">
                  <c:v>0.45030843043180263</c:v>
                </c:pt>
                <c:pt idx="25">
                  <c:v>0.41906721536351166</c:v>
                </c:pt>
                <c:pt idx="26">
                  <c:v>0.4667511082963901</c:v>
                </c:pt>
                <c:pt idx="27">
                  <c:v>0.45121193287756373</c:v>
                </c:pt>
              </c:numCache>
            </c:numRef>
          </c:val>
          <c:smooth val="0"/>
          <c:extLst>
            <c:ext xmlns:c16="http://schemas.microsoft.com/office/drawing/2014/chart" uri="{C3380CC4-5D6E-409C-BE32-E72D297353CC}">
              <c16:uniqueId val="{00000001-5526-44C7-9DFB-CE8018FF76F9}"/>
            </c:ext>
          </c:extLst>
        </c:ser>
        <c:ser>
          <c:idx val="2"/>
          <c:order val="2"/>
          <c:tx>
            <c:strRef>
              <c:f>'Dist Profitability'!$A$23</c:f>
              <c:strCache>
                <c:ptCount val="1"/>
                <c:pt idx="0">
                  <c:v>MCK</c:v>
                </c:pt>
              </c:strCache>
            </c:strRef>
          </c:tx>
          <c:spPr>
            <a:ln>
              <a:solidFill>
                <a:srgbClr val="FF0000"/>
              </a:solidFill>
            </a:ln>
          </c:spPr>
          <c:marker>
            <c:symbol val="none"/>
          </c:marker>
          <c:cat>
            <c:strRef>
              <c:f>'Dist Profitability'!$B$5:$AI$5</c:f>
              <c:strCache>
                <c:ptCount val="28"/>
                <c:pt idx="0">
                  <c:v>1Q:09A</c:v>
                </c:pt>
                <c:pt idx="1">
                  <c:v>2Q:09A</c:v>
                </c:pt>
                <c:pt idx="2">
                  <c:v>3Q:09A</c:v>
                </c:pt>
                <c:pt idx="3">
                  <c:v>4Q:09A</c:v>
                </c:pt>
                <c:pt idx="4">
                  <c:v>1Q:10A</c:v>
                </c:pt>
                <c:pt idx="5">
                  <c:v>2Q:10A</c:v>
                </c:pt>
                <c:pt idx="6">
                  <c:v>3Q:10A</c:v>
                </c:pt>
                <c:pt idx="7">
                  <c:v>4Q:10A</c:v>
                </c:pt>
                <c:pt idx="8">
                  <c:v>1Q:11A</c:v>
                </c:pt>
                <c:pt idx="9">
                  <c:v>2Q:11A</c:v>
                </c:pt>
                <c:pt idx="10">
                  <c:v>3Q:11A</c:v>
                </c:pt>
                <c:pt idx="11">
                  <c:v>4Q:11A</c:v>
                </c:pt>
                <c:pt idx="12">
                  <c:v>1Q:12A</c:v>
                </c:pt>
                <c:pt idx="13">
                  <c:v>2Q:12A</c:v>
                </c:pt>
                <c:pt idx="14">
                  <c:v>3Q:12A</c:v>
                </c:pt>
                <c:pt idx="15">
                  <c:v>4Q:12A</c:v>
                </c:pt>
                <c:pt idx="16">
                  <c:v>1Q:13A</c:v>
                </c:pt>
                <c:pt idx="17">
                  <c:v>2Q:13A</c:v>
                </c:pt>
                <c:pt idx="18">
                  <c:v>3Q:13A</c:v>
                </c:pt>
                <c:pt idx="19">
                  <c:v>4Q:13A</c:v>
                </c:pt>
                <c:pt idx="20">
                  <c:v>1Q:14A</c:v>
                </c:pt>
                <c:pt idx="21">
                  <c:v>2Q:14A</c:v>
                </c:pt>
                <c:pt idx="22">
                  <c:v>3Q:14A</c:v>
                </c:pt>
                <c:pt idx="23">
                  <c:v>4Q:14A</c:v>
                </c:pt>
                <c:pt idx="24">
                  <c:v>1Q:15A</c:v>
                </c:pt>
                <c:pt idx="25">
                  <c:v>2Q:15A</c:v>
                </c:pt>
                <c:pt idx="26">
                  <c:v>3Q:15A</c:v>
                </c:pt>
                <c:pt idx="27">
                  <c:v>4Q:15A</c:v>
                </c:pt>
              </c:strCache>
            </c:strRef>
          </c:cat>
          <c:val>
            <c:numRef>
              <c:f>'Dist Profitability'!$B$29:$AI$29</c:f>
              <c:numCache>
                <c:formatCode>0.00%</c:formatCode>
                <c:ptCount val="28"/>
                <c:pt idx="0">
                  <c:v>0.36177474402730375</c:v>
                </c:pt>
                <c:pt idx="1">
                  <c:v>0.375287797390637</c:v>
                </c:pt>
                <c:pt idx="2">
                  <c:v>0.35730337078651686</c:v>
                </c:pt>
                <c:pt idx="3">
                  <c:v>0.37044673539518902</c:v>
                </c:pt>
                <c:pt idx="4">
                  <c:v>0.38155401137081491</c:v>
                </c:pt>
                <c:pt idx="5">
                  <c:v>0.35959885386819485</c:v>
                </c:pt>
                <c:pt idx="6">
                  <c:v>0.34233576642335767</c:v>
                </c:pt>
                <c:pt idx="7">
                  <c:v>0.37406143344709897</c:v>
                </c:pt>
                <c:pt idx="8">
                  <c:v>0.39316239316239315</c:v>
                </c:pt>
                <c:pt idx="9">
                  <c:v>0.35006605019815057</c:v>
                </c:pt>
                <c:pt idx="10">
                  <c:v>0.39564428312159711</c:v>
                </c:pt>
                <c:pt idx="11">
                  <c:v>0.36664544875875238</c:v>
                </c:pt>
                <c:pt idx="12">
                  <c:v>0.41103299080584099</c:v>
                </c:pt>
                <c:pt idx="13">
                  <c:v>0.41375000000000001</c:v>
                </c:pt>
                <c:pt idx="14">
                  <c:v>0.47267441860465115</c:v>
                </c:pt>
                <c:pt idx="15">
                  <c:v>0.3998800959232614</c:v>
                </c:pt>
                <c:pt idx="16">
                  <c:v>0.3471943887775551</c:v>
                </c:pt>
                <c:pt idx="17">
                  <c:v>0.43311122501281396</c:v>
                </c:pt>
                <c:pt idx="18">
                  <c:v>0.39117647058823529</c:v>
                </c:pt>
                <c:pt idx="19">
                  <c:v>0.38181818181818183</c:v>
                </c:pt>
                <c:pt idx="20">
                  <c:v>0.37159863945578231</c:v>
                </c:pt>
                <c:pt idx="21">
                  <c:v>0.38505541651769754</c:v>
                </c:pt>
                <c:pt idx="22">
                  <c:v>0.33112582781456956</c:v>
                </c:pt>
                <c:pt idx="23">
                  <c:v>0.33650577838205303</c:v>
                </c:pt>
                <c:pt idx="24">
                  <c:v>0.34007541995200546</c:v>
                </c:pt>
                <c:pt idx="25">
                  <c:v>0.45646067415730335</c:v>
                </c:pt>
                <c:pt idx="26">
                  <c:v>0.39135021097046413</c:v>
                </c:pt>
                <c:pt idx="27">
                  <c:v>0.35167130919220058</c:v>
                </c:pt>
              </c:numCache>
            </c:numRef>
          </c:val>
          <c:smooth val="0"/>
          <c:extLst>
            <c:ext xmlns:c16="http://schemas.microsoft.com/office/drawing/2014/chart" uri="{C3380CC4-5D6E-409C-BE32-E72D297353CC}">
              <c16:uniqueId val="{00000002-5526-44C7-9DFB-CE8018FF76F9}"/>
            </c:ext>
          </c:extLst>
        </c:ser>
        <c:dLbls>
          <c:showLegendKey val="0"/>
          <c:showVal val="0"/>
          <c:showCatName val="0"/>
          <c:showSerName val="0"/>
          <c:showPercent val="0"/>
          <c:showBubbleSize val="0"/>
        </c:dLbls>
        <c:smooth val="0"/>
        <c:axId val="339287424"/>
        <c:axId val="339330176"/>
      </c:lineChart>
      <c:catAx>
        <c:axId val="339287424"/>
        <c:scaling>
          <c:orientation val="minMax"/>
        </c:scaling>
        <c:delete val="0"/>
        <c:axPos val="b"/>
        <c:numFmt formatCode="General" sourceLinked="0"/>
        <c:majorTickMark val="out"/>
        <c:minorTickMark val="none"/>
        <c:tickLblPos val="nextTo"/>
        <c:crossAx val="339330176"/>
        <c:crosses val="autoZero"/>
        <c:auto val="1"/>
        <c:lblAlgn val="ctr"/>
        <c:lblOffset val="100"/>
        <c:noMultiLvlLbl val="0"/>
      </c:catAx>
      <c:valAx>
        <c:axId val="339330176"/>
        <c:scaling>
          <c:orientation val="minMax"/>
        </c:scaling>
        <c:delete val="0"/>
        <c:axPos val="l"/>
        <c:majorGridlines/>
        <c:numFmt formatCode="0.0%" sourceLinked="0"/>
        <c:majorTickMark val="out"/>
        <c:minorTickMark val="none"/>
        <c:tickLblPos val="nextTo"/>
        <c:crossAx val="339287424"/>
        <c:crosses val="autoZero"/>
        <c:crossBetween val="between"/>
      </c:valAx>
      <c:spPr>
        <a:noFill/>
        <a:ln w="25400">
          <a:noFill/>
        </a:ln>
      </c:spPr>
    </c:plotArea>
    <c:legend>
      <c:legendPos val="b"/>
      <c:overlay val="0"/>
    </c:legend>
    <c:plotVisOnly val="1"/>
    <c:dispBlanksAs val="gap"/>
    <c:showDLblsOverMax val="0"/>
  </c:chart>
  <c:spPr>
    <a:noFill/>
    <a:ln>
      <a:noFill/>
    </a:ln>
  </c:spPr>
  <c:printSettings>
    <c:headerFooter/>
    <c:pageMargins b="0.75000000000000422" l="0.70000000000000062" r="0.70000000000000062" t="0.75000000000000422" header="0.30000000000000032" footer="0.30000000000000032"/>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latin typeface="Times New Roman" pitchFamily="18" charset="0"/>
                <a:cs typeface="Times New Roman" pitchFamily="18" charset="0"/>
              </a:defRPr>
            </a:pPr>
            <a:r>
              <a:rPr lang="en-US">
                <a:latin typeface="Times New Roman" pitchFamily="18" charset="0"/>
                <a:cs typeface="Times New Roman" pitchFamily="18" charset="0"/>
              </a:rPr>
              <a:t>Distributor</a:t>
            </a:r>
            <a:r>
              <a:rPr lang="en-US" baseline="0">
                <a:latin typeface="Times New Roman" pitchFamily="18" charset="0"/>
                <a:cs typeface="Times New Roman" pitchFamily="18" charset="0"/>
              </a:rPr>
              <a:t> Revenues</a:t>
            </a:r>
          </a:p>
        </c:rich>
      </c:tx>
      <c:overlay val="0"/>
    </c:title>
    <c:autoTitleDeleted val="0"/>
    <c:plotArea>
      <c:layout>
        <c:manualLayout>
          <c:layoutTarget val="inner"/>
          <c:xMode val="edge"/>
          <c:yMode val="edge"/>
          <c:x val="0.17371876743753509"/>
          <c:y val="0.21000634622164771"/>
          <c:w val="0.47713084092834851"/>
          <c:h val="0.7235297528107496"/>
        </c:manualLayout>
      </c:layout>
      <c:pieChart>
        <c:varyColors val="1"/>
        <c:ser>
          <c:idx val="0"/>
          <c:order val="0"/>
          <c:dPt>
            <c:idx val="1"/>
            <c:bubble3D val="0"/>
            <c:spPr>
              <a:solidFill>
                <a:schemeClr val="bg2"/>
              </a:solidFill>
            </c:spPr>
            <c:extLst>
              <c:ext xmlns:c16="http://schemas.microsoft.com/office/drawing/2014/chart" uri="{C3380CC4-5D6E-409C-BE32-E72D297353CC}">
                <c16:uniqueId val="{00000001-193F-4ADF-B274-33AEA332C3E7}"/>
              </c:ext>
            </c:extLst>
          </c:dPt>
          <c:dPt>
            <c:idx val="2"/>
            <c:bubble3D val="0"/>
            <c:spPr>
              <a:solidFill>
                <a:schemeClr val="tx2"/>
              </a:solidFill>
            </c:spPr>
            <c:extLst>
              <c:ext xmlns:c16="http://schemas.microsoft.com/office/drawing/2014/chart" uri="{C3380CC4-5D6E-409C-BE32-E72D297353CC}">
                <c16:uniqueId val="{00000003-193F-4ADF-B274-33AEA332C3E7}"/>
              </c:ext>
            </c:extLst>
          </c:dPt>
          <c:dLbls>
            <c:dLbl>
              <c:idx val="1"/>
              <c:spPr/>
              <c:txPr>
                <a:bodyPr/>
                <a:lstStyle/>
                <a:p>
                  <a:pPr>
                    <a:defRPr b="1">
                      <a:solidFill>
                        <a:schemeClr val="bg1"/>
                      </a:solidFill>
                    </a:defRPr>
                  </a:pPr>
                  <a:endParaRPr lang="en-US"/>
                </a:p>
              </c:txPr>
              <c:showLegendKey val="0"/>
              <c:showVal val="0"/>
              <c:showCatName val="0"/>
              <c:showSerName val="0"/>
              <c:showPercent val="1"/>
              <c:showBubbleSize val="0"/>
              <c:extLst>
                <c:ext xmlns:c16="http://schemas.microsoft.com/office/drawing/2014/chart" uri="{C3380CC4-5D6E-409C-BE32-E72D297353CC}">
                  <c16:uniqueId val="{00000001-193F-4ADF-B274-33AEA332C3E7}"/>
                </c:ext>
              </c:extLst>
            </c:dLbl>
            <c:dLbl>
              <c:idx val="2"/>
              <c:spPr/>
              <c:txPr>
                <a:bodyPr/>
                <a:lstStyle/>
                <a:p>
                  <a:pPr>
                    <a:defRPr b="1">
                      <a:solidFill>
                        <a:schemeClr val="bg1"/>
                      </a:solidFill>
                    </a:defRPr>
                  </a:pPr>
                  <a:endParaRPr lang="en-US"/>
                </a:p>
              </c:txPr>
              <c:showLegendKey val="0"/>
              <c:showVal val="0"/>
              <c:showCatName val="0"/>
              <c:showSerName val="0"/>
              <c:showPercent val="1"/>
              <c:showBubbleSize val="0"/>
              <c:extLst>
                <c:ext xmlns:c16="http://schemas.microsoft.com/office/drawing/2014/chart" uri="{C3380CC4-5D6E-409C-BE32-E72D297353CC}">
                  <c16:uniqueId val="{00000003-193F-4ADF-B274-33AEA332C3E7}"/>
                </c:ext>
              </c:extLst>
            </c:dLbl>
            <c:spPr>
              <a:noFill/>
              <a:ln>
                <a:noFill/>
              </a:ln>
              <a:effectLst/>
            </c:spPr>
            <c:txPr>
              <a:bodyPr/>
              <a:lstStyle/>
              <a:p>
                <a:pPr>
                  <a:defRPr b="1"/>
                </a:pPr>
                <a:endParaRPr lang="en-US"/>
              </a:p>
            </c:txPr>
            <c:showLegendKey val="0"/>
            <c:showVal val="0"/>
            <c:showCatName val="0"/>
            <c:showSerName val="0"/>
            <c:showPercent val="1"/>
            <c:showBubbleSize val="0"/>
            <c:showLeaderLines val="1"/>
            <c:extLst>
              <c:ext xmlns:c15="http://schemas.microsoft.com/office/drawing/2012/chart" uri="{CE6537A1-D6FC-4f65-9D91-7224C49458BB}"/>
            </c:extLst>
          </c:dLbls>
          <c:cat>
            <c:strRef>
              <c:f>'Dist Profitability'!$A$123:$A$125</c:f>
              <c:strCache>
                <c:ptCount val="3"/>
                <c:pt idx="0">
                  <c:v>Generics</c:v>
                </c:pt>
                <c:pt idx="1">
                  <c:v>Brand-Name (warehouse deliveries)</c:v>
                </c:pt>
                <c:pt idx="2">
                  <c:v>Brand-Name (traditional distribution)</c:v>
                </c:pt>
              </c:strCache>
            </c:strRef>
          </c:cat>
          <c:val>
            <c:numRef>
              <c:f>'Dist Profitability'!$B$123:$B$125</c:f>
              <c:numCache>
                <c:formatCode>_("$"* #,##0.0_);_("$"* \(#,##0.0\);_("$"* "-"??_);_(@_)</c:formatCode>
                <c:ptCount val="3"/>
                <c:pt idx="0">
                  <c:v>32.700000000000003</c:v>
                </c:pt>
                <c:pt idx="1">
                  <c:v>75.599999999999994</c:v>
                </c:pt>
                <c:pt idx="2">
                  <c:v>164</c:v>
                </c:pt>
              </c:numCache>
            </c:numRef>
          </c:val>
          <c:extLst>
            <c:ext xmlns:c16="http://schemas.microsoft.com/office/drawing/2014/chart" uri="{C3380CC4-5D6E-409C-BE32-E72D297353CC}">
              <c16:uniqueId val="{00000004-193F-4ADF-B274-33AEA332C3E7}"/>
            </c:ext>
          </c:extLst>
        </c:ser>
        <c:dLbls>
          <c:showLegendKey val="0"/>
          <c:showVal val="0"/>
          <c:showCatName val="0"/>
          <c:showSerName val="0"/>
          <c:showPercent val="1"/>
          <c:showBubbleSize val="0"/>
          <c:showLeaderLines val="1"/>
        </c:dLbls>
        <c:firstSliceAng val="0"/>
      </c:pieChart>
    </c:plotArea>
    <c:legend>
      <c:legendPos val="r"/>
      <c:layout>
        <c:manualLayout>
          <c:xMode val="edge"/>
          <c:yMode val="edge"/>
          <c:x val="0.6871194742389487"/>
          <c:y val="0.65505449132291305"/>
          <c:w val="0.30500651001302032"/>
          <c:h val="0.33347279351275239"/>
        </c:manualLayout>
      </c:layout>
      <c:overlay val="0"/>
      <c:txPr>
        <a:bodyPr/>
        <a:lstStyle/>
        <a:p>
          <a:pPr>
            <a:defRPr>
              <a:latin typeface="Times New Roman" pitchFamily="18" charset="0"/>
              <a:cs typeface="Times New Roman" pitchFamily="18" charset="0"/>
            </a:defRPr>
          </a:pPr>
          <a:endParaRPr lang="en-US"/>
        </a:p>
      </c:txPr>
    </c:legend>
    <c:plotVisOnly val="1"/>
    <c:dispBlanksAs val="zero"/>
    <c:showDLblsOverMax val="0"/>
  </c:chart>
  <c:spPr>
    <a:noFill/>
    <a:ln>
      <a:noFill/>
    </a:ln>
  </c:spPr>
  <c:printSettings>
    <c:headerFooter/>
    <c:pageMargins b="0.75000000000000411" l="0.70000000000000062" r="0.70000000000000062" t="0.75000000000000411" header="0.30000000000000032" footer="0.30000000000000032"/>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latin typeface="Times New Roman" pitchFamily="18" charset="0"/>
                <a:cs typeface="Times New Roman" pitchFamily="18" charset="0"/>
              </a:defRPr>
            </a:pPr>
            <a:r>
              <a:rPr lang="en-US" baseline="0">
                <a:latin typeface="Times New Roman" pitchFamily="18" charset="0"/>
                <a:cs typeface="Times New Roman" pitchFamily="18" charset="0"/>
              </a:rPr>
              <a:t>Gross Profit</a:t>
            </a:r>
          </a:p>
        </c:rich>
      </c:tx>
      <c:layout>
        <c:manualLayout>
          <c:xMode val="edge"/>
          <c:yMode val="edge"/>
          <c:x val="0.3483660900655155"/>
          <c:y val="2.3880597014925575E-2"/>
        </c:manualLayout>
      </c:layout>
      <c:overlay val="0"/>
    </c:title>
    <c:autoTitleDeleted val="0"/>
    <c:plotArea>
      <c:layout>
        <c:manualLayout>
          <c:layoutTarget val="inner"/>
          <c:xMode val="edge"/>
          <c:yMode val="edge"/>
          <c:x val="0.18684212701758734"/>
          <c:y val="0.22990684373408549"/>
          <c:w val="0.47105285752324438"/>
          <c:h val="0.67512938001024325"/>
        </c:manualLayout>
      </c:layout>
      <c:pieChart>
        <c:varyColors val="1"/>
        <c:ser>
          <c:idx val="0"/>
          <c:order val="0"/>
          <c:dPt>
            <c:idx val="0"/>
            <c:bubble3D val="0"/>
            <c:spPr>
              <a:solidFill>
                <a:schemeClr val="bg2"/>
              </a:solidFill>
            </c:spPr>
            <c:extLst>
              <c:ext xmlns:c16="http://schemas.microsoft.com/office/drawing/2014/chart" uri="{C3380CC4-5D6E-409C-BE32-E72D297353CC}">
                <c16:uniqueId val="{00000001-72F7-49B7-BC21-4D04EF28604D}"/>
              </c:ext>
            </c:extLst>
          </c:dPt>
          <c:dPt>
            <c:idx val="1"/>
            <c:bubble3D val="0"/>
            <c:spPr>
              <a:solidFill>
                <a:srgbClr val="134679"/>
              </a:solidFill>
            </c:spPr>
            <c:extLst>
              <c:ext xmlns:c16="http://schemas.microsoft.com/office/drawing/2014/chart" uri="{C3380CC4-5D6E-409C-BE32-E72D297353CC}">
                <c16:uniqueId val="{00000003-72F7-49B7-BC21-4D04EF28604D}"/>
              </c:ext>
            </c:extLst>
          </c:dPt>
          <c:dPt>
            <c:idx val="2"/>
            <c:bubble3D val="0"/>
            <c:spPr>
              <a:solidFill>
                <a:schemeClr val="accent1"/>
              </a:solidFill>
            </c:spPr>
            <c:extLst>
              <c:ext xmlns:c16="http://schemas.microsoft.com/office/drawing/2014/chart" uri="{C3380CC4-5D6E-409C-BE32-E72D297353CC}">
                <c16:uniqueId val="{00000005-72F7-49B7-BC21-4D04EF28604D}"/>
              </c:ext>
            </c:extLst>
          </c:dPt>
          <c:dLbls>
            <c:dLbl>
              <c:idx val="0"/>
              <c:spPr/>
              <c:txPr>
                <a:bodyPr/>
                <a:lstStyle/>
                <a:p>
                  <a:pPr>
                    <a:defRPr b="1">
                      <a:solidFill>
                        <a:schemeClr val="bg1"/>
                      </a:solidFill>
                    </a:defRPr>
                  </a:pPr>
                  <a:endParaRPr lang="en-US"/>
                </a:p>
              </c:txPr>
              <c:showLegendKey val="0"/>
              <c:showVal val="0"/>
              <c:showCatName val="0"/>
              <c:showSerName val="0"/>
              <c:showPercent val="1"/>
              <c:showBubbleSize val="0"/>
              <c:extLst>
                <c:ext xmlns:c16="http://schemas.microsoft.com/office/drawing/2014/chart" uri="{C3380CC4-5D6E-409C-BE32-E72D297353CC}">
                  <c16:uniqueId val="{00000001-72F7-49B7-BC21-4D04EF28604D}"/>
                </c:ext>
              </c:extLst>
            </c:dLbl>
            <c:dLbl>
              <c:idx val="1"/>
              <c:spPr/>
              <c:txPr>
                <a:bodyPr/>
                <a:lstStyle/>
                <a:p>
                  <a:pPr>
                    <a:defRPr b="1">
                      <a:solidFill>
                        <a:schemeClr val="bg1"/>
                      </a:solidFill>
                    </a:defRPr>
                  </a:pPr>
                  <a:endParaRPr lang="en-US"/>
                </a:p>
              </c:txPr>
              <c:showLegendKey val="0"/>
              <c:showVal val="0"/>
              <c:showCatName val="0"/>
              <c:showSerName val="0"/>
              <c:showPercent val="1"/>
              <c:showBubbleSize val="0"/>
              <c:extLst>
                <c:ext xmlns:c16="http://schemas.microsoft.com/office/drawing/2014/chart" uri="{C3380CC4-5D6E-409C-BE32-E72D297353CC}">
                  <c16:uniqueId val="{00000003-72F7-49B7-BC21-4D04EF28604D}"/>
                </c:ext>
              </c:extLst>
            </c:dLbl>
            <c:dLbl>
              <c:idx val="2"/>
              <c:spPr/>
              <c:txPr>
                <a:bodyPr/>
                <a:lstStyle/>
                <a:p>
                  <a:pPr>
                    <a:defRPr b="1"/>
                  </a:pPr>
                  <a:endParaRPr lang="en-US"/>
                </a:p>
              </c:txPr>
              <c:showLegendKey val="0"/>
              <c:showVal val="0"/>
              <c:showCatName val="0"/>
              <c:showSerName val="0"/>
              <c:showPercent val="1"/>
              <c:showBubbleSize val="0"/>
              <c:extLst>
                <c:ext xmlns:c16="http://schemas.microsoft.com/office/drawing/2014/chart" uri="{C3380CC4-5D6E-409C-BE32-E72D297353CC}">
                  <c16:uniqueId val="{00000005-72F7-49B7-BC21-4D04EF28604D}"/>
                </c:ext>
              </c:extLst>
            </c:dLbl>
            <c:spPr>
              <a:noFill/>
              <a:ln>
                <a:noFill/>
              </a:ln>
              <a:effectLst/>
            </c:spPr>
            <c:showLegendKey val="0"/>
            <c:showVal val="0"/>
            <c:showCatName val="0"/>
            <c:showSerName val="0"/>
            <c:showPercent val="1"/>
            <c:showBubbleSize val="0"/>
            <c:showLeaderLines val="1"/>
            <c:extLst>
              <c:ext xmlns:c15="http://schemas.microsoft.com/office/drawing/2012/chart" uri="{CE6537A1-D6FC-4f65-9D91-7224C49458BB}"/>
            </c:extLst>
          </c:dLbls>
          <c:cat>
            <c:strRef>
              <c:f>'Dist Profitability'!$A$129:$A$131</c:f>
              <c:strCache>
                <c:ptCount val="3"/>
                <c:pt idx="0">
                  <c:v>Brand-Name (warehouse deliveries)</c:v>
                </c:pt>
                <c:pt idx="1">
                  <c:v>Brand-Name (traditional distribution)</c:v>
                </c:pt>
                <c:pt idx="2">
                  <c:v>Generics</c:v>
                </c:pt>
              </c:strCache>
            </c:strRef>
          </c:cat>
          <c:val>
            <c:numRef>
              <c:f>'Dist Profitability'!$B$129:$B$131</c:f>
              <c:numCache>
                <c:formatCode>_("$"* #,##0.0_);_("$"* \(#,##0.0\);_("$"* "-"??_);_(@_)</c:formatCode>
                <c:ptCount val="3"/>
                <c:pt idx="0">
                  <c:v>0.5</c:v>
                </c:pt>
                <c:pt idx="1">
                  <c:v>2.6</c:v>
                </c:pt>
                <c:pt idx="2">
                  <c:v>5.7</c:v>
                </c:pt>
              </c:numCache>
            </c:numRef>
          </c:val>
          <c:extLst>
            <c:ext xmlns:c16="http://schemas.microsoft.com/office/drawing/2014/chart" uri="{C3380CC4-5D6E-409C-BE32-E72D297353CC}">
              <c16:uniqueId val="{00000006-72F7-49B7-BC21-4D04EF28604D}"/>
            </c:ext>
          </c:extLst>
        </c:ser>
        <c:dLbls>
          <c:showLegendKey val="0"/>
          <c:showVal val="0"/>
          <c:showCatName val="0"/>
          <c:showSerName val="0"/>
          <c:showPercent val="1"/>
          <c:showBubbleSize val="0"/>
          <c:showLeaderLines val="1"/>
        </c:dLbls>
        <c:firstSliceAng val="0"/>
      </c:pieChart>
    </c:plotArea>
    <c:legend>
      <c:legendPos val="r"/>
      <c:layout>
        <c:manualLayout>
          <c:xMode val="edge"/>
          <c:yMode val="edge"/>
          <c:x val="0.65777777777777868"/>
          <c:y val="0.66301469032788962"/>
          <c:w val="0.34222222222222232"/>
          <c:h val="0.33347279351275239"/>
        </c:manualLayout>
      </c:layout>
      <c:overlay val="0"/>
      <c:txPr>
        <a:bodyPr/>
        <a:lstStyle/>
        <a:p>
          <a:pPr>
            <a:defRPr>
              <a:latin typeface="Times New Roman" pitchFamily="18" charset="0"/>
              <a:cs typeface="Times New Roman" pitchFamily="18" charset="0"/>
            </a:defRPr>
          </a:pPr>
          <a:endParaRPr lang="en-US"/>
        </a:p>
      </c:txPr>
    </c:legend>
    <c:plotVisOnly val="1"/>
    <c:dispBlanksAs val="zero"/>
    <c:showDLblsOverMax val="0"/>
  </c:chart>
  <c:spPr>
    <a:noFill/>
    <a:ln>
      <a:noFill/>
    </a:ln>
  </c:spPr>
  <c:printSettings>
    <c:headerFooter/>
    <c:pageMargins b="0.75000000000000433" l="0.70000000000000062" r="0.70000000000000062" t="0.75000000000000433" header="0.30000000000000032" footer="0.30000000000000032"/>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297287839020122"/>
          <c:y val="8.101851851851849E-2"/>
          <c:w val="0.52500000000000002"/>
          <c:h val="0.87500000000000089"/>
        </c:manualLayout>
      </c:layout>
      <c:pieChart>
        <c:varyColors val="1"/>
        <c:ser>
          <c:idx val="0"/>
          <c:order val="0"/>
          <c:dPt>
            <c:idx val="0"/>
            <c:bubble3D val="0"/>
            <c:spPr>
              <a:solidFill>
                <a:schemeClr val="tx1"/>
              </a:solidFill>
            </c:spPr>
            <c:extLst>
              <c:ext xmlns:c16="http://schemas.microsoft.com/office/drawing/2014/chart" uri="{C3380CC4-5D6E-409C-BE32-E72D297353CC}">
                <c16:uniqueId val="{00000001-128D-4829-A687-39B7E2256B34}"/>
              </c:ext>
            </c:extLst>
          </c:dPt>
          <c:dPt>
            <c:idx val="2"/>
            <c:bubble3D val="0"/>
            <c:spPr>
              <a:solidFill>
                <a:schemeClr val="tx2"/>
              </a:solidFill>
            </c:spPr>
            <c:extLst>
              <c:ext xmlns:c16="http://schemas.microsoft.com/office/drawing/2014/chart" uri="{C3380CC4-5D6E-409C-BE32-E72D297353CC}">
                <c16:uniqueId val="{00000003-128D-4829-A687-39B7E2256B34}"/>
              </c:ext>
            </c:extLst>
          </c:dPt>
          <c:dLbls>
            <c:dLbl>
              <c:idx val="1"/>
              <c:spPr/>
              <c:txPr>
                <a:bodyPr/>
                <a:lstStyle/>
                <a:p>
                  <a:pPr>
                    <a:defRPr>
                      <a:solidFill>
                        <a:schemeClr val="tx1"/>
                      </a:solidFill>
                    </a:defRPr>
                  </a:pPr>
                  <a:endParaRPr lang="en-US"/>
                </a:p>
              </c:txPr>
              <c:showLegendKey val="0"/>
              <c:showVal val="1"/>
              <c:showCatName val="0"/>
              <c:showSerName val="0"/>
              <c:showPercent val="0"/>
              <c:showBubbleSize val="0"/>
              <c:extLst>
                <c:ext xmlns:c16="http://schemas.microsoft.com/office/drawing/2014/chart" uri="{C3380CC4-5D6E-409C-BE32-E72D297353CC}">
                  <c16:uniqueId val="{00000004-128D-4829-A687-39B7E2256B34}"/>
                </c:ext>
              </c:extLst>
            </c:dLbl>
            <c:spPr>
              <a:noFill/>
              <a:ln>
                <a:noFill/>
              </a:ln>
              <a:effectLst/>
            </c:spPr>
            <c:txPr>
              <a:bodyPr/>
              <a:lstStyle/>
              <a:p>
                <a:pPr>
                  <a:defRPr>
                    <a:solidFill>
                      <a:schemeClr val="bg1"/>
                    </a:solidFill>
                  </a:defRPr>
                </a:pPr>
                <a:endParaRPr lang="en-US"/>
              </a:p>
            </c:txPr>
            <c:showLegendKey val="0"/>
            <c:showVal val="1"/>
            <c:showCatName val="0"/>
            <c:showSerName val="0"/>
            <c:showPercent val="0"/>
            <c:showBubbleSize val="0"/>
            <c:showLeaderLines val="1"/>
            <c:extLst>
              <c:ext xmlns:c15="http://schemas.microsoft.com/office/drawing/2012/chart" uri="{CE6537A1-D6FC-4f65-9D91-7224C49458BB}"/>
            </c:extLst>
          </c:dLbls>
          <c:cat>
            <c:strRef>
              <c:f>'Dist Profitability'!$A$167:$A$169</c:f>
              <c:strCache>
                <c:ptCount val="3"/>
                <c:pt idx="0">
                  <c:v>ABC</c:v>
                </c:pt>
                <c:pt idx="1">
                  <c:v>CAH</c:v>
                </c:pt>
                <c:pt idx="2">
                  <c:v>MCK</c:v>
                </c:pt>
              </c:strCache>
            </c:strRef>
          </c:cat>
          <c:val>
            <c:numRef>
              <c:f>'Dist Profitability'!$B$167:$B$169</c:f>
              <c:numCache>
                <c:formatCode>0%</c:formatCode>
                <c:ptCount val="3"/>
                <c:pt idx="0">
                  <c:v>0.57035891080057299</c:v>
                </c:pt>
                <c:pt idx="1">
                  <c:v>0.42964042889991549</c:v>
                </c:pt>
                <c:pt idx="2">
                  <c:v>6.602995115113201E-7</c:v>
                </c:pt>
              </c:numCache>
            </c:numRef>
          </c:val>
          <c:extLst>
            <c:ext xmlns:c16="http://schemas.microsoft.com/office/drawing/2014/chart" uri="{C3380CC4-5D6E-409C-BE32-E72D297353CC}">
              <c16:uniqueId val="{00000005-128D-4829-A687-39B7E2256B34}"/>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zero"/>
    <c:showDLblsOverMax val="0"/>
  </c:chart>
  <c:spPr>
    <a:noFill/>
    <a:ln>
      <a:noFill/>
    </a:ln>
  </c:spPr>
  <c:printSettings>
    <c:headerFooter/>
    <c:pageMargins b="0.75000000000000089" l="0.70000000000000062" r="0.70000000000000062" t="0.75000000000000089" header="0.30000000000000032" footer="0.30000000000000032"/>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9871668861079109E-2"/>
          <c:y val="3.136304995773833E-2"/>
          <c:w val="0.91135747173588255"/>
          <c:h val="0.90410227323279491"/>
        </c:manualLayout>
      </c:layout>
      <c:lineChart>
        <c:grouping val="standard"/>
        <c:varyColors val="0"/>
        <c:ser>
          <c:idx val="0"/>
          <c:order val="0"/>
          <c:tx>
            <c:strRef>
              <c:f>ROIC!$B$3</c:f>
              <c:strCache>
                <c:ptCount val="1"/>
                <c:pt idx="0">
                  <c:v>ABC</c:v>
                </c:pt>
              </c:strCache>
            </c:strRef>
          </c:tx>
          <c:spPr>
            <a:ln w="31750"/>
          </c:spPr>
          <c:marker>
            <c:symbol val="none"/>
          </c:marker>
          <c:cat>
            <c:numRef>
              <c:f>ROIC!$A$4:$A$40</c:f>
              <c:numCache>
                <c:formatCode>m/d/yyyy</c:formatCode>
                <c:ptCount val="37"/>
                <c:pt idx="0">
                  <c:v>39172</c:v>
                </c:pt>
                <c:pt idx="1">
                  <c:v>39263</c:v>
                </c:pt>
                <c:pt idx="2">
                  <c:v>39355</c:v>
                </c:pt>
                <c:pt idx="3">
                  <c:v>39447</c:v>
                </c:pt>
                <c:pt idx="4">
                  <c:v>39538</c:v>
                </c:pt>
                <c:pt idx="5">
                  <c:v>39629</c:v>
                </c:pt>
                <c:pt idx="6">
                  <c:v>39721</c:v>
                </c:pt>
                <c:pt idx="7">
                  <c:v>39813</c:v>
                </c:pt>
                <c:pt idx="8">
                  <c:v>39903</c:v>
                </c:pt>
                <c:pt idx="9">
                  <c:v>39994</c:v>
                </c:pt>
                <c:pt idx="10">
                  <c:v>40086</c:v>
                </c:pt>
                <c:pt idx="11">
                  <c:v>40178</c:v>
                </c:pt>
                <c:pt idx="12">
                  <c:v>40268</c:v>
                </c:pt>
                <c:pt idx="13">
                  <c:v>40359</c:v>
                </c:pt>
                <c:pt idx="14">
                  <c:v>40451</c:v>
                </c:pt>
                <c:pt idx="15">
                  <c:v>40543</c:v>
                </c:pt>
                <c:pt idx="16">
                  <c:v>40633</c:v>
                </c:pt>
                <c:pt idx="17">
                  <c:v>40724</c:v>
                </c:pt>
                <c:pt idx="18">
                  <c:v>40816</c:v>
                </c:pt>
                <c:pt idx="19">
                  <c:v>40908</c:v>
                </c:pt>
                <c:pt idx="20">
                  <c:v>40999</c:v>
                </c:pt>
                <c:pt idx="21">
                  <c:v>41090</c:v>
                </c:pt>
                <c:pt idx="22">
                  <c:v>41182</c:v>
                </c:pt>
                <c:pt idx="23">
                  <c:v>41274</c:v>
                </c:pt>
                <c:pt idx="24">
                  <c:v>41364</c:v>
                </c:pt>
                <c:pt idx="25">
                  <c:v>41455</c:v>
                </c:pt>
                <c:pt idx="26">
                  <c:v>41547</c:v>
                </c:pt>
                <c:pt idx="27">
                  <c:v>41639</c:v>
                </c:pt>
                <c:pt idx="28">
                  <c:v>41729</c:v>
                </c:pt>
                <c:pt idx="29">
                  <c:v>41820</c:v>
                </c:pt>
                <c:pt idx="30">
                  <c:v>41912</c:v>
                </c:pt>
                <c:pt idx="31">
                  <c:v>42004</c:v>
                </c:pt>
                <c:pt idx="32">
                  <c:v>42094</c:v>
                </c:pt>
                <c:pt idx="33">
                  <c:v>42185</c:v>
                </c:pt>
                <c:pt idx="34">
                  <c:v>42277</c:v>
                </c:pt>
                <c:pt idx="35">
                  <c:v>42369</c:v>
                </c:pt>
                <c:pt idx="36">
                  <c:v>42460</c:v>
                </c:pt>
              </c:numCache>
            </c:numRef>
          </c:cat>
          <c:val>
            <c:numRef>
              <c:f>ROIC!$B$4:$B$40</c:f>
              <c:numCache>
                <c:formatCode>0.0%</c:formatCode>
                <c:ptCount val="37"/>
                <c:pt idx="0">
                  <c:v>9.2873696992772495E-2</c:v>
                </c:pt>
                <c:pt idx="1">
                  <c:v>9.5507707660361235E-2</c:v>
                </c:pt>
                <c:pt idx="2">
                  <c:v>9.4943368353191268E-2</c:v>
                </c:pt>
                <c:pt idx="3">
                  <c:v>9.6658671373252111E-2</c:v>
                </c:pt>
                <c:pt idx="4">
                  <c:v>9.6051395227828323E-2</c:v>
                </c:pt>
                <c:pt idx="5">
                  <c:v>0.10801259547884143</c:v>
                </c:pt>
                <c:pt idx="6">
                  <c:v>0.12853674667139958</c:v>
                </c:pt>
                <c:pt idx="7">
                  <c:v>0.13228431650057518</c:v>
                </c:pt>
                <c:pt idx="8">
                  <c:v>0.13462266092812294</c:v>
                </c:pt>
                <c:pt idx="9">
                  <c:v>0.14493828208790807</c:v>
                </c:pt>
                <c:pt idx="10">
                  <c:v>0.15064849598992319</c:v>
                </c:pt>
                <c:pt idx="11">
                  <c:v>0.16093362504631767</c:v>
                </c:pt>
                <c:pt idx="12">
                  <c:v>0.16993387163533616</c:v>
                </c:pt>
                <c:pt idx="13">
                  <c:v>0.17458989402686975</c:v>
                </c:pt>
                <c:pt idx="14">
                  <c:v>0.18265181141464612</c:v>
                </c:pt>
                <c:pt idx="15">
                  <c:v>0.17501985809056156</c:v>
                </c:pt>
                <c:pt idx="16">
                  <c:v>0.17957422338239959</c:v>
                </c:pt>
                <c:pt idx="17">
                  <c:v>0.18140445420462212</c:v>
                </c:pt>
                <c:pt idx="18">
                  <c:v>0.18953567075093111</c:v>
                </c:pt>
                <c:pt idx="19">
                  <c:v>0.18898688254545754</c:v>
                </c:pt>
                <c:pt idx="20">
                  <c:v>0.18689047025071398</c:v>
                </c:pt>
                <c:pt idx="21">
                  <c:v>0.18387831796762497</c:v>
                </c:pt>
                <c:pt idx="22">
                  <c:v>0.20109669384967591</c:v>
                </c:pt>
                <c:pt idx="23">
                  <c:v>0.17238988012915293</c:v>
                </c:pt>
                <c:pt idx="24">
                  <c:v>0.16810717784206961</c:v>
                </c:pt>
                <c:pt idx="25">
                  <c:v>0.15357346410617248</c:v>
                </c:pt>
                <c:pt idx="26">
                  <c:v>0.16539079724205197</c:v>
                </c:pt>
                <c:pt idx="27">
                  <c:v>0.17191995804295512</c:v>
                </c:pt>
                <c:pt idx="28">
                  <c:v>0.16593516937106095</c:v>
                </c:pt>
                <c:pt idx="29">
                  <c:v>0.17619676650414295</c:v>
                </c:pt>
                <c:pt idx="30">
                  <c:v>0.21418967153533047</c:v>
                </c:pt>
                <c:pt idx="31">
                  <c:v>0.20229630507392746</c:v>
                </c:pt>
                <c:pt idx="32">
                  <c:v>0.25331584267781843</c:v>
                </c:pt>
                <c:pt idx="33">
                  <c:v>0.22615667090340272</c:v>
                </c:pt>
                <c:pt idx="34">
                  <c:v>0.22605818904392855</c:v>
                </c:pt>
                <c:pt idx="35">
                  <c:v>0.22195927933221646</c:v>
                </c:pt>
                <c:pt idx="36">
                  <c:v>0.11944719690790651</c:v>
                </c:pt>
              </c:numCache>
            </c:numRef>
          </c:val>
          <c:smooth val="0"/>
          <c:extLst>
            <c:ext xmlns:c16="http://schemas.microsoft.com/office/drawing/2014/chart" uri="{C3380CC4-5D6E-409C-BE32-E72D297353CC}">
              <c16:uniqueId val="{00000000-BE81-47AF-872A-D68280DC4FB2}"/>
            </c:ext>
          </c:extLst>
        </c:ser>
        <c:ser>
          <c:idx val="1"/>
          <c:order val="1"/>
          <c:tx>
            <c:strRef>
              <c:f>ROIC!$C$3</c:f>
              <c:strCache>
                <c:ptCount val="1"/>
                <c:pt idx="0">
                  <c:v>CAH</c:v>
                </c:pt>
              </c:strCache>
            </c:strRef>
          </c:tx>
          <c:spPr>
            <a:ln w="31750">
              <a:solidFill>
                <a:schemeClr val="tx2"/>
              </a:solidFill>
            </a:ln>
          </c:spPr>
          <c:marker>
            <c:symbol val="none"/>
          </c:marker>
          <c:cat>
            <c:numRef>
              <c:f>ROIC!$A$4:$A$40</c:f>
              <c:numCache>
                <c:formatCode>m/d/yyyy</c:formatCode>
                <c:ptCount val="37"/>
                <c:pt idx="0">
                  <c:v>39172</c:v>
                </c:pt>
                <c:pt idx="1">
                  <c:v>39263</c:v>
                </c:pt>
                <c:pt idx="2">
                  <c:v>39355</c:v>
                </c:pt>
                <c:pt idx="3">
                  <c:v>39447</c:v>
                </c:pt>
                <c:pt idx="4">
                  <c:v>39538</c:v>
                </c:pt>
                <c:pt idx="5">
                  <c:v>39629</c:v>
                </c:pt>
                <c:pt idx="6">
                  <c:v>39721</c:v>
                </c:pt>
                <c:pt idx="7">
                  <c:v>39813</c:v>
                </c:pt>
                <c:pt idx="8">
                  <c:v>39903</c:v>
                </c:pt>
                <c:pt idx="9">
                  <c:v>39994</c:v>
                </c:pt>
                <c:pt idx="10">
                  <c:v>40086</c:v>
                </c:pt>
                <c:pt idx="11">
                  <c:v>40178</c:v>
                </c:pt>
                <c:pt idx="12">
                  <c:v>40268</c:v>
                </c:pt>
                <c:pt idx="13">
                  <c:v>40359</c:v>
                </c:pt>
                <c:pt idx="14">
                  <c:v>40451</c:v>
                </c:pt>
                <c:pt idx="15">
                  <c:v>40543</c:v>
                </c:pt>
                <c:pt idx="16">
                  <c:v>40633</c:v>
                </c:pt>
                <c:pt idx="17">
                  <c:v>40724</c:v>
                </c:pt>
                <c:pt idx="18">
                  <c:v>40816</c:v>
                </c:pt>
                <c:pt idx="19">
                  <c:v>40908</c:v>
                </c:pt>
                <c:pt idx="20">
                  <c:v>40999</c:v>
                </c:pt>
                <c:pt idx="21">
                  <c:v>41090</c:v>
                </c:pt>
                <c:pt idx="22">
                  <c:v>41182</c:v>
                </c:pt>
                <c:pt idx="23">
                  <c:v>41274</c:v>
                </c:pt>
                <c:pt idx="24">
                  <c:v>41364</c:v>
                </c:pt>
                <c:pt idx="25">
                  <c:v>41455</c:v>
                </c:pt>
                <c:pt idx="26">
                  <c:v>41547</c:v>
                </c:pt>
                <c:pt idx="27">
                  <c:v>41639</c:v>
                </c:pt>
                <c:pt idx="28">
                  <c:v>41729</c:v>
                </c:pt>
                <c:pt idx="29">
                  <c:v>41820</c:v>
                </c:pt>
                <c:pt idx="30">
                  <c:v>41912</c:v>
                </c:pt>
                <c:pt idx="31">
                  <c:v>42004</c:v>
                </c:pt>
                <c:pt idx="32">
                  <c:v>42094</c:v>
                </c:pt>
                <c:pt idx="33">
                  <c:v>42185</c:v>
                </c:pt>
                <c:pt idx="34">
                  <c:v>42277</c:v>
                </c:pt>
                <c:pt idx="35">
                  <c:v>42369</c:v>
                </c:pt>
                <c:pt idx="36">
                  <c:v>42460</c:v>
                </c:pt>
              </c:numCache>
            </c:numRef>
          </c:cat>
          <c:val>
            <c:numRef>
              <c:f>ROIC!$C$4:$C$40</c:f>
              <c:numCache>
                <c:formatCode>0.0%</c:formatCode>
                <c:ptCount val="37"/>
                <c:pt idx="0">
                  <c:v>0.15208003013393812</c:v>
                </c:pt>
                <c:pt idx="1">
                  <c:v>0.15012014558818274</c:v>
                </c:pt>
                <c:pt idx="2">
                  <c:v>0.14887625618191033</c:v>
                </c:pt>
                <c:pt idx="3">
                  <c:v>0.14236703804919043</c:v>
                </c:pt>
                <c:pt idx="4">
                  <c:v>0.14081859506746316</c:v>
                </c:pt>
                <c:pt idx="5">
                  <c:v>0.1462000700447918</c:v>
                </c:pt>
                <c:pt idx="6">
                  <c:v>0.14682712335107606</c:v>
                </c:pt>
                <c:pt idx="7">
                  <c:v>0.14424504839777411</c:v>
                </c:pt>
                <c:pt idx="8">
                  <c:v>0.14356258818066542</c:v>
                </c:pt>
                <c:pt idx="9">
                  <c:v>0.1356402936026708</c:v>
                </c:pt>
                <c:pt idx="10">
                  <c:v>0.11045575948500273</c:v>
                </c:pt>
                <c:pt idx="11">
                  <c:v>9.1793566690308914E-2</c:v>
                </c:pt>
                <c:pt idx="12">
                  <c:v>7.5510507533704113E-2</c:v>
                </c:pt>
                <c:pt idx="13">
                  <c:v>6.0459101196249934E-2</c:v>
                </c:pt>
                <c:pt idx="14">
                  <c:v>0.12185770217361981</c:v>
                </c:pt>
                <c:pt idx="15">
                  <c:v>0.12939493049877332</c:v>
                </c:pt>
                <c:pt idx="16">
                  <c:v>0.13340295350176021</c:v>
                </c:pt>
                <c:pt idx="17">
                  <c:v>0.13752126826369968</c:v>
                </c:pt>
                <c:pt idx="18">
                  <c:v>0.14530424176717721</c:v>
                </c:pt>
                <c:pt idx="19">
                  <c:v>0.13860223691528212</c:v>
                </c:pt>
                <c:pt idx="20">
                  <c:v>0.14482453335956583</c:v>
                </c:pt>
                <c:pt idx="21">
                  <c:v>0.14821689459440071</c:v>
                </c:pt>
                <c:pt idx="22">
                  <c:v>0.15110410094637253</c:v>
                </c:pt>
                <c:pt idx="23">
                  <c:v>0.15051468594135067</c:v>
                </c:pt>
                <c:pt idx="24">
                  <c:v>0.16014101324842214</c:v>
                </c:pt>
                <c:pt idx="25">
                  <c:v>0.17049682643904573</c:v>
                </c:pt>
                <c:pt idx="26">
                  <c:v>0.17914847161572053</c:v>
                </c:pt>
                <c:pt idx="27">
                  <c:v>0.17766712575484692</c:v>
                </c:pt>
                <c:pt idx="28">
                  <c:v>0.14185623293903549</c:v>
                </c:pt>
                <c:pt idx="29">
                  <c:v>0.14253738935802218</c:v>
                </c:pt>
                <c:pt idx="30">
                  <c:v>0.1369351669941061</c:v>
                </c:pt>
                <c:pt idx="31">
                  <c:v>0.14174852652259332</c:v>
                </c:pt>
                <c:pt idx="32">
                  <c:v>0.14332185227707617</c:v>
                </c:pt>
                <c:pt idx="33">
                  <c:v>0.14971560782801505</c:v>
                </c:pt>
                <c:pt idx="34">
                  <c:v>0.16184351554126475</c:v>
                </c:pt>
                <c:pt idx="35">
                  <c:v>0.16107582373957921</c:v>
                </c:pt>
                <c:pt idx="36">
                  <c:v>0.16091399922869262</c:v>
                </c:pt>
              </c:numCache>
            </c:numRef>
          </c:val>
          <c:smooth val="0"/>
          <c:extLst>
            <c:ext xmlns:c16="http://schemas.microsoft.com/office/drawing/2014/chart" uri="{C3380CC4-5D6E-409C-BE32-E72D297353CC}">
              <c16:uniqueId val="{00000001-BE81-47AF-872A-D68280DC4FB2}"/>
            </c:ext>
          </c:extLst>
        </c:ser>
        <c:ser>
          <c:idx val="2"/>
          <c:order val="2"/>
          <c:tx>
            <c:strRef>
              <c:f>ROIC!$D$3</c:f>
              <c:strCache>
                <c:ptCount val="1"/>
                <c:pt idx="0">
                  <c:v>MCK</c:v>
                </c:pt>
              </c:strCache>
            </c:strRef>
          </c:tx>
          <c:spPr>
            <a:ln w="31750">
              <a:solidFill>
                <a:srgbClr val="FF0000"/>
              </a:solidFill>
            </a:ln>
          </c:spPr>
          <c:marker>
            <c:symbol val="none"/>
          </c:marker>
          <c:cat>
            <c:numRef>
              <c:f>ROIC!$A$4:$A$40</c:f>
              <c:numCache>
                <c:formatCode>m/d/yyyy</c:formatCode>
                <c:ptCount val="37"/>
                <c:pt idx="0">
                  <c:v>39172</c:v>
                </c:pt>
                <c:pt idx="1">
                  <c:v>39263</c:v>
                </c:pt>
                <c:pt idx="2">
                  <c:v>39355</c:v>
                </c:pt>
                <c:pt idx="3">
                  <c:v>39447</c:v>
                </c:pt>
                <c:pt idx="4">
                  <c:v>39538</c:v>
                </c:pt>
                <c:pt idx="5">
                  <c:v>39629</c:v>
                </c:pt>
                <c:pt idx="6">
                  <c:v>39721</c:v>
                </c:pt>
                <c:pt idx="7">
                  <c:v>39813</c:v>
                </c:pt>
                <c:pt idx="8">
                  <c:v>39903</c:v>
                </c:pt>
                <c:pt idx="9">
                  <c:v>39994</c:v>
                </c:pt>
                <c:pt idx="10">
                  <c:v>40086</c:v>
                </c:pt>
                <c:pt idx="11">
                  <c:v>40178</c:v>
                </c:pt>
                <c:pt idx="12">
                  <c:v>40268</c:v>
                </c:pt>
                <c:pt idx="13">
                  <c:v>40359</c:v>
                </c:pt>
                <c:pt idx="14">
                  <c:v>40451</c:v>
                </c:pt>
                <c:pt idx="15">
                  <c:v>40543</c:v>
                </c:pt>
                <c:pt idx="16">
                  <c:v>40633</c:v>
                </c:pt>
                <c:pt idx="17">
                  <c:v>40724</c:v>
                </c:pt>
                <c:pt idx="18">
                  <c:v>40816</c:v>
                </c:pt>
                <c:pt idx="19">
                  <c:v>40908</c:v>
                </c:pt>
                <c:pt idx="20">
                  <c:v>40999</c:v>
                </c:pt>
                <c:pt idx="21">
                  <c:v>41090</c:v>
                </c:pt>
                <c:pt idx="22">
                  <c:v>41182</c:v>
                </c:pt>
                <c:pt idx="23">
                  <c:v>41274</c:v>
                </c:pt>
                <c:pt idx="24">
                  <c:v>41364</c:v>
                </c:pt>
                <c:pt idx="25">
                  <c:v>41455</c:v>
                </c:pt>
                <c:pt idx="26">
                  <c:v>41547</c:v>
                </c:pt>
                <c:pt idx="27">
                  <c:v>41639</c:v>
                </c:pt>
                <c:pt idx="28">
                  <c:v>41729</c:v>
                </c:pt>
                <c:pt idx="29">
                  <c:v>41820</c:v>
                </c:pt>
                <c:pt idx="30">
                  <c:v>41912</c:v>
                </c:pt>
                <c:pt idx="31">
                  <c:v>42004</c:v>
                </c:pt>
                <c:pt idx="32">
                  <c:v>42094</c:v>
                </c:pt>
                <c:pt idx="33">
                  <c:v>42185</c:v>
                </c:pt>
                <c:pt idx="34">
                  <c:v>42277</c:v>
                </c:pt>
                <c:pt idx="35">
                  <c:v>42369</c:v>
                </c:pt>
                <c:pt idx="36">
                  <c:v>42460</c:v>
                </c:pt>
              </c:numCache>
            </c:numRef>
          </c:cat>
          <c:val>
            <c:numRef>
              <c:f>ROIC!$D$4:$D$40</c:f>
              <c:numCache>
                <c:formatCode>0.0%</c:formatCode>
                <c:ptCount val="37"/>
                <c:pt idx="0">
                  <c:v>0.13740458015267176</c:v>
                </c:pt>
                <c:pt idx="1">
                  <c:v>0.14165579237349571</c:v>
                </c:pt>
                <c:pt idx="2">
                  <c:v>0.1385952208544533</c:v>
                </c:pt>
                <c:pt idx="3">
                  <c:v>0.1387005649717514</c:v>
                </c:pt>
                <c:pt idx="4">
                  <c:v>0.12439437984496124</c:v>
                </c:pt>
                <c:pt idx="5">
                  <c:v>0.1256407199904637</c:v>
                </c:pt>
                <c:pt idx="6">
                  <c:v>0.13690904727621792</c:v>
                </c:pt>
                <c:pt idx="7">
                  <c:v>0.16335462502957179</c:v>
                </c:pt>
                <c:pt idx="8">
                  <c:v>0.18553062767834635</c:v>
                </c:pt>
                <c:pt idx="9">
                  <c:v>0.19290603609209708</c:v>
                </c:pt>
                <c:pt idx="10">
                  <c:v>0.18971021611001965</c:v>
                </c:pt>
                <c:pt idx="11">
                  <c:v>0.17665535871340621</c:v>
                </c:pt>
                <c:pt idx="12">
                  <c:v>0.15909612296398257</c:v>
                </c:pt>
                <c:pt idx="13">
                  <c:v>0.15284738041002277</c:v>
                </c:pt>
                <c:pt idx="14">
                  <c:v>0.15276273022751896</c:v>
                </c:pt>
                <c:pt idx="15">
                  <c:v>0.15071621341083663</c:v>
                </c:pt>
                <c:pt idx="16">
                  <c:v>0.16208791208791209</c:v>
                </c:pt>
                <c:pt idx="17">
                  <c:v>0.18171890357103854</c:v>
                </c:pt>
                <c:pt idx="18">
                  <c:v>0.19265449747085991</c:v>
                </c:pt>
                <c:pt idx="19">
                  <c:v>0.16128163704900378</c:v>
                </c:pt>
                <c:pt idx="20">
                  <c:v>0.16535994297933002</c:v>
                </c:pt>
                <c:pt idx="21">
                  <c:v>0.17137355584082156</c:v>
                </c:pt>
                <c:pt idx="22">
                  <c:v>0.16771696074900971</c:v>
                </c:pt>
                <c:pt idx="23">
                  <c:v>0.15878703137289171</c:v>
                </c:pt>
                <c:pt idx="24">
                  <c:v>0.17010452317084451</c:v>
                </c:pt>
                <c:pt idx="25">
                  <c:v>0.18315867569322081</c:v>
                </c:pt>
                <c:pt idx="26">
                  <c:v>0.17838172804532579</c:v>
                </c:pt>
                <c:pt idx="27">
                  <c:v>0.16053759894459102</c:v>
                </c:pt>
                <c:pt idx="28">
                  <c:v>0.19542828435066567</c:v>
                </c:pt>
                <c:pt idx="29">
                  <c:v>0.19443087445041524</c:v>
                </c:pt>
                <c:pt idx="30">
                  <c:v>0.19684366011039414</c:v>
                </c:pt>
                <c:pt idx="31">
                  <c:v>0.2234710487559104</c:v>
                </c:pt>
                <c:pt idx="32">
                  <c:v>0.13128215789200146</c:v>
                </c:pt>
                <c:pt idx="33">
                  <c:v>0.13845918990433545</c:v>
                </c:pt>
                <c:pt idx="34">
                  <c:v>0.14043993231810489</c:v>
                </c:pt>
                <c:pt idx="35">
                  <c:v>0.14529212444809528</c:v>
                </c:pt>
                <c:pt idx="36">
                  <c:v>0.16553656486410759</c:v>
                </c:pt>
              </c:numCache>
            </c:numRef>
          </c:val>
          <c:smooth val="0"/>
          <c:extLst>
            <c:ext xmlns:c16="http://schemas.microsoft.com/office/drawing/2014/chart" uri="{C3380CC4-5D6E-409C-BE32-E72D297353CC}">
              <c16:uniqueId val="{00000002-BE81-47AF-872A-D68280DC4FB2}"/>
            </c:ext>
          </c:extLst>
        </c:ser>
        <c:dLbls>
          <c:showLegendKey val="0"/>
          <c:showVal val="0"/>
          <c:showCatName val="0"/>
          <c:showSerName val="0"/>
          <c:showPercent val="0"/>
          <c:showBubbleSize val="0"/>
        </c:dLbls>
        <c:smooth val="0"/>
        <c:axId val="340273792"/>
        <c:axId val="340353408"/>
      </c:lineChart>
      <c:dateAx>
        <c:axId val="340273792"/>
        <c:scaling>
          <c:orientation val="minMax"/>
        </c:scaling>
        <c:delete val="0"/>
        <c:axPos val="b"/>
        <c:numFmt formatCode="m/d/yyyy" sourceLinked="1"/>
        <c:majorTickMark val="out"/>
        <c:minorTickMark val="none"/>
        <c:tickLblPos val="nextTo"/>
        <c:txPr>
          <a:bodyPr rot="0" vert="horz"/>
          <a:lstStyle/>
          <a:p>
            <a:pPr>
              <a:defRPr sz="800" b="1"/>
            </a:pPr>
            <a:endParaRPr lang="en-US"/>
          </a:p>
        </c:txPr>
        <c:crossAx val="340353408"/>
        <c:crosses val="autoZero"/>
        <c:auto val="1"/>
        <c:lblOffset val="100"/>
        <c:baseTimeUnit val="months"/>
        <c:majorUnit val="8"/>
        <c:majorTimeUnit val="months"/>
      </c:dateAx>
      <c:valAx>
        <c:axId val="340353408"/>
        <c:scaling>
          <c:orientation val="minMax"/>
        </c:scaling>
        <c:delete val="0"/>
        <c:axPos val="l"/>
        <c:majorGridlines/>
        <c:numFmt formatCode="0.0%" sourceLinked="1"/>
        <c:majorTickMark val="out"/>
        <c:minorTickMark val="none"/>
        <c:tickLblPos val="nextTo"/>
        <c:txPr>
          <a:bodyPr/>
          <a:lstStyle/>
          <a:p>
            <a:pPr>
              <a:defRPr b="1"/>
            </a:pPr>
            <a:endParaRPr lang="en-US"/>
          </a:p>
        </c:txPr>
        <c:crossAx val="340273792"/>
        <c:crosses val="autoZero"/>
        <c:crossBetween val="between"/>
      </c:valAx>
      <c:spPr>
        <a:noFill/>
        <a:ln w="25400">
          <a:noFill/>
        </a:ln>
      </c:spPr>
    </c:plotArea>
    <c:legend>
      <c:legendPos val="b"/>
      <c:layout>
        <c:manualLayout>
          <c:xMode val="edge"/>
          <c:yMode val="edge"/>
          <c:x val="0.57681534163703119"/>
          <c:y val="0.72292962320387921"/>
          <c:w val="0.27639250686641259"/>
          <c:h val="8.4979981315894834E-2"/>
        </c:manualLayout>
      </c:layout>
      <c:overlay val="0"/>
      <c:spPr>
        <a:solidFill>
          <a:schemeClr val="lt1"/>
        </a:solidFill>
        <a:ln w="25400" cap="flat" cmpd="sng" algn="ctr">
          <a:solidFill>
            <a:schemeClr val="dk1"/>
          </a:solidFill>
          <a:prstDash val="solid"/>
        </a:ln>
        <a:effectLst/>
      </c:spPr>
      <c:txPr>
        <a:bodyPr/>
        <a:lstStyle/>
        <a:p>
          <a:pPr>
            <a:defRPr sz="1200" b="1">
              <a:solidFill>
                <a:schemeClr val="dk1"/>
              </a:solidFill>
              <a:latin typeface="+mn-lt"/>
              <a:ea typeface="+mn-ea"/>
              <a:cs typeface="+mn-cs"/>
            </a:defRPr>
          </a:pPr>
          <a:endParaRPr lang="en-US"/>
        </a:p>
      </c:txPr>
    </c:legend>
    <c:plotVisOnly val="1"/>
    <c:dispBlanksAs val="gap"/>
    <c:showDLblsOverMax val="0"/>
  </c:chart>
  <c:spPr>
    <a:noFill/>
    <a:ln>
      <a:noFill/>
    </a:ln>
  </c:spPr>
  <c:printSettings>
    <c:headerFooter/>
    <c:pageMargins b="0.750000000000004" l="0.70000000000000062" r="0.70000000000000062" t="0.750000000000004" header="0.30000000000000032" footer="0.30000000000000032"/>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tx>
            <c:strRef>
              <c:f>'Warehouse Delivery'!$B$3</c:f>
              <c:strCache>
                <c:ptCount val="1"/>
                <c:pt idx="0">
                  <c:v>2005</c:v>
                </c:pt>
              </c:strCache>
            </c:strRef>
          </c:tx>
          <c:spPr>
            <a:solidFill>
              <a:schemeClr val="accent6">
                <a:lumMod val="75000"/>
              </a:schemeClr>
            </a:solidFill>
          </c:spPr>
          <c:invertIfNegative val="0"/>
          <c:cat>
            <c:strRef>
              <c:f>'Warehouse Delivery'!$A$4:$A$6</c:f>
              <c:strCache>
                <c:ptCount val="3"/>
                <c:pt idx="0">
                  <c:v>AmerisourceBergen</c:v>
                </c:pt>
                <c:pt idx="1">
                  <c:v>Cardinal Health</c:v>
                </c:pt>
                <c:pt idx="2">
                  <c:v>McKesson</c:v>
                </c:pt>
              </c:strCache>
            </c:strRef>
          </c:cat>
          <c:val>
            <c:numRef>
              <c:f>'Warehouse Delivery'!$B$4:$B$6</c:f>
              <c:numCache>
                <c:formatCode>0%</c:formatCode>
                <c:ptCount val="3"/>
                <c:pt idx="0">
                  <c:v>0.08</c:v>
                </c:pt>
                <c:pt idx="1">
                  <c:v>0.4</c:v>
                </c:pt>
                <c:pt idx="2">
                  <c:v>0.33</c:v>
                </c:pt>
              </c:numCache>
            </c:numRef>
          </c:val>
          <c:extLst>
            <c:ext xmlns:c16="http://schemas.microsoft.com/office/drawing/2014/chart" uri="{C3380CC4-5D6E-409C-BE32-E72D297353CC}">
              <c16:uniqueId val="{00000000-B5BD-4218-BED5-43B72AF52973}"/>
            </c:ext>
          </c:extLst>
        </c:ser>
        <c:ser>
          <c:idx val="1"/>
          <c:order val="1"/>
          <c:tx>
            <c:strRef>
              <c:f>'Warehouse Delivery'!$C$3</c:f>
              <c:strCache>
                <c:ptCount val="1"/>
                <c:pt idx="0">
                  <c:v>2010</c:v>
                </c:pt>
              </c:strCache>
            </c:strRef>
          </c:tx>
          <c:spPr>
            <a:solidFill>
              <a:schemeClr val="accent3">
                <a:lumMod val="75000"/>
              </a:schemeClr>
            </a:solidFill>
          </c:spPr>
          <c:invertIfNegative val="0"/>
          <c:cat>
            <c:strRef>
              <c:f>'Warehouse Delivery'!$A$4:$A$6</c:f>
              <c:strCache>
                <c:ptCount val="3"/>
                <c:pt idx="0">
                  <c:v>AmerisourceBergen</c:v>
                </c:pt>
                <c:pt idx="1">
                  <c:v>Cardinal Health</c:v>
                </c:pt>
                <c:pt idx="2">
                  <c:v>McKesson</c:v>
                </c:pt>
              </c:strCache>
            </c:strRef>
          </c:cat>
          <c:val>
            <c:numRef>
              <c:f>'Warehouse Delivery'!$C$4:$C$6</c:f>
              <c:numCache>
                <c:formatCode>0%</c:formatCode>
                <c:ptCount val="3"/>
                <c:pt idx="0">
                  <c:v>0.18</c:v>
                </c:pt>
                <c:pt idx="1">
                  <c:v>0.48</c:v>
                </c:pt>
                <c:pt idx="2">
                  <c:v>0.18</c:v>
                </c:pt>
              </c:numCache>
            </c:numRef>
          </c:val>
          <c:extLst>
            <c:ext xmlns:c16="http://schemas.microsoft.com/office/drawing/2014/chart" uri="{C3380CC4-5D6E-409C-BE32-E72D297353CC}">
              <c16:uniqueId val="{00000001-B5BD-4218-BED5-43B72AF52973}"/>
            </c:ext>
          </c:extLst>
        </c:ser>
        <c:dLbls>
          <c:showLegendKey val="0"/>
          <c:showVal val="0"/>
          <c:showCatName val="0"/>
          <c:showSerName val="0"/>
          <c:showPercent val="0"/>
          <c:showBubbleSize val="0"/>
        </c:dLbls>
        <c:gapWidth val="150"/>
        <c:axId val="341470208"/>
        <c:axId val="341500672"/>
      </c:barChart>
      <c:catAx>
        <c:axId val="341470208"/>
        <c:scaling>
          <c:orientation val="minMax"/>
        </c:scaling>
        <c:delete val="0"/>
        <c:axPos val="b"/>
        <c:numFmt formatCode="General" sourceLinked="0"/>
        <c:majorTickMark val="out"/>
        <c:minorTickMark val="none"/>
        <c:tickLblPos val="nextTo"/>
        <c:crossAx val="341500672"/>
        <c:crosses val="autoZero"/>
        <c:auto val="1"/>
        <c:lblAlgn val="ctr"/>
        <c:lblOffset val="100"/>
        <c:noMultiLvlLbl val="0"/>
      </c:catAx>
      <c:valAx>
        <c:axId val="341500672"/>
        <c:scaling>
          <c:orientation val="minMax"/>
        </c:scaling>
        <c:delete val="0"/>
        <c:axPos val="l"/>
        <c:majorGridlines/>
        <c:numFmt formatCode="0%" sourceLinked="1"/>
        <c:majorTickMark val="out"/>
        <c:minorTickMark val="none"/>
        <c:tickLblPos val="nextTo"/>
        <c:crossAx val="341470208"/>
        <c:crosses val="autoZero"/>
        <c:crossBetween val="between"/>
      </c:valAx>
      <c:spPr>
        <a:noFill/>
        <a:ln w="25400">
          <a:noFill/>
        </a:ln>
      </c:spPr>
    </c:plotArea>
    <c:legend>
      <c:legendPos val="r"/>
      <c:layout>
        <c:manualLayout>
          <c:xMode val="edge"/>
          <c:yMode val="edge"/>
          <c:x val="0.72422380488955762"/>
          <c:y val="5.4181804007172374E-2"/>
          <c:w val="0.13345409773216707"/>
          <c:h val="0.11275850419687579"/>
        </c:manualLayout>
      </c:layout>
      <c:overlay val="0"/>
    </c:legend>
    <c:plotVisOnly val="1"/>
    <c:dispBlanksAs val="gap"/>
    <c:showDLblsOverMax val="0"/>
  </c:chart>
  <c:spPr>
    <a:noFill/>
    <a:ln>
      <a:noFill/>
    </a:ln>
  </c:spPr>
  <c:printSettings>
    <c:headerFooter/>
    <c:pageMargins b="0.750000000000004" l="0.70000000000000062" r="0.70000000000000062" t="0.750000000000004" header="0.30000000000000032" footer="0.30000000000000032"/>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'RX Sales Growth (E)'!$A$6</c:f>
              <c:strCache>
                <c:ptCount val="1"/>
                <c:pt idx="0">
                  <c:v>National Retail Prescription Drug expenditures w/ ACA</c:v>
                </c:pt>
              </c:strCache>
            </c:strRef>
          </c:tx>
          <c:spPr>
            <a:ln>
              <a:solidFill>
                <a:schemeClr val="accent3">
                  <a:lumMod val="75000"/>
                </a:schemeClr>
              </a:solidFill>
            </a:ln>
          </c:spPr>
          <c:marker>
            <c:symbol val="none"/>
          </c:marker>
          <c:cat>
            <c:numRef>
              <c:f>'RX Sales Growth (E)'!$C$3:$L$3</c:f>
              <c:numCache>
                <c:formatCode>General</c:formatCode>
                <c:ptCount val="10"/>
                <c:pt idx="0">
                  <c:v>2012</c:v>
                </c:pt>
                <c:pt idx="1">
                  <c:v>2013</c:v>
                </c:pt>
                <c:pt idx="2">
                  <c:v>2014</c:v>
                </c:pt>
                <c:pt idx="3">
                  <c:v>2015</c:v>
                </c:pt>
                <c:pt idx="4">
                  <c:v>2016</c:v>
                </c:pt>
                <c:pt idx="5">
                  <c:v>2017</c:v>
                </c:pt>
                <c:pt idx="6">
                  <c:v>2018</c:v>
                </c:pt>
                <c:pt idx="7">
                  <c:v>2019</c:v>
                </c:pt>
                <c:pt idx="8">
                  <c:v>2020</c:v>
                </c:pt>
                <c:pt idx="9">
                  <c:v>2021</c:v>
                </c:pt>
              </c:numCache>
            </c:numRef>
          </c:cat>
          <c:val>
            <c:numRef>
              <c:f>'RX Sales Growth (E)'!$C$7:$L$7</c:f>
              <c:numCache>
                <c:formatCode>0.0%</c:formatCode>
                <c:ptCount val="10"/>
                <c:pt idx="0">
                  <c:v>2.9346210995542465E-2</c:v>
                </c:pt>
                <c:pt idx="1">
                  <c:v>2.3818116203536466E-2</c:v>
                </c:pt>
                <c:pt idx="2">
                  <c:v>8.8121254846668995E-2</c:v>
                </c:pt>
                <c:pt idx="3">
                  <c:v>6.0252672497570492E-2</c:v>
                </c:pt>
                <c:pt idx="4">
                  <c:v>6.2633669416437554E-2</c:v>
                </c:pt>
                <c:pt idx="5">
                  <c:v>6.6992524439333012E-2</c:v>
                </c:pt>
                <c:pt idx="6">
                  <c:v>6.4133656696308217E-2</c:v>
                </c:pt>
                <c:pt idx="7">
                  <c:v>6.5839453026082628E-2</c:v>
                </c:pt>
                <c:pt idx="8">
                  <c:v>7.0800665241149918E-2</c:v>
                </c:pt>
                <c:pt idx="9">
                  <c:v>7.2110051031728517E-2</c:v>
                </c:pt>
              </c:numCache>
            </c:numRef>
          </c:val>
          <c:smooth val="0"/>
          <c:extLst>
            <c:ext xmlns:c16="http://schemas.microsoft.com/office/drawing/2014/chart" uri="{C3380CC4-5D6E-409C-BE32-E72D297353CC}">
              <c16:uniqueId val="{00000000-4AE6-4885-B5AD-89BFA0D2D6A4}"/>
            </c:ext>
          </c:extLst>
        </c:ser>
        <c:ser>
          <c:idx val="1"/>
          <c:order val="1"/>
          <c:tx>
            <c:strRef>
              <c:f>'RX Sales Growth (E)'!$A$9</c:f>
              <c:strCache>
                <c:ptCount val="1"/>
                <c:pt idx="0">
                  <c:v>National Retail Prescription Drug expenditures w/o ACA</c:v>
                </c:pt>
              </c:strCache>
            </c:strRef>
          </c:tx>
          <c:spPr>
            <a:ln>
              <a:solidFill>
                <a:schemeClr val="accent6">
                  <a:lumMod val="75000"/>
                </a:schemeClr>
              </a:solidFill>
            </a:ln>
          </c:spPr>
          <c:marker>
            <c:symbol val="none"/>
          </c:marker>
          <c:cat>
            <c:numRef>
              <c:f>'RX Sales Growth (E)'!$C$3:$L$3</c:f>
              <c:numCache>
                <c:formatCode>General</c:formatCode>
                <c:ptCount val="10"/>
                <c:pt idx="0">
                  <c:v>2012</c:v>
                </c:pt>
                <c:pt idx="1">
                  <c:v>2013</c:v>
                </c:pt>
                <c:pt idx="2">
                  <c:v>2014</c:v>
                </c:pt>
                <c:pt idx="3">
                  <c:v>2015</c:v>
                </c:pt>
                <c:pt idx="4">
                  <c:v>2016</c:v>
                </c:pt>
                <c:pt idx="5">
                  <c:v>2017</c:v>
                </c:pt>
                <c:pt idx="6">
                  <c:v>2018</c:v>
                </c:pt>
                <c:pt idx="7">
                  <c:v>2019</c:v>
                </c:pt>
                <c:pt idx="8">
                  <c:v>2020</c:v>
                </c:pt>
                <c:pt idx="9">
                  <c:v>2021</c:v>
                </c:pt>
              </c:numCache>
            </c:numRef>
          </c:cat>
          <c:val>
            <c:numRef>
              <c:f>'RX Sales Growth (E)'!$C$10:$L$10</c:f>
              <c:numCache>
                <c:formatCode>0.0%</c:formatCode>
                <c:ptCount val="10"/>
                <c:pt idx="0">
                  <c:v>2.3082650781831582E-2</c:v>
                </c:pt>
                <c:pt idx="1">
                  <c:v>2.6200873362445476E-2</c:v>
                </c:pt>
                <c:pt idx="2">
                  <c:v>4.1134751773049816E-2</c:v>
                </c:pt>
                <c:pt idx="3">
                  <c:v>5.3814713896457533E-2</c:v>
                </c:pt>
                <c:pt idx="4">
                  <c:v>6.2702003878474688E-2</c:v>
                </c:pt>
                <c:pt idx="5">
                  <c:v>6.4476885644768833E-2</c:v>
                </c:pt>
                <c:pt idx="6">
                  <c:v>6.6571428571428504E-2</c:v>
                </c:pt>
                <c:pt idx="7">
                  <c:v>6.85775515671041E-2</c:v>
                </c:pt>
                <c:pt idx="8">
                  <c:v>7.0193030834795778E-2</c:v>
                </c:pt>
                <c:pt idx="9">
                  <c:v>7.1211056453502009E-2</c:v>
                </c:pt>
              </c:numCache>
            </c:numRef>
          </c:val>
          <c:smooth val="0"/>
          <c:extLst>
            <c:ext xmlns:c16="http://schemas.microsoft.com/office/drawing/2014/chart" uri="{C3380CC4-5D6E-409C-BE32-E72D297353CC}">
              <c16:uniqueId val="{00000001-4AE6-4885-B5AD-89BFA0D2D6A4}"/>
            </c:ext>
          </c:extLst>
        </c:ser>
        <c:ser>
          <c:idx val="2"/>
          <c:order val="2"/>
          <c:tx>
            <c:strRef>
              <c:f>'RX Sales Growth (E)'!$A$12</c:f>
              <c:strCache>
                <c:ptCount val="1"/>
                <c:pt idx="0">
                  <c:v>Nominal U.S. GDP Growth</c:v>
                </c:pt>
              </c:strCache>
            </c:strRef>
          </c:tx>
          <c:spPr>
            <a:ln>
              <a:solidFill>
                <a:schemeClr val="accent5">
                  <a:lumMod val="50000"/>
                </a:schemeClr>
              </a:solidFill>
            </a:ln>
          </c:spPr>
          <c:marker>
            <c:symbol val="none"/>
          </c:marker>
          <c:val>
            <c:numRef>
              <c:f>'RX Sales Growth (E)'!$C$12:$L$12</c:f>
              <c:numCache>
                <c:formatCode>0.0%</c:formatCode>
                <c:ptCount val="10"/>
                <c:pt idx="0">
                  <c:v>4.2000000000000003E-2</c:v>
                </c:pt>
                <c:pt idx="1">
                  <c:v>3.9E-2</c:v>
                </c:pt>
                <c:pt idx="2">
                  <c:v>4.2000000000000003E-2</c:v>
                </c:pt>
                <c:pt idx="3">
                  <c:v>4.4999999999999998E-2</c:v>
                </c:pt>
                <c:pt idx="4">
                  <c:v>4.4999999999999998E-2</c:v>
                </c:pt>
                <c:pt idx="5">
                  <c:v>4.4999999999999998E-2</c:v>
                </c:pt>
                <c:pt idx="6">
                  <c:v>4.4999999999999998E-2</c:v>
                </c:pt>
                <c:pt idx="7">
                  <c:v>4.4999999999999998E-2</c:v>
                </c:pt>
                <c:pt idx="8">
                  <c:v>4.4999999999999998E-2</c:v>
                </c:pt>
                <c:pt idx="9">
                  <c:v>4.4999999999999998E-2</c:v>
                </c:pt>
              </c:numCache>
            </c:numRef>
          </c:val>
          <c:smooth val="0"/>
          <c:extLst>
            <c:ext xmlns:c16="http://schemas.microsoft.com/office/drawing/2014/chart" uri="{C3380CC4-5D6E-409C-BE32-E72D297353CC}">
              <c16:uniqueId val="{00000002-4AE6-4885-B5AD-89BFA0D2D6A4}"/>
            </c:ext>
          </c:extLst>
        </c:ser>
        <c:dLbls>
          <c:showLegendKey val="0"/>
          <c:showVal val="0"/>
          <c:showCatName val="0"/>
          <c:showSerName val="0"/>
          <c:showPercent val="0"/>
          <c:showBubbleSize val="0"/>
        </c:dLbls>
        <c:smooth val="0"/>
        <c:axId val="341690624"/>
        <c:axId val="341733376"/>
      </c:lineChart>
      <c:catAx>
        <c:axId val="341690624"/>
        <c:scaling>
          <c:orientation val="minMax"/>
        </c:scaling>
        <c:delete val="0"/>
        <c:axPos val="b"/>
        <c:numFmt formatCode="General" sourceLinked="1"/>
        <c:majorTickMark val="out"/>
        <c:minorTickMark val="none"/>
        <c:tickLblPos val="nextTo"/>
        <c:txPr>
          <a:bodyPr/>
          <a:lstStyle/>
          <a:p>
            <a:pPr>
              <a:defRPr sz="800">
                <a:latin typeface="Arial" pitchFamily="34" charset="0"/>
                <a:cs typeface="Arial" pitchFamily="34" charset="0"/>
              </a:defRPr>
            </a:pPr>
            <a:endParaRPr lang="en-US"/>
          </a:p>
        </c:txPr>
        <c:crossAx val="341733376"/>
        <c:crosses val="autoZero"/>
        <c:auto val="1"/>
        <c:lblAlgn val="ctr"/>
        <c:lblOffset val="100"/>
        <c:noMultiLvlLbl val="0"/>
      </c:catAx>
      <c:valAx>
        <c:axId val="341733376"/>
        <c:scaling>
          <c:orientation val="minMax"/>
        </c:scaling>
        <c:delete val="0"/>
        <c:axPos val="l"/>
        <c:majorGridlines/>
        <c:numFmt formatCode="0.0%" sourceLinked="1"/>
        <c:majorTickMark val="out"/>
        <c:minorTickMark val="none"/>
        <c:tickLblPos val="nextTo"/>
        <c:txPr>
          <a:bodyPr/>
          <a:lstStyle/>
          <a:p>
            <a:pPr>
              <a:defRPr sz="800">
                <a:latin typeface="Arial" pitchFamily="34" charset="0"/>
                <a:cs typeface="Arial" pitchFamily="34" charset="0"/>
              </a:defRPr>
            </a:pPr>
            <a:endParaRPr lang="en-US"/>
          </a:p>
        </c:txPr>
        <c:crossAx val="341690624"/>
        <c:crosses val="autoZero"/>
        <c:crossBetween val="between"/>
      </c:valAx>
      <c:spPr>
        <a:noFill/>
        <a:ln w="25400">
          <a:noFill/>
        </a:ln>
      </c:spPr>
    </c:plotArea>
    <c:legend>
      <c:legendPos val="b"/>
      <c:overlay val="0"/>
      <c:txPr>
        <a:bodyPr/>
        <a:lstStyle/>
        <a:p>
          <a:pPr>
            <a:defRPr sz="800">
              <a:latin typeface="Arial" pitchFamily="34" charset="0"/>
              <a:cs typeface="Arial" pitchFamily="34" charset="0"/>
            </a:defRPr>
          </a:pPr>
          <a:endParaRPr lang="en-US"/>
        </a:p>
      </c:txPr>
    </c:legend>
    <c:plotVisOnly val="1"/>
    <c:dispBlanksAs val="gap"/>
    <c:showDLblsOverMax val="0"/>
  </c:chart>
  <c:spPr>
    <a:solidFill>
      <a:sysClr val="window" lastClr="FFFFFF"/>
    </a:solidFill>
    <a:ln>
      <a:noFill/>
    </a:ln>
  </c:spPr>
  <c:printSettings>
    <c:headerFooter/>
    <c:pageMargins b="0.75000000000000311" l="0.70000000000000062" r="0.70000000000000062" t="0.75000000000000311" header="0.30000000000000032" footer="0.30000000000000032"/>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'RX Sales Growth (E)'!$A$39</c:f>
              <c:strCache>
                <c:ptCount val="1"/>
                <c:pt idx="0">
                  <c:v>National Retail Prescription Drug expenditures</c:v>
                </c:pt>
              </c:strCache>
            </c:strRef>
          </c:tx>
          <c:spPr>
            <a:ln>
              <a:solidFill>
                <a:schemeClr val="tx2"/>
              </a:solidFill>
            </a:ln>
          </c:spPr>
          <c:marker>
            <c:symbol val="none"/>
          </c:marker>
          <c:cat>
            <c:numRef>
              <c:f>'RX Sales Growth (E)'!$F$36:$O$36</c:f>
              <c:numCache>
                <c:formatCode>General</c:formatCode>
                <c:ptCount val="10"/>
                <c:pt idx="0">
                  <c:v>2015</c:v>
                </c:pt>
                <c:pt idx="1">
                  <c:v>2016</c:v>
                </c:pt>
                <c:pt idx="2">
                  <c:v>2017</c:v>
                </c:pt>
                <c:pt idx="3">
                  <c:v>2018</c:v>
                </c:pt>
                <c:pt idx="4">
                  <c:v>2019</c:v>
                </c:pt>
                <c:pt idx="5">
                  <c:v>2020</c:v>
                </c:pt>
                <c:pt idx="6">
                  <c:v>2021</c:v>
                </c:pt>
                <c:pt idx="7">
                  <c:v>2022</c:v>
                </c:pt>
                <c:pt idx="8">
                  <c:v>2023</c:v>
                </c:pt>
                <c:pt idx="9">
                  <c:v>2024</c:v>
                </c:pt>
              </c:numCache>
            </c:numRef>
          </c:cat>
          <c:val>
            <c:numRef>
              <c:f>'RX Sales Growth (E)'!$F$40:$O$40</c:f>
              <c:numCache>
                <c:formatCode>0.0%</c:formatCode>
                <c:ptCount val="10"/>
                <c:pt idx="0">
                  <c:v>7.6368403802032025E-2</c:v>
                </c:pt>
                <c:pt idx="1">
                  <c:v>4.5066991473812434E-2</c:v>
                </c:pt>
                <c:pt idx="2">
                  <c:v>6.1771561771561734E-2</c:v>
                </c:pt>
                <c:pt idx="3">
                  <c:v>5.6805708013172529E-2</c:v>
                </c:pt>
                <c:pt idx="4">
                  <c:v>6.128278369254736E-2</c:v>
                </c:pt>
                <c:pt idx="5">
                  <c:v>6.5084413995595947E-2</c:v>
                </c:pt>
                <c:pt idx="6">
                  <c:v>6.6161268090971781E-2</c:v>
                </c:pt>
                <c:pt idx="7">
                  <c:v>6.7011419952596407E-2</c:v>
                </c:pt>
                <c:pt idx="8">
                  <c:v>6.6841680129240633E-2</c:v>
                </c:pt>
                <c:pt idx="9">
                  <c:v>6.8143100511073307E-2</c:v>
                </c:pt>
              </c:numCache>
            </c:numRef>
          </c:val>
          <c:smooth val="0"/>
          <c:extLst>
            <c:ext xmlns:c16="http://schemas.microsoft.com/office/drawing/2014/chart" uri="{C3380CC4-5D6E-409C-BE32-E72D297353CC}">
              <c16:uniqueId val="{00000000-9353-4B0D-A555-9E69F059DD25}"/>
            </c:ext>
          </c:extLst>
        </c:ser>
        <c:ser>
          <c:idx val="2"/>
          <c:order val="1"/>
          <c:tx>
            <c:strRef>
              <c:f>'RX Sales Growth (E)'!$A$44</c:f>
              <c:strCache>
                <c:ptCount val="1"/>
                <c:pt idx="0">
                  <c:v>Nominal U.S. GDP Growth (CE)</c:v>
                </c:pt>
              </c:strCache>
            </c:strRef>
          </c:tx>
          <c:spPr>
            <a:ln>
              <a:solidFill>
                <a:srgbClr val="FF0000"/>
              </a:solidFill>
            </a:ln>
          </c:spPr>
          <c:marker>
            <c:symbol val="none"/>
          </c:marker>
          <c:cat>
            <c:numRef>
              <c:f>'RX Sales Growth (E)'!$F$36:$O$36</c:f>
              <c:numCache>
                <c:formatCode>General</c:formatCode>
                <c:ptCount val="10"/>
                <c:pt idx="0">
                  <c:v>2015</c:v>
                </c:pt>
                <c:pt idx="1">
                  <c:v>2016</c:v>
                </c:pt>
                <c:pt idx="2">
                  <c:v>2017</c:v>
                </c:pt>
                <c:pt idx="3">
                  <c:v>2018</c:v>
                </c:pt>
                <c:pt idx="4">
                  <c:v>2019</c:v>
                </c:pt>
                <c:pt idx="5">
                  <c:v>2020</c:v>
                </c:pt>
                <c:pt idx="6">
                  <c:v>2021</c:v>
                </c:pt>
                <c:pt idx="7">
                  <c:v>2022</c:v>
                </c:pt>
                <c:pt idx="8">
                  <c:v>2023</c:v>
                </c:pt>
                <c:pt idx="9">
                  <c:v>2024</c:v>
                </c:pt>
              </c:numCache>
            </c:numRef>
          </c:cat>
          <c:val>
            <c:numRef>
              <c:f>'RX Sales Growth (E)'!$F$44:$O$44</c:f>
              <c:numCache>
                <c:formatCode>0.0%</c:formatCode>
                <c:ptCount val="10"/>
                <c:pt idx="0">
                  <c:v>3.2000000000000001E-2</c:v>
                </c:pt>
                <c:pt idx="1">
                  <c:v>4.7E-2</c:v>
                </c:pt>
                <c:pt idx="2">
                  <c:v>5.2999999999999999E-2</c:v>
                </c:pt>
                <c:pt idx="3">
                  <c:v>5.2999999999999999E-2</c:v>
                </c:pt>
                <c:pt idx="4">
                  <c:v>5.2000000000000005E-2</c:v>
                </c:pt>
                <c:pt idx="5">
                  <c:v>0.05</c:v>
                </c:pt>
                <c:pt idx="6">
                  <c:v>4.9000000000000002E-2</c:v>
                </c:pt>
                <c:pt idx="7">
                  <c:v>4.7E-2</c:v>
                </c:pt>
                <c:pt idx="8">
                  <c:v>4.4999999999999998E-2</c:v>
                </c:pt>
                <c:pt idx="9">
                  <c:v>4.4999999999999998E-2</c:v>
                </c:pt>
              </c:numCache>
            </c:numRef>
          </c:val>
          <c:smooth val="0"/>
          <c:extLst>
            <c:ext xmlns:c16="http://schemas.microsoft.com/office/drawing/2014/chart" uri="{C3380CC4-5D6E-409C-BE32-E72D297353CC}">
              <c16:uniqueId val="{00000001-9353-4B0D-A555-9E69F059DD25}"/>
            </c:ext>
          </c:extLst>
        </c:ser>
        <c:ser>
          <c:idx val="1"/>
          <c:order val="2"/>
          <c:tx>
            <c:strRef>
              <c:f>'RX Sales Growth (E)'!$A$41</c:f>
              <c:strCache>
                <c:ptCount val="1"/>
                <c:pt idx="0">
                  <c:v>National Health Expenditures </c:v>
                </c:pt>
              </c:strCache>
            </c:strRef>
          </c:tx>
          <c:spPr>
            <a:ln>
              <a:solidFill>
                <a:schemeClr val="accent5"/>
              </a:solidFill>
            </a:ln>
          </c:spPr>
          <c:marker>
            <c:symbol val="none"/>
          </c:marker>
          <c:cat>
            <c:numRef>
              <c:f>'RX Sales Growth (E)'!$F$36:$O$36</c:f>
              <c:numCache>
                <c:formatCode>General</c:formatCode>
                <c:ptCount val="10"/>
                <c:pt idx="0">
                  <c:v>2015</c:v>
                </c:pt>
                <c:pt idx="1">
                  <c:v>2016</c:v>
                </c:pt>
                <c:pt idx="2">
                  <c:v>2017</c:v>
                </c:pt>
                <c:pt idx="3">
                  <c:v>2018</c:v>
                </c:pt>
                <c:pt idx="4">
                  <c:v>2019</c:v>
                </c:pt>
                <c:pt idx="5">
                  <c:v>2020</c:v>
                </c:pt>
                <c:pt idx="6">
                  <c:v>2021</c:v>
                </c:pt>
                <c:pt idx="7">
                  <c:v>2022</c:v>
                </c:pt>
                <c:pt idx="8">
                  <c:v>2023</c:v>
                </c:pt>
                <c:pt idx="9">
                  <c:v>2024</c:v>
                </c:pt>
              </c:numCache>
            </c:numRef>
          </c:cat>
          <c:val>
            <c:numRef>
              <c:f>'RX Sales Growth (E)'!$F$41:$O$41</c:f>
              <c:numCache>
                <c:formatCode>0.0%</c:formatCode>
                <c:ptCount val="10"/>
                <c:pt idx="0">
                  <c:v>5.2999999999999999E-2</c:v>
                </c:pt>
                <c:pt idx="1">
                  <c:v>4.9000000000000002E-2</c:v>
                </c:pt>
                <c:pt idx="2">
                  <c:v>5.3999999999999999E-2</c:v>
                </c:pt>
                <c:pt idx="3">
                  <c:v>5.5E-2</c:v>
                </c:pt>
                <c:pt idx="4">
                  <c:v>6.2E-2</c:v>
                </c:pt>
                <c:pt idx="5">
                  <c:v>6.3E-2</c:v>
                </c:pt>
                <c:pt idx="6">
                  <c:v>6.3E-2</c:v>
                </c:pt>
                <c:pt idx="7">
                  <c:v>6.2E-2</c:v>
                </c:pt>
                <c:pt idx="8">
                  <c:v>6.0999999999999999E-2</c:v>
                </c:pt>
                <c:pt idx="9">
                  <c:v>0.06</c:v>
                </c:pt>
              </c:numCache>
            </c:numRef>
          </c:val>
          <c:smooth val="0"/>
          <c:extLst>
            <c:ext xmlns:c16="http://schemas.microsoft.com/office/drawing/2014/chart" uri="{C3380CC4-5D6E-409C-BE32-E72D297353CC}">
              <c16:uniqueId val="{00000002-9353-4B0D-A555-9E69F059DD25}"/>
            </c:ext>
          </c:extLst>
        </c:ser>
        <c:dLbls>
          <c:showLegendKey val="0"/>
          <c:showVal val="0"/>
          <c:showCatName val="0"/>
          <c:showSerName val="0"/>
          <c:showPercent val="0"/>
          <c:showBubbleSize val="0"/>
        </c:dLbls>
        <c:smooth val="0"/>
        <c:axId val="341828352"/>
        <c:axId val="341829888"/>
      </c:lineChart>
      <c:catAx>
        <c:axId val="341828352"/>
        <c:scaling>
          <c:orientation val="minMax"/>
        </c:scaling>
        <c:delete val="0"/>
        <c:axPos val="b"/>
        <c:numFmt formatCode="General" sourceLinked="1"/>
        <c:majorTickMark val="out"/>
        <c:minorTickMark val="none"/>
        <c:tickLblPos val="nextTo"/>
        <c:txPr>
          <a:bodyPr/>
          <a:lstStyle/>
          <a:p>
            <a:pPr>
              <a:defRPr sz="800">
                <a:latin typeface="Arial" pitchFamily="34" charset="0"/>
                <a:cs typeface="Arial" pitchFamily="34" charset="0"/>
              </a:defRPr>
            </a:pPr>
            <a:endParaRPr lang="en-US"/>
          </a:p>
        </c:txPr>
        <c:crossAx val="341829888"/>
        <c:crossesAt val="-2.0000000000000011E-2"/>
        <c:auto val="1"/>
        <c:lblAlgn val="ctr"/>
        <c:lblOffset val="100"/>
        <c:noMultiLvlLbl val="0"/>
      </c:catAx>
      <c:valAx>
        <c:axId val="341829888"/>
        <c:scaling>
          <c:orientation val="minMax"/>
        </c:scaling>
        <c:delete val="0"/>
        <c:axPos val="l"/>
        <c:majorGridlines/>
        <c:numFmt formatCode="0.0%" sourceLinked="1"/>
        <c:majorTickMark val="out"/>
        <c:minorTickMark val="none"/>
        <c:tickLblPos val="nextTo"/>
        <c:txPr>
          <a:bodyPr/>
          <a:lstStyle/>
          <a:p>
            <a:pPr>
              <a:defRPr sz="800">
                <a:latin typeface="Arial" pitchFamily="34" charset="0"/>
                <a:cs typeface="Arial" pitchFamily="34" charset="0"/>
              </a:defRPr>
            </a:pPr>
            <a:endParaRPr lang="en-US"/>
          </a:p>
        </c:txPr>
        <c:crossAx val="341828352"/>
        <c:crosses val="autoZero"/>
        <c:crossBetween val="between"/>
      </c:valAx>
      <c:spPr>
        <a:noFill/>
        <a:ln w="25400">
          <a:noFill/>
        </a:ln>
      </c:spPr>
    </c:plotArea>
    <c:legend>
      <c:legendPos val="b"/>
      <c:overlay val="0"/>
      <c:txPr>
        <a:bodyPr/>
        <a:lstStyle/>
        <a:p>
          <a:pPr>
            <a:defRPr sz="800">
              <a:latin typeface="Arial" pitchFamily="34" charset="0"/>
              <a:cs typeface="Arial" pitchFamily="34" charset="0"/>
            </a:defRPr>
          </a:pPr>
          <a:endParaRPr lang="en-US"/>
        </a:p>
      </c:txPr>
    </c:legend>
    <c:plotVisOnly val="1"/>
    <c:dispBlanksAs val="gap"/>
    <c:showDLblsOverMax val="0"/>
  </c:chart>
  <c:spPr>
    <a:solidFill>
      <a:sysClr val="window" lastClr="FFFFFF"/>
    </a:solidFill>
    <a:ln>
      <a:noFill/>
    </a:ln>
  </c:spPr>
  <c:printSettings>
    <c:headerFooter/>
    <c:pageMargins b="0.75000000000000311" l="0.70000000000000062" r="0.70000000000000062" t="0.75000000000000311" header="0.30000000000000032" footer="0.30000000000000032"/>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'NMEs and BLAs'!$B$7</c:f>
              <c:strCache>
                <c:ptCount val="1"/>
                <c:pt idx="0">
                  <c:v>BLAs as % of Approvals</c:v>
                </c:pt>
              </c:strCache>
            </c:strRef>
          </c:tx>
          <c:spPr>
            <a:ln>
              <a:solidFill>
                <a:schemeClr val="accent6">
                  <a:lumMod val="75000"/>
                </a:schemeClr>
              </a:solidFill>
            </a:ln>
          </c:spPr>
          <c:marker>
            <c:symbol val="none"/>
          </c:marker>
          <c:dLbls>
            <c:dLbl>
              <c:idx val="1"/>
              <c:delete val="1"/>
              <c:extLst>
                <c:ext xmlns:c15="http://schemas.microsoft.com/office/drawing/2012/chart" uri="{CE6537A1-D6FC-4f65-9D91-7224C49458BB}"/>
                <c:ext xmlns:c16="http://schemas.microsoft.com/office/drawing/2014/chart" uri="{C3380CC4-5D6E-409C-BE32-E72D297353CC}">
                  <c16:uniqueId val="{00000000-FA4F-431F-B308-3675836CF125}"/>
                </c:ext>
              </c:extLst>
            </c:dLbl>
            <c:dLbl>
              <c:idx val="2"/>
              <c:delete val="1"/>
              <c:extLst>
                <c:ext xmlns:c15="http://schemas.microsoft.com/office/drawing/2012/chart" uri="{CE6537A1-D6FC-4f65-9D91-7224C49458BB}"/>
                <c:ext xmlns:c16="http://schemas.microsoft.com/office/drawing/2014/chart" uri="{C3380CC4-5D6E-409C-BE32-E72D297353CC}">
                  <c16:uniqueId val="{00000001-FA4F-431F-B308-3675836CF125}"/>
                </c:ext>
              </c:extLst>
            </c:dLbl>
            <c:dLbl>
              <c:idx val="3"/>
              <c:delete val="1"/>
              <c:extLst>
                <c:ext xmlns:c15="http://schemas.microsoft.com/office/drawing/2012/chart" uri="{CE6537A1-D6FC-4f65-9D91-7224C49458BB}"/>
                <c:ext xmlns:c16="http://schemas.microsoft.com/office/drawing/2014/chart" uri="{C3380CC4-5D6E-409C-BE32-E72D297353CC}">
                  <c16:uniqueId val="{00000002-FA4F-431F-B308-3675836CF125}"/>
                </c:ext>
              </c:extLst>
            </c:dLbl>
            <c:dLbl>
              <c:idx val="4"/>
              <c:delete val="1"/>
              <c:extLst>
                <c:ext xmlns:c15="http://schemas.microsoft.com/office/drawing/2012/chart" uri="{CE6537A1-D6FC-4f65-9D91-7224C49458BB}"/>
                <c:ext xmlns:c16="http://schemas.microsoft.com/office/drawing/2014/chart" uri="{C3380CC4-5D6E-409C-BE32-E72D297353CC}">
                  <c16:uniqueId val="{00000003-FA4F-431F-B308-3675836CF125}"/>
                </c:ext>
              </c:extLst>
            </c:dLbl>
            <c:dLbl>
              <c:idx val="5"/>
              <c:delete val="1"/>
              <c:extLst>
                <c:ext xmlns:c15="http://schemas.microsoft.com/office/drawing/2012/chart" uri="{CE6537A1-D6FC-4f65-9D91-7224C49458BB}"/>
                <c:ext xmlns:c16="http://schemas.microsoft.com/office/drawing/2014/chart" uri="{C3380CC4-5D6E-409C-BE32-E72D297353CC}">
                  <c16:uniqueId val="{00000004-FA4F-431F-B308-3675836CF125}"/>
                </c:ext>
              </c:extLst>
            </c:dLbl>
            <c:dLbl>
              <c:idx val="6"/>
              <c:delete val="1"/>
              <c:extLst>
                <c:ext xmlns:c15="http://schemas.microsoft.com/office/drawing/2012/chart" uri="{CE6537A1-D6FC-4f65-9D91-7224C49458BB}"/>
                <c:ext xmlns:c16="http://schemas.microsoft.com/office/drawing/2014/chart" uri="{C3380CC4-5D6E-409C-BE32-E72D297353CC}">
                  <c16:uniqueId val="{00000005-FA4F-431F-B308-3675836CF125}"/>
                </c:ext>
              </c:extLst>
            </c:dLbl>
            <c:dLbl>
              <c:idx val="7"/>
              <c:delete val="1"/>
              <c:extLst>
                <c:ext xmlns:c15="http://schemas.microsoft.com/office/drawing/2012/chart" uri="{CE6537A1-D6FC-4f65-9D91-7224C49458BB}"/>
                <c:ext xmlns:c16="http://schemas.microsoft.com/office/drawing/2014/chart" uri="{C3380CC4-5D6E-409C-BE32-E72D297353CC}">
                  <c16:uniqueId val="{00000006-FA4F-431F-B308-3675836CF125}"/>
                </c:ext>
              </c:extLst>
            </c:dLbl>
            <c:dLbl>
              <c:idx val="8"/>
              <c:delete val="1"/>
              <c:extLst>
                <c:ext xmlns:c15="http://schemas.microsoft.com/office/drawing/2012/chart" uri="{CE6537A1-D6FC-4f65-9D91-7224C49458BB}"/>
                <c:ext xmlns:c16="http://schemas.microsoft.com/office/drawing/2014/chart" uri="{C3380CC4-5D6E-409C-BE32-E72D297353CC}">
                  <c16:uniqueId val="{00000007-FA4F-431F-B308-3675836CF125}"/>
                </c:ext>
              </c:extLst>
            </c:dLbl>
            <c:dLbl>
              <c:idx val="9"/>
              <c:delete val="1"/>
              <c:extLst>
                <c:ext xmlns:c15="http://schemas.microsoft.com/office/drawing/2012/chart" uri="{CE6537A1-D6FC-4f65-9D91-7224C49458BB}"/>
                <c:ext xmlns:c16="http://schemas.microsoft.com/office/drawing/2014/chart" uri="{C3380CC4-5D6E-409C-BE32-E72D297353CC}">
                  <c16:uniqueId val="{00000008-FA4F-431F-B308-3675836CF125}"/>
                </c:ext>
              </c:extLst>
            </c:dLbl>
            <c:dLbl>
              <c:idx val="10"/>
              <c:delete val="1"/>
              <c:extLst>
                <c:ext xmlns:c15="http://schemas.microsoft.com/office/drawing/2012/chart" uri="{CE6537A1-D6FC-4f65-9D91-7224C49458BB}"/>
                <c:ext xmlns:c16="http://schemas.microsoft.com/office/drawing/2014/chart" uri="{C3380CC4-5D6E-409C-BE32-E72D297353CC}">
                  <c16:uniqueId val="{00000009-FA4F-431F-B308-3675836CF125}"/>
                </c:ext>
              </c:extLst>
            </c:dLbl>
            <c:dLbl>
              <c:idx val="11"/>
              <c:delete val="1"/>
              <c:extLst>
                <c:ext xmlns:c15="http://schemas.microsoft.com/office/drawing/2012/chart" uri="{CE6537A1-D6FC-4f65-9D91-7224C49458BB}"/>
                <c:ext xmlns:c16="http://schemas.microsoft.com/office/drawing/2014/chart" uri="{C3380CC4-5D6E-409C-BE32-E72D297353CC}">
                  <c16:uniqueId val="{0000000A-FA4F-431F-B308-3675836CF125}"/>
                </c:ext>
              </c:extLst>
            </c:dLbl>
            <c:dLbl>
              <c:idx val="12"/>
              <c:delete val="1"/>
              <c:extLst>
                <c:ext xmlns:c15="http://schemas.microsoft.com/office/drawing/2012/chart" uri="{CE6537A1-D6FC-4f65-9D91-7224C49458BB}"/>
                <c:ext xmlns:c16="http://schemas.microsoft.com/office/drawing/2014/chart" uri="{C3380CC4-5D6E-409C-BE32-E72D297353CC}">
                  <c16:uniqueId val="{0000000B-FA4F-431F-B308-3675836CF125}"/>
                </c:ext>
              </c:extLst>
            </c:dLbl>
            <c:spPr>
              <a:noFill/>
              <a:ln>
                <a:noFill/>
              </a:ln>
              <a:effectLst/>
            </c:spPr>
            <c:txPr>
              <a:bodyPr/>
              <a:lstStyle/>
              <a:p>
                <a:pPr>
                  <a:defRPr sz="1100" b="1"/>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'NMEs and BLAs'!$C$3:$P$3</c:f>
              <c:numCache>
                <c:formatCode>General</c:formatCode>
                <c:ptCount val="14"/>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numCache>
            </c:numRef>
          </c:cat>
          <c:val>
            <c:numRef>
              <c:f>'NMEs and BLAs'!$C$7:$P$7</c:f>
              <c:numCache>
                <c:formatCode>0%</c:formatCode>
                <c:ptCount val="14"/>
                <c:pt idx="0">
                  <c:v>0.23076923076923078</c:v>
                </c:pt>
                <c:pt idx="1">
                  <c:v>0.125</c:v>
                </c:pt>
                <c:pt idx="2">
                  <c:v>0.18181818181818182</c:v>
                </c:pt>
                <c:pt idx="3">
                  <c:v>0.25</c:v>
                </c:pt>
                <c:pt idx="4">
                  <c:v>0.34615384615384615</c:v>
                </c:pt>
                <c:pt idx="5">
                  <c:v>0.4</c:v>
                </c:pt>
                <c:pt idx="6">
                  <c:v>0.18421052631578946</c:v>
                </c:pt>
                <c:pt idx="7">
                  <c:v>0.35714285714285715</c:v>
                </c:pt>
                <c:pt idx="8">
                  <c:v>0.37931034482758619</c:v>
                </c:pt>
                <c:pt idx="9">
                  <c:v>0.38461538461538464</c:v>
                </c:pt>
                <c:pt idx="10">
                  <c:v>0.32258064516129031</c:v>
                </c:pt>
                <c:pt idx="11">
                  <c:v>0.44117647058823528</c:v>
                </c:pt>
                <c:pt idx="12">
                  <c:v>0.42307692307692307</c:v>
                </c:pt>
                <c:pt idx="13">
                  <c:v>0.31428571428571428</c:v>
                </c:pt>
              </c:numCache>
            </c:numRef>
          </c:val>
          <c:smooth val="1"/>
          <c:extLst>
            <c:ext xmlns:c16="http://schemas.microsoft.com/office/drawing/2014/chart" uri="{C3380CC4-5D6E-409C-BE32-E72D297353CC}">
              <c16:uniqueId val="{0000000C-FA4F-431F-B308-3675836CF125}"/>
            </c:ext>
          </c:extLst>
        </c:ser>
        <c:dLbls>
          <c:showLegendKey val="0"/>
          <c:showVal val="0"/>
          <c:showCatName val="0"/>
          <c:showSerName val="0"/>
          <c:showPercent val="0"/>
          <c:showBubbleSize val="0"/>
        </c:dLbls>
        <c:smooth val="0"/>
        <c:axId val="342137472"/>
        <c:axId val="342180224"/>
      </c:lineChart>
      <c:catAx>
        <c:axId val="342137472"/>
        <c:scaling>
          <c:orientation val="minMax"/>
        </c:scaling>
        <c:delete val="0"/>
        <c:axPos val="b"/>
        <c:numFmt formatCode="General" sourceLinked="1"/>
        <c:majorTickMark val="out"/>
        <c:minorTickMark val="none"/>
        <c:tickLblPos val="nextTo"/>
        <c:crossAx val="342180224"/>
        <c:crosses val="autoZero"/>
        <c:auto val="1"/>
        <c:lblAlgn val="ctr"/>
        <c:lblOffset val="100"/>
        <c:noMultiLvlLbl val="0"/>
      </c:catAx>
      <c:valAx>
        <c:axId val="342180224"/>
        <c:scaling>
          <c:orientation val="minMax"/>
        </c:scaling>
        <c:delete val="0"/>
        <c:axPos val="l"/>
        <c:majorGridlines/>
        <c:numFmt formatCode="0%" sourceLinked="1"/>
        <c:majorTickMark val="out"/>
        <c:minorTickMark val="none"/>
        <c:tickLblPos val="nextTo"/>
        <c:crossAx val="342137472"/>
        <c:crosses val="autoZero"/>
        <c:crossBetween val="between"/>
      </c:valAx>
      <c:spPr>
        <a:noFill/>
        <a:ln w="25400">
          <a:noFill/>
        </a:ln>
      </c:spPr>
    </c:plotArea>
    <c:legend>
      <c:legendPos val="b"/>
      <c:overlay val="0"/>
    </c:legend>
    <c:plotVisOnly val="1"/>
    <c:dispBlanksAs val="gap"/>
    <c:showDLblsOverMax val="0"/>
  </c:chart>
  <c:spPr>
    <a:noFill/>
    <a:ln>
      <a:noFill/>
    </a:ln>
  </c:spPr>
  <c:printSettings>
    <c:headerFooter/>
    <c:pageMargins b="0.75000000000000466" l="0.70000000000000062" r="0.70000000000000062" t="0.75000000000000466" header="0.30000000000000032" footer="0.30000000000000032"/>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view3D>
      <c:rotX val="15"/>
      <c:rotY val="20"/>
      <c:rAngAx val="1"/>
    </c:view3D>
    <c:floor>
      <c:thickness val="0"/>
    </c:floor>
    <c:sideWall>
      <c:thickness val="0"/>
    </c:sideWall>
    <c:backWall>
      <c:thickness val="0"/>
    </c:backWall>
    <c:plotArea>
      <c:layout/>
      <c:bar3DChart>
        <c:barDir val="bar"/>
        <c:grouping val="stacked"/>
        <c:varyColors val="0"/>
        <c:ser>
          <c:idx val="0"/>
          <c:order val="0"/>
          <c:spPr>
            <a:solidFill>
              <a:schemeClr val="tx2"/>
            </a:solidFill>
            <a:ln>
              <a:solidFill>
                <a:schemeClr val="bg1"/>
              </a:solidFill>
            </a:ln>
          </c:spPr>
          <c:invertIfNegative val="0"/>
          <c:cat>
            <c:strRef>
              <c:f>'Therapeutics under development'!$A$5:$A$21</c:f>
              <c:strCache>
                <c:ptCount val="17"/>
                <c:pt idx="0">
                  <c:v>Growth Disorders</c:v>
                </c:pt>
                <c:pt idx="1">
                  <c:v>Transplantation</c:v>
                </c:pt>
                <c:pt idx="2">
                  <c:v>Genetic Disorders</c:v>
                </c:pt>
                <c:pt idx="3">
                  <c:v>Eye Conditions</c:v>
                </c:pt>
                <c:pt idx="4">
                  <c:v>Musculoskeletal Disorders</c:v>
                </c:pt>
                <c:pt idx="5">
                  <c:v>Diabetes/Related Conditions</c:v>
                </c:pt>
                <c:pt idx="6">
                  <c:v>Digestive Disorders</c:v>
                </c:pt>
                <c:pt idx="7">
                  <c:v>Skin Disorders</c:v>
                </c:pt>
                <c:pt idx="8">
                  <c:v>Blood Disorders</c:v>
                </c:pt>
                <c:pt idx="9">
                  <c:v>Other Diseases</c:v>
                </c:pt>
                <c:pt idx="10">
                  <c:v>HIV Infection</c:v>
                </c:pt>
                <c:pt idx="11">
                  <c:v>Respiratory Disease</c:v>
                </c:pt>
                <c:pt idx="12">
                  <c:v>Neurologic Disorder</c:v>
                </c:pt>
                <c:pt idx="13">
                  <c:v>Cariovascular Disease</c:v>
                </c:pt>
                <c:pt idx="14">
                  <c:v>Autoimmune Disorders</c:v>
                </c:pt>
                <c:pt idx="15">
                  <c:v>Infectious Diseases</c:v>
                </c:pt>
                <c:pt idx="16">
                  <c:v>Cancer/Related Conditions</c:v>
                </c:pt>
              </c:strCache>
            </c:strRef>
          </c:cat>
          <c:val>
            <c:numRef>
              <c:f>'Therapeutics under development'!$B$5:$B$21</c:f>
              <c:numCache>
                <c:formatCode>General</c:formatCode>
                <c:ptCount val="17"/>
                <c:pt idx="0">
                  <c:v>5</c:v>
                </c:pt>
                <c:pt idx="1">
                  <c:v>18</c:v>
                </c:pt>
                <c:pt idx="2">
                  <c:v>19</c:v>
                </c:pt>
                <c:pt idx="3">
                  <c:v>20</c:v>
                </c:pt>
                <c:pt idx="4">
                  <c:v>22</c:v>
                </c:pt>
                <c:pt idx="5">
                  <c:v>24</c:v>
                </c:pt>
                <c:pt idx="6">
                  <c:v>27</c:v>
                </c:pt>
                <c:pt idx="7">
                  <c:v>28</c:v>
                </c:pt>
                <c:pt idx="8">
                  <c:v>32</c:v>
                </c:pt>
                <c:pt idx="9">
                  <c:v>36</c:v>
                </c:pt>
                <c:pt idx="10">
                  <c:v>39</c:v>
                </c:pt>
                <c:pt idx="11">
                  <c:v>40</c:v>
                </c:pt>
                <c:pt idx="12">
                  <c:v>44</c:v>
                </c:pt>
                <c:pt idx="13">
                  <c:v>59</c:v>
                </c:pt>
                <c:pt idx="14">
                  <c:v>69</c:v>
                </c:pt>
                <c:pt idx="15">
                  <c:v>188</c:v>
                </c:pt>
                <c:pt idx="16">
                  <c:v>352</c:v>
                </c:pt>
              </c:numCache>
            </c:numRef>
          </c:val>
          <c:extLst>
            <c:ext xmlns:c16="http://schemas.microsoft.com/office/drawing/2014/chart" uri="{C3380CC4-5D6E-409C-BE32-E72D297353CC}">
              <c16:uniqueId val="{00000000-627F-4050-9C4F-29F209B6A483}"/>
            </c:ext>
          </c:extLst>
        </c:ser>
        <c:dLbls>
          <c:showLegendKey val="0"/>
          <c:showVal val="0"/>
          <c:showCatName val="0"/>
          <c:showSerName val="0"/>
          <c:showPercent val="0"/>
          <c:showBubbleSize val="0"/>
        </c:dLbls>
        <c:gapWidth val="150"/>
        <c:shape val="cylinder"/>
        <c:axId val="342225664"/>
        <c:axId val="342227200"/>
        <c:axId val="0"/>
      </c:bar3DChart>
      <c:catAx>
        <c:axId val="342225664"/>
        <c:scaling>
          <c:orientation val="minMax"/>
        </c:scaling>
        <c:delete val="0"/>
        <c:axPos val="l"/>
        <c:numFmt formatCode="General" sourceLinked="0"/>
        <c:majorTickMark val="out"/>
        <c:minorTickMark val="none"/>
        <c:tickLblPos val="nextTo"/>
        <c:crossAx val="342227200"/>
        <c:crosses val="autoZero"/>
        <c:auto val="1"/>
        <c:lblAlgn val="ctr"/>
        <c:lblOffset val="100"/>
        <c:noMultiLvlLbl val="0"/>
      </c:catAx>
      <c:valAx>
        <c:axId val="342227200"/>
        <c:scaling>
          <c:orientation val="minMax"/>
        </c:scaling>
        <c:delete val="0"/>
        <c:axPos val="b"/>
        <c:majorGridlines/>
        <c:numFmt formatCode="General" sourceLinked="1"/>
        <c:majorTickMark val="out"/>
        <c:minorTickMark val="none"/>
        <c:tickLblPos val="nextTo"/>
        <c:crossAx val="342225664"/>
        <c:crosses val="autoZero"/>
        <c:crossBetween val="between"/>
      </c:valAx>
    </c:plotArea>
    <c:plotVisOnly val="1"/>
    <c:dispBlanksAs val="gap"/>
    <c:showDLblsOverMax val="0"/>
  </c:chart>
  <c:spPr>
    <a:noFill/>
    <a:ln>
      <a:noFill/>
    </a:ln>
  </c:spPr>
  <c:printSettings>
    <c:headerFooter/>
    <c:pageMargins b="0.75000000000000466" l="0.70000000000000062" r="0.70000000000000062" t="0.75000000000000466" header="0.30000000000000032" footer="0.30000000000000032"/>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37129155730533675"/>
          <c:y val="0"/>
        </c:manualLayout>
      </c:layout>
      <c:overlay val="0"/>
      <c:txPr>
        <a:bodyPr/>
        <a:lstStyle/>
        <a:p>
          <a:pPr>
            <a:defRPr sz="1000">
              <a:latin typeface="Times New Roman" pitchFamily="18" charset="0"/>
              <a:cs typeface="Times New Roman" pitchFamily="18" charset="0"/>
            </a:defRPr>
          </a:pPr>
          <a:endParaRPr lang="en-US"/>
        </a:p>
      </c:txPr>
    </c:title>
    <c:autoTitleDeleted val="0"/>
    <c:plotArea>
      <c:layout>
        <c:manualLayout>
          <c:layoutTarget val="inner"/>
          <c:xMode val="edge"/>
          <c:yMode val="edge"/>
          <c:x val="0.10736351706036747"/>
          <c:y val="0.12315981335666375"/>
          <c:w val="0.86208092738408282"/>
          <c:h val="0.80229148439778364"/>
        </c:manualLayout>
      </c:layout>
      <c:barChart>
        <c:barDir val="col"/>
        <c:grouping val="clustered"/>
        <c:varyColors val="0"/>
        <c:ser>
          <c:idx val="0"/>
          <c:order val="0"/>
          <c:tx>
            <c:strRef>
              <c:f>'Traditional vs Specialty Costs'!$A$4</c:f>
              <c:strCache>
                <c:ptCount val="1"/>
                <c:pt idx="0">
                  <c:v>Traditional Rx costs</c:v>
                </c:pt>
              </c:strCache>
            </c:strRef>
          </c:tx>
          <c:spPr>
            <a:solidFill>
              <a:schemeClr val="accent3">
                <a:lumMod val="75000"/>
              </a:schemeClr>
            </a:solidFill>
          </c:spPr>
          <c:invertIfNegative val="0"/>
          <c:cat>
            <c:strRef>
              <c:f>'Traditional vs Specialty Costs'!$A$6:$A$11</c:f>
              <c:strCache>
                <c:ptCount val="6"/>
                <c:pt idx="0">
                  <c:v>2011A</c:v>
                </c:pt>
                <c:pt idx="1">
                  <c:v>2012A</c:v>
                </c:pt>
                <c:pt idx="2">
                  <c:v>2013A</c:v>
                </c:pt>
                <c:pt idx="3">
                  <c:v>2014E</c:v>
                </c:pt>
                <c:pt idx="4">
                  <c:v>2015E</c:v>
                </c:pt>
                <c:pt idx="5">
                  <c:v>2016E</c:v>
                </c:pt>
              </c:strCache>
            </c:strRef>
          </c:cat>
          <c:val>
            <c:numRef>
              <c:f>'Traditional vs Specialty Costs'!$B$6:$B$11</c:f>
              <c:numCache>
                <c:formatCode>0.0%</c:formatCode>
                <c:ptCount val="6"/>
                <c:pt idx="0">
                  <c:v>1E-3</c:v>
                </c:pt>
                <c:pt idx="1">
                  <c:v>-1.4999999999999999E-2</c:v>
                </c:pt>
                <c:pt idx="2">
                  <c:v>2.4E-2</c:v>
                </c:pt>
                <c:pt idx="3">
                  <c:v>0.02</c:v>
                </c:pt>
                <c:pt idx="4">
                  <c:v>1.9E-2</c:v>
                </c:pt>
                <c:pt idx="5">
                  <c:v>1.9E-2</c:v>
                </c:pt>
              </c:numCache>
            </c:numRef>
          </c:val>
          <c:extLst>
            <c:ext xmlns:c16="http://schemas.microsoft.com/office/drawing/2014/chart" uri="{C3380CC4-5D6E-409C-BE32-E72D297353CC}">
              <c16:uniqueId val="{00000000-D45C-4DAC-9EA2-11F8F0E19211}"/>
            </c:ext>
          </c:extLst>
        </c:ser>
        <c:dLbls>
          <c:showLegendKey val="0"/>
          <c:showVal val="0"/>
          <c:showCatName val="0"/>
          <c:showSerName val="0"/>
          <c:showPercent val="0"/>
          <c:showBubbleSize val="0"/>
        </c:dLbls>
        <c:gapWidth val="150"/>
        <c:axId val="344618880"/>
        <c:axId val="344620416"/>
      </c:barChart>
      <c:catAx>
        <c:axId val="344618880"/>
        <c:scaling>
          <c:orientation val="minMax"/>
        </c:scaling>
        <c:delete val="0"/>
        <c:axPos val="b"/>
        <c:numFmt formatCode="General" sourceLinked="1"/>
        <c:majorTickMark val="out"/>
        <c:minorTickMark val="none"/>
        <c:tickLblPos val="low"/>
        <c:crossAx val="344620416"/>
        <c:crosses val="autoZero"/>
        <c:auto val="1"/>
        <c:lblAlgn val="ctr"/>
        <c:lblOffset val="100"/>
        <c:noMultiLvlLbl val="0"/>
      </c:catAx>
      <c:valAx>
        <c:axId val="344620416"/>
        <c:scaling>
          <c:orientation val="minMax"/>
        </c:scaling>
        <c:delete val="0"/>
        <c:axPos val="l"/>
        <c:majorGridlines/>
        <c:numFmt formatCode="0.0%" sourceLinked="1"/>
        <c:majorTickMark val="out"/>
        <c:minorTickMark val="none"/>
        <c:tickLblPos val="nextTo"/>
        <c:crossAx val="344618880"/>
        <c:crosses val="autoZero"/>
        <c:crossBetween val="between"/>
      </c:valAx>
      <c:spPr>
        <a:noFill/>
        <a:ln w="25400">
          <a:noFill/>
        </a:ln>
      </c:spPr>
    </c:plotArea>
    <c:plotVisOnly val="1"/>
    <c:dispBlanksAs val="gap"/>
    <c:showDLblsOverMax val="0"/>
  </c:chart>
  <c:spPr>
    <a:noFill/>
    <a:ln>
      <a:noFill/>
    </a:ln>
  </c:spPr>
  <c:printSettings>
    <c:headerFooter/>
    <c:pageMargins b="0.75000000000000455" l="0.70000000000000062" r="0.70000000000000062" t="0.75000000000000455" header="0.30000000000000032" footer="0.30000000000000032"/>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xPr>
        <a:bodyPr/>
        <a:lstStyle/>
        <a:p>
          <a:pPr>
            <a:defRPr sz="1000">
              <a:latin typeface="Times New Roman" pitchFamily="18" charset="0"/>
              <a:cs typeface="Times New Roman" pitchFamily="18" charset="0"/>
            </a:defRPr>
          </a:pPr>
          <a:endParaRPr lang="en-US"/>
        </a:p>
      </c:txPr>
    </c:title>
    <c:autoTitleDeleted val="0"/>
    <c:plotArea>
      <c:layout/>
      <c:barChart>
        <c:barDir val="col"/>
        <c:grouping val="clustered"/>
        <c:varyColors val="0"/>
        <c:ser>
          <c:idx val="0"/>
          <c:order val="0"/>
          <c:tx>
            <c:strRef>
              <c:f>'Traditional vs Specialty Costs'!$A$13</c:f>
              <c:strCache>
                <c:ptCount val="1"/>
                <c:pt idx="0">
                  <c:v>Specialty Rx costs</c:v>
                </c:pt>
              </c:strCache>
            </c:strRef>
          </c:tx>
          <c:spPr>
            <a:solidFill>
              <a:schemeClr val="accent6">
                <a:lumMod val="75000"/>
              </a:schemeClr>
            </a:solidFill>
          </c:spPr>
          <c:invertIfNegative val="0"/>
          <c:cat>
            <c:strRef>
              <c:f>'Traditional vs Specialty Costs'!$A$15:$A$20</c:f>
              <c:strCache>
                <c:ptCount val="6"/>
                <c:pt idx="0">
                  <c:v>2011A</c:v>
                </c:pt>
                <c:pt idx="1">
                  <c:v>2012A</c:v>
                </c:pt>
                <c:pt idx="2">
                  <c:v>2013A</c:v>
                </c:pt>
                <c:pt idx="3">
                  <c:v>2014E</c:v>
                </c:pt>
                <c:pt idx="4">
                  <c:v>2015E</c:v>
                </c:pt>
                <c:pt idx="5">
                  <c:v>2016E</c:v>
                </c:pt>
              </c:strCache>
            </c:strRef>
          </c:cat>
          <c:val>
            <c:numRef>
              <c:f>'Traditional vs Specialty Costs'!$B$15:$B$20</c:f>
              <c:numCache>
                <c:formatCode>0.0%</c:formatCode>
                <c:ptCount val="6"/>
                <c:pt idx="0">
                  <c:v>0.17100000000000001</c:v>
                </c:pt>
                <c:pt idx="1">
                  <c:v>0.184</c:v>
                </c:pt>
                <c:pt idx="2">
                  <c:v>0.19</c:v>
                </c:pt>
                <c:pt idx="3">
                  <c:v>0.14099999999999999</c:v>
                </c:pt>
                <c:pt idx="4">
                  <c:v>0.18</c:v>
                </c:pt>
                <c:pt idx="5">
                  <c:v>0.182</c:v>
                </c:pt>
              </c:numCache>
            </c:numRef>
          </c:val>
          <c:extLst>
            <c:ext xmlns:c16="http://schemas.microsoft.com/office/drawing/2014/chart" uri="{C3380CC4-5D6E-409C-BE32-E72D297353CC}">
              <c16:uniqueId val="{00000000-6835-42A4-A4D4-5497371A35C6}"/>
            </c:ext>
          </c:extLst>
        </c:ser>
        <c:dLbls>
          <c:showLegendKey val="0"/>
          <c:showVal val="0"/>
          <c:showCatName val="0"/>
          <c:showSerName val="0"/>
          <c:showPercent val="0"/>
          <c:showBubbleSize val="0"/>
        </c:dLbls>
        <c:gapWidth val="150"/>
        <c:axId val="344849408"/>
        <c:axId val="344879872"/>
      </c:barChart>
      <c:catAx>
        <c:axId val="344849408"/>
        <c:scaling>
          <c:orientation val="minMax"/>
        </c:scaling>
        <c:delete val="0"/>
        <c:axPos val="b"/>
        <c:numFmt formatCode="General" sourceLinked="1"/>
        <c:majorTickMark val="out"/>
        <c:minorTickMark val="none"/>
        <c:tickLblPos val="nextTo"/>
        <c:crossAx val="344879872"/>
        <c:crosses val="autoZero"/>
        <c:auto val="1"/>
        <c:lblAlgn val="ctr"/>
        <c:lblOffset val="100"/>
        <c:noMultiLvlLbl val="0"/>
      </c:catAx>
      <c:valAx>
        <c:axId val="344879872"/>
        <c:scaling>
          <c:orientation val="minMax"/>
        </c:scaling>
        <c:delete val="0"/>
        <c:axPos val="l"/>
        <c:majorGridlines/>
        <c:numFmt formatCode="0.0%" sourceLinked="1"/>
        <c:majorTickMark val="out"/>
        <c:minorTickMark val="none"/>
        <c:tickLblPos val="nextTo"/>
        <c:crossAx val="344849408"/>
        <c:crosses val="autoZero"/>
        <c:crossBetween val="between"/>
      </c:valAx>
      <c:spPr>
        <a:noFill/>
        <a:ln w="25400">
          <a:noFill/>
        </a:ln>
      </c:spPr>
    </c:plotArea>
    <c:plotVisOnly val="1"/>
    <c:dispBlanksAs val="gap"/>
    <c:showDLblsOverMax val="0"/>
  </c:chart>
  <c:spPr>
    <a:noFill/>
    <a:ln>
      <a:noFill/>
    </a:ln>
  </c:spPr>
  <c:printSettings>
    <c:headerFooter/>
    <c:pageMargins b="0.75000000000000477" l="0.70000000000000062" r="0.70000000000000062" t="0.75000000000000477" header="0.30000000000000032" footer="0.30000000000000032"/>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chemeClr val="accent3">
                <a:lumMod val="75000"/>
              </a:schemeClr>
            </a:solidFill>
          </c:spPr>
          <c:invertIfNegative val="0"/>
          <c:dLbls>
            <c:spPr>
              <a:noFill/>
              <a:ln>
                <a:noFill/>
              </a:ln>
              <a:effectLst/>
            </c:spPr>
            <c:txPr>
              <a:bodyPr/>
              <a:lstStyle/>
              <a:p>
                <a:pPr>
                  <a:defRPr b="1"/>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'Specialty Drug Spend'!$A$5:$A$6</c:f>
              <c:numCache>
                <c:formatCode>General</c:formatCode>
                <c:ptCount val="2"/>
                <c:pt idx="0">
                  <c:v>2010</c:v>
                </c:pt>
                <c:pt idx="1">
                  <c:v>2020</c:v>
                </c:pt>
              </c:numCache>
            </c:numRef>
          </c:cat>
          <c:val>
            <c:numRef>
              <c:f>'Specialty Drug Spend'!$B$5:$B$6</c:f>
              <c:numCache>
                <c:formatCode>0%</c:formatCode>
                <c:ptCount val="2"/>
                <c:pt idx="0">
                  <c:v>0.18</c:v>
                </c:pt>
                <c:pt idx="1">
                  <c:v>0.43</c:v>
                </c:pt>
              </c:numCache>
            </c:numRef>
          </c:val>
          <c:extLst>
            <c:ext xmlns:c16="http://schemas.microsoft.com/office/drawing/2014/chart" uri="{C3380CC4-5D6E-409C-BE32-E72D297353CC}">
              <c16:uniqueId val="{00000000-CCC0-4720-8BB9-A3F79D9DDDCE}"/>
            </c:ext>
          </c:extLst>
        </c:ser>
        <c:dLbls>
          <c:showLegendKey val="0"/>
          <c:showVal val="0"/>
          <c:showCatName val="0"/>
          <c:showSerName val="0"/>
          <c:showPercent val="0"/>
          <c:showBubbleSize val="0"/>
        </c:dLbls>
        <c:gapWidth val="150"/>
        <c:axId val="345076864"/>
        <c:axId val="345078400"/>
      </c:barChart>
      <c:catAx>
        <c:axId val="345076864"/>
        <c:scaling>
          <c:orientation val="minMax"/>
        </c:scaling>
        <c:delete val="0"/>
        <c:axPos val="b"/>
        <c:numFmt formatCode="General" sourceLinked="1"/>
        <c:majorTickMark val="out"/>
        <c:minorTickMark val="none"/>
        <c:tickLblPos val="nextTo"/>
        <c:crossAx val="345078400"/>
        <c:crosses val="autoZero"/>
        <c:auto val="1"/>
        <c:lblAlgn val="ctr"/>
        <c:lblOffset val="100"/>
        <c:noMultiLvlLbl val="0"/>
      </c:catAx>
      <c:valAx>
        <c:axId val="345078400"/>
        <c:scaling>
          <c:orientation val="minMax"/>
        </c:scaling>
        <c:delete val="0"/>
        <c:axPos val="l"/>
        <c:majorGridlines/>
        <c:numFmt formatCode="0%" sourceLinked="1"/>
        <c:majorTickMark val="out"/>
        <c:minorTickMark val="none"/>
        <c:tickLblPos val="nextTo"/>
        <c:crossAx val="345076864"/>
        <c:crosses val="autoZero"/>
        <c:crossBetween val="between"/>
      </c:valAx>
      <c:spPr>
        <a:noFill/>
        <a:ln w="25400">
          <a:noFill/>
        </a:ln>
      </c:spPr>
    </c:plotArea>
    <c:plotVisOnly val="1"/>
    <c:dispBlanksAs val="gap"/>
    <c:showDLblsOverMax val="0"/>
  </c:chart>
  <c:spPr>
    <a:noFill/>
    <a:ln>
      <a:noFill/>
    </a:ln>
  </c:spPr>
  <c:printSettings>
    <c:headerFooter/>
    <c:pageMargins b="0.75000000000000455" l="0.70000000000000062" r="0.70000000000000062" t="0.75000000000000455" header="0.30000000000000032" footer="0.30000000000000032"/>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'Chronic Disease'!$B$3</c:f>
              <c:strCache>
                <c:ptCount val="1"/>
                <c:pt idx="0">
                  <c:v>Number of People with Chronic Conditions (millions)</c:v>
                </c:pt>
              </c:strCache>
            </c:strRef>
          </c:tx>
          <c:spPr>
            <a:solidFill>
              <a:srgbClr val="9BBB59">
                <a:lumMod val="75000"/>
                <a:alpha val="67000"/>
              </a:srgbClr>
            </a:solidFill>
          </c:spPr>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'Chronic Disease'!$A$4:$A$11</c:f>
              <c:numCache>
                <c:formatCode>General</c:formatCode>
                <c:ptCount val="8"/>
                <c:pt idx="0">
                  <c:v>1995</c:v>
                </c:pt>
                <c:pt idx="1">
                  <c:v>2000</c:v>
                </c:pt>
                <c:pt idx="2">
                  <c:v>2005</c:v>
                </c:pt>
                <c:pt idx="3">
                  <c:v>2010</c:v>
                </c:pt>
                <c:pt idx="4">
                  <c:v>2015</c:v>
                </c:pt>
                <c:pt idx="5">
                  <c:v>2020</c:v>
                </c:pt>
                <c:pt idx="6">
                  <c:v>2025</c:v>
                </c:pt>
                <c:pt idx="7">
                  <c:v>2030</c:v>
                </c:pt>
              </c:numCache>
            </c:numRef>
          </c:cat>
          <c:val>
            <c:numRef>
              <c:f>'Chronic Disease'!$B$4:$B$11</c:f>
              <c:numCache>
                <c:formatCode>General</c:formatCode>
                <c:ptCount val="8"/>
                <c:pt idx="0">
                  <c:v>118</c:v>
                </c:pt>
                <c:pt idx="1">
                  <c:v>125</c:v>
                </c:pt>
                <c:pt idx="2">
                  <c:v>133</c:v>
                </c:pt>
                <c:pt idx="3">
                  <c:v>141</c:v>
                </c:pt>
                <c:pt idx="4">
                  <c:v>149</c:v>
                </c:pt>
                <c:pt idx="5">
                  <c:v>157</c:v>
                </c:pt>
                <c:pt idx="6">
                  <c:v>164</c:v>
                </c:pt>
                <c:pt idx="7">
                  <c:v>171</c:v>
                </c:pt>
              </c:numCache>
            </c:numRef>
          </c:val>
          <c:extLst>
            <c:ext xmlns:c16="http://schemas.microsoft.com/office/drawing/2014/chart" uri="{C3380CC4-5D6E-409C-BE32-E72D297353CC}">
              <c16:uniqueId val="{00000000-7297-496F-BED7-A8354E3CFB9B}"/>
            </c:ext>
          </c:extLst>
        </c:ser>
        <c:dLbls>
          <c:showLegendKey val="0"/>
          <c:showVal val="0"/>
          <c:showCatName val="0"/>
          <c:showSerName val="0"/>
          <c:showPercent val="0"/>
          <c:showBubbleSize val="0"/>
        </c:dLbls>
        <c:gapWidth val="150"/>
        <c:axId val="345174784"/>
        <c:axId val="345176320"/>
      </c:barChart>
      <c:lineChart>
        <c:grouping val="standard"/>
        <c:varyColors val="0"/>
        <c:ser>
          <c:idx val="1"/>
          <c:order val="1"/>
          <c:tx>
            <c:strRef>
              <c:f>'Chronic Disease'!$C$3</c:f>
              <c:strCache>
                <c:ptCount val="1"/>
                <c:pt idx="0">
                  <c:v>Percentage of Population with a Chronic Condition</c:v>
                </c:pt>
              </c:strCache>
            </c:strRef>
          </c:tx>
          <c:spPr>
            <a:ln>
              <a:solidFill>
                <a:schemeClr val="accent6">
                  <a:lumMod val="75000"/>
                </a:schemeClr>
              </a:solidFill>
            </a:ln>
          </c:spPr>
          <c:marker>
            <c:symbol val="none"/>
          </c:marker>
          <c:cat>
            <c:numRef>
              <c:f>[8]CMS_Incentive_Payments!$A$35:$A$47</c:f>
              <c:numCache>
                <c:formatCode>General</c:formatCode>
                <c:ptCount val="13"/>
                <c:pt idx="0">
                  <c:v>40695</c:v>
                </c:pt>
                <c:pt idx="1">
                  <c:v>40725</c:v>
                </c:pt>
                <c:pt idx="2">
                  <c:v>40756</c:v>
                </c:pt>
                <c:pt idx="3">
                  <c:v>40787</c:v>
                </c:pt>
                <c:pt idx="4">
                  <c:v>40817</c:v>
                </c:pt>
                <c:pt idx="5">
                  <c:v>40848</c:v>
                </c:pt>
                <c:pt idx="6">
                  <c:v>40878</c:v>
                </c:pt>
                <c:pt idx="7">
                  <c:v>40920</c:v>
                </c:pt>
                <c:pt idx="8">
                  <c:v>40951</c:v>
                </c:pt>
                <c:pt idx="9">
                  <c:v>40969</c:v>
                </c:pt>
                <c:pt idx="10">
                  <c:v>41011</c:v>
                </c:pt>
                <c:pt idx="11">
                  <c:v>41053</c:v>
                </c:pt>
                <c:pt idx="12">
                  <c:v>41061</c:v>
                </c:pt>
              </c:numCache>
            </c:numRef>
          </c:cat>
          <c:val>
            <c:numRef>
              <c:f>'Chronic Disease'!$C$4:$C$11</c:f>
              <c:numCache>
                <c:formatCode>0.0%</c:formatCode>
                <c:ptCount val="8"/>
                <c:pt idx="0">
                  <c:v>0.44700000000000001</c:v>
                </c:pt>
                <c:pt idx="1">
                  <c:v>0.45400000000000001</c:v>
                </c:pt>
                <c:pt idx="2">
                  <c:v>0.46200000000000002</c:v>
                </c:pt>
                <c:pt idx="3">
                  <c:v>0.47</c:v>
                </c:pt>
                <c:pt idx="4">
                  <c:v>0.47699999999999998</c:v>
                </c:pt>
                <c:pt idx="5">
                  <c:v>0.48299999999999998</c:v>
                </c:pt>
                <c:pt idx="6">
                  <c:v>0.48799999999999999</c:v>
                </c:pt>
                <c:pt idx="7">
                  <c:v>0.49199999999999999</c:v>
                </c:pt>
              </c:numCache>
            </c:numRef>
          </c:val>
          <c:smooth val="0"/>
          <c:extLst>
            <c:ext xmlns:c16="http://schemas.microsoft.com/office/drawing/2014/chart" uri="{C3380CC4-5D6E-409C-BE32-E72D297353CC}">
              <c16:uniqueId val="{00000001-7297-496F-BED7-A8354E3CFB9B}"/>
            </c:ext>
          </c:extLst>
        </c:ser>
        <c:dLbls>
          <c:showLegendKey val="0"/>
          <c:showVal val="0"/>
          <c:showCatName val="0"/>
          <c:showSerName val="0"/>
          <c:showPercent val="0"/>
          <c:showBubbleSize val="0"/>
        </c:dLbls>
        <c:marker val="1"/>
        <c:smooth val="0"/>
        <c:axId val="345186304"/>
        <c:axId val="345187840"/>
      </c:lineChart>
      <c:catAx>
        <c:axId val="345174784"/>
        <c:scaling>
          <c:orientation val="minMax"/>
        </c:scaling>
        <c:delete val="0"/>
        <c:axPos val="b"/>
        <c:numFmt formatCode="General" sourceLinked="0"/>
        <c:majorTickMark val="out"/>
        <c:minorTickMark val="none"/>
        <c:tickLblPos val="nextTo"/>
        <c:txPr>
          <a:bodyPr rot="0" vert="horz"/>
          <a:lstStyle/>
          <a:p>
            <a:pPr>
              <a:defRPr sz="800" b="0" i="0" u="none" strike="noStrike" baseline="0">
                <a:solidFill>
                  <a:srgbClr val="000000"/>
                </a:solidFill>
                <a:latin typeface="Calibri"/>
                <a:ea typeface="Calibri"/>
                <a:cs typeface="Calibri"/>
              </a:defRPr>
            </a:pPr>
            <a:endParaRPr lang="en-US"/>
          </a:p>
        </c:txPr>
        <c:crossAx val="345176320"/>
        <c:crosses val="autoZero"/>
        <c:auto val="1"/>
        <c:lblAlgn val="ctr"/>
        <c:lblOffset val="100"/>
        <c:tickLblSkip val="1"/>
        <c:noMultiLvlLbl val="0"/>
      </c:catAx>
      <c:valAx>
        <c:axId val="345176320"/>
        <c:scaling>
          <c:orientation val="minMax"/>
          <c:min val="25"/>
        </c:scaling>
        <c:delete val="0"/>
        <c:axPos val="l"/>
        <c:numFmt formatCode="#,##0_);[Red]\(#,##0\)" sourceLinked="0"/>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345174784"/>
        <c:crosses val="autoZero"/>
        <c:crossBetween val="between"/>
      </c:valAx>
      <c:catAx>
        <c:axId val="345186304"/>
        <c:scaling>
          <c:orientation val="minMax"/>
        </c:scaling>
        <c:delete val="1"/>
        <c:axPos val="b"/>
        <c:numFmt formatCode="General" sourceLinked="1"/>
        <c:majorTickMark val="out"/>
        <c:minorTickMark val="none"/>
        <c:tickLblPos val="none"/>
        <c:crossAx val="345187840"/>
        <c:crosses val="autoZero"/>
        <c:auto val="1"/>
        <c:lblAlgn val="ctr"/>
        <c:lblOffset val="100"/>
        <c:noMultiLvlLbl val="0"/>
      </c:catAx>
      <c:valAx>
        <c:axId val="345187840"/>
        <c:scaling>
          <c:orientation val="minMax"/>
        </c:scaling>
        <c:delete val="0"/>
        <c:axPos val="r"/>
        <c:numFmt formatCode="0%" sourceLinked="0"/>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345186304"/>
        <c:crosses val="max"/>
        <c:crossBetween val="between"/>
      </c:valAx>
      <c:spPr>
        <a:noFill/>
        <a:ln w="25400">
          <a:noFill/>
        </a:ln>
      </c:spPr>
    </c:plotArea>
    <c:legend>
      <c:legendPos val="b"/>
      <c:overlay val="0"/>
      <c:txPr>
        <a:bodyPr/>
        <a:lstStyle/>
        <a:p>
          <a:pPr>
            <a:defRPr sz="900" b="0" i="0" u="none" strike="noStrike" baseline="0">
              <a:solidFill>
                <a:srgbClr val="000000"/>
              </a:solidFill>
              <a:latin typeface="Times New Roman" pitchFamily="18" charset="0"/>
              <a:ea typeface="Calibri"/>
              <a:cs typeface="Times New Roman" pitchFamily="18" charset="0"/>
            </a:defRPr>
          </a:pPr>
          <a:endParaRPr lang="en-US"/>
        </a:p>
      </c:txPr>
    </c:legend>
    <c:plotVisOnly val="1"/>
    <c:dispBlanksAs val="gap"/>
    <c:showDLblsOverMax val="0"/>
  </c:chart>
  <c:spPr>
    <a:noFill/>
    <a:ln>
      <a:noFill/>
    </a:ln>
  </c:spPr>
  <c:txPr>
    <a:bodyPr/>
    <a:lstStyle/>
    <a:p>
      <a:pPr>
        <a:defRPr sz="1000" b="0" i="0" u="none" strike="noStrike" baseline="0">
          <a:solidFill>
            <a:srgbClr val="000000"/>
          </a:solidFill>
          <a:latin typeface="Calibri"/>
          <a:ea typeface="Calibri"/>
          <a:cs typeface="Calibri"/>
        </a:defRPr>
      </a:pPr>
      <a:endParaRPr lang="en-US"/>
    </a:p>
  </c:txPr>
  <c:printSettings>
    <c:headerFooter/>
    <c:pageMargins b="0.750000000000005" l="0.70000000000000062" r="0.70000000000000062" t="0.750000000000005" header="0.30000000000000032" footer="0.30000000000000032"/>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2305554575535492"/>
          <c:y val="5.0925967587384866E-2"/>
          <c:w val="0.58092895210909723"/>
          <c:h val="0.9055114777319444"/>
        </c:manualLayout>
      </c:layout>
      <c:pieChart>
        <c:varyColors val="1"/>
        <c:ser>
          <c:idx val="0"/>
          <c:order val="0"/>
          <c:dLbls>
            <c:dLbl>
              <c:idx val="0"/>
              <c:layout>
                <c:manualLayout>
                  <c:x val="-0.21965438800972109"/>
                  <c:y val="-7.0386035952677839E-2"/>
                </c:manualLayout>
              </c:layout>
              <c:tx>
                <c:rich>
                  <a:bodyPr/>
                  <a:lstStyle/>
                  <a:p>
                    <a:r>
                      <a:rPr lang="en-US"/>
                      <a:t>ABC, 55.0%</a:t>
                    </a:r>
                  </a:p>
                  <a:p>
                    <a:r>
                      <a:rPr lang="en-US"/>
                      <a:t>-</a:t>
                    </a:r>
                    <a:r>
                      <a:rPr lang="en-US" baseline="0"/>
                      <a:t>  Oncology Supply</a:t>
                    </a:r>
                  </a:p>
                  <a:p>
                    <a:r>
                      <a:rPr lang="en-US" baseline="0"/>
                      <a:t>-Besse Medical</a:t>
                    </a:r>
                  </a:p>
                  <a:p>
                    <a:r>
                      <a:rPr lang="en-US" baseline="0"/>
                      <a:t>- ASD Healthcare</a:t>
                    </a:r>
                    <a:endParaRPr lang="en-US"/>
                  </a:p>
                </c:rich>
              </c:tx>
              <c:showLegendKey val="0"/>
              <c:showVal val="1"/>
              <c:showCatName val="1"/>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0-FD5F-4AA6-ADD2-CE07FAC4EAAF}"/>
                </c:ext>
              </c:extLst>
            </c:dLbl>
            <c:dLbl>
              <c:idx val="1"/>
              <c:tx>
                <c:rich>
                  <a:bodyPr/>
                  <a:lstStyle/>
                  <a:p>
                    <a:r>
                      <a:rPr lang="en-US"/>
                      <a:t>MCK,</a:t>
                    </a:r>
                    <a:r>
                      <a:rPr lang="en-US" baseline="0"/>
                      <a:t> </a:t>
                    </a:r>
                    <a:r>
                      <a:rPr lang="en-US"/>
                      <a:t>25.0%</a:t>
                    </a:r>
                  </a:p>
                </c:rich>
              </c:tx>
              <c:showLegendKey val="0"/>
              <c:showVal val="1"/>
              <c:showCatName val="1"/>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1-FD5F-4AA6-ADD2-CE07FAC4EAAF}"/>
                </c:ext>
              </c:extLst>
            </c:dLbl>
            <c:dLbl>
              <c:idx val="2"/>
              <c:layout>
                <c:manualLayout>
                  <c:x val="-1.1929053674808071E-2"/>
                  <c:y val="7.1794359038453524E-3"/>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2-FD5F-4AA6-ADD2-CE07FAC4EAAF}"/>
                </c:ext>
              </c:extLst>
            </c:dLbl>
            <c:dLbl>
              <c:idx val="3"/>
              <c:layout>
                <c:manualLayout>
                  <c:x val="-1.9239753890234281E-3"/>
                  <c:y val="2.5858767654043484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3-FD5F-4AA6-ADD2-CE07FAC4EAAF}"/>
                </c:ext>
              </c:extLst>
            </c:dLbl>
            <c:spPr>
              <a:noFill/>
              <a:ln>
                <a:noFill/>
              </a:ln>
              <a:effectLst/>
            </c:spPr>
            <c:showLegendKey val="0"/>
            <c:showVal val="1"/>
            <c:showCatName val="1"/>
            <c:showSerName val="0"/>
            <c:showPercent val="0"/>
            <c:showBubbleSize val="0"/>
            <c:showLeaderLines val="1"/>
            <c:extLst>
              <c:ext xmlns:c15="http://schemas.microsoft.com/office/drawing/2012/chart" uri="{CE6537A1-D6FC-4f65-9D91-7224C49458BB}"/>
            </c:extLst>
          </c:dLbls>
          <c:cat>
            <c:strRef>
              <c:f>'U.S. Specialty Distributors'!$A$21:$A$25</c:f>
              <c:strCache>
                <c:ptCount val="5"/>
                <c:pt idx="0">
                  <c:v>ABC</c:v>
                </c:pt>
                <c:pt idx="1">
                  <c:v>MCK</c:v>
                </c:pt>
                <c:pt idx="2">
                  <c:v>CuraScript-ESRX</c:v>
                </c:pt>
                <c:pt idx="3">
                  <c:v>Metro Medical</c:v>
                </c:pt>
                <c:pt idx="4">
                  <c:v>Other</c:v>
                </c:pt>
              </c:strCache>
            </c:strRef>
          </c:cat>
          <c:val>
            <c:numRef>
              <c:f>'U.S. Specialty Distributors'!$B$21:$B$25</c:f>
              <c:numCache>
                <c:formatCode>0.0%</c:formatCode>
                <c:ptCount val="5"/>
                <c:pt idx="0">
                  <c:v>0.55000000000000004</c:v>
                </c:pt>
                <c:pt idx="1">
                  <c:v>0.25</c:v>
                </c:pt>
                <c:pt idx="2">
                  <c:v>0.05</c:v>
                </c:pt>
                <c:pt idx="3">
                  <c:v>7.0000000000000007E-2</c:v>
                </c:pt>
                <c:pt idx="4">
                  <c:v>0.08</c:v>
                </c:pt>
              </c:numCache>
            </c:numRef>
          </c:val>
          <c:extLst>
            <c:ext xmlns:c16="http://schemas.microsoft.com/office/drawing/2014/chart" uri="{C3380CC4-5D6E-409C-BE32-E72D297353CC}">
              <c16:uniqueId val="{00000004-FD5F-4AA6-ADD2-CE07FAC4EAAF}"/>
            </c:ext>
          </c:extLst>
        </c:ser>
        <c:dLbls>
          <c:showLegendKey val="0"/>
          <c:showVal val="0"/>
          <c:showCatName val="0"/>
          <c:showSerName val="0"/>
          <c:showPercent val="0"/>
          <c:showBubbleSize val="0"/>
          <c:showLeaderLines val="1"/>
        </c:dLbls>
        <c:firstSliceAng val="0"/>
      </c:pieChart>
    </c:plotArea>
    <c:plotVisOnly val="1"/>
    <c:dispBlanksAs val="zero"/>
    <c:showDLblsOverMax val="0"/>
  </c:chart>
  <c:spPr>
    <a:noFill/>
    <a:ln>
      <a:noFill/>
    </a:ln>
  </c:spPr>
  <c:txPr>
    <a:bodyPr/>
    <a:lstStyle/>
    <a:p>
      <a:pPr>
        <a:defRPr>
          <a:latin typeface="Times New Roman" pitchFamily="18" charset="0"/>
          <a:cs typeface="Times New Roman" pitchFamily="18" charset="0"/>
        </a:defRPr>
      </a:pPr>
      <a:endParaRPr lang="en-US"/>
    </a:p>
  </c:txPr>
  <c:printSettings>
    <c:headerFooter/>
    <c:pageMargins b="0.75000000000000455" l="0.70000000000000062" r="0.70000000000000062" t="0.75000000000000455" header="0.30000000000000032" footer="0.30000000000000032"/>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385441684654284"/>
          <c:y val="6.2499801161218484E-2"/>
          <c:w val="0.66891922293497841"/>
          <c:h val="0.87500039767756665"/>
        </c:manualLayout>
      </c:layout>
      <c:pieChart>
        <c:varyColors val="1"/>
        <c:ser>
          <c:idx val="0"/>
          <c:order val="0"/>
          <c:dPt>
            <c:idx val="5"/>
            <c:bubble3D val="0"/>
            <c:spPr>
              <a:solidFill>
                <a:schemeClr val="accent6">
                  <a:lumMod val="75000"/>
                </a:schemeClr>
              </a:solidFill>
            </c:spPr>
            <c:extLst>
              <c:ext xmlns:c16="http://schemas.microsoft.com/office/drawing/2014/chart" uri="{C3380CC4-5D6E-409C-BE32-E72D297353CC}">
                <c16:uniqueId val="{00000001-6F6F-4103-99FE-B57AB57F6645}"/>
              </c:ext>
            </c:extLst>
          </c:dPt>
          <c:dLbls>
            <c:dLbl>
              <c:idx val="4"/>
              <c:layout>
                <c:manualLayout>
                  <c:x val="-5.5601495758976103E-3"/>
                  <c:y val="-6.3339431055967326E-3"/>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2-6F6F-4103-99FE-B57AB57F6645}"/>
                </c:ext>
              </c:extLst>
            </c:dLbl>
            <c:spPr>
              <a:noFill/>
              <a:ln>
                <a:noFill/>
              </a:ln>
              <a:effectLst/>
            </c:spPr>
            <c:showLegendKey val="0"/>
            <c:showVal val="1"/>
            <c:showCatName val="1"/>
            <c:showSerName val="0"/>
            <c:showPercent val="0"/>
            <c:showBubbleSize val="0"/>
            <c:showLeaderLines val="1"/>
            <c:extLst>
              <c:ext xmlns:c15="http://schemas.microsoft.com/office/drawing/2012/chart" uri="{CE6537A1-D6FC-4f65-9D91-7224C49458BB}"/>
            </c:extLst>
          </c:dLbls>
          <c:cat>
            <c:strRef>
              <c:f>'Specialty Pharmacy'!$A$6:$A$11</c:f>
              <c:strCache>
                <c:ptCount val="6"/>
                <c:pt idx="0">
                  <c:v>CVS Caremark</c:v>
                </c:pt>
                <c:pt idx="1">
                  <c:v>Express Scripts-Medco</c:v>
                </c:pt>
                <c:pt idx="2">
                  <c:v>Walgreens-BioScrip</c:v>
                </c:pt>
                <c:pt idx="3">
                  <c:v>Diplomat Specialty Pharmacy</c:v>
                </c:pt>
                <c:pt idx="4">
                  <c:v>Omincare</c:v>
                </c:pt>
                <c:pt idx="5">
                  <c:v>All other retail and specialty pharmacies</c:v>
                </c:pt>
              </c:strCache>
            </c:strRef>
          </c:cat>
          <c:val>
            <c:numRef>
              <c:f>'Specialty Pharmacy'!$B$6:$B$11</c:f>
              <c:numCache>
                <c:formatCode>0.0%</c:formatCode>
                <c:ptCount val="6"/>
                <c:pt idx="0">
                  <c:v>0.22700000000000001</c:v>
                </c:pt>
                <c:pt idx="1">
                  <c:v>0.30499999999999999</c:v>
                </c:pt>
                <c:pt idx="2">
                  <c:v>0.10400000000000001</c:v>
                </c:pt>
                <c:pt idx="3">
                  <c:v>1.6E-2</c:v>
                </c:pt>
                <c:pt idx="4">
                  <c:v>1.6E-2</c:v>
                </c:pt>
                <c:pt idx="5">
                  <c:v>0.33200000000000002</c:v>
                </c:pt>
              </c:numCache>
            </c:numRef>
          </c:val>
          <c:extLst>
            <c:ext xmlns:c16="http://schemas.microsoft.com/office/drawing/2014/chart" uri="{C3380CC4-5D6E-409C-BE32-E72D297353CC}">
              <c16:uniqueId val="{00000003-6F6F-4103-99FE-B57AB57F6645}"/>
            </c:ext>
          </c:extLst>
        </c:ser>
        <c:dLbls>
          <c:showLegendKey val="0"/>
          <c:showVal val="0"/>
          <c:showCatName val="0"/>
          <c:showSerName val="0"/>
          <c:showPercent val="0"/>
          <c:showBubbleSize val="0"/>
          <c:showLeaderLines val="1"/>
        </c:dLbls>
        <c:firstSliceAng val="0"/>
      </c:pieChart>
    </c:plotArea>
    <c:plotVisOnly val="1"/>
    <c:dispBlanksAs val="zero"/>
    <c:showDLblsOverMax val="0"/>
  </c:chart>
  <c:spPr>
    <a:noFill/>
    <a:ln>
      <a:noFill/>
    </a:ln>
  </c:spPr>
  <c:txPr>
    <a:bodyPr/>
    <a:lstStyle/>
    <a:p>
      <a:pPr>
        <a:defRPr>
          <a:latin typeface="Times New Roman" pitchFamily="18" charset="0"/>
          <a:cs typeface="Times New Roman" pitchFamily="18" charset="0"/>
        </a:defRPr>
      </a:pPr>
      <a:endParaRPr lang="en-US"/>
    </a:p>
  </c:txPr>
  <c:printSettings>
    <c:headerFooter/>
    <c:pageMargins b="0.75000000000000444" l="0.70000000000000062" r="0.70000000000000062" t="0.75000000000000444" header="0.30000000000000032" footer="0.30000000000000032"/>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tx>
            <c:strRef>
              <c:f>'Pharmacy vs Medical'!$A$6</c:f>
              <c:strCache>
                <c:ptCount val="1"/>
                <c:pt idx="0">
                  <c:v>Pharmacy benefit</c:v>
                </c:pt>
              </c:strCache>
            </c:strRef>
          </c:tx>
          <c:spPr>
            <a:solidFill>
              <a:schemeClr val="accent6">
                <a:lumMod val="75000"/>
              </a:schemeClr>
            </a:solidFill>
          </c:spPr>
          <c:invertIfNegative val="0"/>
          <c:dLbls>
            <c:spPr>
              <a:noFill/>
              <a:ln>
                <a:noFill/>
              </a:ln>
              <a:effectLst/>
            </c:spPr>
            <c:txPr>
              <a:bodyPr/>
              <a:lstStyle/>
              <a:p>
                <a:pPr>
                  <a:defRPr b="1"/>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'Pharmacy vs Medical'!$B$5:$D$5</c:f>
              <c:numCache>
                <c:formatCode>General</c:formatCode>
                <c:ptCount val="3"/>
                <c:pt idx="0">
                  <c:v>2008</c:v>
                </c:pt>
                <c:pt idx="1">
                  <c:v>2009</c:v>
                </c:pt>
                <c:pt idx="2">
                  <c:v>2010</c:v>
                </c:pt>
              </c:numCache>
            </c:numRef>
          </c:cat>
          <c:val>
            <c:numRef>
              <c:f>'Pharmacy vs Medical'!$B$6:$D$6</c:f>
              <c:numCache>
                <c:formatCode>0%</c:formatCode>
                <c:ptCount val="3"/>
                <c:pt idx="0">
                  <c:v>0.65</c:v>
                </c:pt>
                <c:pt idx="1">
                  <c:v>0.8</c:v>
                </c:pt>
                <c:pt idx="2">
                  <c:v>0.98</c:v>
                </c:pt>
              </c:numCache>
            </c:numRef>
          </c:val>
          <c:extLst>
            <c:ext xmlns:c16="http://schemas.microsoft.com/office/drawing/2014/chart" uri="{C3380CC4-5D6E-409C-BE32-E72D297353CC}">
              <c16:uniqueId val="{00000000-9E24-4E31-9783-6C7C5589040C}"/>
            </c:ext>
          </c:extLst>
        </c:ser>
        <c:ser>
          <c:idx val="1"/>
          <c:order val="1"/>
          <c:tx>
            <c:strRef>
              <c:f>'Pharmacy vs Medical'!$A$7</c:f>
              <c:strCache>
                <c:ptCount val="1"/>
                <c:pt idx="0">
                  <c:v>Medical benefit</c:v>
                </c:pt>
              </c:strCache>
            </c:strRef>
          </c:tx>
          <c:spPr>
            <a:solidFill>
              <a:schemeClr val="accent3">
                <a:lumMod val="75000"/>
              </a:schemeClr>
            </a:solidFill>
          </c:spPr>
          <c:invertIfNegative val="0"/>
          <c:dLbls>
            <c:spPr>
              <a:noFill/>
              <a:ln>
                <a:noFill/>
              </a:ln>
              <a:effectLst/>
            </c:spPr>
            <c:txPr>
              <a:bodyPr/>
              <a:lstStyle/>
              <a:p>
                <a:pPr>
                  <a:defRPr b="1"/>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'Pharmacy vs Medical'!$B$5:$D$5</c:f>
              <c:numCache>
                <c:formatCode>General</c:formatCode>
                <c:ptCount val="3"/>
                <c:pt idx="0">
                  <c:v>2008</c:v>
                </c:pt>
                <c:pt idx="1">
                  <c:v>2009</c:v>
                </c:pt>
                <c:pt idx="2">
                  <c:v>2010</c:v>
                </c:pt>
              </c:numCache>
            </c:numRef>
          </c:cat>
          <c:val>
            <c:numRef>
              <c:f>'Pharmacy vs Medical'!$B$7:$D$7</c:f>
              <c:numCache>
                <c:formatCode>0%</c:formatCode>
                <c:ptCount val="3"/>
                <c:pt idx="0">
                  <c:v>0.28999999999999998</c:v>
                </c:pt>
                <c:pt idx="1">
                  <c:v>0.64</c:v>
                </c:pt>
                <c:pt idx="2">
                  <c:v>0.75</c:v>
                </c:pt>
              </c:numCache>
            </c:numRef>
          </c:val>
          <c:extLst>
            <c:ext xmlns:c16="http://schemas.microsoft.com/office/drawing/2014/chart" uri="{C3380CC4-5D6E-409C-BE32-E72D297353CC}">
              <c16:uniqueId val="{00000001-9E24-4E31-9783-6C7C5589040C}"/>
            </c:ext>
          </c:extLst>
        </c:ser>
        <c:dLbls>
          <c:showLegendKey val="0"/>
          <c:showVal val="0"/>
          <c:showCatName val="0"/>
          <c:showSerName val="0"/>
          <c:showPercent val="0"/>
          <c:showBubbleSize val="0"/>
        </c:dLbls>
        <c:gapWidth val="150"/>
        <c:axId val="345756032"/>
        <c:axId val="345757568"/>
      </c:barChart>
      <c:catAx>
        <c:axId val="345756032"/>
        <c:scaling>
          <c:orientation val="minMax"/>
        </c:scaling>
        <c:delete val="0"/>
        <c:axPos val="b"/>
        <c:numFmt formatCode="General" sourceLinked="1"/>
        <c:majorTickMark val="out"/>
        <c:minorTickMark val="none"/>
        <c:tickLblPos val="nextTo"/>
        <c:crossAx val="345757568"/>
        <c:crosses val="autoZero"/>
        <c:auto val="1"/>
        <c:lblAlgn val="ctr"/>
        <c:lblOffset val="100"/>
        <c:noMultiLvlLbl val="0"/>
      </c:catAx>
      <c:valAx>
        <c:axId val="345757568"/>
        <c:scaling>
          <c:orientation val="minMax"/>
        </c:scaling>
        <c:delete val="0"/>
        <c:axPos val="l"/>
        <c:majorGridlines/>
        <c:numFmt formatCode="0%" sourceLinked="1"/>
        <c:majorTickMark val="out"/>
        <c:minorTickMark val="none"/>
        <c:tickLblPos val="nextTo"/>
        <c:crossAx val="345756032"/>
        <c:crosses val="autoZero"/>
        <c:crossBetween val="between"/>
      </c:valAx>
      <c:spPr>
        <a:noFill/>
        <a:ln w="25400">
          <a:noFill/>
        </a:ln>
      </c:spPr>
    </c:plotArea>
    <c:legend>
      <c:legendPos val="b"/>
      <c:overlay val="0"/>
    </c:legend>
    <c:plotVisOnly val="1"/>
    <c:dispBlanksAs val="gap"/>
    <c:showDLblsOverMax val="0"/>
  </c:chart>
  <c:spPr>
    <a:noFill/>
    <a:ln>
      <a:noFill/>
    </a:ln>
  </c:spPr>
  <c:printSettings>
    <c:headerFooter/>
    <c:pageMargins b="0.75000000000000444" l="0.70000000000000062" r="0.70000000000000062" t="0.75000000000000444" header="0.30000000000000032" footer="0.30000000000000032"/>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'Branded to Generic Charts '!$A$81</c:f>
              <c:strCache>
                <c:ptCount val="1"/>
                <c:pt idx="0">
                  <c:v>Branded to Generic</c:v>
                </c:pt>
              </c:strCache>
            </c:strRef>
          </c:tx>
          <c:marker>
            <c:symbol val="none"/>
          </c:marker>
          <c:cat>
            <c:numRef>
              <c:f>'Branded to Generic Charts '!$B$80:$M$80</c:f>
              <c:numCache>
                <c:formatCode>#\ ??/??</c:formatCode>
                <c:ptCount val="12"/>
                <c:pt idx="0">
                  <c:v>2004</c:v>
                </c:pt>
                <c:pt idx="1">
                  <c:v>2005</c:v>
                </c:pt>
                <c:pt idx="2">
                  <c:v>2006</c:v>
                </c:pt>
                <c:pt idx="3">
                  <c:v>2007</c:v>
                </c:pt>
                <c:pt idx="4">
                  <c:v>2008</c:v>
                </c:pt>
                <c:pt idx="5">
                  <c:v>2009</c:v>
                </c:pt>
                <c:pt idx="6">
                  <c:v>2010</c:v>
                </c:pt>
                <c:pt idx="7">
                  <c:v>2011</c:v>
                </c:pt>
                <c:pt idx="8">
                  <c:v>2012</c:v>
                </c:pt>
                <c:pt idx="9">
                  <c:v>2013</c:v>
                </c:pt>
                <c:pt idx="10">
                  <c:v>2014</c:v>
                </c:pt>
                <c:pt idx="11">
                  <c:v>2015</c:v>
                </c:pt>
              </c:numCache>
            </c:numRef>
          </c:cat>
          <c:val>
            <c:numRef>
              <c:f>'Branded to Generic Charts '!$B$81:$M$81</c:f>
              <c:numCache>
                <c:formatCode>0.0%</c:formatCode>
                <c:ptCount val="12"/>
                <c:pt idx="0">
                  <c:v>-0.23097965464181913</c:v>
                </c:pt>
                <c:pt idx="1">
                  <c:v>0.19542018674966655</c:v>
                </c:pt>
                <c:pt idx="2">
                  <c:v>0.63511251627301468</c:v>
                </c:pt>
                <c:pt idx="3">
                  <c:v>-9.0081892629663374E-2</c:v>
                </c:pt>
                <c:pt idx="4">
                  <c:v>-0.45625000000000004</c:v>
                </c:pt>
                <c:pt idx="5">
                  <c:v>1.0344827586206895</c:v>
                </c:pt>
                <c:pt idx="6">
                  <c:v>7.344632768361592E-2</c:v>
                </c:pt>
                <c:pt idx="7">
                  <c:v>0.10526315789473695</c:v>
                </c:pt>
                <c:pt idx="8">
                  <c:v>0.64285714285714279</c:v>
                </c:pt>
                <c:pt idx="9">
                  <c:v>-0.61739130434782608</c:v>
                </c:pt>
                <c:pt idx="10">
                  <c:v>0.83204545454545453</c:v>
                </c:pt>
                <c:pt idx="11">
                  <c:v>4.2633254765744422E-2</c:v>
                </c:pt>
              </c:numCache>
            </c:numRef>
          </c:val>
          <c:smooth val="0"/>
          <c:extLst>
            <c:ext xmlns:c16="http://schemas.microsoft.com/office/drawing/2014/chart" uri="{C3380CC4-5D6E-409C-BE32-E72D297353CC}">
              <c16:uniqueId val="{00000000-E05D-45DC-B90D-A0F063BB3587}"/>
            </c:ext>
          </c:extLst>
        </c:ser>
        <c:dLbls>
          <c:showLegendKey val="0"/>
          <c:showVal val="0"/>
          <c:showCatName val="0"/>
          <c:showSerName val="0"/>
          <c:showPercent val="0"/>
          <c:showBubbleSize val="0"/>
        </c:dLbls>
        <c:marker val="1"/>
        <c:smooth val="0"/>
        <c:axId val="32137600"/>
        <c:axId val="32139136"/>
      </c:lineChart>
      <c:lineChart>
        <c:grouping val="standard"/>
        <c:varyColors val="0"/>
        <c:ser>
          <c:idx val="1"/>
          <c:order val="1"/>
          <c:tx>
            <c:strRef>
              <c:f>'Branded to Generic Charts '!$A$82</c:f>
              <c:strCache>
                <c:ptCount val="1"/>
                <c:pt idx="0">
                  <c:v>EPS growth</c:v>
                </c:pt>
              </c:strCache>
            </c:strRef>
          </c:tx>
          <c:spPr>
            <a:ln>
              <a:solidFill>
                <a:schemeClr val="tx2"/>
              </a:solidFill>
            </a:ln>
          </c:spPr>
          <c:marker>
            <c:symbol val="none"/>
          </c:marker>
          <c:cat>
            <c:numRef>
              <c:f>'Branded to Generic Charts '!$B$80:$M$80</c:f>
              <c:numCache>
                <c:formatCode>#\ ??/??</c:formatCode>
                <c:ptCount val="12"/>
                <c:pt idx="0">
                  <c:v>2004</c:v>
                </c:pt>
                <c:pt idx="1">
                  <c:v>2005</c:v>
                </c:pt>
                <c:pt idx="2">
                  <c:v>2006</c:v>
                </c:pt>
                <c:pt idx="3">
                  <c:v>2007</c:v>
                </c:pt>
                <c:pt idx="4">
                  <c:v>2008</c:v>
                </c:pt>
                <c:pt idx="5">
                  <c:v>2009</c:v>
                </c:pt>
                <c:pt idx="6">
                  <c:v>2010</c:v>
                </c:pt>
                <c:pt idx="7">
                  <c:v>2011</c:v>
                </c:pt>
                <c:pt idx="8">
                  <c:v>2012</c:v>
                </c:pt>
                <c:pt idx="9">
                  <c:v>2013</c:v>
                </c:pt>
                <c:pt idx="10">
                  <c:v>2014</c:v>
                </c:pt>
                <c:pt idx="11">
                  <c:v>2015</c:v>
                </c:pt>
              </c:numCache>
            </c:numRef>
          </c:cat>
          <c:val>
            <c:numRef>
              <c:f>'Branded to Generic Charts '!$B$82:$M$82</c:f>
              <c:numCache>
                <c:formatCode>0.0%</c:formatCode>
                <c:ptCount val="12"/>
                <c:pt idx="0">
                  <c:v>-1.098901098901095E-2</c:v>
                </c:pt>
                <c:pt idx="1">
                  <c:v>1.4814814814814614E-2</c:v>
                </c:pt>
                <c:pt idx="2">
                  <c:v>0.15875912408759119</c:v>
                </c:pt>
                <c:pt idx="3">
                  <c:v>0.12440944881889782</c:v>
                </c:pt>
                <c:pt idx="4">
                  <c:v>0.11904761904761907</c:v>
                </c:pt>
                <c:pt idx="5">
                  <c:v>8.3854818523154018E-2</c:v>
                </c:pt>
                <c:pt idx="6">
                  <c:v>0.10508083140877589</c:v>
                </c:pt>
                <c:pt idx="7">
                  <c:v>0.20794148380355271</c:v>
                </c:pt>
                <c:pt idx="8">
                  <c:v>0.14100346020761245</c:v>
                </c:pt>
                <c:pt idx="9">
                  <c:v>9.9317664897649705E-2</c:v>
                </c:pt>
                <c:pt idx="10">
                  <c:v>0.29862068965517219</c:v>
                </c:pt>
                <c:pt idx="11">
                  <c:v>0.19543281996813611</c:v>
                </c:pt>
              </c:numCache>
            </c:numRef>
          </c:val>
          <c:smooth val="0"/>
          <c:extLst>
            <c:ext xmlns:c16="http://schemas.microsoft.com/office/drawing/2014/chart" uri="{C3380CC4-5D6E-409C-BE32-E72D297353CC}">
              <c16:uniqueId val="{00000001-E05D-45DC-B90D-A0F063BB3587}"/>
            </c:ext>
          </c:extLst>
        </c:ser>
        <c:dLbls>
          <c:showLegendKey val="0"/>
          <c:showVal val="0"/>
          <c:showCatName val="0"/>
          <c:showSerName val="0"/>
          <c:showPercent val="0"/>
          <c:showBubbleSize val="0"/>
        </c:dLbls>
        <c:marker val="1"/>
        <c:smooth val="0"/>
        <c:axId val="32153600"/>
        <c:axId val="32155136"/>
      </c:lineChart>
      <c:catAx>
        <c:axId val="32137600"/>
        <c:scaling>
          <c:orientation val="minMax"/>
        </c:scaling>
        <c:delete val="0"/>
        <c:axPos val="b"/>
        <c:numFmt formatCode="General" sourceLinked="0"/>
        <c:majorTickMark val="out"/>
        <c:minorTickMark val="none"/>
        <c:tickLblPos val="nextTo"/>
        <c:txPr>
          <a:bodyPr rot="-5400000" vert="horz"/>
          <a:lstStyle/>
          <a:p>
            <a:pPr>
              <a:defRPr sz="800" b="0" i="0" u="none" strike="noStrike" baseline="0">
                <a:solidFill>
                  <a:srgbClr val="000000"/>
                </a:solidFill>
                <a:latin typeface="Calibri"/>
                <a:ea typeface="Calibri"/>
                <a:cs typeface="Calibri"/>
              </a:defRPr>
            </a:pPr>
            <a:endParaRPr lang="en-US"/>
          </a:p>
        </c:txPr>
        <c:crossAx val="32139136"/>
        <c:crosses val="autoZero"/>
        <c:auto val="1"/>
        <c:lblAlgn val="ctr"/>
        <c:lblOffset val="100"/>
        <c:tickLblSkip val="1"/>
        <c:noMultiLvlLbl val="0"/>
      </c:catAx>
      <c:valAx>
        <c:axId val="32139136"/>
        <c:scaling>
          <c:orientation val="minMax"/>
          <c:max val="1.05"/>
          <c:min val="-0.60000000000000064"/>
        </c:scaling>
        <c:delete val="0"/>
        <c:axPos val="l"/>
        <c:title>
          <c:tx>
            <c:rich>
              <a:bodyPr/>
              <a:lstStyle/>
              <a:p>
                <a:pPr>
                  <a:defRPr sz="1200" b="1" i="0" u="none" strike="noStrike" baseline="0">
                    <a:solidFill>
                      <a:srgbClr val="000000"/>
                    </a:solidFill>
                    <a:latin typeface="Calibri"/>
                    <a:ea typeface="Calibri"/>
                    <a:cs typeface="Calibri"/>
                  </a:defRPr>
                </a:pPr>
                <a:r>
                  <a:rPr lang="en-US"/>
                  <a:t>Branded</a:t>
                </a:r>
                <a:r>
                  <a:rPr lang="en-US" baseline="0"/>
                  <a:t> to Generic </a:t>
                </a:r>
                <a:endParaRPr lang="en-US"/>
              </a:p>
            </c:rich>
          </c:tx>
          <c:layout>
            <c:manualLayout>
              <c:xMode val="edge"/>
              <c:yMode val="edge"/>
              <c:x val="1.1263281744954372E-2"/>
              <c:y val="0.28084363500363985"/>
            </c:manualLayout>
          </c:layout>
          <c:overlay val="0"/>
        </c:title>
        <c:numFmt formatCode="0%" sourceLinked="0"/>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32137600"/>
        <c:crosses val="autoZero"/>
        <c:crossBetween val="between"/>
      </c:valAx>
      <c:catAx>
        <c:axId val="32153600"/>
        <c:scaling>
          <c:orientation val="minMax"/>
        </c:scaling>
        <c:delete val="1"/>
        <c:axPos val="b"/>
        <c:numFmt formatCode="#\ ??/??" sourceLinked="1"/>
        <c:majorTickMark val="out"/>
        <c:minorTickMark val="none"/>
        <c:tickLblPos val="none"/>
        <c:crossAx val="32155136"/>
        <c:crosses val="autoZero"/>
        <c:auto val="1"/>
        <c:lblAlgn val="ctr"/>
        <c:lblOffset val="100"/>
        <c:noMultiLvlLbl val="0"/>
      </c:catAx>
      <c:valAx>
        <c:axId val="32155136"/>
        <c:scaling>
          <c:orientation val="minMax"/>
          <c:max val="0.30000000000000032"/>
          <c:min val="-0.05"/>
        </c:scaling>
        <c:delete val="0"/>
        <c:axPos val="r"/>
        <c:title>
          <c:tx>
            <c:rich>
              <a:bodyPr/>
              <a:lstStyle/>
              <a:p>
                <a:pPr>
                  <a:defRPr sz="1200" b="1" i="0" u="none" strike="noStrike" baseline="0">
                    <a:solidFill>
                      <a:srgbClr val="000000"/>
                    </a:solidFill>
                    <a:latin typeface="Calibri"/>
                    <a:ea typeface="Calibri"/>
                    <a:cs typeface="Calibri"/>
                  </a:defRPr>
                </a:pPr>
                <a:r>
                  <a:rPr lang="en-US"/>
                  <a:t>Big Three Distributor</a:t>
                </a:r>
                <a:r>
                  <a:rPr lang="en-US" baseline="0"/>
                  <a:t> </a:t>
                </a:r>
                <a:r>
                  <a:rPr lang="en-US"/>
                  <a:t>EPS</a:t>
                </a:r>
                <a:r>
                  <a:rPr lang="en-US" baseline="0"/>
                  <a:t> Growth</a:t>
                </a:r>
                <a:endParaRPr lang="en-US"/>
              </a:p>
            </c:rich>
          </c:tx>
          <c:layout>
            <c:manualLayout>
              <c:xMode val="edge"/>
              <c:yMode val="edge"/>
              <c:x val="0.96194322261442211"/>
              <c:y val="0.18369604562788441"/>
            </c:manualLayout>
          </c:layout>
          <c:overlay val="0"/>
        </c:title>
        <c:numFmt formatCode="0%" sourceLinked="0"/>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32153600"/>
        <c:crosses val="max"/>
        <c:crossBetween val="between"/>
      </c:valAx>
      <c:spPr>
        <a:noFill/>
        <a:ln w="25400">
          <a:noFill/>
        </a:ln>
      </c:spPr>
    </c:plotArea>
    <c:legend>
      <c:legendPos val="b"/>
      <c:overlay val="0"/>
      <c:txPr>
        <a:bodyPr/>
        <a:lstStyle/>
        <a:p>
          <a:pPr>
            <a:defRPr sz="1000" b="0" i="0" u="none" strike="noStrike" baseline="0">
              <a:solidFill>
                <a:srgbClr val="000000"/>
              </a:solidFill>
              <a:latin typeface="Calibri"/>
              <a:ea typeface="Calibri"/>
              <a:cs typeface="Calibri"/>
            </a:defRPr>
          </a:pPr>
          <a:endParaRPr lang="en-US"/>
        </a:p>
      </c:txPr>
    </c:legend>
    <c:plotVisOnly val="1"/>
    <c:dispBlanksAs val="gap"/>
    <c:showDLblsOverMax val="0"/>
  </c:chart>
  <c:spPr>
    <a:ln>
      <a:noFill/>
    </a:ln>
  </c:spPr>
  <c:txPr>
    <a:bodyPr/>
    <a:lstStyle/>
    <a:p>
      <a:pPr>
        <a:defRPr sz="1000" b="0" i="0" u="none" strike="noStrike" baseline="0">
          <a:solidFill>
            <a:srgbClr val="000000"/>
          </a:solidFill>
          <a:latin typeface="Calibri"/>
          <a:ea typeface="Calibri"/>
          <a:cs typeface="Calibri"/>
        </a:defRPr>
      </a:pPr>
      <a:endParaRPr lang="en-US"/>
    </a:p>
  </c:txPr>
  <c:printSettings>
    <c:headerFooter/>
    <c:pageMargins b="0.75000000000000444" l="0.70000000000000062" r="0.70000000000000062" t="0.75000000000000444" header="0.30000000000000032" footer="0.30000000000000032"/>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9.4961490469429126E-4"/>
          <c:y val="3.2589754405699285E-2"/>
          <c:w val="0.98665149950518605"/>
          <c:h val="0.82840538481076842"/>
        </c:manualLayout>
      </c:layout>
      <c:barChart>
        <c:barDir val="col"/>
        <c:grouping val="clustered"/>
        <c:varyColors val="0"/>
        <c:ser>
          <c:idx val="1"/>
          <c:order val="0"/>
          <c:spPr>
            <a:solidFill>
              <a:schemeClr val="tx2"/>
            </a:solidFill>
          </c:spPr>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'Branded to Generic Charts '!$B$6:$S$6</c:f>
              <c:strCache>
                <c:ptCount val="18"/>
                <c:pt idx="0">
                  <c:v>2003</c:v>
                </c:pt>
                <c:pt idx="1">
                  <c:v>2004</c:v>
                </c:pt>
                <c:pt idx="2">
                  <c:v>2005</c:v>
                </c:pt>
                <c:pt idx="3">
                  <c:v>2006</c:v>
                </c:pt>
                <c:pt idx="4">
                  <c:v>2007</c:v>
                </c:pt>
                <c:pt idx="5">
                  <c:v>2008</c:v>
                </c:pt>
                <c:pt idx="6">
                  <c:v>2009</c:v>
                </c:pt>
                <c:pt idx="7">
                  <c:v>2010</c:v>
                </c:pt>
                <c:pt idx="8">
                  <c:v>2011</c:v>
                </c:pt>
                <c:pt idx="9">
                  <c:v>2012</c:v>
                </c:pt>
                <c:pt idx="10">
                  <c:v>2013</c:v>
                </c:pt>
                <c:pt idx="11">
                  <c:v>2014</c:v>
                </c:pt>
                <c:pt idx="12">
                  <c:v>2015</c:v>
                </c:pt>
                <c:pt idx="13">
                  <c:v>2016E</c:v>
                </c:pt>
                <c:pt idx="14">
                  <c:v>2017E</c:v>
                </c:pt>
                <c:pt idx="15">
                  <c:v>2018E</c:v>
                </c:pt>
                <c:pt idx="16">
                  <c:v>2019E</c:v>
                </c:pt>
                <c:pt idx="17">
                  <c:v>2020E</c:v>
                </c:pt>
              </c:strCache>
            </c:strRef>
          </c:cat>
          <c:val>
            <c:numRef>
              <c:f>'Branded to Generic Charts '!$B$8:$S$8</c:f>
              <c:numCache>
                <c:formatCode>\$#,##0;\$#,##0</c:formatCode>
                <c:ptCount val="18"/>
                <c:pt idx="0">
                  <c:v>11698</c:v>
                </c:pt>
                <c:pt idx="1">
                  <c:v>8996</c:v>
                </c:pt>
                <c:pt idx="2">
                  <c:v>10754</c:v>
                </c:pt>
                <c:pt idx="3">
                  <c:v>17584</c:v>
                </c:pt>
                <c:pt idx="4">
                  <c:v>16000</c:v>
                </c:pt>
                <c:pt idx="5">
                  <c:v>8700</c:v>
                </c:pt>
                <c:pt idx="6">
                  <c:v>17700</c:v>
                </c:pt>
                <c:pt idx="7">
                  <c:v>19000</c:v>
                </c:pt>
                <c:pt idx="8">
                  <c:v>21000</c:v>
                </c:pt>
                <c:pt idx="9">
                  <c:v>34500</c:v>
                </c:pt>
                <c:pt idx="10">
                  <c:v>13200</c:v>
                </c:pt>
                <c:pt idx="11">
                  <c:v>24183</c:v>
                </c:pt>
                <c:pt idx="12">
                  <c:v>25214</c:v>
                </c:pt>
                <c:pt idx="13">
                  <c:v>21050</c:v>
                </c:pt>
                <c:pt idx="14">
                  <c:v>8517</c:v>
                </c:pt>
                <c:pt idx="15">
                  <c:v>10000</c:v>
                </c:pt>
                <c:pt idx="16">
                  <c:v>4000</c:v>
                </c:pt>
                <c:pt idx="17">
                  <c:v>7000</c:v>
                </c:pt>
              </c:numCache>
            </c:numRef>
          </c:val>
          <c:extLst>
            <c:ext xmlns:c16="http://schemas.microsoft.com/office/drawing/2014/chart" uri="{C3380CC4-5D6E-409C-BE32-E72D297353CC}">
              <c16:uniqueId val="{00000000-21BD-4B7A-9A75-53C0B3E019BD}"/>
            </c:ext>
          </c:extLst>
        </c:ser>
        <c:dLbls>
          <c:showLegendKey val="0"/>
          <c:showVal val="0"/>
          <c:showCatName val="0"/>
          <c:showSerName val="0"/>
          <c:showPercent val="0"/>
          <c:showBubbleSize val="0"/>
        </c:dLbls>
        <c:gapWidth val="150"/>
        <c:axId val="32905472"/>
        <c:axId val="32911360"/>
      </c:barChart>
      <c:catAx>
        <c:axId val="32905472"/>
        <c:scaling>
          <c:orientation val="minMax"/>
        </c:scaling>
        <c:delete val="0"/>
        <c:axPos val="b"/>
        <c:numFmt formatCode="General" sourceLinked="1"/>
        <c:majorTickMark val="out"/>
        <c:minorTickMark val="none"/>
        <c:tickLblPos val="nextTo"/>
        <c:crossAx val="32911360"/>
        <c:crosses val="autoZero"/>
        <c:auto val="1"/>
        <c:lblAlgn val="ctr"/>
        <c:lblOffset val="100"/>
        <c:noMultiLvlLbl val="0"/>
      </c:catAx>
      <c:valAx>
        <c:axId val="32911360"/>
        <c:scaling>
          <c:orientation val="minMax"/>
        </c:scaling>
        <c:delete val="1"/>
        <c:axPos val="l"/>
        <c:numFmt formatCode="\$#,##0;\$#,##0" sourceLinked="1"/>
        <c:majorTickMark val="out"/>
        <c:minorTickMark val="none"/>
        <c:tickLblPos val="none"/>
        <c:crossAx val="32905472"/>
        <c:crosses val="autoZero"/>
        <c:crossBetween val="between"/>
      </c:valAx>
      <c:spPr>
        <a:noFill/>
        <a:ln w="25400">
          <a:noFill/>
        </a:ln>
      </c:spPr>
    </c:plotArea>
    <c:plotVisOnly val="1"/>
    <c:dispBlanksAs val="gap"/>
    <c:showDLblsOverMax val="0"/>
  </c:chart>
  <c:spPr>
    <a:noFill/>
    <a:ln>
      <a:noFill/>
    </a:ln>
  </c:spPr>
  <c:txPr>
    <a:bodyPr/>
    <a:lstStyle/>
    <a:p>
      <a:pPr>
        <a:defRPr sz="900"/>
      </a:pPr>
      <a:endParaRPr lang="en-US"/>
    </a:p>
  </c:txPr>
  <c:printSettings>
    <c:headerFooter/>
    <c:pageMargins b="0.75000000000000411" l="0.70000000000000062" r="0.70000000000000062" t="0.75000000000000411" header="0.30000000000000032" footer="0.30000000000000032"/>
    <c:pageSetup/>
  </c:printSettings>
  <c:userShapes r:id="rId1"/>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4.3330493203274964E-2"/>
          <c:y val="4.1696879514429387E-2"/>
          <c:w val="0.9365949185716067"/>
          <c:h val="0.86589485089084883"/>
        </c:manualLayout>
      </c:layout>
      <c:areaChart>
        <c:grouping val="standard"/>
        <c:varyColors val="0"/>
        <c:ser>
          <c:idx val="1"/>
          <c:order val="0"/>
          <c:spPr>
            <a:solidFill>
              <a:schemeClr val="accent3">
                <a:lumMod val="75000"/>
                <a:alpha val="70000"/>
              </a:schemeClr>
            </a:solidFill>
          </c:spPr>
          <c:cat>
            <c:numRef>
              <c:f>'Branded to Generic Charts '!$B$32:$N$32</c:f>
              <c:numCache>
                <c:formatCode>General</c:formatCode>
                <c:ptCount val="13"/>
                <c:pt idx="0">
                  <c:v>2003</c:v>
                </c:pt>
                <c:pt idx="1">
                  <c:v>2004</c:v>
                </c:pt>
                <c:pt idx="2">
                  <c:v>2005</c:v>
                </c:pt>
                <c:pt idx="3">
                  <c:v>2006</c:v>
                </c:pt>
                <c:pt idx="4">
                  <c:v>2007</c:v>
                </c:pt>
                <c:pt idx="5">
                  <c:v>2008</c:v>
                </c:pt>
                <c:pt idx="6">
                  <c:v>2009</c:v>
                </c:pt>
                <c:pt idx="7">
                  <c:v>2010</c:v>
                </c:pt>
                <c:pt idx="8">
                  <c:v>2011</c:v>
                </c:pt>
                <c:pt idx="9">
                  <c:v>2012</c:v>
                </c:pt>
                <c:pt idx="10">
                  <c:v>2013</c:v>
                </c:pt>
                <c:pt idx="11">
                  <c:v>2014</c:v>
                </c:pt>
                <c:pt idx="12">
                  <c:v>2015</c:v>
                </c:pt>
              </c:numCache>
            </c:numRef>
          </c:cat>
          <c:val>
            <c:numRef>
              <c:f>'Branded to Generic Charts '!$B$33:$N$33</c:f>
              <c:numCache>
                <c:formatCode>0.0%</c:formatCode>
                <c:ptCount val="13"/>
                <c:pt idx="0" formatCode="0%">
                  <c:v>-0.19380446523922457</c:v>
                </c:pt>
                <c:pt idx="1">
                  <c:v>-0.12159434111385514</c:v>
                </c:pt>
                <c:pt idx="2">
                  <c:v>0.33432672550102938</c:v>
                </c:pt>
                <c:pt idx="3">
                  <c:v>-0.20957470928566213</c:v>
                </c:pt>
                <c:pt idx="4">
                  <c:v>-4.7515573467099115E-2</c:v>
                </c:pt>
                <c:pt idx="5">
                  <c:v>-1.3259745922008292E-2</c:v>
                </c:pt>
                <c:pt idx="6">
                  <c:v>0.19667257679833305</c:v>
                </c:pt>
                <c:pt idx="7">
                  <c:v>2.7299025095439688E-3</c:v>
                </c:pt>
                <c:pt idx="8">
                  <c:v>5.6136290128108057E-2</c:v>
                </c:pt>
                <c:pt idx="9">
                  <c:v>-3.4766176223623102E-2</c:v>
                </c:pt>
                <c:pt idx="10" formatCode="0%">
                  <c:v>0.32213862019539707</c:v>
                </c:pt>
                <c:pt idx="11" formatCode="0%">
                  <c:v>0.12868513679156801</c:v>
                </c:pt>
                <c:pt idx="12" formatCode="0%">
                  <c:v>2.4077821861238857E-2</c:v>
                </c:pt>
              </c:numCache>
            </c:numRef>
          </c:val>
          <c:extLst>
            <c:ext xmlns:c16="http://schemas.microsoft.com/office/drawing/2014/chart" uri="{C3380CC4-5D6E-409C-BE32-E72D297353CC}">
              <c16:uniqueId val="{00000000-AE9D-4D5C-A1C1-D3491F3C3856}"/>
            </c:ext>
          </c:extLst>
        </c:ser>
        <c:dLbls>
          <c:showLegendKey val="0"/>
          <c:showVal val="0"/>
          <c:showCatName val="0"/>
          <c:showSerName val="0"/>
          <c:showPercent val="0"/>
          <c:showBubbleSize val="0"/>
        </c:dLbls>
        <c:axId val="32940032"/>
        <c:axId val="32941568"/>
      </c:areaChart>
      <c:catAx>
        <c:axId val="32940032"/>
        <c:scaling>
          <c:orientation val="minMax"/>
        </c:scaling>
        <c:delete val="0"/>
        <c:axPos val="b"/>
        <c:numFmt formatCode="General" sourceLinked="1"/>
        <c:majorTickMark val="out"/>
        <c:minorTickMark val="none"/>
        <c:tickLblPos val="low"/>
        <c:crossAx val="32941568"/>
        <c:crosses val="autoZero"/>
        <c:auto val="1"/>
        <c:lblAlgn val="ctr"/>
        <c:lblOffset val="100"/>
        <c:noMultiLvlLbl val="0"/>
      </c:catAx>
      <c:valAx>
        <c:axId val="32941568"/>
        <c:scaling>
          <c:orientation val="minMax"/>
          <c:max val="0.34000000000000202"/>
        </c:scaling>
        <c:delete val="0"/>
        <c:axPos val="l"/>
        <c:majorGridlines>
          <c:spPr>
            <a:ln>
              <a:solidFill>
                <a:sysClr val="window" lastClr="FFFFFF">
                  <a:lumMod val="65000"/>
                  <a:alpha val="59000"/>
                </a:sysClr>
              </a:solidFill>
            </a:ln>
          </c:spPr>
        </c:majorGridlines>
        <c:numFmt formatCode="0%" sourceLinked="1"/>
        <c:majorTickMark val="out"/>
        <c:minorTickMark val="none"/>
        <c:tickLblPos val="nextTo"/>
        <c:crossAx val="32940032"/>
        <c:crosses val="autoZero"/>
        <c:crossBetween val="midCat"/>
      </c:valAx>
      <c:spPr>
        <a:noFill/>
        <a:ln w="25400">
          <a:noFill/>
        </a:ln>
      </c:spPr>
    </c:plotArea>
    <c:plotVisOnly val="1"/>
    <c:dispBlanksAs val="zero"/>
    <c:showDLblsOverMax val="0"/>
  </c:chart>
  <c:spPr>
    <a:noFill/>
    <a:ln>
      <a:noFill/>
    </a:ln>
  </c:spPr>
  <c:printSettings>
    <c:headerFooter/>
    <c:pageMargins b="0.75000000000000411" l="0.70000000000000062" r="0.70000000000000062" t="0.75000000000000411" header="0.30000000000000032" footer="0.30000000000000032"/>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9.4961490469429224E-4"/>
          <c:y val="3.2589754405699285E-2"/>
          <c:w val="0.97708865797513123"/>
          <c:h val="0.87141613749894153"/>
        </c:manualLayout>
      </c:layout>
      <c:barChart>
        <c:barDir val="col"/>
        <c:grouping val="clustered"/>
        <c:varyColors val="0"/>
        <c:ser>
          <c:idx val="1"/>
          <c:order val="0"/>
          <c:spPr>
            <a:solidFill>
              <a:schemeClr val="tx2"/>
            </a:solidFill>
          </c:spPr>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'Branded to Generic Charts '!$B$6:$N$6</c:f>
              <c:numCache>
                <c:formatCode>General</c:formatCode>
                <c:ptCount val="13"/>
                <c:pt idx="0">
                  <c:v>2003</c:v>
                </c:pt>
                <c:pt idx="1">
                  <c:v>2004</c:v>
                </c:pt>
                <c:pt idx="2">
                  <c:v>2005</c:v>
                </c:pt>
                <c:pt idx="3">
                  <c:v>2006</c:v>
                </c:pt>
                <c:pt idx="4">
                  <c:v>2007</c:v>
                </c:pt>
                <c:pt idx="5">
                  <c:v>2008</c:v>
                </c:pt>
                <c:pt idx="6">
                  <c:v>2009</c:v>
                </c:pt>
                <c:pt idx="7">
                  <c:v>2010</c:v>
                </c:pt>
                <c:pt idx="8">
                  <c:v>2011</c:v>
                </c:pt>
                <c:pt idx="9">
                  <c:v>2012</c:v>
                </c:pt>
                <c:pt idx="10">
                  <c:v>2013</c:v>
                </c:pt>
                <c:pt idx="11">
                  <c:v>2014</c:v>
                </c:pt>
                <c:pt idx="12">
                  <c:v>2015</c:v>
                </c:pt>
              </c:numCache>
            </c:numRef>
          </c:cat>
          <c:val>
            <c:numRef>
              <c:f>'Branded to Generic Charts '!$B$8:$N$8</c:f>
              <c:numCache>
                <c:formatCode>\$#,##0;\$#,##0</c:formatCode>
                <c:ptCount val="13"/>
                <c:pt idx="0">
                  <c:v>11698</c:v>
                </c:pt>
                <c:pt idx="1">
                  <c:v>8996</c:v>
                </c:pt>
                <c:pt idx="2">
                  <c:v>10754</c:v>
                </c:pt>
                <c:pt idx="3">
                  <c:v>17584</c:v>
                </c:pt>
                <c:pt idx="4">
                  <c:v>16000</c:v>
                </c:pt>
                <c:pt idx="5">
                  <c:v>8700</c:v>
                </c:pt>
                <c:pt idx="6">
                  <c:v>17700</c:v>
                </c:pt>
                <c:pt idx="7">
                  <c:v>19000</c:v>
                </c:pt>
                <c:pt idx="8">
                  <c:v>21000</c:v>
                </c:pt>
                <c:pt idx="9">
                  <c:v>34500</c:v>
                </c:pt>
                <c:pt idx="10">
                  <c:v>13200</c:v>
                </c:pt>
                <c:pt idx="11">
                  <c:v>24183</c:v>
                </c:pt>
                <c:pt idx="12">
                  <c:v>25214</c:v>
                </c:pt>
              </c:numCache>
            </c:numRef>
          </c:val>
          <c:extLst>
            <c:ext xmlns:c16="http://schemas.microsoft.com/office/drawing/2014/chart" uri="{C3380CC4-5D6E-409C-BE32-E72D297353CC}">
              <c16:uniqueId val="{00000000-E959-44DC-9BD8-AB070673BAD2}"/>
            </c:ext>
          </c:extLst>
        </c:ser>
        <c:dLbls>
          <c:showLegendKey val="0"/>
          <c:showVal val="0"/>
          <c:showCatName val="0"/>
          <c:showSerName val="0"/>
          <c:showPercent val="0"/>
          <c:showBubbleSize val="0"/>
        </c:dLbls>
        <c:gapWidth val="150"/>
        <c:axId val="32769152"/>
        <c:axId val="32770688"/>
      </c:barChart>
      <c:catAx>
        <c:axId val="32769152"/>
        <c:scaling>
          <c:orientation val="minMax"/>
        </c:scaling>
        <c:delete val="0"/>
        <c:axPos val="b"/>
        <c:numFmt formatCode="General" sourceLinked="1"/>
        <c:majorTickMark val="out"/>
        <c:minorTickMark val="none"/>
        <c:tickLblPos val="nextTo"/>
        <c:crossAx val="32770688"/>
        <c:crosses val="autoZero"/>
        <c:auto val="1"/>
        <c:lblAlgn val="ctr"/>
        <c:lblOffset val="100"/>
        <c:noMultiLvlLbl val="0"/>
      </c:catAx>
      <c:valAx>
        <c:axId val="32770688"/>
        <c:scaling>
          <c:orientation val="minMax"/>
        </c:scaling>
        <c:delete val="1"/>
        <c:axPos val="l"/>
        <c:numFmt formatCode="\$#,##0;\$#,##0" sourceLinked="1"/>
        <c:majorTickMark val="out"/>
        <c:minorTickMark val="none"/>
        <c:tickLblPos val="none"/>
        <c:crossAx val="32769152"/>
        <c:crosses val="autoZero"/>
        <c:crossBetween val="between"/>
      </c:valAx>
      <c:spPr>
        <a:noFill/>
        <a:ln w="25400">
          <a:noFill/>
        </a:ln>
      </c:spPr>
    </c:plotArea>
    <c:plotVisOnly val="1"/>
    <c:dispBlanksAs val="gap"/>
    <c:showDLblsOverMax val="0"/>
  </c:chart>
  <c:spPr>
    <a:noFill/>
    <a:ln>
      <a:noFill/>
    </a:ln>
  </c:spPr>
  <c:txPr>
    <a:bodyPr/>
    <a:lstStyle/>
    <a:p>
      <a:pPr>
        <a:defRPr sz="900"/>
      </a:pPr>
      <a:endParaRPr lang="en-US"/>
    </a:p>
  </c:txPr>
  <c:printSettings>
    <c:headerFooter/>
    <c:pageMargins b="0.75000000000000433" l="0.70000000000000062" r="0.70000000000000062" t="0.75000000000000433" header="0.30000000000000032" footer="0.30000000000000032"/>
    <c:pageSetup/>
  </c:printSettings>
  <c:userShapes r:id="rId1"/>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1445691351102201"/>
          <c:y val="3.2606518898794082E-2"/>
          <c:w val="0.86479815793350889"/>
          <c:h val="0.82309225663973073"/>
        </c:manualLayout>
      </c:layout>
      <c:barChart>
        <c:barDir val="col"/>
        <c:grouping val="stacked"/>
        <c:varyColors val="0"/>
        <c:ser>
          <c:idx val="0"/>
          <c:order val="0"/>
          <c:tx>
            <c:strRef>
              <c:f>Limited_Multiple_Source!$I$99</c:f>
              <c:strCache>
                <c:ptCount val="1"/>
                <c:pt idx="0">
                  <c:v>Limited Source</c:v>
                </c:pt>
              </c:strCache>
            </c:strRef>
          </c:tx>
          <c:spPr>
            <a:solidFill>
              <a:schemeClr val="accent6">
                <a:lumMod val="75000"/>
              </a:schemeClr>
            </a:solidFill>
          </c:spPr>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Limited_Multiple_Source!$J$98:$N$98</c:f>
              <c:numCache>
                <c:formatCode>General</c:formatCode>
                <c:ptCount val="5"/>
                <c:pt idx="0">
                  <c:v>2012</c:v>
                </c:pt>
                <c:pt idx="1">
                  <c:v>2013</c:v>
                </c:pt>
                <c:pt idx="2">
                  <c:v>2014</c:v>
                </c:pt>
                <c:pt idx="3">
                  <c:v>2015</c:v>
                </c:pt>
                <c:pt idx="4">
                  <c:v>2016</c:v>
                </c:pt>
              </c:numCache>
            </c:numRef>
          </c:cat>
          <c:val>
            <c:numRef>
              <c:f>Limited_Multiple_Source!$J$99:$N$99</c:f>
              <c:numCache>
                <c:formatCode>_(* #,##0_);_(* \(#,##0\);_(* "-"??_);_(@_)</c:formatCode>
                <c:ptCount val="5"/>
                <c:pt idx="0">
                  <c:v>10929.227000000001</c:v>
                </c:pt>
                <c:pt idx="1">
                  <c:v>1525</c:v>
                </c:pt>
                <c:pt idx="2">
                  <c:v>9191</c:v>
                </c:pt>
                <c:pt idx="3">
                  <c:v>10653</c:v>
                </c:pt>
                <c:pt idx="4">
                  <c:v>3854</c:v>
                </c:pt>
              </c:numCache>
            </c:numRef>
          </c:val>
          <c:extLst>
            <c:ext xmlns:c16="http://schemas.microsoft.com/office/drawing/2014/chart" uri="{C3380CC4-5D6E-409C-BE32-E72D297353CC}">
              <c16:uniqueId val="{00000000-ACF2-49E9-8E70-2111EA310F98}"/>
            </c:ext>
          </c:extLst>
        </c:ser>
        <c:ser>
          <c:idx val="1"/>
          <c:order val="1"/>
          <c:tx>
            <c:strRef>
              <c:f>Limited_Multiple_Source!$I$100</c:f>
              <c:strCache>
                <c:ptCount val="1"/>
                <c:pt idx="0">
                  <c:v>Multi-Source</c:v>
                </c:pt>
              </c:strCache>
            </c:strRef>
          </c:tx>
          <c:spPr>
            <a:solidFill>
              <a:schemeClr val="accent3">
                <a:lumMod val="75000"/>
              </a:schemeClr>
            </a:solidFill>
          </c:spPr>
          <c:invertIfNegative val="0"/>
          <c:cat>
            <c:numRef>
              <c:f>Limited_Multiple_Source!$J$98:$N$98</c:f>
              <c:numCache>
                <c:formatCode>General</c:formatCode>
                <c:ptCount val="5"/>
                <c:pt idx="0">
                  <c:v>2012</c:v>
                </c:pt>
                <c:pt idx="1">
                  <c:v>2013</c:v>
                </c:pt>
                <c:pt idx="2">
                  <c:v>2014</c:v>
                </c:pt>
                <c:pt idx="3">
                  <c:v>2015</c:v>
                </c:pt>
                <c:pt idx="4">
                  <c:v>2016</c:v>
                </c:pt>
              </c:numCache>
            </c:numRef>
          </c:cat>
          <c:val>
            <c:numRef>
              <c:f>Limited_Multiple_Source!$J$100:$N$100</c:f>
              <c:numCache>
                <c:formatCode>_(* #,##0_);_(* \(#,##0\);_(* "-"??_);_(@_)</c:formatCode>
                <c:ptCount val="5"/>
                <c:pt idx="0">
                  <c:v>23570.773000000001</c:v>
                </c:pt>
                <c:pt idx="1">
                  <c:v>11675</c:v>
                </c:pt>
                <c:pt idx="2">
                  <c:v>14992</c:v>
                </c:pt>
                <c:pt idx="3">
                  <c:v>14561</c:v>
                </c:pt>
                <c:pt idx="4">
                  <c:v>17196</c:v>
                </c:pt>
              </c:numCache>
            </c:numRef>
          </c:val>
          <c:extLst>
            <c:ext xmlns:c16="http://schemas.microsoft.com/office/drawing/2014/chart" uri="{C3380CC4-5D6E-409C-BE32-E72D297353CC}">
              <c16:uniqueId val="{00000001-ACF2-49E9-8E70-2111EA310F98}"/>
            </c:ext>
          </c:extLst>
        </c:ser>
        <c:dLbls>
          <c:showLegendKey val="0"/>
          <c:showVal val="0"/>
          <c:showCatName val="0"/>
          <c:showSerName val="0"/>
          <c:showPercent val="0"/>
          <c:showBubbleSize val="0"/>
        </c:dLbls>
        <c:gapWidth val="150"/>
        <c:overlap val="100"/>
        <c:axId val="32810496"/>
        <c:axId val="32812032"/>
      </c:barChart>
      <c:catAx>
        <c:axId val="32810496"/>
        <c:scaling>
          <c:orientation val="minMax"/>
        </c:scaling>
        <c:delete val="0"/>
        <c:axPos val="b"/>
        <c:numFmt formatCode="General" sourceLinked="1"/>
        <c:majorTickMark val="out"/>
        <c:minorTickMark val="none"/>
        <c:tickLblPos val="nextTo"/>
        <c:txPr>
          <a:bodyPr/>
          <a:lstStyle/>
          <a:p>
            <a:pPr>
              <a:defRPr sz="800"/>
            </a:pPr>
            <a:endParaRPr lang="en-US"/>
          </a:p>
        </c:txPr>
        <c:crossAx val="32812032"/>
        <c:crosses val="autoZero"/>
        <c:auto val="1"/>
        <c:lblAlgn val="ctr"/>
        <c:lblOffset val="100"/>
        <c:noMultiLvlLbl val="0"/>
      </c:catAx>
      <c:valAx>
        <c:axId val="32812032"/>
        <c:scaling>
          <c:orientation val="minMax"/>
        </c:scaling>
        <c:delete val="0"/>
        <c:axPos val="l"/>
        <c:majorGridlines/>
        <c:numFmt formatCode="&quot;$&quot;#,##0" sourceLinked="0"/>
        <c:majorTickMark val="out"/>
        <c:minorTickMark val="none"/>
        <c:tickLblPos val="nextTo"/>
        <c:crossAx val="32810496"/>
        <c:crosses val="autoZero"/>
        <c:crossBetween val="between"/>
      </c:valAx>
      <c:spPr>
        <a:noFill/>
        <a:ln w="25400">
          <a:noFill/>
        </a:ln>
      </c:spPr>
    </c:plotArea>
    <c:legend>
      <c:legendPos val="b"/>
      <c:overlay val="0"/>
    </c:legend>
    <c:plotVisOnly val="1"/>
    <c:dispBlanksAs val="gap"/>
    <c:showDLblsOverMax val="0"/>
  </c:chart>
  <c:spPr>
    <a:noFill/>
    <a:ln>
      <a:noFill/>
    </a:ln>
  </c:spPr>
  <c:txPr>
    <a:bodyPr/>
    <a:lstStyle/>
    <a:p>
      <a:pPr>
        <a:defRPr sz="800">
          <a:latin typeface="Arial" pitchFamily="34" charset="0"/>
          <a:cs typeface="Arial" pitchFamily="34" charset="0"/>
        </a:defRPr>
      </a:pPr>
      <a:endParaRPr lang="en-US"/>
    </a:p>
  </c:txPr>
  <c:printSettings>
    <c:headerFooter/>
    <c:pageMargins b="0.75000000000000311" l="0.70000000000000062" r="0.70000000000000062" t="0.75000000000000311" header="0.30000000000000032" footer="0.30000000000000032"/>
    <c:pageSetup/>
  </c:printSettings>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chemeClr val="tx2"/>
            </a:solidFill>
          </c:spPr>
          <c:invertIfNegative val="0"/>
          <c:cat>
            <c:strRef>
              <c:f>'Generic Prx inflation'!$B$3:$F$3</c:f>
              <c:strCache>
                <c:ptCount val="5"/>
                <c:pt idx="0">
                  <c:v>FY13</c:v>
                </c:pt>
                <c:pt idx="1">
                  <c:v>FY14</c:v>
                </c:pt>
                <c:pt idx="2">
                  <c:v>FY15</c:v>
                </c:pt>
                <c:pt idx="3">
                  <c:v>FY16E</c:v>
                </c:pt>
                <c:pt idx="4">
                  <c:v>FY17E</c:v>
                </c:pt>
              </c:strCache>
            </c:strRef>
          </c:cat>
          <c:val>
            <c:numRef>
              <c:f>'Generic Prx inflation'!$B$4:$F$4</c:f>
              <c:numCache>
                <c:formatCode>General</c:formatCode>
                <c:ptCount val="5"/>
                <c:pt idx="0">
                  <c:v>0.03</c:v>
                </c:pt>
                <c:pt idx="1">
                  <c:v>0.08</c:v>
                </c:pt>
                <c:pt idx="2">
                  <c:v>0.06</c:v>
                </c:pt>
                <c:pt idx="3">
                  <c:v>0.02</c:v>
                </c:pt>
                <c:pt idx="4">
                  <c:v>0.01</c:v>
                </c:pt>
              </c:numCache>
            </c:numRef>
          </c:val>
          <c:extLst>
            <c:ext xmlns:c16="http://schemas.microsoft.com/office/drawing/2014/chart" uri="{C3380CC4-5D6E-409C-BE32-E72D297353CC}">
              <c16:uniqueId val="{00000000-4B8A-4AA6-94F3-B466401EF218}"/>
            </c:ext>
          </c:extLst>
        </c:ser>
        <c:dLbls>
          <c:showLegendKey val="0"/>
          <c:showVal val="0"/>
          <c:showCatName val="0"/>
          <c:showSerName val="0"/>
          <c:showPercent val="0"/>
          <c:showBubbleSize val="0"/>
        </c:dLbls>
        <c:gapWidth val="150"/>
        <c:axId val="32836992"/>
        <c:axId val="32879744"/>
      </c:barChart>
      <c:catAx>
        <c:axId val="32836992"/>
        <c:scaling>
          <c:orientation val="minMax"/>
        </c:scaling>
        <c:delete val="0"/>
        <c:axPos val="b"/>
        <c:numFmt formatCode="General" sourceLinked="0"/>
        <c:majorTickMark val="out"/>
        <c:minorTickMark val="none"/>
        <c:tickLblPos val="nextTo"/>
        <c:crossAx val="32879744"/>
        <c:crosses val="autoZero"/>
        <c:auto val="1"/>
        <c:lblAlgn val="ctr"/>
        <c:lblOffset val="100"/>
        <c:noMultiLvlLbl val="0"/>
      </c:catAx>
      <c:valAx>
        <c:axId val="32879744"/>
        <c:scaling>
          <c:orientation val="minMax"/>
        </c:scaling>
        <c:delete val="1"/>
        <c:axPos val="l"/>
        <c:numFmt formatCode="General" sourceLinked="1"/>
        <c:majorTickMark val="out"/>
        <c:minorTickMark val="none"/>
        <c:tickLblPos val="none"/>
        <c:crossAx val="32836992"/>
        <c:crosses val="autoZero"/>
        <c:crossBetween val="between"/>
      </c:valAx>
      <c:spPr>
        <a:noFill/>
        <a:ln w="25400">
          <a:noFill/>
        </a:ln>
      </c:spPr>
    </c:plotArea>
    <c:plotVisOnly val="1"/>
    <c:dispBlanksAs val="gap"/>
    <c:showDLblsOverMax val="0"/>
  </c:chart>
  <c:spPr>
    <a:noFill/>
    <a:ln>
      <a:noFill/>
    </a:ln>
  </c:spPr>
  <c:printSettings>
    <c:headerFooter/>
    <c:pageMargins b="0.75000000000000111" l="0.70000000000000062" r="0.70000000000000062" t="0.75000000000000111" header="0.30000000000000032" footer="0.30000000000000032"/>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6" Type="http://schemas.openxmlformats.org/officeDocument/2006/relationships/chart" Target="../charts/chart7.xml"/><Relationship Id="rId5" Type="http://schemas.openxmlformats.org/officeDocument/2006/relationships/chart" Target="../charts/chart6.xml"/><Relationship Id="rId4" Type="http://schemas.openxmlformats.org/officeDocument/2006/relationships/chart" Target="../charts/chart5.xml"/></Relationships>
</file>

<file path=xl/drawings/_rels/drawing6.xml.rels><?xml version="1.0" encoding="UTF-8" standalone="yes"?>
<Relationships xmlns="http://schemas.openxmlformats.org/package/2006/relationships"><Relationship Id="rId3" Type="http://schemas.openxmlformats.org/officeDocument/2006/relationships/chart" Target="../charts/chart10.xml"/><Relationship Id="rId2" Type="http://schemas.openxmlformats.org/officeDocument/2006/relationships/chart" Target="../charts/chart9.xml"/><Relationship Id="rId1" Type="http://schemas.openxmlformats.org/officeDocument/2006/relationships/chart" Target="../charts/chart8.xml"/><Relationship Id="rId6" Type="http://schemas.openxmlformats.org/officeDocument/2006/relationships/chart" Target="../charts/chart13.xml"/><Relationship Id="rId5" Type="http://schemas.openxmlformats.org/officeDocument/2006/relationships/chart" Target="../charts/chart12.xml"/><Relationship Id="rId4" Type="http://schemas.openxmlformats.org/officeDocument/2006/relationships/chart" Target="../charts/chart11.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10.xml.rels><?xml version="1.0" encoding="UTF-8" standalone="yes"?>
<Relationships xmlns="http://schemas.openxmlformats.org/package/2006/relationships"><Relationship Id="rId2" Type="http://schemas.openxmlformats.org/officeDocument/2006/relationships/chart" Target="../charts/chart17.xml"/><Relationship Id="rId1" Type="http://schemas.openxmlformats.org/officeDocument/2006/relationships/chart" Target="../charts/chart16.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8.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19.xml"/></Relationships>
</file>

<file path=xl/drawings/_rels/drawing13.xml.rels><?xml version="1.0" encoding="UTF-8" standalone="yes"?>
<Relationships xmlns="http://schemas.openxmlformats.org/package/2006/relationships"><Relationship Id="rId2" Type="http://schemas.openxmlformats.org/officeDocument/2006/relationships/chart" Target="../charts/chart21.xml"/><Relationship Id="rId1" Type="http://schemas.openxmlformats.org/officeDocument/2006/relationships/chart" Target="../charts/chart20.xml"/></Relationships>
</file>

<file path=xl/drawings/_rels/drawing14.xml.rels><?xml version="1.0" encoding="UTF-8" standalone="yes"?>
<Relationships xmlns="http://schemas.openxmlformats.org/package/2006/relationships"><Relationship Id="rId1" Type="http://schemas.openxmlformats.org/officeDocument/2006/relationships/chart" Target="../charts/chart22.xml"/></Relationships>
</file>

<file path=xl/drawings/_rels/drawing15.xml.rels><?xml version="1.0" encoding="UTF-8" standalone="yes"?>
<Relationships xmlns="http://schemas.openxmlformats.org/package/2006/relationships"><Relationship Id="rId1" Type="http://schemas.openxmlformats.org/officeDocument/2006/relationships/chart" Target="../charts/chart23.xml"/></Relationships>
</file>

<file path=xl/drawings/_rels/drawing16.xml.rels><?xml version="1.0" encoding="UTF-8" standalone="yes"?>
<Relationships xmlns="http://schemas.openxmlformats.org/package/2006/relationships"><Relationship Id="rId1" Type="http://schemas.openxmlformats.org/officeDocument/2006/relationships/chart" Target="../charts/chart24.xml"/></Relationships>
</file>

<file path=xl/drawings/_rels/drawing17.xml.rels><?xml version="1.0" encoding="UTF-8" standalone="yes"?>
<Relationships xmlns="http://schemas.openxmlformats.org/package/2006/relationships"><Relationship Id="rId1" Type="http://schemas.openxmlformats.org/officeDocument/2006/relationships/chart" Target="../charts/chart25.xml"/></Relationships>
</file>

<file path=xl/drawings/_rels/drawing18.xml.rels><?xml version="1.0" encoding="UTF-8" standalone="yes"?>
<Relationships xmlns="http://schemas.openxmlformats.org/package/2006/relationships"><Relationship Id="rId1" Type="http://schemas.openxmlformats.org/officeDocument/2006/relationships/chart" Target="../charts/chart26.xml"/></Relationships>
</file>

<file path=xl/drawings/_rels/drawing19.xml.rels><?xml version="1.0" encoding="UTF-8" standalone="yes"?>
<Relationships xmlns="http://schemas.openxmlformats.org/package/2006/relationships"><Relationship Id="rId3" Type="http://schemas.openxmlformats.org/officeDocument/2006/relationships/chart" Target="../charts/chart29.xml"/><Relationship Id="rId2" Type="http://schemas.openxmlformats.org/officeDocument/2006/relationships/chart" Target="../charts/chart28.xml"/><Relationship Id="rId1" Type="http://schemas.openxmlformats.org/officeDocument/2006/relationships/chart" Target="../charts/chart27.xml"/><Relationship Id="rId4" Type="http://schemas.openxmlformats.org/officeDocument/2006/relationships/chart" Target="../charts/chart30.xml"/></Relationships>
</file>

<file path=xl/drawings/_rels/drawing22.xml.rels><?xml version="1.0" encoding="UTF-8" standalone="yes"?>
<Relationships xmlns="http://schemas.openxmlformats.org/package/2006/relationships"><Relationship Id="rId1" Type="http://schemas.openxmlformats.org/officeDocument/2006/relationships/chart" Target="../charts/chart31.xml"/></Relationships>
</file>

<file path=xl/drawings/_rels/drawing23.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hyperlink" Target="http://lwlink3.linkwithin.com/api/click?format=go&amp;jsonp=vglnk_145814952472715&amp;key=8a69ede45b8445f6b533712ba9899ffb&amp;libId=ilv3bict0100r7tw000DAiq8ca68v&amp;loc=http://www.drugchannels.net/2014/08/retail-generic-drug-inflation-reaches.html&amp;v=1&amp;out=http://2.bp.blogspot.com/-ItFWxScU4tM/U-kVVJDhlQI/AAAAAAAAF6E/srfT9kVJ6r8/s1600/Generic_Drugs_Change_in_NADAC_per_Unit_July2013_vs_July2014.png&amp;ref=http://www.drugchannels.net/2015/04/retail-generic-drug-inflation-eases-but.html&amp;title=Drug%20Channels:%20Retail%20Generic%20Drug%20Inflation%20Reaches%20New%20Heights&amp;txt=" TargetMode="External"/><Relationship Id="rId1" Type="http://schemas.openxmlformats.org/officeDocument/2006/relationships/chart" Target="../charts/chart32.xml"/><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1</xdr:col>
      <xdr:colOff>28575</xdr:colOff>
      <xdr:row>13</xdr:row>
      <xdr:rowOff>9524</xdr:rowOff>
    </xdr:from>
    <xdr:to>
      <xdr:col>13</xdr:col>
      <xdr:colOff>190500</xdr:colOff>
      <xdr:row>33</xdr:row>
      <xdr:rowOff>38100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9</xdr:col>
      <xdr:colOff>66674</xdr:colOff>
      <xdr:row>1</xdr:row>
      <xdr:rowOff>100012</xdr:rowOff>
    </xdr:from>
    <xdr:to>
      <xdr:col>16</xdr:col>
      <xdr:colOff>323849</xdr:colOff>
      <xdr:row>15</xdr:row>
      <xdr:rowOff>171450</xdr:rowOff>
    </xdr:to>
    <xdr:graphicFrame macro="">
      <xdr:nvGraphicFramePr>
        <xdr:cNvPr id="6" name="Chart 5">
          <a:extLst>
            <a:ext uri="{FF2B5EF4-FFF2-40B4-BE49-F238E27FC236}">
              <a16:creationId xmlns:a16="http://schemas.microsoft.com/office/drawing/2014/main" id="{00000000-0008-0000-02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200025</xdr:colOff>
      <xdr:row>19</xdr:row>
      <xdr:rowOff>100012</xdr:rowOff>
    </xdr:from>
    <xdr:to>
      <xdr:col>16</xdr:col>
      <xdr:colOff>400050</xdr:colOff>
      <xdr:row>34</xdr:row>
      <xdr:rowOff>9525</xdr:rowOff>
    </xdr:to>
    <xdr:graphicFrame macro="">
      <xdr:nvGraphicFramePr>
        <xdr:cNvPr id="8" name="Chart 7">
          <a:extLst>
            <a:ext uri="{FF2B5EF4-FFF2-40B4-BE49-F238E27FC236}">
              <a16:creationId xmlns:a16="http://schemas.microsoft.com/office/drawing/2014/main" id="{00000000-0008-0000-0200-00000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95250</xdr:colOff>
      <xdr:row>38</xdr:row>
      <xdr:rowOff>9525</xdr:rowOff>
    </xdr:from>
    <xdr:to>
      <xdr:col>16</xdr:col>
      <xdr:colOff>295275</xdr:colOff>
      <xdr:row>52</xdr:row>
      <xdr:rowOff>80963</xdr:rowOff>
    </xdr:to>
    <xdr:graphicFrame macro="">
      <xdr:nvGraphicFramePr>
        <xdr:cNvPr id="9" name="Chart 8">
          <a:extLst>
            <a:ext uri="{FF2B5EF4-FFF2-40B4-BE49-F238E27FC236}">
              <a16:creationId xmlns:a16="http://schemas.microsoft.com/office/drawing/2014/main" id="{00000000-0008-0000-02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16</xdr:col>
      <xdr:colOff>561975</xdr:colOff>
      <xdr:row>1</xdr:row>
      <xdr:rowOff>119061</xdr:rowOff>
    </xdr:from>
    <xdr:to>
      <xdr:col>24</xdr:col>
      <xdr:colOff>171450</xdr:colOff>
      <xdr:row>15</xdr:row>
      <xdr:rowOff>180974</xdr:rowOff>
    </xdr:to>
    <xdr:graphicFrame macro="">
      <xdr:nvGraphicFramePr>
        <xdr:cNvPr id="12" name="Chart 11">
          <a:extLst>
            <a:ext uri="{FF2B5EF4-FFF2-40B4-BE49-F238E27FC236}">
              <a16:creationId xmlns:a16="http://schemas.microsoft.com/office/drawing/2014/main" id="{00000000-0008-0000-0200-00000C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17</xdr:col>
      <xdr:colOff>0</xdr:colOff>
      <xdr:row>20</xdr:row>
      <xdr:rowOff>0</xdr:rowOff>
    </xdr:from>
    <xdr:to>
      <xdr:col>24</xdr:col>
      <xdr:colOff>219075</xdr:colOff>
      <xdr:row>34</xdr:row>
      <xdr:rowOff>61913</xdr:rowOff>
    </xdr:to>
    <xdr:graphicFrame macro="">
      <xdr:nvGraphicFramePr>
        <xdr:cNvPr id="13" name="Chart 12">
          <a:extLst>
            <a:ext uri="{FF2B5EF4-FFF2-40B4-BE49-F238E27FC236}">
              <a16:creationId xmlns:a16="http://schemas.microsoft.com/office/drawing/2014/main" id="{00000000-0008-0000-02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17</xdr:col>
      <xdr:colOff>1</xdr:colOff>
      <xdr:row>38</xdr:row>
      <xdr:rowOff>0</xdr:rowOff>
    </xdr:from>
    <xdr:to>
      <xdr:col>24</xdr:col>
      <xdr:colOff>171451</xdr:colOff>
      <xdr:row>52</xdr:row>
      <xdr:rowOff>61913</xdr:rowOff>
    </xdr:to>
    <xdr:graphicFrame macro="">
      <xdr:nvGraphicFramePr>
        <xdr:cNvPr id="14" name="Chart 13">
          <a:extLst>
            <a:ext uri="{FF2B5EF4-FFF2-40B4-BE49-F238E27FC236}">
              <a16:creationId xmlns:a16="http://schemas.microsoft.com/office/drawing/2014/main" id="{00000000-0008-0000-02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3.xml><?xml version="1.0" encoding="utf-8"?>
<c:userShapes xmlns:c="http://schemas.openxmlformats.org/drawingml/2006/chart">
  <cdr:relSizeAnchor xmlns:cdr="http://schemas.openxmlformats.org/drawingml/2006/chartDrawing">
    <cdr:from>
      <cdr:x>0</cdr:x>
      <cdr:y>0.90641</cdr:y>
    </cdr:from>
    <cdr:to>
      <cdr:x>0.61359</cdr:x>
      <cdr:y>1</cdr:y>
    </cdr:to>
    <cdr:sp macro="" textlink="">
      <cdr:nvSpPr>
        <cdr:cNvPr id="2" name="TextBox 1"/>
        <cdr:cNvSpPr txBox="1"/>
      </cdr:nvSpPr>
      <cdr:spPr>
        <a:xfrm xmlns:a="http://schemas.openxmlformats.org/drawingml/2006/main">
          <a:off x="0" y="2490788"/>
          <a:ext cx="2752725" cy="25717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1100"/>
            <a:t>Operating Income ex corporate expense</a:t>
          </a:r>
        </a:p>
      </cdr:txBody>
    </cdr:sp>
  </cdr:relSizeAnchor>
</c:userShapes>
</file>

<file path=xl/drawings/drawing4.xml><?xml version="1.0" encoding="utf-8"?>
<c:userShapes xmlns:c="http://schemas.openxmlformats.org/drawingml/2006/chart">
  <cdr:relSizeAnchor xmlns:cdr="http://schemas.openxmlformats.org/drawingml/2006/chartDrawing">
    <cdr:from>
      <cdr:x>0</cdr:x>
      <cdr:y>0.90641</cdr:y>
    </cdr:from>
    <cdr:to>
      <cdr:x>0.61359</cdr:x>
      <cdr:y>1</cdr:y>
    </cdr:to>
    <cdr:sp macro="" textlink="">
      <cdr:nvSpPr>
        <cdr:cNvPr id="2" name="TextBox 1"/>
        <cdr:cNvSpPr txBox="1"/>
      </cdr:nvSpPr>
      <cdr:spPr>
        <a:xfrm xmlns:a="http://schemas.openxmlformats.org/drawingml/2006/main">
          <a:off x="0" y="2490788"/>
          <a:ext cx="2752725" cy="257175"/>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100"/>
            <a:t>Operating Income ex corporate expense</a:t>
          </a:r>
        </a:p>
      </cdr:txBody>
    </cdr:sp>
  </cdr:relSizeAnchor>
</c:userShapes>
</file>

<file path=xl/drawings/drawing5.xml><?xml version="1.0" encoding="utf-8"?>
<c:userShapes xmlns:c="http://schemas.openxmlformats.org/drawingml/2006/chart">
  <cdr:relSizeAnchor xmlns:cdr="http://schemas.openxmlformats.org/drawingml/2006/chartDrawing">
    <cdr:from>
      <cdr:x>0</cdr:x>
      <cdr:y>0.90641</cdr:y>
    </cdr:from>
    <cdr:to>
      <cdr:x>0.62017</cdr:x>
      <cdr:y>1</cdr:y>
    </cdr:to>
    <cdr:sp macro="" textlink="">
      <cdr:nvSpPr>
        <cdr:cNvPr id="2" name="TextBox 1"/>
        <cdr:cNvSpPr txBox="1"/>
      </cdr:nvSpPr>
      <cdr:spPr>
        <a:xfrm xmlns:a="http://schemas.openxmlformats.org/drawingml/2006/main">
          <a:off x="0" y="2490788"/>
          <a:ext cx="2752725" cy="257175"/>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900"/>
            <a:t>Operating Income ex corporate expense</a:t>
          </a:r>
        </a:p>
      </cdr:txBody>
    </cdr:sp>
  </cdr:relSizeAnchor>
</c:userShapes>
</file>

<file path=xl/drawings/drawing6.xml><?xml version="1.0" encoding="utf-8"?>
<xdr:wsDr xmlns:xdr="http://schemas.openxmlformats.org/drawingml/2006/spreadsheetDrawing" xmlns:a="http://schemas.openxmlformats.org/drawingml/2006/main">
  <xdr:twoCellAnchor>
    <xdr:from>
      <xdr:col>7</xdr:col>
      <xdr:colOff>314325</xdr:colOff>
      <xdr:row>29</xdr:row>
      <xdr:rowOff>161924</xdr:rowOff>
    </xdr:from>
    <xdr:to>
      <xdr:col>18</xdr:col>
      <xdr:colOff>219075</xdr:colOff>
      <xdr:row>46</xdr:row>
      <xdr:rowOff>171449</xdr:rowOff>
    </xdr:to>
    <xdr:graphicFrame macro="">
      <xdr:nvGraphicFramePr>
        <xdr:cNvPr id="3" name="Chart 2">
          <a:extLst>
            <a:ext uri="{FF2B5EF4-FFF2-40B4-BE49-F238E27FC236}">
              <a16:creationId xmlns:a16="http://schemas.microsoft.com/office/drawing/2014/main" id="{00000000-0008-0000-03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333374</xdr:colOff>
      <xdr:row>48</xdr:row>
      <xdr:rowOff>9524</xdr:rowOff>
    </xdr:from>
    <xdr:to>
      <xdr:col>18</xdr:col>
      <xdr:colOff>123825</xdr:colOff>
      <xdr:row>64</xdr:row>
      <xdr:rowOff>142875</xdr:rowOff>
    </xdr:to>
    <xdr:graphicFrame macro="">
      <xdr:nvGraphicFramePr>
        <xdr:cNvPr id="4" name="Chart 3">
          <a:extLst>
            <a:ext uri="{FF2B5EF4-FFF2-40B4-BE49-F238E27FC236}">
              <a16:creationId xmlns:a16="http://schemas.microsoft.com/office/drawing/2014/main" id="{00000000-0008-0000-03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323850</xdr:colOff>
      <xdr:row>65</xdr:row>
      <xdr:rowOff>180974</xdr:rowOff>
    </xdr:from>
    <xdr:to>
      <xdr:col>18</xdr:col>
      <xdr:colOff>57150</xdr:colOff>
      <xdr:row>81</xdr:row>
      <xdr:rowOff>95249</xdr:rowOff>
    </xdr:to>
    <xdr:graphicFrame macro="">
      <xdr:nvGraphicFramePr>
        <xdr:cNvPr id="5" name="Chart 4">
          <a:extLst>
            <a:ext uri="{FF2B5EF4-FFF2-40B4-BE49-F238E27FC236}">
              <a16:creationId xmlns:a16="http://schemas.microsoft.com/office/drawing/2014/main" id="{00000000-0008-0000-03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476250</xdr:colOff>
      <xdr:row>119</xdr:row>
      <xdr:rowOff>171449</xdr:rowOff>
    </xdr:from>
    <xdr:to>
      <xdr:col>13</xdr:col>
      <xdr:colOff>114300</xdr:colOff>
      <xdr:row>136</xdr:row>
      <xdr:rowOff>180974</xdr:rowOff>
    </xdr:to>
    <xdr:graphicFrame macro="">
      <xdr:nvGraphicFramePr>
        <xdr:cNvPr id="9" name="Chart 8">
          <a:extLst>
            <a:ext uri="{FF2B5EF4-FFF2-40B4-BE49-F238E27FC236}">
              <a16:creationId xmlns:a16="http://schemas.microsoft.com/office/drawing/2014/main" id="{00000000-0008-0000-0300-000009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590549</xdr:colOff>
      <xdr:row>119</xdr:row>
      <xdr:rowOff>171451</xdr:rowOff>
    </xdr:from>
    <xdr:to>
      <xdr:col>21</xdr:col>
      <xdr:colOff>314324</xdr:colOff>
      <xdr:row>137</xdr:row>
      <xdr:rowOff>9525</xdr:rowOff>
    </xdr:to>
    <xdr:graphicFrame macro="">
      <xdr:nvGraphicFramePr>
        <xdr:cNvPr id="10" name="Chart 9">
          <a:extLst>
            <a:ext uri="{FF2B5EF4-FFF2-40B4-BE49-F238E27FC236}">
              <a16:creationId xmlns:a16="http://schemas.microsoft.com/office/drawing/2014/main" id="{00000000-0008-0000-0300-00000A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733425</xdr:colOff>
      <xdr:row>150</xdr:row>
      <xdr:rowOff>76200</xdr:rowOff>
    </xdr:from>
    <xdr:to>
      <xdr:col>9</xdr:col>
      <xdr:colOff>571500</xdr:colOff>
      <xdr:row>164</xdr:row>
      <xdr:rowOff>152400</xdr:rowOff>
    </xdr:to>
    <xdr:graphicFrame macro="">
      <xdr:nvGraphicFramePr>
        <xdr:cNvPr id="7" name="Chart 6">
          <a:extLst>
            <a:ext uri="{FF2B5EF4-FFF2-40B4-BE49-F238E27FC236}">
              <a16:creationId xmlns:a16="http://schemas.microsoft.com/office/drawing/2014/main" id="{00000000-0008-0000-03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4</xdr:col>
      <xdr:colOff>409574</xdr:colOff>
      <xdr:row>2</xdr:row>
      <xdr:rowOff>47625</xdr:rowOff>
    </xdr:from>
    <xdr:to>
      <xdr:col>16</xdr:col>
      <xdr:colOff>590549</xdr:colOff>
      <xdr:row>25</xdr:row>
      <xdr:rowOff>161925</xdr:rowOff>
    </xdr:to>
    <xdr:graphicFrame macro="">
      <xdr:nvGraphicFramePr>
        <xdr:cNvPr id="2" name="Chart 1">
          <a:extLst>
            <a:ext uri="{FF2B5EF4-FFF2-40B4-BE49-F238E27FC236}">
              <a16:creationId xmlns:a16="http://schemas.microsoft.com/office/drawing/2014/main" id="{00000000-0008-0000-05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2</xdr:col>
      <xdr:colOff>0</xdr:colOff>
      <xdr:row>3</xdr:row>
      <xdr:rowOff>28576</xdr:rowOff>
    </xdr:from>
    <xdr:to>
      <xdr:col>8</xdr:col>
      <xdr:colOff>571501</xdr:colOff>
      <xdr:row>13</xdr:row>
      <xdr:rowOff>180976</xdr:rowOff>
    </xdr:to>
    <xdr:grpSp>
      <xdr:nvGrpSpPr>
        <xdr:cNvPr id="2" name="Group 1">
          <a:extLst>
            <a:ext uri="{FF2B5EF4-FFF2-40B4-BE49-F238E27FC236}">
              <a16:creationId xmlns:a16="http://schemas.microsoft.com/office/drawing/2014/main" id="{00000000-0008-0000-0600-000002000000}"/>
            </a:ext>
          </a:extLst>
        </xdr:cNvPr>
        <xdr:cNvGrpSpPr>
          <a:grpSpLocks/>
        </xdr:cNvGrpSpPr>
      </xdr:nvGrpSpPr>
      <xdr:grpSpPr bwMode="auto">
        <a:xfrm>
          <a:off x="1219200" y="583747"/>
          <a:ext cx="3847012" cy="2993572"/>
          <a:chOff x="1495" y="3430"/>
          <a:chExt cx="3199" cy="2298"/>
        </a:xfrm>
      </xdr:grpSpPr>
      <xdr:cxnSp macro="">
        <xdr:nvCxnSpPr>
          <xdr:cNvPr id="3" name="AutoShape 2">
            <a:extLst>
              <a:ext uri="{FF2B5EF4-FFF2-40B4-BE49-F238E27FC236}">
                <a16:creationId xmlns:a16="http://schemas.microsoft.com/office/drawing/2014/main" id="{00000000-0008-0000-0600-000003000000}"/>
              </a:ext>
            </a:extLst>
          </xdr:cNvPr>
          <xdr:cNvCxnSpPr>
            <a:cxnSpLocks noChangeShapeType="1"/>
          </xdr:cNvCxnSpPr>
        </xdr:nvCxnSpPr>
        <xdr:spPr bwMode="auto">
          <a:xfrm>
            <a:off x="1495" y="3430"/>
            <a:ext cx="0" cy="2297"/>
          </a:xfrm>
          <a:prstGeom prst="straightConnector1">
            <a:avLst/>
          </a:prstGeom>
          <a:noFill/>
          <a:ln w="9525">
            <a:solidFill>
              <a:srgbClr val="000000"/>
            </a:solidFill>
            <a:round/>
            <a:headEnd/>
            <a:tailEnd/>
          </a:ln>
        </xdr:spPr>
      </xdr:cxnSp>
      <xdr:cxnSp macro="">
        <xdr:nvCxnSpPr>
          <xdr:cNvPr id="4" name="AutoShape 3">
            <a:extLst>
              <a:ext uri="{FF2B5EF4-FFF2-40B4-BE49-F238E27FC236}">
                <a16:creationId xmlns:a16="http://schemas.microsoft.com/office/drawing/2014/main" id="{00000000-0008-0000-0600-000004000000}"/>
              </a:ext>
            </a:extLst>
          </xdr:cNvPr>
          <xdr:cNvCxnSpPr>
            <a:cxnSpLocks noChangeShapeType="1"/>
          </xdr:cNvCxnSpPr>
        </xdr:nvCxnSpPr>
        <xdr:spPr bwMode="auto">
          <a:xfrm flipH="1">
            <a:off x="1495" y="5727"/>
            <a:ext cx="3199" cy="1"/>
          </a:xfrm>
          <a:prstGeom prst="straightConnector1">
            <a:avLst/>
          </a:prstGeom>
          <a:noFill/>
          <a:ln w="9525">
            <a:solidFill>
              <a:srgbClr val="000000"/>
            </a:solidFill>
            <a:round/>
            <a:headEnd/>
            <a:tailEnd/>
          </a:ln>
        </xdr:spPr>
      </xdr:cxnSp>
    </xdr:grpSp>
    <xdr:clientData/>
  </xdr:twoCellAnchor>
  <xdr:twoCellAnchor>
    <xdr:from>
      <xdr:col>2</xdr:col>
      <xdr:colOff>114300</xdr:colOff>
      <xdr:row>6</xdr:row>
      <xdr:rowOff>257175</xdr:rowOff>
    </xdr:from>
    <xdr:to>
      <xdr:col>3</xdr:col>
      <xdr:colOff>504825</xdr:colOff>
      <xdr:row>6</xdr:row>
      <xdr:rowOff>257175</xdr:rowOff>
    </xdr:to>
    <xdr:cxnSp macro="">
      <xdr:nvCxnSpPr>
        <xdr:cNvPr id="6" name="Straight Connector 5">
          <a:extLst>
            <a:ext uri="{FF2B5EF4-FFF2-40B4-BE49-F238E27FC236}">
              <a16:creationId xmlns:a16="http://schemas.microsoft.com/office/drawing/2014/main" id="{00000000-0008-0000-0600-000006000000}"/>
            </a:ext>
          </a:extLst>
        </xdr:cNvPr>
        <xdr:cNvCxnSpPr/>
      </xdr:nvCxnSpPr>
      <xdr:spPr>
        <a:xfrm>
          <a:off x="1333500" y="1781175"/>
          <a:ext cx="914400" cy="0"/>
        </a:xfrm>
        <a:prstGeom prst="line">
          <a:avLst/>
        </a:prstGeom>
        <a:ln w="38100">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9525</xdr:colOff>
      <xdr:row>6</xdr:row>
      <xdr:rowOff>257175</xdr:rowOff>
    </xdr:from>
    <xdr:to>
      <xdr:col>8</xdr:col>
      <xdr:colOff>495300</xdr:colOff>
      <xdr:row>12</xdr:row>
      <xdr:rowOff>66675</xdr:rowOff>
    </xdr:to>
    <xdr:sp macro="" textlink="">
      <xdr:nvSpPr>
        <xdr:cNvPr id="10" name="Freeform 9">
          <a:extLst>
            <a:ext uri="{FF2B5EF4-FFF2-40B4-BE49-F238E27FC236}">
              <a16:creationId xmlns:a16="http://schemas.microsoft.com/office/drawing/2014/main" id="{00000000-0008-0000-0600-00000A000000}"/>
            </a:ext>
          </a:extLst>
        </xdr:cNvPr>
        <xdr:cNvSpPr/>
      </xdr:nvSpPr>
      <xdr:spPr>
        <a:xfrm>
          <a:off x="2266950" y="1781175"/>
          <a:ext cx="2695575" cy="1828800"/>
        </a:xfrm>
        <a:custGeom>
          <a:avLst/>
          <a:gdLst>
            <a:gd name="connsiteX0" fmla="*/ 0 w 2695575"/>
            <a:gd name="connsiteY0" fmla="*/ 0 h 1828800"/>
            <a:gd name="connsiteX1" fmla="*/ 723900 w 2695575"/>
            <a:gd name="connsiteY1" fmla="*/ 1590675 h 1828800"/>
            <a:gd name="connsiteX2" fmla="*/ 2695575 w 2695575"/>
            <a:gd name="connsiteY2" fmla="*/ 1428750 h 1828800"/>
            <a:gd name="connsiteX3" fmla="*/ 2695575 w 2695575"/>
            <a:gd name="connsiteY3" fmla="*/ 1428750 h 1828800"/>
          </a:gdLst>
          <a:ahLst/>
          <a:cxnLst>
            <a:cxn ang="0">
              <a:pos x="connsiteX0" y="connsiteY0"/>
            </a:cxn>
            <a:cxn ang="0">
              <a:pos x="connsiteX1" y="connsiteY1"/>
            </a:cxn>
            <a:cxn ang="0">
              <a:pos x="connsiteX2" y="connsiteY2"/>
            </a:cxn>
            <a:cxn ang="0">
              <a:pos x="connsiteX3" y="connsiteY3"/>
            </a:cxn>
          </a:cxnLst>
          <a:rect l="l" t="t" r="r" b="b"/>
          <a:pathLst>
            <a:path w="2695575" h="1828800">
              <a:moveTo>
                <a:pt x="0" y="0"/>
              </a:moveTo>
              <a:cubicBezTo>
                <a:pt x="137319" y="676275"/>
                <a:pt x="274638" y="1352550"/>
                <a:pt x="723900" y="1590675"/>
              </a:cubicBezTo>
              <a:cubicBezTo>
                <a:pt x="1173163" y="1828800"/>
                <a:pt x="2695575" y="1428750"/>
                <a:pt x="2695575" y="1428750"/>
              </a:cubicBezTo>
              <a:lnTo>
                <a:pt x="2695575" y="1428750"/>
              </a:lnTo>
            </a:path>
          </a:pathLst>
        </a:custGeom>
        <a:ln w="38100">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txBody>
        <a:bodyPr vertOverflow="clip" rtlCol="0" anchor="ctr"/>
        <a:lstStyle/>
        <a:p>
          <a:pPr algn="ctr"/>
          <a:endParaRPr lang="en-US" sz="1100"/>
        </a:p>
      </xdr:txBody>
    </xdr:sp>
    <xdr:clientData/>
  </xdr:twoCellAnchor>
  <xdr:twoCellAnchor>
    <xdr:from>
      <xdr:col>2</xdr:col>
      <xdr:colOff>28575</xdr:colOff>
      <xdr:row>12</xdr:row>
      <xdr:rowOff>161925</xdr:rowOff>
    </xdr:from>
    <xdr:to>
      <xdr:col>3</xdr:col>
      <xdr:colOff>0</xdr:colOff>
      <xdr:row>12</xdr:row>
      <xdr:rowOff>161925</xdr:rowOff>
    </xdr:to>
    <xdr:cxnSp macro="">
      <xdr:nvCxnSpPr>
        <xdr:cNvPr id="8" name="Straight Connector 7">
          <a:extLst>
            <a:ext uri="{FF2B5EF4-FFF2-40B4-BE49-F238E27FC236}">
              <a16:creationId xmlns:a16="http://schemas.microsoft.com/office/drawing/2014/main" id="{00000000-0008-0000-0600-000008000000}"/>
            </a:ext>
          </a:extLst>
        </xdr:cNvPr>
        <xdr:cNvCxnSpPr/>
      </xdr:nvCxnSpPr>
      <xdr:spPr>
        <a:xfrm>
          <a:off x="1247775" y="3457575"/>
          <a:ext cx="4953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66675</xdr:colOff>
      <xdr:row>12</xdr:row>
      <xdr:rowOff>171450</xdr:rowOff>
    </xdr:from>
    <xdr:to>
      <xdr:col>4</xdr:col>
      <xdr:colOff>47625</xdr:colOff>
      <xdr:row>12</xdr:row>
      <xdr:rowOff>171450</xdr:rowOff>
    </xdr:to>
    <xdr:cxnSp macro="">
      <xdr:nvCxnSpPr>
        <xdr:cNvPr id="9" name="Straight Connector 8">
          <a:extLst>
            <a:ext uri="{FF2B5EF4-FFF2-40B4-BE49-F238E27FC236}">
              <a16:creationId xmlns:a16="http://schemas.microsoft.com/office/drawing/2014/main" id="{00000000-0008-0000-0600-000009000000}"/>
            </a:ext>
          </a:extLst>
        </xdr:cNvPr>
        <xdr:cNvCxnSpPr/>
      </xdr:nvCxnSpPr>
      <xdr:spPr>
        <a:xfrm>
          <a:off x="1809750" y="3467100"/>
          <a:ext cx="4953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104775</xdr:colOff>
      <xdr:row>12</xdr:row>
      <xdr:rowOff>171450</xdr:rowOff>
    </xdr:from>
    <xdr:to>
      <xdr:col>4</xdr:col>
      <xdr:colOff>600075</xdr:colOff>
      <xdr:row>12</xdr:row>
      <xdr:rowOff>171450</xdr:rowOff>
    </xdr:to>
    <xdr:cxnSp macro="">
      <xdr:nvCxnSpPr>
        <xdr:cNvPr id="11" name="Straight Connector 10">
          <a:extLst>
            <a:ext uri="{FF2B5EF4-FFF2-40B4-BE49-F238E27FC236}">
              <a16:creationId xmlns:a16="http://schemas.microsoft.com/office/drawing/2014/main" id="{00000000-0008-0000-0600-00000B000000}"/>
            </a:ext>
          </a:extLst>
        </xdr:cNvPr>
        <xdr:cNvCxnSpPr/>
      </xdr:nvCxnSpPr>
      <xdr:spPr>
        <a:xfrm>
          <a:off x="2362200" y="3467100"/>
          <a:ext cx="4953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66675</xdr:colOff>
      <xdr:row>12</xdr:row>
      <xdr:rowOff>180975</xdr:rowOff>
    </xdr:from>
    <xdr:to>
      <xdr:col>5</xdr:col>
      <xdr:colOff>561975</xdr:colOff>
      <xdr:row>12</xdr:row>
      <xdr:rowOff>180975</xdr:rowOff>
    </xdr:to>
    <xdr:cxnSp macro="">
      <xdr:nvCxnSpPr>
        <xdr:cNvPr id="12" name="Straight Connector 11">
          <a:extLst>
            <a:ext uri="{FF2B5EF4-FFF2-40B4-BE49-F238E27FC236}">
              <a16:creationId xmlns:a16="http://schemas.microsoft.com/office/drawing/2014/main" id="{00000000-0008-0000-0600-00000C000000}"/>
            </a:ext>
          </a:extLst>
        </xdr:cNvPr>
        <xdr:cNvCxnSpPr/>
      </xdr:nvCxnSpPr>
      <xdr:spPr>
        <a:xfrm>
          <a:off x="2933700" y="3476625"/>
          <a:ext cx="4953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19050</xdr:colOff>
      <xdr:row>12</xdr:row>
      <xdr:rowOff>180975</xdr:rowOff>
    </xdr:from>
    <xdr:to>
      <xdr:col>7</xdr:col>
      <xdr:colOff>57150</xdr:colOff>
      <xdr:row>12</xdr:row>
      <xdr:rowOff>180975</xdr:rowOff>
    </xdr:to>
    <xdr:cxnSp macro="">
      <xdr:nvCxnSpPr>
        <xdr:cNvPr id="13" name="Straight Connector 12">
          <a:extLst>
            <a:ext uri="{FF2B5EF4-FFF2-40B4-BE49-F238E27FC236}">
              <a16:creationId xmlns:a16="http://schemas.microsoft.com/office/drawing/2014/main" id="{00000000-0008-0000-0600-00000D000000}"/>
            </a:ext>
          </a:extLst>
        </xdr:cNvPr>
        <xdr:cNvCxnSpPr/>
      </xdr:nvCxnSpPr>
      <xdr:spPr>
        <a:xfrm>
          <a:off x="3495675" y="3476625"/>
          <a:ext cx="4953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123825</xdr:colOff>
      <xdr:row>12</xdr:row>
      <xdr:rowOff>180975</xdr:rowOff>
    </xdr:from>
    <xdr:to>
      <xdr:col>8</xdr:col>
      <xdr:colOff>85725</xdr:colOff>
      <xdr:row>12</xdr:row>
      <xdr:rowOff>180975</xdr:rowOff>
    </xdr:to>
    <xdr:cxnSp macro="">
      <xdr:nvCxnSpPr>
        <xdr:cNvPr id="14" name="Straight Connector 13">
          <a:extLst>
            <a:ext uri="{FF2B5EF4-FFF2-40B4-BE49-F238E27FC236}">
              <a16:creationId xmlns:a16="http://schemas.microsoft.com/office/drawing/2014/main" id="{00000000-0008-0000-0600-00000E000000}"/>
            </a:ext>
          </a:extLst>
        </xdr:cNvPr>
        <xdr:cNvCxnSpPr/>
      </xdr:nvCxnSpPr>
      <xdr:spPr>
        <a:xfrm>
          <a:off x="4057650" y="3476625"/>
          <a:ext cx="4953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114300</xdr:colOff>
      <xdr:row>12</xdr:row>
      <xdr:rowOff>180975</xdr:rowOff>
    </xdr:from>
    <xdr:to>
      <xdr:col>9</xdr:col>
      <xdr:colOff>0</xdr:colOff>
      <xdr:row>12</xdr:row>
      <xdr:rowOff>180975</xdr:rowOff>
    </xdr:to>
    <xdr:cxnSp macro="">
      <xdr:nvCxnSpPr>
        <xdr:cNvPr id="15" name="Straight Connector 14">
          <a:extLst>
            <a:ext uri="{FF2B5EF4-FFF2-40B4-BE49-F238E27FC236}">
              <a16:creationId xmlns:a16="http://schemas.microsoft.com/office/drawing/2014/main" id="{00000000-0008-0000-0600-00000F000000}"/>
            </a:ext>
          </a:extLst>
        </xdr:cNvPr>
        <xdr:cNvCxnSpPr/>
      </xdr:nvCxnSpPr>
      <xdr:spPr>
        <a:xfrm>
          <a:off x="4581525" y="3476625"/>
          <a:ext cx="4191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209551</xdr:colOff>
      <xdr:row>11</xdr:row>
      <xdr:rowOff>0</xdr:rowOff>
    </xdr:from>
    <xdr:to>
      <xdr:col>3</xdr:col>
      <xdr:colOff>504826</xdr:colOff>
      <xdr:row>12</xdr:row>
      <xdr:rowOff>142875</xdr:rowOff>
    </xdr:to>
    <xdr:sp macro="" textlink="">
      <xdr:nvSpPr>
        <xdr:cNvPr id="16" name="TextBox 15">
          <a:extLst>
            <a:ext uri="{FF2B5EF4-FFF2-40B4-BE49-F238E27FC236}">
              <a16:creationId xmlns:a16="http://schemas.microsoft.com/office/drawing/2014/main" id="{00000000-0008-0000-0600-000010000000}"/>
            </a:ext>
          </a:extLst>
        </xdr:cNvPr>
        <xdr:cNvSpPr txBox="1"/>
      </xdr:nvSpPr>
      <xdr:spPr>
        <a:xfrm>
          <a:off x="1428751" y="3105150"/>
          <a:ext cx="819150"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a:t>Branded</a:t>
          </a:r>
        </a:p>
      </xdr:txBody>
    </xdr:sp>
    <xdr:clientData/>
  </xdr:twoCellAnchor>
  <xdr:twoCellAnchor>
    <xdr:from>
      <xdr:col>2</xdr:col>
      <xdr:colOff>209550</xdr:colOff>
      <xdr:row>4</xdr:row>
      <xdr:rowOff>171450</xdr:rowOff>
    </xdr:from>
    <xdr:to>
      <xdr:col>3</xdr:col>
      <xdr:colOff>504825</xdr:colOff>
      <xdr:row>6</xdr:row>
      <xdr:rowOff>123825</xdr:rowOff>
    </xdr:to>
    <xdr:sp macro="" textlink="">
      <xdr:nvSpPr>
        <xdr:cNvPr id="17" name="TextBox 16">
          <a:extLst>
            <a:ext uri="{FF2B5EF4-FFF2-40B4-BE49-F238E27FC236}">
              <a16:creationId xmlns:a16="http://schemas.microsoft.com/office/drawing/2014/main" id="{00000000-0008-0000-0600-000011000000}"/>
            </a:ext>
          </a:extLst>
        </xdr:cNvPr>
        <xdr:cNvSpPr txBox="1"/>
      </xdr:nvSpPr>
      <xdr:spPr>
        <a:xfrm>
          <a:off x="1428750" y="933450"/>
          <a:ext cx="819150"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a:t>Generic</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1</xdr:col>
      <xdr:colOff>0</xdr:colOff>
      <xdr:row>7</xdr:row>
      <xdr:rowOff>47625</xdr:rowOff>
    </xdr:from>
    <xdr:to>
      <xdr:col>12</xdr:col>
      <xdr:colOff>76200</xdr:colOff>
      <xdr:row>27</xdr:row>
      <xdr:rowOff>85725</xdr:rowOff>
    </xdr:to>
    <xdr:graphicFrame macro="">
      <xdr:nvGraphicFramePr>
        <xdr:cNvPr id="2" name="Chart 1">
          <a:extLst>
            <a:ext uri="{FF2B5EF4-FFF2-40B4-BE49-F238E27FC236}">
              <a16:creationId xmlns:a16="http://schemas.microsoft.com/office/drawing/2014/main" id="{00000000-0008-0000-0A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0</xdr:col>
      <xdr:colOff>590550</xdr:colOff>
      <xdr:row>13</xdr:row>
      <xdr:rowOff>85725</xdr:rowOff>
    </xdr:from>
    <xdr:to>
      <xdr:col>9</xdr:col>
      <xdr:colOff>542925</xdr:colOff>
      <xdr:row>33</xdr:row>
      <xdr:rowOff>85725</xdr:rowOff>
    </xdr:to>
    <xdr:graphicFrame macro="">
      <xdr:nvGraphicFramePr>
        <xdr:cNvPr id="2" name="Chart 1">
          <a:extLst>
            <a:ext uri="{FF2B5EF4-FFF2-40B4-BE49-F238E27FC236}">
              <a16:creationId xmlns:a16="http://schemas.microsoft.com/office/drawing/2014/main" id="{00000000-0008-0000-0B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685800</xdr:colOff>
      <xdr:row>44</xdr:row>
      <xdr:rowOff>76200</xdr:rowOff>
    </xdr:from>
    <xdr:to>
      <xdr:col>8</xdr:col>
      <xdr:colOff>171450</xdr:colOff>
      <xdr:row>64</xdr:row>
      <xdr:rowOff>76200</xdr:rowOff>
    </xdr:to>
    <xdr:graphicFrame macro="">
      <xdr:nvGraphicFramePr>
        <xdr:cNvPr id="3" name="Chart 2">
          <a:extLst>
            <a:ext uri="{FF2B5EF4-FFF2-40B4-BE49-F238E27FC236}">
              <a16:creationId xmlns:a16="http://schemas.microsoft.com/office/drawing/2014/main" id="{00000000-0008-0000-0B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2</xdr:col>
      <xdr:colOff>19050</xdr:colOff>
      <xdr:row>11</xdr:row>
      <xdr:rowOff>38099</xdr:rowOff>
    </xdr:from>
    <xdr:to>
      <xdr:col>15</xdr:col>
      <xdr:colOff>533400</xdr:colOff>
      <xdr:row>28</xdr:row>
      <xdr:rowOff>85725</xdr:rowOff>
    </xdr:to>
    <xdr:graphicFrame macro="">
      <xdr:nvGraphicFramePr>
        <xdr:cNvPr id="4" name="Chart 3">
          <a:extLst>
            <a:ext uri="{FF2B5EF4-FFF2-40B4-BE49-F238E27FC236}">
              <a16:creationId xmlns:a16="http://schemas.microsoft.com/office/drawing/2014/main" id="{00000000-0008-0000-0C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0</xdr:col>
      <xdr:colOff>228600</xdr:colOff>
      <xdr:row>22</xdr:row>
      <xdr:rowOff>114300</xdr:rowOff>
    </xdr:from>
    <xdr:to>
      <xdr:col>6</xdr:col>
      <xdr:colOff>266700</xdr:colOff>
      <xdr:row>44</xdr:row>
      <xdr:rowOff>76200</xdr:rowOff>
    </xdr:to>
    <xdr:graphicFrame macro="">
      <xdr:nvGraphicFramePr>
        <xdr:cNvPr id="3" name="Chart 2">
          <a:extLst>
            <a:ext uri="{FF2B5EF4-FFF2-40B4-BE49-F238E27FC236}">
              <a16:creationId xmlns:a16="http://schemas.microsoft.com/office/drawing/2014/main" id="{00000000-0008-0000-0D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3.xml><?xml version="1.0" encoding="utf-8"?>
<xdr:wsDr xmlns:xdr="http://schemas.openxmlformats.org/drawingml/2006/spreadsheetDrawing" xmlns:a="http://schemas.openxmlformats.org/drawingml/2006/main">
  <xdr:twoCellAnchor>
    <xdr:from>
      <xdr:col>3</xdr:col>
      <xdr:colOff>390525</xdr:colOff>
      <xdr:row>5</xdr:row>
      <xdr:rowOff>9525</xdr:rowOff>
    </xdr:from>
    <xdr:to>
      <xdr:col>11</xdr:col>
      <xdr:colOff>85725</xdr:colOff>
      <xdr:row>19</xdr:row>
      <xdr:rowOff>85725</xdr:rowOff>
    </xdr:to>
    <xdr:graphicFrame macro="">
      <xdr:nvGraphicFramePr>
        <xdr:cNvPr id="2" name="Chart 1">
          <a:extLst>
            <a:ext uri="{FF2B5EF4-FFF2-40B4-BE49-F238E27FC236}">
              <a16:creationId xmlns:a16="http://schemas.microsoft.com/office/drawing/2014/main" id="{00000000-0008-0000-0F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333375</xdr:colOff>
      <xdr:row>4</xdr:row>
      <xdr:rowOff>114300</xdr:rowOff>
    </xdr:from>
    <xdr:to>
      <xdr:col>19</xdr:col>
      <xdr:colOff>28575</xdr:colOff>
      <xdr:row>19</xdr:row>
      <xdr:rowOff>0</xdr:rowOff>
    </xdr:to>
    <xdr:graphicFrame macro="">
      <xdr:nvGraphicFramePr>
        <xdr:cNvPr id="3" name="Chart 2">
          <a:extLst>
            <a:ext uri="{FF2B5EF4-FFF2-40B4-BE49-F238E27FC236}">
              <a16:creationId xmlns:a16="http://schemas.microsoft.com/office/drawing/2014/main" id="{00000000-0008-0000-0F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4.xml><?xml version="1.0" encoding="utf-8"?>
<xdr:wsDr xmlns:xdr="http://schemas.openxmlformats.org/drawingml/2006/spreadsheetDrawing" xmlns:a="http://schemas.openxmlformats.org/drawingml/2006/main">
  <xdr:twoCellAnchor>
    <xdr:from>
      <xdr:col>0</xdr:col>
      <xdr:colOff>276225</xdr:colOff>
      <xdr:row>8</xdr:row>
      <xdr:rowOff>66674</xdr:rowOff>
    </xdr:from>
    <xdr:to>
      <xdr:col>10</xdr:col>
      <xdr:colOff>47625</xdr:colOff>
      <xdr:row>24</xdr:row>
      <xdr:rowOff>133349</xdr:rowOff>
    </xdr:to>
    <xdr:graphicFrame macro="">
      <xdr:nvGraphicFramePr>
        <xdr:cNvPr id="2" name="Chart 1">
          <a:extLst>
            <a:ext uri="{FF2B5EF4-FFF2-40B4-BE49-F238E27FC236}">
              <a16:creationId xmlns:a16="http://schemas.microsoft.com/office/drawing/2014/main" id="{00000000-0008-0000-1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5.xml><?xml version="1.0" encoding="utf-8"?>
<xdr:wsDr xmlns:xdr="http://schemas.openxmlformats.org/drawingml/2006/spreadsheetDrawing" xmlns:a="http://schemas.openxmlformats.org/drawingml/2006/main">
  <xdr:twoCellAnchor>
    <xdr:from>
      <xdr:col>1</xdr:col>
      <xdr:colOff>28575</xdr:colOff>
      <xdr:row>11</xdr:row>
      <xdr:rowOff>161924</xdr:rowOff>
    </xdr:from>
    <xdr:to>
      <xdr:col>3</xdr:col>
      <xdr:colOff>85725</xdr:colOff>
      <xdr:row>32</xdr:row>
      <xdr:rowOff>114299</xdr:rowOff>
    </xdr:to>
    <xdr:graphicFrame macro="">
      <xdr:nvGraphicFramePr>
        <xdr:cNvPr id="3" name="Chart 1">
          <a:extLst>
            <a:ext uri="{FF2B5EF4-FFF2-40B4-BE49-F238E27FC236}">
              <a16:creationId xmlns:a16="http://schemas.microsoft.com/office/drawing/2014/main" id="{00000000-0008-0000-11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6.xml><?xml version="1.0" encoding="utf-8"?>
<xdr:wsDr xmlns:xdr="http://schemas.openxmlformats.org/drawingml/2006/spreadsheetDrawing" xmlns:a="http://schemas.openxmlformats.org/drawingml/2006/main">
  <xdr:twoCellAnchor>
    <xdr:from>
      <xdr:col>0</xdr:col>
      <xdr:colOff>152400</xdr:colOff>
      <xdr:row>27</xdr:row>
      <xdr:rowOff>19049</xdr:rowOff>
    </xdr:from>
    <xdr:to>
      <xdr:col>1</xdr:col>
      <xdr:colOff>2800351</xdr:colOff>
      <xdr:row>42</xdr:row>
      <xdr:rowOff>171450</xdr:rowOff>
    </xdr:to>
    <xdr:graphicFrame macro="">
      <xdr:nvGraphicFramePr>
        <xdr:cNvPr id="4" name="Chart 3">
          <a:extLst>
            <a:ext uri="{FF2B5EF4-FFF2-40B4-BE49-F238E27FC236}">
              <a16:creationId xmlns:a16="http://schemas.microsoft.com/office/drawing/2014/main" id="{00000000-0008-0000-12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7.xml><?xml version="1.0" encoding="utf-8"?>
<xdr:wsDr xmlns:xdr="http://schemas.openxmlformats.org/drawingml/2006/spreadsheetDrawing" xmlns:a="http://schemas.openxmlformats.org/drawingml/2006/main">
  <xdr:twoCellAnchor>
    <xdr:from>
      <xdr:col>3</xdr:col>
      <xdr:colOff>19050</xdr:colOff>
      <xdr:row>3</xdr:row>
      <xdr:rowOff>152400</xdr:rowOff>
    </xdr:from>
    <xdr:to>
      <xdr:col>11</xdr:col>
      <xdr:colOff>76200</xdr:colOff>
      <xdr:row>23</xdr:row>
      <xdr:rowOff>114300</xdr:rowOff>
    </xdr:to>
    <xdr:graphicFrame macro="">
      <xdr:nvGraphicFramePr>
        <xdr:cNvPr id="2" name="Chart 1">
          <a:extLst>
            <a:ext uri="{FF2B5EF4-FFF2-40B4-BE49-F238E27FC236}">
              <a16:creationId xmlns:a16="http://schemas.microsoft.com/office/drawing/2014/main" id="{00000000-0008-0000-1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8.xml><?xml version="1.0" encoding="utf-8"?>
<xdr:wsDr xmlns:xdr="http://schemas.openxmlformats.org/drawingml/2006/spreadsheetDrawing" xmlns:a="http://schemas.openxmlformats.org/drawingml/2006/main">
  <xdr:twoCellAnchor>
    <xdr:from>
      <xdr:col>0</xdr:col>
      <xdr:colOff>276225</xdr:colOff>
      <xdr:row>8</xdr:row>
      <xdr:rowOff>142875</xdr:rowOff>
    </xdr:from>
    <xdr:to>
      <xdr:col>7</xdr:col>
      <xdr:colOff>409575</xdr:colOff>
      <xdr:row>28</xdr:row>
      <xdr:rowOff>133350</xdr:rowOff>
    </xdr:to>
    <xdr:graphicFrame macro="">
      <xdr:nvGraphicFramePr>
        <xdr:cNvPr id="2" name="Chart 1">
          <a:extLst>
            <a:ext uri="{FF2B5EF4-FFF2-40B4-BE49-F238E27FC236}">
              <a16:creationId xmlns:a16="http://schemas.microsoft.com/office/drawing/2014/main" id="{00000000-0008-0000-14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9.xml><?xml version="1.0" encoding="utf-8"?>
<xdr:wsDr xmlns:xdr="http://schemas.openxmlformats.org/drawingml/2006/spreadsheetDrawing" xmlns:a="http://schemas.openxmlformats.org/drawingml/2006/main">
  <xdr:twoCellAnchor>
    <xdr:from>
      <xdr:col>0</xdr:col>
      <xdr:colOff>57150</xdr:colOff>
      <xdr:row>83</xdr:row>
      <xdr:rowOff>38099</xdr:rowOff>
    </xdr:from>
    <xdr:to>
      <xdr:col>10</xdr:col>
      <xdr:colOff>428625</xdr:colOff>
      <xdr:row>102</xdr:row>
      <xdr:rowOff>161924</xdr:rowOff>
    </xdr:to>
    <xdr:graphicFrame macro="">
      <xdr:nvGraphicFramePr>
        <xdr:cNvPr id="4" name="Chart 1">
          <a:extLst>
            <a:ext uri="{FF2B5EF4-FFF2-40B4-BE49-F238E27FC236}">
              <a16:creationId xmlns:a16="http://schemas.microsoft.com/office/drawing/2014/main" id="{00000000-0008-0000-19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57149</xdr:colOff>
      <xdr:row>53</xdr:row>
      <xdr:rowOff>85725</xdr:rowOff>
    </xdr:from>
    <xdr:to>
      <xdr:col>11</xdr:col>
      <xdr:colOff>581025</xdr:colOff>
      <xdr:row>55</xdr:row>
      <xdr:rowOff>95250</xdr:rowOff>
    </xdr:to>
    <xdr:sp macro="" textlink="">
      <xdr:nvSpPr>
        <xdr:cNvPr id="7" name="Rounded Rectangle 6">
          <a:extLst>
            <a:ext uri="{FF2B5EF4-FFF2-40B4-BE49-F238E27FC236}">
              <a16:creationId xmlns:a16="http://schemas.microsoft.com/office/drawing/2014/main" id="{00000000-0008-0000-1900-000007000000}"/>
            </a:ext>
          </a:extLst>
        </xdr:cNvPr>
        <xdr:cNvSpPr/>
      </xdr:nvSpPr>
      <xdr:spPr>
        <a:xfrm>
          <a:off x="7629524" y="10801350"/>
          <a:ext cx="1819276" cy="390525"/>
        </a:xfrm>
        <a:prstGeom prst="roundRect">
          <a:avLst/>
        </a:prstGeom>
        <a:solidFill>
          <a:schemeClr val="bg1">
            <a:lumMod val="6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US" sz="700" b="1">
              <a:latin typeface="Arial" pitchFamily="34" charset="0"/>
              <a:cs typeface="Arial" pitchFamily="34" charset="0"/>
            </a:rPr>
            <a:t>Disties</a:t>
          </a:r>
          <a:r>
            <a:rPr lang="en-US" sz="700" b="1" baseline="0">
              <a:latin typeface="Arial" pitchFamily="34" charset="0"/>
              <a:cs typeface="Arial" pitchFamily="34" charset="0"/>
            </a:rPr>
            <a:t> outperformed S&amp;P by 29% in CY05 - Generics rose by 64% in CY06</a:t>
          </a:r>
          <a:endParaRPr lang="en-US" sz="700" b="1">
            <a:latin typeface="Arial" pitchFamily="34" charset="0"/>
            <a:cs typeface="Arial" pitchFamily="34" charset="0"/>
          </a:endParaRPr>
        </a:p>
      </xdr:txBody>
    </xdr:sp>
    <xdr:clientData/>
  </xdr:twoCellAnchor>
  <xdr:twoCellAnchor>
    <xdr:from>
      <xdr:col>0</xdr:col>
      <xdr:colOff>414338</xdr:colOff>
      <xdr:row>49</xdr:row>
      <xdr:rowOff>42862</xdr:rowOff>
    </xdr:from>
    <xdr:to>
      <xdr:col>0</xdr:col>
      <xdr:colOff>928688</xdr:colOff>
      <xdr:row>56</xdr:row>
      <xdr:rowOff>128587</xdr:rowOff>
    </xdr:to>
    <xdr:sp macro="" textlink="">
      <xdr:nvSpPr>
        <xdr:cNvPr id="9" name="Rectangle 8">
          <a:extLst>
            <a:ext uri="{FF2B5EF4-FFF2-40B4-BE49-F238E27FC236}">
              <a16:creationId xmlns:a16="http://schemas.microsoft.com/office/drawing/2014/main" id="{00000000-0008-0000-1900-000009000000}"/>
            </a:ext>
          </a:extLst>
        </xdr:cNvPr>
        <xdr:cNvSpPr/>
      </xdr:nvSpPr>
      <xdr:spPr>
        <a:xfrm rot="16200000">
          <a:off x="-38100" y="9639300"/>
          <a:ext cx="1419225" cy="5143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US" sz="900" b="1">
              <a:solidFill>
                <a:schemeClr val="tx1"/>
              </a:solidFill>
              <a:latin typeface="Arial" pitchFamily="34" charset="0"/>
              <a:cs typeface="Arial" pitchFamily="34" charset="0"/>
            </a:rPr>
            <a:t>Generic</a:t>
          </a:r>
          <a:r>
            <a:rPr lang="en-US" sz="900" b="1" baseline="0">
              <a:solidFill>
                <a:schemeClr val="tx1"/>
              </a:solidFill>
              <a:latin typeface="Arial" pitchFamily="34" charset="0"/>
              <a:cs typeface="Arial" pitchFamily="34" charset="0"/>
            </a:rPr>
            <a:t>  drug launches (MM)</a:t>
          </a:r>
          <a:endParaRPr lang="en-US" sz="900" b="1">
            <a:solidFill>
              <a:schemeClr val="tx1"/>
            </a:solidFill>
            <a:latin typeface="Arial" pitchFamily="34" charset="0"/>
            <a:cs typeface="Arial" pitchFamily="34" charset="0"/>
          </a:endParaRPr>
        </a:p>
      </xdr:txBody>
    </xdr:sp>
    <xdr:clientData/>
  </xdr:twoCellAnchor>
  <xdr:twoCellAnchor>
    <xdr:from>
      <xdr:col>16</xdr:col>
      <xdr:colOff>66675</xdr:colOff>
      <xdr:row>12</xdr:row>
      <xdr:rowOff>523874</xdr:rowOff>
    </xdr:from>
    <xdr:to>
      <xdr:col>31</xdr:col>
      <xdr:colOff>123825</xdr:colOff>
      <xdr:row>35</xdr:row>
      <xdr:rowOff>114299</xdr:rowOff>
    </xdr:to>
    <xdr:graphicFrame macro="">
      <xdr:nvGraphicFramePr>
        <xdr:cNvPr id="10" name="Chart 9">
          <a:extLst>
            <a:ext uri="{FF2B5EF4-FFF2-40B4-BE49-F238E27FC236}">
              <a16:creationId xmlns:a16="http://schemas.microsoft.com/office/drawing/2014/main" id="{00000000-0008-0000-1900-00000A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304800</xdr:colOff>
      <xdr:row>118</xdr:row>
      <xdr:rowOff>85725</xdr:rowOff>
    </xdr:from>
    <xdr:to>
      <xdr:col>8</xdr:col>
      <xdr:colOff>323850</xdr:colOff>
      <xdr:row>127</xdr:row>
      <xdr:rowOff>85725</xdr:rowOff>
    </xdr:to>
    <xdr:cxnSp macro="">
      <xdr:nvCxnSpPr>
        <xdr:cNvPr id="14" name="Straight Connector 13">
          <a:extLst>
            <a:ext uri="{FF2B5EF4-FFF2-40B4-BE49-F238E27FC236}">
              <a16:creationId xmlns:a16="http://schemas.microsoft.com/office/drawing/2014/main" id="{00000000-0008-0000-1900-00000E000000}"/>
            </a:ext>
          </a:extLst>
        </xdr:cNvPr>
        <xdr:cNvCxnSpPr/>
      </xdr:nvCxnSpPr>
      <xdr:spPr>
        <a:xfrm>
          <a:off x="7191375" y="7324725"/>
          <a:ext cx="19050" cy="1714500"/>
        </a:xfrm>
        <a:prstGeom prst="line">
          <a:avLst/>
        </a:prstGeom>
        <a:ln>
          <a:solidFill>
            <a:schemeClr val="accent1">
              <a:shade val="95000"/>
              <a:satMod val="105000"/>
              <a:alpha val="4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1257300</xdr:colOff>
      <xdr:row>36</xdr:row>
      <xdr:rowOff>152400</xdr:rowOff>
    </xdr:from>
    <xdr:to>
      <xdr:col>14</xdr:col>
      <xdr:colOff>428625</xdr:colOff>
      <xdr:row>51</xdr:row>
      <xdr:rowOff>152404</xdr:rowOff>
    </xdr:to>
    <xdr:graphicFrame macro="">
      <xdr:nvGraphicFramePr>
        <xdr:cNvPr id="18" name="Chart 17">
          <a:extLst>
            <a:ext uri="{FF2B5EF4-FFF2-40B4-BE49-F238E27FC236}">
              <a16:creationId xmlns:a16="http://schemas.microsoft.com/office/drawing/2014/main" id="{00000000-0008-0000-1900-00001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523875</xdr:colOff>
      <xdr:row>56</xdr:row>
      <xdr:rowOff>123825</xdr:rowOff>
    </xdr:from>
    <xdr:to>
      <xdr:col>13</xdr:col>
      <xdr:colOff>546595</xdr:colOff>
      <xdr:row>58</xdr:row>
      <xdr:rowOff>55979</xdr:rowOff>
    </xdr:to>
    <xdr:sp macro="" textlink="">
      <xdr:nvSpPr>
        <xdr:cNvPr id="22" name="Rounded Rectangle 21">
          <a:extLst>
            <a:ext uri="{FF2B5EF4-FFF2-40B4-BE49-F238E27FC236}">
              <a16:creationId xmlns:a16="http://schemas.microsoft.com/office/drawing/2014/main" id="{00000000-0008-0000-1900-000016000000}"/>
            </a:ext>
          </a:extLst>
        </xdr:cNvPr>
        <xdr:cNvSpPr/>
      </xdr:nvSpPr>
      <xdr:spPr>
        <a:xfrm>
          <a:off x="7410450" y="11410950"/>
          <a:ext cx="3566020" cy="313154"/>
        </a:xfrm>
        <a:prstGeom prst="roundRect">
          <a:avLst/>
        </a:prstGeom>
        <a:solidFill>
          <a:schemeClr val="bg1">
            <a:lumMod val="65000"/>
          </a:schemeClr>
        </a:solidFill>
        <a:ln w="25400" cap="flat" cmpd="sng" algn="ctr">
          <a:noFill/>
          <a:prstDash val="solid"/>
        </a:ln>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lang="en-US" sz="700" b="1" baseline="0">
              <a:latin typeface="Arial" pitchFamily="34" charset="0"/>
              <a:cs typeface="Arial" pitchFamily="34" charset="0"/>
            </a:rPr>
            <a:t>Cumulative outperformance of Disties vs. S&amp;P in CY09, CY10, &amp;CY11 = 18% </a:t>
          </a:r>
        </a:p>
        <a:p>
          <a:pPr algn="ctr"/>
          <a:r>
            <a:rPr lang="en-US" sz="700" b="1" baseline="0">
              <a:latin typeface="Arial" pitchFamily="34" charset="0"/>
              <a:cs typeface="Arial" pitchFamily="34" charset="0"/>
            </a:rPr>
            <a:t>Generics rose by 82% from CY10 to CY12</a:t>
          </a:r>
          <a:endParaRPr lang="en-US" sz="700" b="1">
            <a:latin typeface="Arial" pitchFamily="34" charset="0"/>
            <a:cs typeface="Arial" pitchFamily="34" charset="0"/>
          </a:endParaRPr>
        </a:p>
      </xdr:txBody>
    </xdr:sp>
    <xdr:clientData/>
  </xdr:twoCellAnchor>
  <xdr:twoCellAnchor>
    <xdr:from>
      <xdr:col>16</xdr:col>
      <xdr:colOff>0</xdr:colOff>
      <xdr:row>37</xdr:row>
      <xdr:rowOff>0</xdr:rowOff>
    </xdr:from>
    <xdr:to>
      <xdr:col>31</xdr:col>
      <xdr:colOff>57150</xdr:colOff>
      <xdr:row>60</xdr:row>
      <xdr:rowOff>0</xdr:rowOff>
    </xdr:to>
    <xdr:graphicFrame macro="">
      <xdr:nvGraphicFramePr>
        <xdr:cNvPr id="23" name="Chart 22">
          <a:extLst>
            <a:ext uri="{FF2B5EF4-FFF2-40B4-BE49-F238E27FC236}">
              <a16:creationId xmlns:a16="http://schemas.microsoft.com/office/drawing/2014/main" id="{00000000-0008-0000-1900-00001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0.xml><?xml version="1.0" encoding="utf-8"?>
<c:userShapes xmlns:c="http://schemas.openxmlformats.org/drawingml/2006/chart">
  <cdr:relSizeAnchor xmlns:cdr="http://schemas.openxmlformats.org/drawingml/2006/chartDrawing">
    <cdr:from>
      <cdr:x>0.00763</cdr:x>
      <cdr:y>0.91096</cdr:y>
    </cdr:from>
    <cdr:to>
      <cdr:x>0.24898</cdr:x>
      <cdr:y>0.99355</cdr:y>
    </cdr:to>
    <cdr:sp macro="" textlink="">
      <cdr:nvSpPr>
        <cdr:cNvPr id="25" name="TextBox 24"/>
        <cdr:cNvSpPr txBox="1"/>
      </cdr:nvSpPr>
      <cdr:spPr>
        <a:xfrm xmlns:a="http://schemas.openxmlformats.org/drawingml/2006/main">
          <a:off x="70903" y="4034761"/>
          <a:ext cx="2243686" cy="36579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800"/>
            <a:t>Note: CY11</a:t>
          </a:r>
          <a:r>
            <a:rPr lang="en-US" sz="800" baseline="0"/>
            <a:t> includes Lipitor launch despite late CY11 generic launch </a:t>
          </a:r>
          <a:endParaRPr lang="en-US" sz="800"/>
        </a:p>
      </cdr:txBody>
    </cdr:sp>
  </cdr:relSizeAnchor>
  <cdr:relSizeAnchor xmlns:cdr="http://schemas.openxmlformats.org/drawingml/2006/chartDrawing">
    <cdr:from>
      <cdr:x>0.88217</cdr:x>
      <cdr:y>0.93763</cdr:y>
    </cdr:from>
    <cdr:to>
      <cdr:x>0.9959</cdr:x>
      <cdr:y>0.99785</cdr:y>
    </cdr:to>
    <cdr:sp macro="" textlink="">
      <cdr:nvSpPr>
        <cdr:cNvPr id="3" name="TextBox 1"/>
        <cdr:cNvSpPr txBox="1"/>
      </cdr:nvSpPr>
      <cdr:spPr>
        <a:xfrm xmlns:a="http://schemas.openxmlformats.org/drawingml/2006/main">
          <a:off x="8201025" y="4152900"/>
          <a:ext cx="1057275" cy="266701"/>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Calibri"/>
            </a:defRPr>
          </a:lvl1pPr>
          <a:lvl2pPr marL="457200" indent="0">
            <a:defRPr sz="1100">
              <a:latin typeface="Calibri"/>
            </a:defRPr>
          </a:lvl2pPr>
          <a:lvl3pPr marL="914400" indent="0">
            <a:defRPr sz="1100">
              <a:latin typeface="Calibri"/>
            </a:defRPr>
          </a:lvl3pPr>
          <a:lvl4pPr marL="1371600" indent="0">
            <a:defRPr sz="1100">
              <a:latin typeface="Calibri"/>
            </a:defRPr>
          </a:lvl4pPr>
          <a:lvl5pPr marL="1828800" indent="0">
            <a:defRPr sz="1100">
              <a:latin typeface="Calibri"/>
            </a:defRPr>
          </a:lvl5pPr>
          <a:lvl6pPr marL="2286000" indent="0">
            <a:defRPr sz="1100">
              <a:latin typeface="Calibri"/>
            </a:defRPr>
          </a:lvl6pPr>
          <a:lvl7pPr marL="2743200" indent="0">
            <a:defRPr sz="1100">
              <a:latin typeface="Calibri"/>
            </a:defRPr>
          </a:lvl7pPr>
          <a:lvl8pPr marL="3200400" indent="0">
            <a:defRPr sz="1100">
              <a:latin typeface="Calibri"/>
            </a:defRPr>
          </a:lvl8pPr>
          <a:lvl9pPr marL="3657600" indent="0">
            <a:defRPr sz="1100">
              <a:latin typeface="Calibri"/>
            </a:defRPr>
          </a:lvl9pPr>
        </a:lstStyle>
        <a:p xmlns:a="http://schemas.openxmlformats.org/drawingml/2006/main">
          <a:r>
            <a:rPr lang="en-US" sz="800"/>
            <a:t>#'s stated in millions</a:t>
          </a:r>
        </a:p>
      </cdr:txBody>
    </cdr:sp>
  </cdr:relSizeAnchor>
</c:userShapes>
</file>

<file path=xl/drawings/drawing21.xml><?xml version="1.0" encoding="utf-8"?>
<c:userShapes xmlns:c="http://schemas.openxmlformats.org/drawingml/2006/chart">
  <cdr:relSizeAnchor xmlns:cdr="http://schemas.openxmlformats.org/drawingml/2006/chartDrawing">
    <cdr:from>
      <cdr:x>0.02812</cdr:x>
      <cdr:y>0.05505</cdr:y>
    </cdr:from>
    <cdr:to>
      <cdr:x>0.26947</cdr:x>
      <cdr:y>0.15699</cdr:y>
    </cdr:to>
    <cdr:sp macro="" textlink="">
      <cdr:nvSpPr>
        <cdr:cNvPr id="25" name="TextBox 24"/>
        <cdr:cNvSpPr txBox="1"/>
      </cdr:nvSpPr>
      <cdr:spPr>
        <a:xfrm xmlns:a="http://schemas.openxmlformats.org/drawingml/2006/main">
          <a:off x="261403" y="243811"/>
          <a:ext cx="2243686" cy="45151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900"/>
            <a:t>Note: CY11</a:t>
          </a:r>
          <a:r>
            <a:rPr lang="en-US" sz="900" baseline="0"/>
            <a:t> includes Lipitor launch despite late CY11 generic launch </a:t>
          </a:r>
          <a:endParaRPr lang="en-US" sz="900"/>
        </a:p>
      </cdr:txBody>
    </cdr:sp>
  </cdr:relSizeAnchor>
</c:userShapes>
</file>

<file path=xl/drawings/drawing22.xml><?xml version="1.0" encoding="utf-8"?>
<xdr:wsDr xmlns:xdr="http://schemas.openxmlformats.org/drawingml/2006/spreadsheetDrawing" xmlns:a="http://schemas.openxmlformats.org/drawingml/2006/main">
  <xdr:twoCellAnchor>
    <xdr:from>
      <xdr:col>8</xdr:col>
      <xdr:colOff>161924</xdr:colOff>
      <xdr:row>101</xdr:row>
      <xdr:rowOff>114300</xdr:rowOff>
    </xdr:from>
    <xdr:to>
      <xdr:col>16</xdr:col>
      <xdr:colOff>1028700</xdr:colOff>
      <xdr:row>124</xdr:row>
      <xdr:rowOff>57150</xdr:rowOff>
    </xdr:to>
    <xdr:graphicFrame macro="">
      <xdr:nvGraphicFramePr>
        <xdr:cNvPr id="2" name="Chart 1">
          <a:extLst>
            <a:ext uri="{FF2B5EF4-FFF2-40B4-BE49-F238E27FC236}">
              <a16:creationId xmlns:a16="http://schemas.microsoft.com/office/drawing/2014/main" id="{00000000-0008-0000-1A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104776</xdr:colOff>
      <xdr:row>106</xdr:row>
      <xdr:rowOff>180978</xdr:rowOff>
    </xdr:from>
    <xdr:to>
      <xdr:col>8</xdr:col>
      <xdr:colOff>428629</xdr:colOff>
      <xdr:row>116</xdr:row>
      <xdr:rowOff>57150</xdr:rowOff>
    </xdr:to>
    <xdr:sp macro="" textlink="">
      <xdr:nvSpPr>
        <xdr:cNvPr id="4" name="TextBox 3">
          <a:extLst>
            <a:ext uri="{FF2B5EF4-FFF2-40B4-BE49-F238E27FC236}">
              <a16:creationId xmlns:a16="http://schemas.microsoft.com/office/drawing/2014/main" id="{00000000-0008-0000-1A00-000004000000}"/>
            </a:ext>
          </a:extLst>
        </xdr:cNvPr>
        <xdr:cNvSpPr txBox="1"/>
      </xdr:nvSpPr>
      <xdr:spPr>
        <a:xfrm rot="16200000">
          <a:off x="5348292" y="21616987"/>
          <a:ext cx="1781172" cy="3238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900"/>
            <a:t>Projected</a:t>
          </a:r>
          <a:r>
            <a:rPr lang="en-US" sz="900" baseline="0"/>
            <a:t> Generic Launches (MM)</a:t>
          </a:r>
          <a:endParaRPr lang="en-US" sz="900"/>
        </a:p>
      </xdr:txBody>
    </xdr:sp>
    <xdr:clientData/>
  </xdr:twoCellAnchor>
</xdr:wsDr>
</file>

<file path=xl/drawings/drawing23.xml><?xml version="1.0" encoding="utf-8"?>
<xdr:wsDr xmlns:xdr="http://schemas.openxmlformats.org/drawingml/2006/spreadsheetDrawing" xmlns:a="http://schemas.openxmlformats.org/drawingml/2006/main">
  <xdr:twoCellAnchor>
    <xdr:from>
      <xdr:col>0</xdr:col>
      <xdr:colOff>276225</xdr:colOff>
      <xdr:row>6</xdr:row>
      <xdr:rowOff>0</xdr:rowOff>
    </xdr:from>
    <xdr:to>
      <xdr:col>7</xdr:col>
      <xdr:colOff>581025</xdr:colOff>
      <xdr:row>20</xdr:row>
      <xdr:rowOff>76200</xdr:rowOff>
    </xdr:to>
    <xdr:graphicFrame macro="">
      <xdr:nvGraphicFramePr>
        <xdr:cNvPr id="2" name="Chart 1">
          <a:extLst>
            <a:ext uri="{FF2B5EF4-FFF2-40B4-BE49-F238E27FC236}">
              <a16:creationId xmlns:a16="http://schemas.microsoft.com/office/drawing/2014/main" id="{00000000-0008-0000-1B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0</xdr:colOff>
      <xdr:row>28</xdr:row>
      <xdr:rowOff>0</xdr:rowOff>
    </xdr:from>
    <xdr:to>
      <xdr:col>9</xdr:col>
      <xdr:colOff>385930</xdr:colOff>
      <xdr:row>47</xdr:row>
      <xdr:rowOff>38100</xdr:rowOff>
    </xdr:to>
    <xdr:pic>
      <xdr:nvPicPr>
        <xdr:cNvPr id="33793" name="Picture 1" descr="http://2.bp.blogspot.com/-ItFWxScU4tM/U-kVVJDhlQI/AAAAAAAAF6E/srfT9kVJ6r8/s1600/Generic_Drugs_Change_in_NADAC_per_Unit_July2013_vs_July2014.png">
          <a:hlinkClick xmlns:r="http://schemas.openxmlformats.org/officeDocument/2006/relationships" r:id="rId2" tgtFrame="_blank"/>
          <a:extLst>
            <a:ext uri="{FF2B5EF4-FFF2-40B4-BE49-F238E27FC236}">
              <a16:creationId xmlns:a16="http://schemas.microsoft.com/office/drawing/2014/main" id="{00000000-0008-0000-1B00-000001840000}"/>
            </a:ext>
          </a:extLst>
        </xdr:cNvPr>
        <xdr:cNvPicPr>
          <a:picLocks noChangeAspect="1" noChangeArrowheads="1"/>
        </xdr:cNvPicPr>
      </xdr:nvPicPr>
      <xdr:blipFill>
        <a:blip xmlns:r="http://schemas.openxmlformats.org/officeDocument/2006/relationships" r:embed="rId3" cstate="print"/>
        <a:srcRect/>
        <a:stretch>
          <a:fillRect/>
        </a:stretch>
      </xdr:blipFill>
      <xdr:spPr bwMode="auto">
        <a:xfrm>
          <a:off x="609600" y="5334000"/>
          <a:ext cx="5262730" cy="3657600"/>
        </a:xfrm>
        <a:prstGeom prst="rect">
          <a:avLst/>
        </a:prstGeom>
        <a:noFill/>
      </xdr:spPr>
    </xdr:pic>
    <xdr:clientData/>
  </xdr:twoCellAnchor>
  <xdr:twoCellAnchor editAs="oneCell">
    <xdr:from>
      <xdr:col>0</xdr:col>
      <xdr:colOff>430647</xdr:colOff>
      <xdr:row>52</xdr:row>
      <xdr:rowOff>133351</xdr:rowOff>
    </xdr:from>
    <xdr:to>
      <xdr:col>9</xdr:col>
      <xdr:colOff>361951</xdr:colOff>
      <xdr:row>73</xdr:row>
      <xdr:rowOff>81639</xdr:rowOff>
    </xdr:to>
    <xdr:pic>
      <xdr:nvPicPr>
        <xdr:cNvPr id="33795" name="Picture 3" descr="http://lwlink3.linkwithin.com/api/click?format=go&amp;jsonp=vglnk_145815048808413&amp;key=8a69ede45b8445f6b533712ba9899ffb&amp;libId=ilv39kov0100r7tw000DAo5qqs7mo&amp;loc=http%3A%2F%2Fwww.drugchannels.net%2F2015%2F08%2Fthe-retail-generic-drug-inflation.html&amp;v=1&amp;out=http%3A%2F%2F3.bp.blogspot.com%2F-zLVwyGTZb84%2FVdonHWZQI_I%2FAAAAAAAAH3k%2FIod4uC3XDPk%2Fs1600%2FGeneric_Drugs_April2015_vs_July2015.png&amp;ref=http%3A%2F%2Fwww.google.com%2Furl%3Fsa%3Dt%26rct%3Dj%26q%3D%26esrc%3Ds%26source%3Dweb%26cd%3D2%26ved%3D0ahUKEwjv8JHy1cXLAhXH6CYKHVxJAdwQFggkMAE%26url%3Dhttp%253A%252F%252Fwww.drugchannels.net%252F2015%252F08%252Fthe-retail-generic-drug-inflation.html%26usg%3DAFQjCNH9Qa6oTv55yjRXRGu1VT589Ncvvg%26sig2%3DY13uxsDeS99gsU3UEcCg6A&amp;title=Drug%20Channels%3A%20The%20Retail%20Generic%20Drug%20Inflation%20Slowdown%3A%20It%E2%80%99s%20Real&amp;txt=">
          <a:extLst>
            <a:ext uri="{FF2B5EF4-FFF2-40B4-BE49-F238E27FC236}">
              <a16:creationId xmlns:a16="http://schemas.microsoft.com/office/drawing/2014/main" id="{00000000-0008-0000-1B00-000003840000}"/>
            </a:ext>
          </a:extLst>
        </xdr:cNvPr>
        <xdr:cNvPicPr>
          <a:picLocks noChangeAspect="1" noChangeArrowheads="1"/>
        </xdr:cNvPicPr>
      </xdr:nvPicPr>
      <xdr:blipFill>
        <a:blip xmlns:r="http://schemas.openxmlformats.org/officeDocument/2006/relationships" r:embed="rId4" cstate="print"/>
        <a:srcRect/>
        <a:stretch>
          <a:fillRect/>
        </a:stretch>
      </xdr:blipFill>
      <xdr:spPr bwMode="auto">
        <a:xfrm>
          <a:off x="430647" y="10039351"/>
          <a:ext cx="5417704" cy="3948788"/>
        </a:xfrm>
        <a:prstGeom prst="rect">
          <a:avLst/>
        </a:prstGeom>
        <a:noFill/>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hrastogi\AppData\Local\Microsoft\Windows\Temporary%20Internet%20Files\Content.Outlook\1BOU0GIZ\census%20pharmacies%20and%20drugstore%20sales.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Flash%20Drive\Desktop\Bolan\Pharmacy\Industry\US%20retail%20vs%20drug%20store%20sales.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hrastogi\AppData\Local\Microsoft\Windows\Temporary%20Internet%20Files\Content.Outlook\1BOU0GIZ\census%20wholesale%20revenues.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ABC_Model.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Flash%20Drive\Desktop\Bolan\Drug%20Distributors\CAH\Model\CAH_Model.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C:\Flash%20Drive\Desktop\Bolan\Drug%20Distributors\MCK\Model\MCK_Model.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C:\Flash%20Drive\Desktop\Bolan\Drug%20Distributors\ABC\Model\ABC_Model.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C:\Users\gbolan\Desktop\HCIT%20Industry\Industry\HCIT%20Chartbook.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C:\Users\gbolan\Desktop\Drug%20Distribution\Industry\Analysis\Drug%20Dist%20Charts%20BOLAN.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Drug%20Dist%20Mkt%20Shar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2012"/>
      <sheetName val="2011"/>
      <sheetName val="2010"/>
      <sheetName val="2009"/>
      <sheetName val="2008"/>
      <sheetName val="2007"/>
      <sheetName val="2006"/>
      <sheetName val="2005"/>
      <sheetName val="2004"/>
      <sheetName val="2003"/>
      <sheetName val="2002"/>
      <sheetName val="2001"/>
      <sheetName val="2000"/>
      <sheetName val="1999"/>
      <sheetName val="1998"/>
      <sheetName val="1997"/>
      <sheetName val="1996"/>
      <sheetName val="1995"/>
      <sheetName val="1994"/>
      <sheetName val="1993"/>
      <sheetName val="1992"/>
    </sheetNames>
    <sheetDataSet>
      <sheetData sheetId="0" refreshError="1"/>
      <sheetData sheetId="1">
        <row r="38">
          <cell r="O38">
            <v>229965</v>
          </cell>
        </row>
      </sheetData>
      <sheetData sheetId="2">
        <row r="38">
          <cell r="O38">
            <v>222812</v>
          </cell>
        </row>
      </sheetData>
      <sheetData sheetId="3">
        <row r="38">
          <cell r="O38">
            <v>217618</v>
          </cell>
        </row>
      </sheetData>
      <sheetData sheetId="4">
        <row r="38">
          <cell r="O38">
            <v>211035</v>
          </cell>
        </row>
      </sheetData>
      <sheetData sheetId="5">
        <row r="38">
          <cell r="O38">
            <v>202284</v>
          </cell>
        </row>
      </sheetData>
      <sheetData sheetId="6">
        <row r="38">
          <cell r="O38">
            <v>191018</v>
          </cell>
        </row>
      </sheetData>
      <sheetData sheetId="7">
        <row r="38">
          <cell r="O38">
            <v>179170</v>
          </cell>
        </row>
      </sheetData>
      <sheetData sheetId="8">
        <row r="38">
          <cell r="O38">
            <v>169231</v>
          </cell>
        </row>
      </sheetData>
      <sheetData sheetId="9">
        <row r="38">
          <cell r="O38">
            <v>165524</v>
          </cell>
        </row>
      </sheetData>
      <sheetData sheetId="10">
        <row r="38">
          <cell r="O38">
            <v>153936</v>
          </cell>
        </row>
      </sheetData>
      <sheetData sheetId="11">
        <row r="38">
          <cell r="O38">
            <v>141772</v>
          </cell>
        </row>
      </sheetData>
      <sheetData sheetId="12">
        <row r="38">
          <cell r="O38">
            <v>130857</v>
          </cell>
        </row>
      </sheetData>
      <sheetData sheetId="13">
        <row r="38">
          <cell r="O38">
            <v>121282</v>
          </cell>
        </row>
      </sheetData>
      <sheetData sheetId="14">
        <row r="38">
          <cell r="O38">
            <v>108415</v>
          </cell>
        </row>
      </sheetData>
      <sheetData sheetId="15" refreshError="1"/>
      <sheetData sheetId="16" refreshError="1"/>
      <sheetData sheetId="17" refreshError="1"/>
      <sheetData sheetId="18" refreshError="1"/>
      <sheetData sheetId="19" refreshError="1"/>
      <sheetData sheetId="2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2015"/>
      <sheetName val="2014"/>
      <sheetName val="2013"/>
      <sheetName val="2012"/>
      <sheetName val="2011"/>
      <sheetName val="2010"/>
      <sheetName val="2009"/>
      <sheetName val="2008"/>
      <sheetName val="2007"/>
      <sheetName val="2006"/>
      <sheetName val="2005"/>
      <sheetName val="2004"/>
      <sheetName val="2003"/>
      <sheetName val="2002"/>
      <sheetName val="2001"/>
      <sheetName val="2000"/>
      <sheetName val="1999"/>
      <sheetName val="1998"/>
      <sheetName val="1997"/>
      <sheetName val="1996"/>
      <sheetName val="1995"/>
      <sheetName val="1994"/>
      <sheetName val="1993"/>
      <sheetName val="1992"/>
    </sheetNames>
    <sheetDataSet>
      <sheetData sheetId="0">
        <row r="19">
          <cell r="R19">
            <v>37225</v>
          </cell>
          <cell r="S19">
            <v>38073</v>
          </cell>
          <cell r="T19">
            <v>37821</v>
          </cell>
          <cell r="U19">
            <v>40817</v>
          </cell>
          <cell r="V19">
            <v>39936</v>
          </cell>
          <cell r="W19">
            <v>40766</v>
          </cell>
          <cell r="X19">
            <v>40857</v>
          </cell>
          <cell r="Y19">
            <v>43965</v>
          </cell>
          <cell r="Z19">
            <v>41912</v>
          </cell>
          <cell r="AA19">
            <v>41936</v>
          </cell>
          <cell r="AB19">
            <v>41162</v>
          </cell>
          <cell r="AC19">
            <v>44221</v>
          </cell>
          <cell r="AD19">
            <v>43837</v>
          </cell>
          <cell r="AE19">
            <v>44370</v>
          </cell>
          <cell r="AF19">
            <v>44129</v>
          </cell>
          <cell r="AG19">
            <v>46834</v>
          </cell>
          <cell r="AH19">
            <v>46112</v>
          </cell>
          <cell r="AI19">
            <v>47216</v>
          </cell>
          <cell r="AJ19">
            <v>47001</v>
          </cell>
          <cell r="AK19">
            <v>50689</v>
          </cell>
          <cell r="AL19">
            <v>50065</v>
          </cell>
          <cell r="AM19">
            <v>50308</v>
          </cell>
          <cell r="AN19">
            <v>49500</v>
          </cell>
          <cell r="AO19">
            <v>52411</v>
          </cell>
          <cell r="AP19">
            <v>52395</v>
          </cell>
          <cell r="AQ19">
            <v>52098</v>
          </cell>
          <cell r="AR19">
            <v>51843</v>
          </cell>
          <cell r="AS19">
            <v>54699</v>
          </cell>
          <cell r="AT19">
            <v>53323</v>
          </cell>
          <cell r="AU19">
            <v>54388</v>
          </cell>
          <cell r="AV19">
            <v>53431</v>
          </cell>
          <cell r="AW19">
            <v>56488</v>
          </cell>
          <cell r="AX19">
            <v>54442</v>
          </cell>
          <cell r="AY19">
            <v>55196</v>
          </cell>
          <cell r="AZ19">
            <v>54766</v>
          </cell>
          <cell r="BA19">
            <v>58398</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e2"/>
    </sheetNames>
    <sheetDataSet>
      <sheetData sheetId="0">
        <row r="19">
          <cell r="J19">
            <v>125599</v>
          </cell>
          <cell r="K19">
            <v>151527</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__FDSCACHE__"/>
      <sheetName val="BM Upload"/>
      <sheetName val="Annual"/>
      <sheetName val="Income"/>
      <sheetName val="BS-CF"/>
      <sheetName val="Valuation"/>
      <sheetName val="ROIC"/>
      <sheetName val="Guidance Performance"/>
      <sheetName val="FY16 Guidance"/>
      <sheetName val="FY15 Guidance"/>
      <sheetName val="FY14 Guidance"/>
    </sheetNames>
    <sheetDataSet>
      <sheetData sheetId="0"/>
      <sheetData sheetId="1"/>
      <sheetData sheetId="2"/>
      <sheetData sheetId="3">
        <row r="4">
          <cell r="AM4">
            <v>32669.267</v>
          </cell>
          <cell r="AN4">
            <v>34233.555999999997</v>
          </cell>
          <cell r="AO4">
            <v>35470.377999999997</v>
          </cell>
          <cell r="AQ4">
            <v>36709.046000000002</v>
          </cell>
        </row>
        <row r="58">
          <cell r="AM58">
            <v>25987.523000000001</v>
          </cell>
          <cell r="AN58">
            <v>26692.988000000001</v>
          </cell>
          <cell r="AO58">
            <v>27849.0726</v>
          </cell>
          <cell r="AQ58">
            <v>28426.008769999997</v>
          </cell>
        </row>
        <row r="62">
          <cell r="AM62">
            <v>5775</v>
          </cell>
          <cell r="AN62">
            <v>6065.84</v>
          </cell>
          <cell r="AO62">
            <v>6127.4023999999999</v>
          </cell>
          <cell r="AQ62">
            <v>6768.6702299999997</v>
          </cell>
        </row>
        <row r="66">
          <cell r="AM66">
            <v>986.06899999999996</v>
          </cell>
          <cell r="AN66">
            <v>1532.9069999999999</v>
          </cell>
          <cell r="AO66">
            <v>1557.201</v>
          </cell>
          <cell r="AQ66">
            <v>1577.8150000000001</v>
          </cell>
        </row>
        <row r="127">
          <cell r="AM127">
            <v>488.57499999999999</v>
          </cell>
          <cell r="AN127">
            <v>377.77100000000002</v>
          </cell>
          <cell r="AO127">
            <v>388.14400000000001</v>
          </cell>
          <cell r="AQ127">
            <v>379.55900000000003</v>
          </cell>
        </row>
        <row r="128">
          <cell r="AM128">
            <v>64.150000000000006</v>
          </cell>
          <cell r="AN128">
            <v>77.372</v>
          </cell>
          <cell r="AO128">
            <v>67.817999999999998</v>
          </cell>
          <cell r="AQ128">
            <v>95.564999999999998</v>
          </cell>
        </row>
      </sheetData>
      <sheetData sheetId="4"/>
      <sheetData sheetId="5"/>
      <sheetData sheetId="6"/>
      <sheetData sheetId="7"/>
      <sheetData sheetId="8"/>
      <sheetData sheetId="9"/>
      <sheetData sheetId="10"/>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__FDSCACHE__"/>
      <sheetName val="BM Upload"/>
      <sheetName val="Annual"/>
      <sheetName val="Income"/>
      <sheetName val="BS-CF"/>
      <sheetName val="Charts"/>
      <sheetName val="Valuation"/>
      <sheetName val="ROIC"/>
      <sheetName val="FY2016 Guidance"/>
      <sheetName val="FY 2015 Guidance"/>
      <sheetName val="FY 2014 Guidance"/>
      <sheetName val="FY2013 Guidance"/>
    </sheetNames>
    <sheetDataSet>
      <sheetData sheetId="0" refreshError="1"/>
      <sheetData sheetId="1" refreshError="1"/>
      <sheetData sheetId="2">
        <row r="4">
          <cell r="C4">
            <v>24089.3</v>
          </cell>
          <cell r="D4">
            <v>24347.3</v>
          </cell>
          <cell r="E4">
            <v>24780.7</v>
          </cell>
          <cell r="F4">
            <v>24919.7</v>
          </cell>
          <cell r="G4">
            <v>98137</v>
          </cell>
          <cell r="H4">
            <v>24342.799999999999</v>
          </cell>
          <cell r="I4">
            <v>24459.599999999999</v>
          </cell>
          <cell r="J4">
            <v>24437.5</v>
          </cell>
          <cell r="K4">
            <v>25371.8</v>
          </cell>
          <cell r="L4">
            <v>98611.7</v>
          </cell>
          <cell r="M4">
            <v>26071.4</v>
          </cell>
          <cell r="N4">
            <v>26763.5</v>
          </cell>
          <cell r="O4">
            <v>26792</v>
          </cell>
          <cell r="P4">
            <v>27078</v>
          </cell>
          <cell r="Q4">
            <v>106704.9</v>
          </cell>
          <cell r="R4">
            <v>26917.5</v>
          </cell>
          <cell r="S4">
            <v>26764</v>
          </cell>
          <cell r="T4">
            <v>25889</v>
          </cell>
          <cell r="U4">
            <v>25232</v>
          </cell>
          <cell r="V4">
            <v>104802.5</v>
          </cell>
          <cell r="W4">
            <v>24552</v>
          </cell>
          <cell r="X4">
            <v>25420</v>
          </cell>
          <cell r="Y4">
            <v>24523</v>
          </cell>
          <cell r="Z4">
            <v>22240</v>
          </cell>
          <cell r="AA4">
            <v>96735</v>
          </cell>
          <cell r="AB4">
            <v>21427</v>
          </cell>
          <cell r="AC4">
            <v>22894</v>
          </cell>
          <cell r="AD4">
            <v>24070</v>
          </cell>
          <cell r="AE4">
            <v>25537</v>
          </cell>
          <cell r="AF4">
            <v>93928</v>
          </cell>
          <cell r="AG4">
            <v>25375</v>
          </cell>
          <cell r="AH4">
            <v>27547</v>
          </cell>
          <cell r="AI4">
            <v>28055</v>
          </cell>
          <cell r="AJ4">
            <v>31445</v>
          </cell>
          <cell r="AK4">
            <v>112422</v>
          </cell>
        </row>
        <row r="6">
          <cell r="C6">
            <v>986.89999999999782</v>
          </cell>
          <cell r="D6">
            <v>944.29999999999927</v>
          </cell>
          <cell r="E6">
            <v>908.79999999999927</v>
          </cell>
          <cell r="F6">
            <v>957.70000000000073</v>
          </cell>
          <cell r="G6">
            <v>3797.6999999999971</v>
          </cell>
          <cell r="H6">
            <v>1010.0999999999985</v>
          </cell>
          <cell r="I6">
            <v>904.09999999999854</v>
          </cell>
          <cell r="J6">
            <v>962.20000000000073</v>
          </cell>
          <cell r="K6">
            <v>994.20000000000073</v>
          </cell>
          <cell r="L6">
            <v>3870.5999999999913</v>
          </cell>
          <cell r="M6">
            <v>1162.2000000000007</v>
          </cell>
          <cell r="N6">
            <v>1043.4000000000015</v>
          </cell>
          <cell r="O6">
            <v>1084.5</v>
          </cell>
          <cell r="P6">
            <v>1113.9000000000015</v>
          </cell>
          <cell r="Q6">
            <v>4404</v>
          </cell>
          <cell r="R6">
            <v>1206.7000000000007</v>
          </cell>
          <cell r="S6">
            <v>1136</v>
          </cell>
          <cell r="T6">
            <v>1159</v>
          </cell>
          <cell r="U6">
            <v>1224</v>
          </cell>
          <cell r="V6">
            <v>4725.6999999999971</v>
          </cell>
          <cell r="W6">
            <v>1291</v>
          </cell>
          <cell r="X6">
            <v>1247</v>
          </cell>
          <cell r="Y6">
            <v>1264</v>
          </cell>
          <cell r="Z6">
            <v>1345</v>
          </cell>
          <cell r="AA6">
            <v>5147</v>
          </cell>
          <cell r="AB6">
            <v>1297</v>
          </cell>
          <cell r="AC6">
            <v>1256</v>
          </cell>
          <cell r="AD6">
            <v>1341</v>
          </cell>
          <cell r="AE6">
            <v>1454</v>
          </cell>
          <cell r="AF6">
            <v>5348</v>
          </cell>
          <cell r="AG6">
            <v>1459</v>
          </cell>
          <cell r="AH6">
            <v>1458</v>
          </cell>
          <cell r="AI6">
            <v>1579</v>
          </cell>
          <cell r="AJ6">
            <v>1609</v>
          </cell>
          <cell r="AK6">
            <v>6105</v>
          </cell>
        </row>
        <row r="34">
          <cell r="C34">
            <v>415</v>
          </cell>
          <cell r="D34">
            <v>356</v>
          </cell>
          <cell r="E34">
            <v>326</v>
          </cell>
          <cell r="F34">
            <v>361</v>
          </cell>
          <cell r="G34">
            <v>1458</v>
          </cell>
          <cell r="H34">
            <v>388</v>
          </cell>
          <cell r="I34">
            <v>320</v>
          </cell>
          <cell r="J34">
            <v>382</v>
          </cell>
          <cell r="K34">
            <v>393</v>
          </cell>
          <cell r="L34">
            <v>1483</v>
          </cell>
          <cell r="M34">
            <v>493</v>
          </cell>
          <cell r="N34">
            <v>375</v>
          </cell>
          <cell r="O34">
            <v>442</v>
          </cell>
          <cell r="P34">
            <v>475</v>
          </cell>
          <cell r="Q34">
            <v>1785</v>
          </cell>
          <cell r="R34">
            <v>524</v>
          </cell>
          <cell r="S34">
            <v>425</v>
          </cell>
          <cell r="T34">
            <v>469</v>
          </cell>
          <cell r="U34">
            <v>525</v>
          </cell>
          <cell r="V34">
            <v>1943</v>
          </cell>
          <cell r="W34">
            <v>579</v>
          </cell>
          <cell r="X34">
            <v>472</v>
          </cell>
          <cell r="Y34">
            <v>532</v>
          </cell>
          <cell r="Z34">
            <v>579</v>
          </cell>
          <cell r="AA34">
            <v>2162</v>
          </cell>
          <cell r="AB34">
            <v>561</v>
          </cell>
          <cell r="AC34">
            <v>461</v>
          </cell>
          <cell r="AD34">
            <v>566</v>
          </cell>
          <cell r="AE34">
            <v>639</v>
          </cell>
          <cell r="AF34">
            <v>2227</v>
          </cell>
          <cell r="AG34">
            <v>657</v>
          </cell>
          <cell r="AH34">
            <v>611</v>
          </cell>
          <cell r="AI34">
            <v>737</v>
          </cell>
          <cell r="AJ34">
            <v>726</v>
          </cell>
          <cell r="AK34">
            <v>2731</v>
          </cell>
        </row>
        <row r="76">
          <cell r="AK76">
            <v>100708</v>
          </cell>
        </row>
      </sheetData>
      <sheetData sheetId="3">
        <row r="4">
          <cell r="AN4">
            <v>25375</v>
          </cell>
          <cell r="AO4">
            <v>27547</v>
          </cell>
          <cell r="AQ4">
            <v>28055</v>
          </cell>
          <cell r="AR4">
            <v>31445</v>
          </cell>
        </row>
        <row r="83">
          <cell r="AN83">
            <v>22605</v>
          </cell>
          <cell r="AO83">
            <v>24676</v>
          </cell>
          <cell r="AQ83">
            <v>25140</v>
          </cell>
          <cell r="AR83">
            <v>28287</v>
          </cell>
        </row>
        <row r="92">
          <cell r="AN92">
            <v>567</v>
          </cell>
          <cell r="AO92">
            <v>535</v>
          </cell>
          <cell r="AQ92">
            <v>657</v>
          </cell>
          <cell r="AR92">
            <v>627</v>
          </cell>
        </row>
        <row r="97">
          <cell r="AN97">
            <v>2774</v>
          </cell>
          <cell r="AO97">
            <v>2855</v>
          </cell>
          <cell r="AQ97">
            <v>2919</v>
          </cell>
          <cell r="AR97">
            <v>3162</v>
          </cell>
        </row>
        <row r="106">
          <cell r="AN106">
            <v>102</v>
          </cell>
          <cell r="AO106">
            <v>103</v>
          </cell>
          <cell r="AQ106">
            <v>101</v>
          </cell>
          <cell r="AR106">
            <v>106</v>
          </cell>
        </row>
      </sheetData>
      <sheetData sheetId="4" refreshError="1"/>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__FDSCACHE__"/>
      <sheetName val="BM Upload"/>
      <sheetName val="Annual"/>
      <sheetName val="Income"/>
      <sheetName val="BS-CF"/>
      <sheetName val="Valuation"/>
      <sheetName val="FY2017 Guidance"/>
      <sheetName val="FY2016 Guidance"/>
      <sheetName val="FY2015 Guidance"/>
      <sheetName val="FY2014 Guidance"/>
      <sheetName val="FY2013 Guidance"/>
      <sheetName val="ROIC"/>
    </sheetNames>
    <sheetDataSet>
      <sheetData sheetId="0"/>
      <sheetData sheetId="1"/>
      <sheetData sheetId="2">
        <row r="10">
          <cell r="H10">
            <v>26224</v>
          </cell>
          <cell r="I10">
            <v>26657</v>
          </cell>
          <cell r="J10">
            <v>27130</v>
          </cell>
          <cell r="K10">
            <v>28272</v>
          </cell>
          <cell r="L10">
            <v>108283</v>
          </cell>
          <cell r="M10">
            <v>26643</v>
          </cell>
          <cell r="N10">
            <v>27450</v>
          </cell>
          <cell r="O10">
            <v>27534</v>
          </cell>
          <cell r="P10">
            <v>28247</v>
          </cell>
          <cell r="Q10">
            <v>109874</v>
          </cell>
          <cell r="R10">
            <v>28853</v>
          </cell>
          <cell r="S10">
            <v>29980</v>
          </cell>
          <cell r="T10">
            <v>30216</v>
          </cell>
          <cell r="U10">
            <v>30839</v>
          </cell>
          <cell r="V10">
            <v>119888</v>
          </cell>
          <cell r="W10">
            <v>31699</v>
          </cell>
          <cell r="X10">
            <v>30798</v>
          </cell>
          <cell r="Y10">
            <v>29850</v>
          </cell>
          <cell r="Z10">
            <v>31187</v>
          </cell>
          <cell r="AA10">
            <v>123534</v>
          </cell>
          <cell r="AB10">
            <v>30620</v>
          </cell>
          <cell r="AC10">
            <v>32239</v>
          </cell>
          <cell r="AD10">
            <v>32985</v>
          </cell>
          <cell r="AE10">
            <v>34336</v>
          </cell>
          <cell r="AF10">
            <v>130180</v>
          </cell>
          <cell r="AG10">
            <v>37832</v>
          </cell>
          <cell r="AH10">
            <v>44058</v>
          </cell>
          <cell r="AI10">
            <v>44758</v>
          </cell>
          <cell r="AJ10">
            <v>47005</v>
          </cell>
          <cell r="AK10">
            <v>173653</v>
          </cell>
          <cell r="AL10">
            <v>44925</v>
          </cell>
          <cell r="AM10">
            <v>47546</v>
          </cell>
          <cell r="AN10">
            <v>48761</v>
          </cell>
          <cell r="AO10">
            <v>47899</v>
          </cell>
          <cell r="AP10">
            <v>189131</v>
          </cell>
        </row>
        <row r="12">
          <cell r="H12">
            <v>1465</v>
          </cell>
          <cell r="I12">
            <v>1303</v>
          </cell>
          <cell r="J12">
            <v>1335</v>
          </cell>
          <cell r="K12">
            <v>1455</v>
          </cell>
          <cell r="L12">
            <v>5558</v>
          </cell>
          <cell r="M12">
            <v>1583</v>
          </cell>
          <cell r="N12">
            <v>1396</v>
          </cell>
          <cell r="O12">
            <v>1370</v>
          </cell>
          <cell r="P12">
            <v>1465</v>
          </cell>
          <cell r="Q12">
            <v>5814</v>
          </cell>
          <cell r="R12">
            <v>1755</v>
          </cell>
          <cell r="S12">
            <v>1514</v>
          </cell>
          <cell r="T12">
            <v>1653</v>
          </cell>
          <cell r="U12">
            <v>1571</v>
          </cell>
          <cell r="V12">
            <v>6493</v>
          </cell>
          <cell r="W12">
            <v>1849</v>
          </cell>
          <cell r="X12">
            <v>1600</v>
          </cell>
          <cell r="Y12">
            <v>1720</v>
          </cell>
          <cell r="Z12">
            <v>1668</v>
          </cell>
          <cell r="AA12">
            <v>6837</v>
          </cell>
          <cell r="AB12">
            <v>1996</v>
          </cell>
          <cell r="AC12">
            <v>1951</v>
          </cell>
          <cell r="AD12">
            <v>2040</v>
          </cell>
          <cell r="AE12">
            <v>1870</v>
          </cell>
          <cell r="AF12">
            <v>7857</v>
          </cell>
          <cell r="AG12">
            <v>2352</v>
          </cell>
          <cell r="AH12">
            <v>2797</v>
          </cell>
          <cell r="AI12">
            <v>3020</v>
          </cell>
          <cell r="AJ12">
            <v>2942</v>
          </cell>
          <cell r="AK12">
            <v>11111</v>
          </cell>
          <cell r="AL12">
            <v>2917</v>
          </cell>
          <cell r="AM12">
            <v>2848</v>
          </cell>
          <cell r="AN12">
            <v>2844</v>
          </cell>
          <cell r="AO12">
            <v>2872</v>
          </cell>
          <cell r="AP12">
            <v>11481</v>
          </cell>
        </row>
        <row r="40">
          <cell r="H40">
            <v>530</v>
          </cell>
          <cell r="I40">
            <v>489</v>
          </cell>
          <cell r="J40">
            <v>477</v>
          </cell>
          <cell r="K40">
            <v>539</v>
          </cell>
          <cell r="L40">
            <v>2035</v>
          </cell>
          <cell r="M40">
            <v>604</v>
          </cell>
          <cell r="N40">
            <v>502</v>
          </cell>
          <cell r="O40">
            <v>469</v>
          </cell>
          <cell r="P40">
            <v>548</v>
          </cell>
          <cell r="Q40">
            <v>2123</v>
          </cell>
          <cell r="R40">
            <v>690</v>
          </cell>
          <cell r="S40">
            <v>530</v>
          </cell>
          <cell r="T40">
            <v>654</v>
          </cell>
          <cell r="U40">
            <v>576</v>
          </cell>
          <cell r="V40">
            <v>2450</v>
          </cell>
          <cell r="W40">
            <v>760</v>
          </cell>
          <cell r="X40">
            <v>662</v>
          </cell>
          <cell r="Y40">
            <v>813</v>
          </cell>
          <cell r="Z40">
            <v>667</v>
          </cell>
          <cell r="AA40">
            <v>2902</v>
          </cell>
          <cell r="AB40">
            <v>693</v>
          </cell>
          <cell r="AC40">
            <v>845</v>
          </cell>
          <cell r="AD40">
            <v>798</v>
          </cell>
          <cell r="AE40">
            <v>714</v>
          </cell>
          <cell r="AF40">
            <v>3050</v>
          </cell>
          <cell r="AG40">
            <v>874</v>
          </cell>
          <cell r="AH40">
            <v>1077</v>
          </cell>
          <cell r="AI40">
            <v>1000</v>
          </cell>
          <cell r="AJ40">
            <v>990</v>
          </cell>
          <cell r="AK40">
            <v>3941</v>
          </cell>
          <cell r="AL40">
            <v>992</v>
          </cell>
          <cell r="AM40">
            <v>1300</v>
          </cell>
          <cell r="AN40">
            <v>1113</v>
          </cell>
          <cell r="AO40">
            <v>1010</v>
          </cell>
          <cell r="AP40">
            <v>4415</v>
          </cell>
        </row>
        <row r="83">
          <cell r="AP83">
            <v>0.15477464114712669</v>
          </cell>
        </row>
      </sheetData>
      <sheetData sheetId="3">
        <row r="10">
          <cell r="AO10">
            <v>44925</v>
          </cell>
          <cell r="AQ10">
            <v>47546</v>
          </cell>
          <cell r="AR10">
            <v>48761</v>
          </cell>
          <cell r="AS10">
            <v>47899</v>
          </cell>
        </row>
        <row r="93">
          <cell r="AO93">
            <v>44149</v>
          </cell>
          <cell r="AQ93">
            <v>46810</v>
          </cell>
          <cell r="AR93">
            <v>48040</v>
          </cell>
          <cell r="AT93">
            <v>45810.49771565495</v>
          </cell>
        </row>
        <row r="99">
          <cell r="AO99">
            <v>776</v>
          </cell>
          <cell r="AQ99">
            <v>736</v>
          </cell>
          <cell r="AR99">
            <v>721</v>
          </cell>
          <cell r="AS99">
            <v>694</v>
          </cell>
        </row>
        <row r="134">
          <cell r="AO134">
            <v>1074</v>
          </cell>
          <cell r="AQ134">
            <v>1133</v>
          </cell>
          <cell r="AR134">
            <v>1148</v>
          </cell>
          <cell r="AS134">
            <v>1058</v>
          </cell>
        </row>
        <row r="138">
          <cell r="AO138">
            <v>143</v>
          </cell>
          <cell r="AQ138">
            <v>167</v>
          </cell>
          <cell r="AR138">
            <v>157</v>
          </cell>
          <cell r="AS138">
            <v>133</v>
          </cell>
        </row>
      </sheetData>
      <sheetData sheetId="4"/>
      <sheetData sheetId="5"/>
      <sheetData sheetId="6"/>
      <sheetData sheetId="7"/>
      <sheetData sheetId="8"/>
      <sheetData sheetId="9"/>
      <sheetData sheetId="10"/>
      <sheetData sheetId="1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__FDSCACHE__"/>
      <sheetName val="BM Upload"/>
      <sheetName val="Annual"/>
      <sheetName val="Income"/>
      <sheetName val="BS-CF"/>
      <sheetName val="Valuation"/>
      <sheetName val="ROIC"/>
      <sheetName val="Guidance Performance"/>
      <sheetName val="FY16 Guidance"/>
      <sheetName val="FY15 Guidance"/>
      <sheetName val="FY14 Guidance"/>
    </sheetNames>
    <sheetDataSet>
      <sheetData sheetId="0" refreshError="1"/>
      <sheetData sheetId="1" refreshError="1"/>
      <sheetData sheetId="2">
        <row r="4">
          <cell r="H4">
            <v>17311.651000000002</v>
          </cell>
          <cell r="I4">
            <v>18393.899000000001</v>
          </cell>
          <cell r="J4">
            <v>18716.062999999998</v>
          </cell>
          <cell r="K4">
            <v>19335.859</v>
          </cell>
          <cell r="L4">
            <v>73757.471999999994</v>
          </cell>
          <cell r="M4">
            <v>19300.627</v>
          </cell>
          <cell r="N4">
            <v>19602.12</v>
          </cell>
          <cell r="O4">
            <v>19715.373</v>
          </cell>
          <cell r="P4">
            <v>19888.609</v>
          </cell>
          <cell r="Q4">
            <v>78506.729000000007</v>
          </cell>
          <cell r="R4">
            <v>19760.257000000001</v>
          </cell>
          <cell r="S4">
            <v>20161.022000000001</v>
          </cell>
          <cell r="T4">
            <v>20347.187999999998</v>
          </cell>
          <cell r="U4">
            <v>20311.921999999999</v>
          </cell>
          <cell r="V4">
            <v>80580.388999999996</v>
          </cell>
          <cell r="W4">
            <v>19708.370999999999</v>
          </cell>
          <cell r="X4">
            <v>19326.807000000001</v>
          </cell>
          <cell r="Y4">
            <v>19452.973999999998</v>
          </cell>
          <cell r="Z4">
            <v>21059.811000000002</v>
          </cell>
          <cell r="AA4">
            <v>79547.963000000003</v>
          </cell>
          <cell r="AB4">
            <v>20523.668000000001</v>
          </cell>
          <cell r="AC4">
            <v>21906.648000000001</v>
          </cell>
          <cell r="AD4">
            <v>24469.040000000001</v>
          </cell>
          <cell r="AE4">
            <v>29176.362000000001</v>
          </cell>
          <cell r="AF4">
            <v>96075.717999999993</v>
          </cell>
          <cell r="AG4">
            <v>28455.902999999998</v>
          </cell>
          <cell r="AH4">
            <v>30348.153999999999</v>
          </cell>
          <cell r="AI4">
            <v>31588.707999999999</v>
          </cell>
          <cell r="AJ4">
            <v>33588.601999999999</v>
          </cell>
          <cell r="AK4">
            <v>123981.367</v>
          </cell>
          <cell r="AL4">
            <v>32669.267</v>
          </cell>
          <cell r="AM4">
            <v>34233.555999999997</v>
          </cell>
          <cell r="AN4">
            <v>35470.377999999997</v>
          </cell>
          <cell r="AO4">
            <v>36709.046000000002</v>
          </cell>
          <cell r="AP4">
            <v>139082.247</v>
          </cell>
        </row>
        <row r="6">
          <cell r="H6">
            <v>552.47100000000137</v>
          </cell>
          <cell r="I6">
            <v>519.22300000000178</v>
          </cell>
          <cell r="J6">
            <v>538.53299999999945</v>
          </cell>
          <cell r="K6">
            <v>563.36999999999898</v>
          </cell>
          <cell r="L6">
            <v>2173.5969999999943</v>
          </cell>
          <cell r="M6">
            <v>612.0679999999993</v>
          </cell>
          <cell r="N6">
            <v>588.36999999999898</v>
          </cell>
          <cell r="O6">
            <v>592.83399999999892</v>
          </cell>
          <cell r="P6">
            <v>580.23199999999997</v>
          </cell>
          <cell r="Q6">
            <v>2373.5040000000008</v>
          </cell>
          <cell r="R6">
            <v>687.33600000000297</v>
          </cell>
          <cell r="S6">
            <v>653.58100000000195</v>
          </cell>
          <cell r="T6">
            <v>606.68099999999686</v>
          </cell>
          <cell r="U6">
            <v>583.91699999999764</v>
          </cell>
          <cell r="V6">
            <v>2531.5149999999994</v>
          </cell>
          <cell r="W6">
            <v>679.74099999999817</v>
          </cell>
          <cell r="X6">
            <v>667.8660000000018</v>
          </cell>
          <cell r="Y6">
            <v>719.54799999999886</v>
          </cell>
          <cell r="Z6">
            <v>649.68700000000172</v>
          </cell>
          <cell r="AA6">
            <v>2716.8420000000006</v>
          </cell>
          <cell r="AB6">
            <v>713.31800000000294</v>
          </cell>
          <cell r="AC6">
            <v>678.54300000000148</v>
          </cell>
          <cell r="AD6">
            <v>720.38899999999921</v>
          </cell>
          <cell r="AE6">
            <v>725.05400000000009</v>
          </cell>
          <cell r="AF6">
            <v>2837.3040000000037</v>
          </cell>
          <cell r="AG6">
            <v>831.57200000000012</v>
          </cell>
          <cell r="AH6">
            <v>822.71699999999691</v>
          </cell>
          <cell r="AI6">
            <v>926.91999999999825</v>
          </cell>
          <cell r="AJ6">
            <v>896.32300000000032</v>
          </cell>
          <cell r="AK6">
            <v>3477.5319999999956</v>
          </cell>
          <cell r="AL6">
            <v>1041.6369999999988</v>
          </cell>
          <cell r="AM6">
            <v>1006.6069999999963</v>
          </cell>
          <cell r="AN6">
            <v>1062.0599999999977</v>
          </cell>
          <cell r="AO6">
            <v>1053.648000000001</v>
          </cell>
          <cell r="AP6">
            <v>4163.9519999999939</v>
          </cell>
        </row>
        <row r="10">
          <cell r="H10">
            <v>248.26600000000133</v>
          </cell>
          <cell r="I10">
            <v>212.98700000000173</v>
          </cell>
          <cell r="J10">
            <v>224.61199999999945</v>
          </cell>
          <cell r="K10">
            <v>262.38199999999898</v>
          </cell>
          <cell r="L10">
            <v>948.24699999999439</v>
          </cell>
          <cell r="M10">
            <v>311.22699999999929</v>
          </cell>
          <cell r="N10">
            <v>281.85399999999896</v>
          </cell>
          <cell r="O10">
            <v>248.17199999999895</v>
          </cell>
          <cell r="P10">
            <v>276.76599999999996</v>
          </cell>
          <cell r="Q10">
            <v>1118.0190000000009</v>
          </cell>
          <cell r="R10">
            <v>365.24900000000298</v>
          </cell>
          <cell r="S10">
            <v>317.15900000000198</v>
          </cell>
          <cell r="T10">
            <v>237.42599999999686</v>
          </cell>
          <cell r="U10">
            <v>281.41899999999765</v>
          </cell>
          <cell r="V10">
            <v>1201.2529999999992</v>
          </cell>
          <cell r="W10">
            <v>377.05999999999818</v>
          </cell>
          <cell r="X10">
            <v>324.38600000000179</v>
          </cell>
          <cell r="Y10">
            <v>296.25699999999887</v>
          </cell>
          <cell r="Z10">
            <v>253.00600000000168</v>
          </cell>
          <cell r="AA10">
            <v>1250.7090000000007</v>
          </cell>
          <cell r="AB10">
            <v>356.01200000000296</v>
          </cell>
          <cell r="AC10">
            <v>312.32800000000151</v>
          </cell>
          <cell r="AD10">
            <v>325.68399999999923</v>
          </cell>
          <cell r="AE10">
            <v>323.00200000000007</v>
          </cell>
          <cell r="AF10">
            <v>1188.1360000000038</v>
          </cell>
          <cell r="AG10">
            <v>416.56200000000013</v>
          </cell>
          <cell r="AH10">
            <v>393.47299999999694</v>
          </cell>
          <cell r="AI10">
            <v>424.62299999999823</v>
          </cell>
          <cell r="AJ10">
            <v>435.56700000000035</v>
          </cell>
          <cell r="AK10">
            <v>1670.2249999999956</v>
          </cell>
          <cell r="AL10">
            <v>552.72499999999877</v>
          </cell>
          <cell r="AM10">
            <v>455.14299999999628</v>
          </cell>
          <cell r="AN10">
            <v>455.96199999999999</v>
          </cell>
          <cell r="AO10">
            <v>475.12400000000105</v>
          </cell>
          <cell r="AP10">
            <v>1938.9539999999961</v>
          </cell>
        </row>
      </sheetData>
      <sheetData sheetId="3">
        <row r="58">
          <cell r="AM58">
            <v>25987.523000000001</v>
          </cell>
          <cell r="AN58">
            <v>26692.988000000001</v>
          </cell>
          <cell r="AO58">
            <v>27849.0726</v>
          </cell>
          <cell r="AQ58">
            <v>28426.008769999997</v>
          </cell>
        </row>
        <row r="62">
          <cell r="AM62">
            <v>5775</v>
          </cell>
          <cell r="AN62">
            <v>6065.84</v>
          </cell>
          <cell r="AO62">
            <v>6127.4023999999999</v>
          </cell>
          <cell r="AQ62">
            <v>6768.6702299999997</v>
          </cell>
        </row>
      </sheetData>
      <sheetData sheetId="4" refreshError="1"/>
      <sheetData sheetId="5" refreshError="1"/>
      <sheetData sheetId="6" refreshError="1"/>
      <sheetData sheetId="7" refreshError="1"/>
      <sheetData sheetId="8" refreshError="1"/>
      <sheetData sheetId="9" refreshError="1"/>
      <sheetData sheetId="10"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HR Cost to Physician"/>
      <sheetName val="EHR Market Size"/>
      <sheetName val="HITECH incentives"/>
      <sheetName val="RCM Market Size"/>
      <sheetName val="Practice Size"/>
      <sheetName val="Physician demographics"/>
      <sheetName val="CMS Timeline"/>
      <sheetName val="ePrescribing"/>
      <sheetName val="Total US Health Expenditures"/>
      <sheetName val="Revenue cycle"/>
      <sheetName val="RCM Installed"/>
      <sheetName val="Unemployment"/>
      <sheetName val="CMS Pmt shortfalls"/>
      <sheetName val="Uncompensated care"/>
      <sheetName val="Physician earnings"/>
      <sheetName val="Kaiser Survey"/>
      <sheetName val="HCIT adoption - PP"/>
      <sheetName val="State budget deficit"/>
      <sheetName val="Hospital OM"/>
      <sheetName val="HIE"/>
      <sheetName val="Street Sentiment"/>
      <sheetName val="ESI-Medicaid"/>
      <sheetName val="CMS_Incentive_Payment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ow r="3">
          <cell r="C3" t="str">
            <v>Medicaid (Hospital)</v>
          </cell>
        </row>
        <row r="35">
          <cell r="A35">
            <v>40695</v>
          </cell>
        </row>
        <row r="36">
          <cell r="A36">
            <v>40725</v>
          </cell>
        </row>
        <row r="37">
          <cell r="A37">
            <v>40756</v>
          </cell>
        </row>
        <row r="38">
          <cell r="A38">
            <v>40787</v>
          </cell>
        </row>
        <row r="39">
          <cell r="A39">
            <v>40817</v>
          </cell>
        </row>
        <row r="40">
          <cell r="A40">
            <v>40848</v>
          </cell>
        </row>
        <row r="41">
          <cell r="A41">
            <v>40878</v>
          </cell>
        </row>
        <row r="42">
          <cell r="A42">
            <v>40920</v>
          </cell>
        </row>
        <row r="43">
          <cell r="A43">
            <v>40951</v>
          </cell>
        </row>
        <row r="44">
          <cell r="A44">
            <v>40969</v>
          </cell>
        </row>
        <row r="45">
          <cell r="A45">
            <v>41011</v>
          </cell>
        </row>
        <row r="46">
          <cell r="A46">
            <v>41053</v>
          </cell>
        </row>
        <row r="47">
          <cell r="A47">
            <v>41061</v>
          </cell>
        </row>
      </sheetData>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harmacy-Wholesale data"/>
      <sheetName val="__FDSCACHE__"/>
      <sheetName val="Dist Profitability"/>
      <sheetName val="MCK PPV VA"/>
      <sheetName val="ROIC"/>
      <sheetName val="Generic Lifecycle"/>
      <sheetName val="Pharmacy Buying Groups"/>
      <sheetName val="2011E US Pharmacy Sales"/>
      <sheetName val="Independent Pharmacies"/>
      <sheetName val="Warehouse Delivery"/>
      <sheetName val="RX Sales Growth (E)"/>
      <sheetName val="NMEs and BLAs"/>
      <sheetName val="Therapeutics under development"/>
      <sheetName val="Biotech sales share"/>
      <sheetName val="Traditional vs Specialty Costs"/>
      <sheetName val="Specialty Drug Spend"/>
      <sheetName val="Chronic Disease"/>
      <sheetName val="U.S. Specialty Distributors"/>
      <sheetName val="Specialty Pharmacy"/>
      <sheetName val="Pharmacy vs Medical"/>
      <sheetName val="Retail Pharmacy M&amp;A"/>
      <sheetName val="Dist Customers"/>
      <sheetName val="Specialty Pharm and Dist"/>
      <sheetName val="2003-2016 Branded to Generic"/>
      <sheetName val="Branded to Generic Charts "/>
      <sheetName val="Limited_Multiple_Source"/>
      <sheetName val="Sheet3"/>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3">
          <cell r="G23">
            <v>11698</v>
          </cell>
        </row>
        <row r="39">
          <cell r="G39">
            <v>8996</v>
          </cell>
        </row>
        <row r="61">
          <cell r="G61">
            <v>10754</v>
          </cell>
        </row>
        <row r="80">
          <cell r="G80">
            <v>17584</v>
          </cell>
        </row>
      </sheetData>
      <sheetData sheetId="24"/>
      <sheetData sheetId="25"/>
      <sheetData sheetId="26"/>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istribution Market Share"/>
      <sheetName val="Tableau"/>
    </sheetNames>
    <sheetDataSet>
      <sheetData sheetId="0">
        <row r="3">
          <cell r="A3" t="str">
            <v>AmerisouceBergen</v>
          </cell>
          <cell r="C3">
            <v>0.27137511950533388</v>
          </cell>
        </row>
        <row r="4">
          <cell r="A4" t="str">
            <v>Cardinal Health</v>
          </cell>
          <cell r="C4">
            <v>0.32673274136638442</v>
          </cell>
        </row>
        <row r="5">
          <cell r="A5" t="str">
            <v>McKesson</v>
          </cell>
          <cell r="C5">
            <v>0.40189213912828164</v>
          </cell>
        </row>
      </sheetData>
      <sheetData sheetId="1" refreshError="1"/>
    </sheetDataSet>
  </externalBook>
</externalLink>
</file>

<file path=xl/theme/theme1.xml><?xml version="1.0" encoding="utf-8"?>
<a:theme xmlns:a="http://schemas.openxmlformats.org/drawingml/2006/main" name="Office Theme">
  <a:themeElements>
    <a:clrScheme name="Avondale">
      <a:dk1>
        <a:srgbClr val="000000"/>
      </a:dk1>
      <a:lt1>
        <a:sysClr val="window" lastClr="FFFFFF"/>
      </a:lt1>
      <a:dk2>
        <a:srgbClr val="134679"/>
      </a:dk2>
      <a:lt2>
        <a:srgbClr val="7387AF"/>
      </a:lt2>
      <a:accent1>
        <a:srgbClr val="FEC221"/>
      </a:accent1>
      <a:accent2>
        <a:srgbClr val="F7DC98"/>
      </a:accent2>
      <a:accent3>
        <a:srgbClr val="666200"/>
      </a:accent3>
      <a:accent4>
        <a:srgbClr val="ADA96F"/>
      </a:accent4>
      <a:accent5>
        <a:srgbClr val="794400"/>
      </a:accent5>
      <a:accent6>
        <a:srgbClr val="AD8F68"/>
      </a:accent6>
      <a:hlink>
        <a:srgbClr val="82ACDC"/>
      </a:hlink>
      <a:folHlink>
        <a:srgbClr val="BBCFEC"/>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7.bin"/></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4.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hyperlink" Target="http://phx.corporate-ir.net/phoenix.zhtml?c=69641&amp;p=irol-newsArticle&amp;ID=1679001" TargetMode="External"/><Relationship Id="rId1" Type="http://schemas.openxmlformats.org/officeDocument/2006/relationships/hyperlink" Target="http://www.prnewswire.com/news-releases/cvs-caremark-completes-acquisition-of-coram-infusion-business-from-apria-healthcare-240771181.html" TargetMode="External"/></Relationships>
</file>

<file path=xl/worksheets/_rels/sheet2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1.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2.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13.bin"/></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9.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14.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
  <sheetViews>
    <sheetView workbookViewId="0">
      <selection activeCell="B1" sqref="B1"/>
    </sheetView>
  </sheetViews>
  <sheetFormatPr defaultRowHeight="14.4" x14ac:dyDescent="0.3"/>
  <sheetData>
    <row r="1" spans="1:2" x14ac:dyDescent="0.3">
      <c r="B1" t="s">
        <v>1143</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5:T39"/>
  <sheetViews>
    <sheetView topLeftCell="B1" workbookViewId="0">
      <selection activeCell="G36" sqref="G36"/>
    </sheetView>
  </sheetViews>
  <sheetFormatPr defaultRowHeight="14.4" x14ac:dyDescent="0.3"/>
  <cols>
    <col min="1" max="1" width="48.109375" bestFit="1" customWidth="1"/>
    <col min="2" max="2" width="19" bestFit="1" customWidth="1"/>
    <col min="15" max="15" width="0" hidden="1" customWidth="1"/>
  </cols>
  <sheetData>
    <row r="5" spans="1:20" ht="15" thickBot="1" x14ac:dyDescent="0.35"/>
    <row r="6" spans="1:20" ht="15" thickBot="1" x14ac:dyDescent="0.35">
      <c r="A6" t="s">
        <v>3</v>
      </c>
      <c r="B6" s="1">
        <v>1998</v>
      </c>
      <c r="C6" s="1">
        <v>1999</v>
      </c>
      <c r="D6" s="1">
        <v>2000</v>
      </c>
      <c r="E6" s="1">
        <v>2001</v>
      </c>
      <c r="F6" s="1">
        <v>2002</v>
      </c>
      <c r="G6" s="1">
        <v>2003</v>
      </c>
      <c r="H6" s="1">
        <v>2004</v>
      </c>
      <c r="I6" s="1">
        <v>2005</v>
      </c>
      <c r="J6" s="1">
        <v>2006</v>
      </c>
      <c r="K6" s="2">
        <v>2007</v>
      </c>
      <c r="L6" s="2">
        <v>2008</v>
      </c>
      <c r="M6" s="2">
        <v>2009</v>
      </c>
      <c r="N6" s="3">
        <v>2010</v>
      </c>
      <c r="O6" s="2">
        <v>2011</v>
      </c>
      <c r="P6" s="3">
        <v>2011</v>
      </c>
      <c r="Q6" s="3">
        <v>2012</v>
      </c>
      <c r="R6" s="2">
        <v>2013</v>
      </c>
      <c r="S6" s="3">
        <v>2014</v>
      </c>
      <c r="T6" s="3">
        <v>2015</v>
      </c>
    </row>
    <row r="8" spans="1:20" x14ac:dyDescent="0.3">
      <c r="A8" t="s">
        <v>1</v>
      </c>
      <c r="B8" s="4">
        <f>+'[1]1998'!$O$38</f>
        <v>108415</v>
      </c>
      <c r="C8" s="4">
        <f>+'[1]1999'!$O$38</f>
        <v>121282</v>
      </c>
      <c r="D8" s="4">
        <f>+'[1]2000'!$O$38</f>
        <v>130857</v>
      </c>
      <c r="E8" s="4">
        <f>+'[1]2001'!$O$38</f>
        <v>141772</v>
      </c>
      <c r="F8" s="4">
        <f>+SUM([2]Sheet1!$R$19:$U$19)</f>
        <v>153936</v>
      </c>
      <c r="G8" s="4">
        <f>SUM([2]Sheet1!$V$19:$Y$19)</f>
        <v>165524</v>
      </c>
      <c r="H8" s="4">
        <f>SUM([2]Sheet1!$Z$19:$AC$19)</f>
        <v>169231</v>
      </c>
      <c r="I8" s="4">
        <f>SUM([2]Sheet1!$AD$19:$AG$19)</f>
        <v>179170</v>
      </c>
      <c r="J8" s="4">
        <f>SUM([2]Sheet1!$AH$19:$AK$19)</f>
        <v>191018</v>
      </c>
      <c r="K8" s="4">
        <f>SUM([2]Sheet1!$AL$19:$AO$19)</f>
        <v>202284</v>
      </c>
      <c r="L8" s="4">
        <f>SUM([2]Sheet1!$AP$19:$AS$19)</f>
        <v>211035</v>
      </c>
      <c r="M8" s="4">
        <f>SUM([2]Sheet1!$AT$19:$AW$19)</f>
        <v>217630</v>
      </c>
      <c r="N8" s="4">
        <f>SUM([2]Sheet1!$AX$19:$BA$19)</f>
        <v>222802</v>
      </c>
      <c r="O8" s="4">
        <f>+'[1]2011'!$O$38</f>
        <v>229965</v>
      </c>
      <c r="P8" s="4">
        <v>232003</v>
      </c>
      <c r="Q8" s="4">
        <v>230864</v>
      </c>
      <c r="R8" s="4">
        <v>236171</v>
      </c>
      <c r="S8" s="4">
        <v>251406</v>
      </c>
      <c r="T8" s="4">
        <v>262876</v>
      </c>
    </row>
    <row r="9" spans="1:20" x14ac:dyDescent="0.3">
      <c r="A9" t="s">
        <v>0</v>
      </c>
      <c r="C9" s="5">
        <f>+C8/B8-1</f>
        <v>0.11868283909053168</v>
      </c>
      <c r="D9" s="5">
        <f t="shared" ref="D9:N9" si="0">+D8/C8-1</f>
        <v>7.8948236341749078E-2</v>
      </c>
      <c r="E9" s="5">
        <f t="shared" si="0"/>
        <v>8.3411663113169388E-2</v>
      </c>
      <c r="F9" s="5">
        <f t="shared" si="0"/>
        <v>8.5799734785430237E-2</v>
      </c>
      <c r="G9" s="5">
        <f t="shared" si="0"/>
        <v>7.5278037626026473E-2</v>
      </c>
      <c r="H9" s="5">
        <f t="shared" si="0"/>
        <v>2.2395543848626076E-2</v>
      </c>
      <c r="I9" s="5">
        <f t="shared" si="0"/>
        <v>5.8730374458580314E-2</v>
      </c>
      <c r="J9" s="5">
        <f t="shared" si="0"/>
        <v>6.6127141820617297E-2</v>
      </c>
      <c r="K9" s="5">
        <f t="shared" si="0"/>
        <v>5.8978734988325732E-2</v>
      </c>
      <c r="L9" s="5">
        <f t="shared" si="0"/>
        <v>4.3260959838642643E-2</v>
      </c>
      <c r="M9" s="5">
        <f t="shared" si="0"/>
        <v>3.1250740398512056E-2</v>
      </c>
      <c r="N9" s="5">
        <f t="shared" si="0"/>
        <v>2.376510591370673E-2</v>
      </c>
      <c r="O9" s="5">
        <f t="shared" ref="O9" si="1">+O8/N8-1</f>
        <v>3.2149621637148629E-2</v>
      </c>
      <c r="P9" s="5">
        <f t="shared" ref="P9" si="2">+P8/O8-1</f>
        <v>8.8622181636335284E-3</v>
      </c>
      <c r="Q9" s="5">
        <f>+Q8/O8-1</f>
        <v>3.9092905442132952E-3</v>
      </c>
      <c r="R9" s="5">
        <f t="shared" ref="R9" si="3">+R8/Q8-1</f>
        <v>2.2987559775452304E-2</v>
      </c>
      <c r="S9" s="5">
        <f t="shared" ref="S9" si="4">+S8/R8-1</f>
        <v>6.4508343530746748E-2</v>
      </c>
      <c r="T9" s="5">
        <f t="shared" ref="T9" si="5">+T8/S8-1</f>
        <v>4.5623413920113265E-2</v>
      </c>
    </row>
    <row r="11" spans="1:20" x14ac:dyDescent="0.3">
      <c r="A11" t="s">
        <v>2</v>
      </c>
      <c r="B11" s="4">
        <f>+[3]table2!J19</f>
        <v>125599</v>
      </c>
      <c r="C11" s="4">
        <f>+[3]table2!K19</f>
        <v>151527</v>
      </c>
      <c r="D11" s="4">
        <v>176239</v>
      </c>
      <c r="E11" s="4">
        <v>210293</v>
      </c>
      <c r="F11" s="4">
        <v>245399</v>
      </c>
      <c r="G11" s="4">
        <v>271623</v>
      </c>
      <c r="H11" s="4">
        <v>291624</v>
      </c>
      <c r="I11" s="4">
        <v>323236</v>
      </c>
      <c r="J11" s="4">
        <v>341756</v>
      </c>
      <c r="K11" s="4">
        <v>351439</v>
      </c>
      <c r="L11" s="4">
        <v>374030</v>
      </c>
      <c r="M11" s="4">
        <v>390709</v>
      </c>
      <c r="N11" s="4">
        <v>413364</v>
      </c>
      <c r="O11" s="4">
        <v>427263</v>
      </c>
      <c r="P11" s="4">
        <v>441544</v>
      </c>
      <c r="Q11" s="4">
        <v>456640</v>
      </c>
      <c r="R11" s="4">
        <v>482377</v>
      </c>
      <c r="S11" s="4">
        <v>543578</v>
      </c>
      <c r="T11" s="4">
        <v>619402</v>
      </c>
    </row>
    <row r="12" spans="1:20" x14ac:dyDescent="0.3">
      <c r="A12" t="s">
        <v>0</v>
      </c>
      <c r="C12" s="5">
        <f t="shared" ref="C12:N12" si="6">+C11/B11-1</f>
        <v>0.20643476460799848</v>
      </c>
      <c r="D12" s="5">
        <f t="shared" si="6"/>
        <v>0.16308644663987271</v>
      </c>
      <c r="E12" s="5">
        <f t="shared" si="6"/>
        <v>0.19322624390742127</v>
      </c>
      <c r="F12" s="5">
        <f t="shared" si="6"/>
        <v>0.16693850960326784</v>
      </c>
      <c r="G12" s="5">
        <f t="shared" si="6"/>
        <v>0.10686270115200136</v>
      </c>
      <c r="H12" s="5">
        <f t="shared" si="6"/>
        <v>7.3635148717155818E-2</v>
      </c>
      <c r="I12" s="5">
        <f t="shared" si="6"/>
        <v>0.1083998573505609</v>
      </c>
      <c r="J12" s="5">
        <f t="shared" si="6"/>
        <v>5.7295598262569802E-2</v>
      </c>
      <c r="K12" s="5">
        <f t="shared" si="6"/>
        <v>2.8333079741101885E-2</v>
      </c>
      <c r="L12" s="5">
        <f t="shared" si="6"/>
        <v>6.428142579508811E-2</v>
      </c>
      <c r="M12" s="5">
        <f t="shared" si="6"/>
        <v>4.4592679731572327E-2</v>
      </c>
      <c r="N12" s="5">
        <f t="shared" si="6"/>
        <v>5.7984331049451221E-2</v>
      </c>
      <c r="O12" s="5">
        <f t="shared" ref="O12" si="7">+O11/N11-1</f>
        <v>3.3624118210584308E-2</v>
      </c>
      <c r="P12" s="5">
        <f t="shared" ref="P12" si="8">+P11/O11-1</f>
        <v>3.3424377959242912E-2</v>
      </c>
      <c r="Q12" s="5">
        <f t="shared" ref="Q12" si="9">+Q11/P11-1</f>
        <v>3.4189118185277145E-2</v>
      </c>
      <c r="R12" s="5">
        <f t="shared" ref="R12" si="10">+R11/Q11-1</f>
        <v>5.6361685353889301E-2</v>
      </c>
      <c r="S12" s="5">
        <f t="shared" ref="S12" si="11">+S11/R11-1</f>
        <v>0.12687379373394658</v>
      </c>
      <c r="T12" s="5">
        <f t="shared" ref="T12" si="12">+T11/S11-1</f>
        <v>0.13949056069230181</v>
      </c>
    </row>
    <row r="37" spans="2:2" x14ac:dyDescent="0.3">
      <c r="B37" s="6">
        <v>21000000000</v>
      </c>
    </row>
    <row r="38" spans="2:2" x14ac:dyDescent="0.3">
      <c r="B38">
        <v>21000</v>
      </c>
    </row>
    <row r="39" spans="2:2" x14ac:dyDescent="0.3">
      <c r="B39">
        <f>+B37/B38</f>
        <v>1000000</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55"/>
  <sheetViews>
    <sheetView zoomScale="55" zoomScaleNormal="55" workbookViewId="0">
      <selection activeCell="L38" sqref="L38"/>
    </sheetView>
  </sheetViews>
  <sheetFormatPr defaultRowHeight="14.4" x14ac:dyDescent="0.3"/>
  <cols>
    <col min="1" max="1" width="18.109375" customWidth="1"/>
    <col min="3" max="3" width="11" customWidth="1"/>
    <col min="6" max="6" width="25" bestFit="1" customWidth="1"/>
    <col min="7" max="7" width="33.5546875" bestFit="1" customWidth="1"/>
    <col min="8" max="8" width="14" bestFit="1" customWidth="1"/>
  </cols>
  <sheetData>
    <row r="1" spans="1:9" s="7" customFormat="1" x14ac:dyDescent="0.3">
      <c r="A1" s="271"/>
    </row>
    <row r="2" spans="1:9" s="7" customFormat="1" x14ac:dyDescent="0.3">
      <c r="C2" s="31" t="s">
        <v>1144</v>
      </c>
      <c r="E2" s="31"/>
    </row>
    <row r="3" spans="1:9" s="7" customFormat="1" x14ac:dyDescent="0.3">
      <c r="A3" s="270" t="s">
        <v>109</v>
      </c>
      <c r="C3" s="7" t="s">
        <v>20</v>
      </c>
      <c r="E3" s="18" t="s">
        <v>1146</v>
      </c>
      <c r="F3" s="7" t="s">
        <v>1154</v>
      </c>
      <c r="G3" s="7" t="s">
        <v>1148</v>
      </c>
      <c r="H3" s="7" t="s">
        <v>1157</v>
      </c>
    </row>
    <row r="4" spans="1:9" s="7" customFormat="1" x14ac:dyDescent="0.3">
      <c r="B4" s="265">
        <f>++B22</f>
        <v>42094</v>
      </c>
      <c r="C4" s="266">
        <f>+[4]Income!$AM$4</f>
        <v>32669.267</v>
      </c>
      <c r="F4" s="266">
        <f>+[4]Income!$AM$58</f>
        <v>25987.523000000001</v>
      </c>
      <c r="G4" s="266">
        <f>+[4]Income!$AM$62</f>
        <v>5775</v>
      </c>
      <c r="H4" s="266">
        <f>[4]Income!$AM$66</f>
        <v>986.06899999999996</v>
      </c>
    </row>
    <row r="5" spans="1:9" s="7" customFormat="1" x14ac:dyDescent="0.3">
      <c r="B5" s="265" t="str">
        <f t="shared" ref="B5:B7" si="0">++B23</f>
        <v>6/31/2015</v>
      </c>
      <c r="C5" s="266">
        <f>+[4]Income!$AN$4</f>
        <v>34233.555999999997</v>
      </c>
      <c r="F5" s="266">
        <f>+[4]Income!$AN$58</f>
        <v>26692.988000000001</v>
      </c>
      <c r="G5" s="266">
        <f>+[4]Income!$AN$62</f>
        <v>6065.84</v>
      </c>
      <c r="H5" s="266">
        <f>+[4]Income!$AN$66</f>
        <v>1532.9069999999999</v>
      </c>
    </row>
    <row r="6" spans="1:9" s="7" customFormat="1" x14ac:dyDescent="0.3">
      <c r="B6" s="265" t="str">
        <f t="shared" si="0"/>
        <v>9/31/2015</v>
      </c>
      <c r="C6" s="266">
        <f>+[4]Income!$AO$4</f>
        <v>35470.377999999997</v>
      </c>
      <c r="F6" s="266">
        <f>+[4]Income!$AO$58</f>
        <v>27849.0726</v>
      </c>
      <c r="G6" s="266">
        <f>+[4]Income!$AO$62</f>
        <v>6127.4023999999999</v>
      </c>
      <c r="H6" s="266">
        <f>+[4]Income!$AO$66</f>
        <v>1557.201</v>
      </c>
    </row>
    <row r="7" spans="1:9" s="7" customFormat="1" x14ac:dyDescent="0.3">
      <c r="B7" s="265">
        <f t="shared" si="0"/>
        <v>42368</v>
      </c>
      <c r="C7" s="266">
        <f>+[4]Income!$AQ$4</f>
        <v>36709.046000000002</v>
      </c>
      <c r="F7" s="266">
        <f>+[4]Income!$AQ$58</f>
        <v>28426.008769999997</v>
      </c>
      <c r="G7" s="266">
        <f>+[4]Income!$AQ$62</f>
        <v>6768.6702299999997</v>
      </c>
      <c r="H7" s="266">
        <f>+[4]Income!$AQ$66</f>
        <v>1577.8150000000001</v>
      </c>
    </row>
    <row r="8" spans="1:9" s="7" customFormat="1" ht="15" thickBot="1" x14ac:dyDescent="0.35">
      <c r="A8" s="267" t="s">
        <v>1145</v>
      </c>
      <c r="B8" s="267"/>
      <c r="C8" s="268">
        <f>SUM(C4:C7)</f>
        <v>139082.247</v>
      </c>
      <c r="D8" s="267"/>
      <c r="E8" s="267"/>
      <c r="F8" s="268">
        <f>SUM(F4:F7)</f>
        <v>108955.59237</v>
      </c>
      <c r="G8" s="268">
        <f>SUM(G4:G7)</f>
        <v>24736.912629999999</v>
      </c>
      <c r="H8" s="268">
        <f>SUM(H4:H7)</f>
        <v>5653.9920000000002</v>
      </c>
      <c r="I8" s="269"/>
    </row>
    <row r="9" spans="1:9" s="7" customFormat="1" ht="15" thickTop="1" x14ac:dyDescent="0.3">
      <c r="E9" s="7" t="s">
        <v>1147</v>
      </c>
      <c r="F9" s="269">
        <f>F8/$C$8</f>
        <v>0.78338964691877599</v>
      </c>
      <c r="G9" s="269">
        <f>G8/$C$8</f>
        <v>0.17785816064648421</v>
      </c>
      <c r="H9" s="269">
        <f>H8/$C$8</f>
        <v>4.0652147358533834E-2</v>
      </c>
    </row>
    <row r="10" spans="1:9" s="7" customFormat="1" x14ac:dyDescent="0.3"/>
    <row r="11" spans="1:9" s="7" customFormat="1" x14ac:dyDescent="0.3">
      <c r="C11" s="31" t="s">
        <v>1156</v>
      </c>
    </row>
    <row r="12" spans="1:9" s="7" customFormat="1" x14ac:dyDescent="0.3">
      <c r="C12" s="7" t="s">
        <v>20</v>
      </c>
      <c r="E12" s="18" t="s">
        <v>1146</v>
      </c>
      <c r="F12" s="7" t="s">
        <v>1155</v>
      </c>
      <c r="G12" s="7" t="str">
        <f>+H3</f>
        <v>Other Services</v>
      </c>
    </row>
    <row r="13" spans="1:9" s="7" customFormat="1" x14ac:dyDescent="0.3">
      <c r="B13" s="265">
        <f>+B4</f>
        <v>42094</v>
      </c>
      <c r="C13" s="266">
        <f>+F13+G13</f>
        <v>552.72500000000002</v>
      </c>
      <c r="D13" s="266"/>
      <c r="F13" s="266">
        <f>[4]Income!$AM$127</f>
        <v>488.57499999999999</v>
      </c>
      <c r="G13" s="266">
        <f>+[4]Income!$AM$128</f>
        <v>64.150000000000006</v>
      </c>
      <c r="H13" s="266"/>
    </row>
    <row r="14" spans="1:9" s="7" customFormat="1" x14ac:dyDescent="0.3">
      <c r="B14" s="265" t="str">
        <f t="shared" ref="B14:B16" si="1">+B5</f>
        <v>6/31/2015</v>
      </c>
      <c r="C14" s="266">
        <f t="shared" ref="C14:C16" si="2">+F14+G14</f>
        <v>455.14300000000003</v>
      </c>
      <c r="D14" s="266"/>
      <c r="F14" s="266">
        <f>+[4]Income!$AN$127</f>
        <v>377.77100000000002</v>
      </c>
      <c r="G14" s="266">
        <f>+[4]Income!$AN$128</f>
        <v>77.372</v>
      </c>
      <c r="H14" s="266"/>
    </row>
    <row r="15" spans="1:9" s="7" customFormat="1" x14ac:dyDescent="0.3">
      <c r="B15" s="265" t="str">
        <f t="shared" si="1"/>
        <v>9/31/2015</v>
      </c>
      <c r="C15" s="266">
        <f t="shared" si="2"/>
        <v>455.96199999999999</v>
      </c>
      <c r="D15" s="266"/>
      <c r="F15" s="266">
        <f>+[4]Income!$AO$127</f>
        <v>388.14400000000001</v>
      </c>
      <c r="G15" s="266">
        <f>+[4]Income!$AO$128</f>
        <v>67.817999999999998</v>
      </c>
      <c r="H15" s="266"/>
    </row>
    <row r="16" spans="1:9" s="7" customFormat="1" x14ac:dyDescent="0.3">
      <c r="B16" s="265">
        <f t="shared" si="1"/>
        <v>42368</v>
      </c>
      <c r="C16" s="266">
        <f t="shared" si="2"/>
        <v>475.12400000000002</v>
      </c>
      <c r="D16" s="266"/>
      <c r="F16" s="266">
        <f>+[4]Income!$AQ$127</f>
        <v>379.55900000000003</v>
      </c>
      <c r="G16" s="266">
        <f>+[4]Income!$AQ$128</f>
        <v>95.564999999999998</v>
      </c>
      <c r="H16" s="266"/>
    </row>
    <row r="17" spans="1:8" s="7" customFormat="1" ht="15" thickBot="1" x14ac:dyDescent="0.35">
      <c r="A17" s="267" t="s">
        <v>1153</v>
      </c>
      <c r="B17" s="267"/>
      <c r="C17" s="268">
        <f>SUM(C13:C16)</f>
        <v>1938.954</v>
      </c>
      <c r="D17" s="268"/>
      <c r="E17" s="267"/>
      <c r="F17" s="268">
        <f>SUM(F13:F16)</f>
        <v>1634.049</v>
      </c>
      <c r="G17" s="268">
        <f>SUM(G13:G16)</f>
        <v>304.90499999999997</v>
      </c>
      <c r="H17" s="268"/>
    </row>
    <row r="18" spans="1:8" s="7" customFormat="1" ht="15" thickTop="1" x14ac:dyDescent="0.3">
      <c r="E18" s="7" t="s">
        <v>1147</v>
      </c>
      <c r="F18" s="269">
        <f>F17/$C$17</f>
        <v>0.84274768767077513</v>
      </c>
      <c r="G18" s="269">
        <f>G17/C17</f>
        <v>0.15725231232922493</v>
      </c>
      <c r="H18" s="269"/>
    </row>
    <row r="19" spans="1:8" s="7" customFormat="1" x14ac:dyDescent="0.3"/>
    <row r="20" spans="1:8" s="7" customFormat="1" x14ac:dyDescent="0.3">
      <c r="C20" s="31" t="s">
        <v>1144</v>
      </c>
    </row>
    <row r="21" spans="1:8" s="7" customFormat="1" x14ac:dyDescent="0.3">
      <c r="A21" s="270" t="s">
        <v>255</v>
      </c>
      <c r="C21" s="7" t="s">
        <v>20</v>
      </c>
      <c r="E21" s="18" t="s">
        <v>1146</v>
      </c>
      <c r="F21" s="7" t="s">
        <v>1149</v>
      </c>
      <c r="G21" s="7" t="s">
        <v>1150</v>
      </c>
      <c r="H21" s="272"/>
    </row>
    <row r="22" spans="1:8" s="7" customFormat="1" x14ac:dyDescent="0.3">
      <c r="B22" s="265">
        <f>+B31</f>
        <v>42094</v>
      </c>
      <c r="C22" s="266">
        <f>+[5]Income!$AN$4</f>
        <v>25375</v>
      </c>
      <c r="F22" s="266">
        <f>+[5]Income!$AN$83</f>
        <v>22605</v>
      </c>
      <c r="G22" s="266">
        <f>+[5]Income!$AN$97</f>
        <v>2774</v>
      </c>
      <c r="H22" s="272"/>
    </row>
    <row r="23" spans="1:8" s="7" customFormat="1" x14ac:dyDescent="0.3">
      <c r="B23" s="265" t="str">
        <f t="shared" ref="B23:B25" si="3">+B32</f>
        <v>6/31/2015</v>
      </c>
      <c r="C23" s="266">
        <f>+[5]Income!$AO$4</f>
        <v>27547</v>
      </c>
      <c r="F23" s="266">
        <f>+[5]Income!$AO$83</f>
        <v>24676</v>
      </c>
      <c r="G23" s="266">
        <f>+[5]Income!$AO$97</f>
        <v>2855</v>
      </c>
      <c r="H23" s="272"/>
    </row>
    <row r="24" spans="1:8" s="7" customFormat="1" x14ac:dyDescent="0.3">
      <c r="B24" s="265" t="str">
        <f t="shared" si="3"/>
        <v>9/31/2015</v>
      </c>
      <c r="C24" s="266">
        <f>+[5]Income!$AQ$4</f>
        <v>28055</v>
      </c>
      <c r="F24" s="266">
        <f>+[5]Income!$AQ$83</f>
        <v>25140</v>
      </c>
      <c r="G24" s="266">
        <f>+[5]Income!$AQ$97</f>
        <v>2919</v>
      </c>
      <c r="H24" s="272"/>
    </row>
    <row r="25" spans="1:8" s="7" customFormat="1" x14ac:dyDescent="0.3">
      <c r="B25" s="265">
        <f t="shared" si="3"/>
        <v>42368</v>
      </c>
      <c r="C25" s="266">
        <f>+[5]Income!$AR$4</f>
        <v>31445</v>
      </c>
      <c r="F25" s="266">
        <f>+[5]Income!$AR$83</f>
        <v>28287</v>
      </c>
      <c r="G25" s="266">
        <f>+[5]Income!$AR$97</f>
        <v>3162</v>
      </c>
      <c r="H25" s="273"/>
    </row>
    <row r="26" spans="1:8" s="7" customFormat="1" ht="15" thickBot="1" x14ac:dyDescent="0.35">
      <c r="A26" s="267" t="s">
        <v>1145</v>
      </c>
      <c r="B26" s="267"/>
      <c r="C26" s="268">
        <f>SUM(C22:C25)</f>
        <v>112422</v>
      </c>
      <c r="D26" s="267"/>
      <c r="E26" s="267"/>
      <c r="F26" s="268">
        <f>SUM(F22:F25)</f>
        <v>100708</v>
      </c>
      <c r="G26" s="268">
        <f>SUM(G22:G25)</f>
        <v>11710</v>
      </c>
      <c r="H26" s="269"/>
    </row>
    <row r="27" spans="1:8" s="7" customFormat="1" ht="15" thickTop="1" x14ac:dyDescent="0.3">
      <c r="E27" s="7" t="s">
        <v>1147</v>
      </c>
      <c r="F27" s="269">
        <f>F26/$C$26</f>
        <v>0.895803312518902</v>
      </c>
      <c r="G27" s="269">
        <f>G26/$C$26</f>
        <v>0.10416110725658678</v>
      </c>
    </row>
    <row r="28" spans="1:8" s="7" customFormat="1" x14ac:dyDescent="0.3"/>
    <row r="29" spans="1:8" s="7" customFormat="1" x14ac:dyDescent="0.3">
      <c r="C29" s="31" t="s">
        <v>1156</v>
      </c>
    </row>
    <row r="30" spans="1:8" s="7" customFormat="1" x14ac:dyDescent="0.3">
      <c r="C30" s="7" t="s">
        <v>20</v>
      </c>
      <c r="E30" s="18" t="s">
        <v>1146</v>
      </c>
      <c r="F30" s="7" t="s">
        <v>1149</v>
      </c>
      <c r="G30" s="7" t="s">
        <v>1150</v>
      </c>
    </row>
    <row r="31" spans="1:8" s="7" customFormat="1" x14ac:dyDescent="0.3">
      <c r="B31" s="265">
        <f>+B40</f>
        <v>42094</v>
      </c>
      <c r="C31" s="266">
        <v>474</v>
      </c>
      <c r="D31" s="266"/>
      <c r="F31" s="266">
        <f>+[5]Income!$AN$92</f>
        <v>567</v>
      </c>
      <c r="G31" s="266">
        <f>+[5]Income!$AN$106</f>
        <v>102</v>
      </c>
    </row>
    <row r="32" spans="1:8" s="7" customFormat="1" x14ac:dyDescent="0.3">
      <c r="B32" s="265" t="str">
        <f t="shared" ref="B32:B34" si="4">+B41</f>
        <v>6/31/2015</v>
      </c>
      <c r="C32" s="266">
        <v>535</v>
      </c>
      <c r="D32" s="266"/>
      <c r="F32" s="266">
        <f>+[5]Income!$AO$92</f>
        <v>535</v>
      </c>
      <c r="G32" s="266">
        <f>+[5]Income!$AO$106</f>
        <v>103</v>
      </c>
    </row>
    <row r="33" spans="1:7" s="7" customFormat="1" x14ac:dyDescent="0.3">
      <c r="B33" s="265" t="str">
        <f t="shared" si="4"/>
        <v>9/31/2015</v>
      </c>
      <c r="C33" s="266">
        <v>598</v>
      </c>
      <c r="D33" s="266"/>
      <c r="F33" s="266">
        <f>+[5]Income!$AQ$92</f>
        <v>657</v>
      </c>
      <c r="G33" s="266">
        <f>+[5]Income!$AQ$106</f>
        <v>101</v>
      </c>
    </row>
    <row r="34" spans="1:7" s="7" customFormat="1" x14ac:dyDescent="0.3">
      <c r="B34" s="265">
        <f t="shared" si="4"/>
        <v>42368</v>
      </c>
      <c r="C34" s="266">
        <v>499</v>
      </c>
      <c r="D34" s="266"/>
      <c r="F34" s="266">
        <f>+[5]Income!$AR$92</f>
        <v>627</v>
      </c>
      <c r="G34" s="266">
        <f>+[5]Income!$AR$106</f>
        <v>106</v>
      </c>
    </row>
    <row r="35" spans="1:7" s="7" customFormat="1" ht="15" thickBot="1" x14ac:dyDescent="0.35">
      <c r="A35" s="267" t="s">
        <v>1153</v>
      </c>
      <c r="B35" s="267"/>
      <c r="C35" s="268">
        <f>SUM(C31:C34)</f>
        <v>2106</v>
      </c>
      <c r="D35" s="268"/>
      <c r="E35" s="267"/>
      <c r="F35" s="268">
        <f>SUM(F31:F34)</f>
        <v>2386</v>
      </c>
      <c r="G35" s="268">
        <f>SUM(G31:G34)</f>
        <v>412</v>
      </c>
    </row>
    <row r="36" spans="1:7" s="7" customFormat="1" ht="15" thickTop="1" x14ac:dyDescent="0.3">
      <c r="E36" s="7" t="s">
        <v>1147</v>
      </c>
      <c r="F36" s="269">
        <f>F35/$C35</f>
        <v>1.1329534662867997</v>
      </c>
      <c r="G36" s="269">
        <f>G35/C35</f>
        <v>0.1956315289648623</v>
      </c>
    </row>
    <row r="37" spans="1:7" s="7" customFormat="1" x14ac:dyDescent="0.3"/>
    <row r="38" spans="1:7" s="7" customFormat="1" x14ac:dyDescent="0.3">
      <c r="C38" s="31" t="s">
        <v>1144</v>
      </c>
    </row>
    <row r="39" spans="1:7" s="7" customFormat="1" x14ac:dyDescent="0.3">
      <c r="A39" s="270" t="s">
        <v>110</v>
      </c>
      <c r="C39" s="7" t="s">
        <v>20</v>
      </c>
      <c r="E39" s="18" t="s">
        <v>1146</v>
      </c>
      <c r="F39" s="7" t="s">
        <v>1151</v>
      </c>
      <c r="G39" s="7" t="s">
        <v>1152</v>
      </c>
    </row>
    <row r="40" spans="1:7" s="7" customFormat="1" x14ac:dyDescent="0.3">
      <c r="B40" s="265">
        <v>42094</v>
      </c>
      <c r="C40" s="266">
        <f>+[6]Income!$AO$10</f>
        <v>44925</v>
      </c>
      <c r="F40" s="266">
        <f>+[6]Income!$AO$93</f>
        <v>44149</v>
      </c>
      <c r="G40" s="266">
        <f>+[6]Income!$AO$99</f>
        <v>776</v>
      </c>
    </row>
    <row r="41" spans="1:7" s="7" customFormat="1" x14ac:dyDescent="0.3">
      <c r="B41" s="265" t="s">
        <v>1545</v>
      </c>
      <c r="C41" s="266">
        <f>+[6]Income!$AQ$10</f>
        <v>47546</v>
      </c>
      <c r="F41" s="266">
        <f>+[6]Income!$AQ$93</f>
        <v>46810</v>
      </c>
      <c r="G41" s="266">
        <f>+[6]Income!$AQ$99</f>
        <v>736</v>
      </c>
    </row>
    <row r="42" spans="1:7" s="7" customFormat="1" x14ac:dyDescent="0.3">
      <c r="B42" s="265" t="s">
        <v>1544</v>
      </c>
      <c r="C42" s="266">
        <f>+[6]Income!$AR$10</f>
        <v>48761</v>
      </c>
      <c r="F42" s="266">
        <f>+[6]Income!$AR$93</f>
        <v>48040</v>
      </c>
      <c r="G42" s="266">
        <f>+[6]Income!$AR$99</f>
        <v>721</v>
      </c>
    </row>
    <row r="43" spans="1:7" s="7" customFormat="1" x14ac:dyDescent="0.3">
      <c r="B43" s="265">
        <v>42368</v>
      </c>
      <c r="C43" s="266">
        <f>+[6]Income!$AS$10</f>
        <v>47899</v>
      </c>
      <c r="F43" s="266">
        <f>+[6]Income!$AT$93</f>
        <v>45810.49771565495</v>
      </c>
      <c r="G43" s="266">
        <f>+[6]Income!$AS$99</f>
        <v>694</v>
      </c>
    </row>
    <row r="44" spans="1:7" s="7" customFormat="1" ht="15" thickBot="1" x14ac:dyDescent="0.35">
      <c r="A44" s="267" t="s">
        <v>1145</v>
      </c>
      <c r="B44" s="267"/>
      <c r="C44" s="268">
        <f>SUM(C40:C43)</f>
        <v>189131</v>
      </c>
      <c r="D44" s="267"/>
      <c r="E44" s="267"/>
      <c r="F44" s="268">
        <f>SUM(F40:F43)</f>
        <v>184809.49771565496</v>
      </c>
      <c r="G44" s="268">
        <f>SUM(G40:G43)</f>
        <v>2927</v>
      </c>
    </row>
    <row r="45" spans="1:7" s="7" customFormat="1" ht="15" thickTop="1" x14ac:dyDescent="0.3">
      <c r="E45" s="7" t="s">
        <v>1147</v>
      </c>
      <c r="F45" s="269">
        <f>F44/$C$44</f>
        <v>0.97715074586215356</v>
      </c>
      <c r="G45" s="269">
        <f>G44/$C$44</f>
        <v>1.547604570377146E-2</v>
      </c>
    </row>
    <row r="46" spans="1:7" s="7" customFormat="1" x14ac:dyDescent="0.3"/>
    <row r="47" spans="1:7" s="7" customFormat="1" x14ac:dyDescent="0.3">
      <c r="C47" s="31" t="s">
        <v>1156</v>
      </c>
    </row>
    <row r="48" spans="1:7" s="7" customFormat="1" x14ac:dyDescent="0.3">
      <c r="C48" s="7" t="s">
        <v>20</v>
      </c>
      <c r="E48" s="18" t="s">
        <v>1146</v>
      </c>
      <c r="F48" s="7" t="s">
        <v>1151</v>
      </c>
      <c r="G48" s="7" t="s">
        <v>1152</v>
      </c>
    </row>
    <row r="49" spans="1:7" s="7" customFormat="1" x14ac:dyDescent="0.3">
      <c r="B49" s="265">
        <f>+B40</f>
        <v>42094</v>
      </c>
      <c r="C49" s="266">
        <v>805</v>
      </c>
      <c r="D49" s="266"/>
      <c r="F49" s="266">
        <f>[6]Income!$AO$134</f>
        <v>1074</v>
      </c>
      <c r="G49" s="266">
        <f>+[6]Income!$AO$138</f>
        <v>143</v>
      </c>
    </row>
    <row r="50" spans="1:7" s="7" customFormat="1" x14ac:dyDescent="0.3">
      <c r="B50" s="265" t="str">
        <f t="shared" ref="B50:B52" si="5">+B41</f>
        <v>6/31/2015</v>
      </c>
      <c r="C50" s="266">
        <v>660</v>
      </c>
      <c r="D50" s="266"/>
      <c r="F50" s="266">
        <f>+[6]Income!$AQ$134</f>
        <v>1133</v>
      </c>
      <c r="G50" s="266">
        <f>+[6]Income!$AQ$138</f>
        <v>167</v>
      </c>
    </row>
    <row r="51" spans="1:7" s="7" customFormat="1" x14ac:dyDescent="0.3">
      <c r="B51" s="265" t="str">
        <f t="shared" si="5"/>
        <v>9/31/2015</v>
      </c>
      <c r="C51" s="266">
        <v>693</v>
      </c>
      <c r="D51" s="266"/>
      <c r="F51" s="266">
        <f>+[6]Income!$AR$134</f>
        <v>1148</v>
      </c>
      <c r="G51" s="266">
        <f>+[6]Income!$AR$138</f>
        <v>157</v>
      </c>
    </row>
    <row r="52" spans="1:7" s="7" customFormat="1" x14ac:dyDescent="0.3">
      <c r="B52" s="265">
        <f t="shared" si="5"/>
        <v>42368</v>
      </c>
      <c r="C52" s="266">
        <v>837</v>
      </c>
      <c r="D52" s="266"/>
      <c r="F52" s="266">
        <f>+[6]Income!$AS$134</f>
        <v>1058</v>
      </c>
      <c r="G52" s="266">
        <f>+[6]Income!$AS$138</f>
        <v>133</v>
      </c>
    </row>
    <row r="53" spans="1:7" s="7" customFormat="1" ht="15" thickBot="1" x14ac:dyDescent="0.35">
      <c r="A53" s="267" t="s">
        <v>1153</v>
      </c>
      <c r="B53" s="267"/>
      <c r="C53" s="268">
        <f>SUM(C49:C52)</f>
        <v>2995</v>
      </c>
      <c r="D53" s="268"/>
      <c r="E53" s="267"/>
      <c r="F53" s="268">
        <f>SUM(F49:F52)</f>
        <v>4413</v>
      </c>
      <c r="G53" s="268">
        <f>SUM(G49:G52)</f>
        <v>600</v>
      </c>
    </row>
    <row r="54" spans="1:7" s="7" customFormat="1" ht="15" thickTop="1" x14ac:dyDescent="0.3">
      <c r="E54" s="7" t="s">
        <v>1147</v>
      </c>
      <c r="F54" s="269">
        <f>F53/$C53</f>
        <v>1.4734557595993323</v>
      </c>
      <c r="G54" s="269">
        <f>G53/C53</f>
        <v>0.20033388981636061</v>
      </c>
    </row>
    <row r="55" spans="1:7" s="7" customFormat="1" x14ac:dyDescent="0.3"/>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AK169"/>
  <sheetViews>
    <sheetView zoomScale="40" zoomScaleNormal="40" workbookViewId="0">
      <pane xSplit="1" topLeftCell="B1" activePane="topRight" state="frozen"/>
      <selection pane="topRight" activeCell="V55" sqref="V55"/>
    </sheetView>
  </sheetViews>
  <sheetFormatPr defaultRowHeight="14.4" outlineLevelCol="1" x14ac:dyDescent="0.3"/>
  <cols>
    <col min="1" max="1" width="34" bestFit="1" customWidth="1"/>
    <col min="2" max="2" width="20" bestFit="1" customWidth="1"/>
    <col min="3" max="3" width="20.44140625" bestFit="1" customWidth="1"/>
    <col min="4" max="4" width="10.88671875" bestFit="1" customWidth="1"/>
    <col min="5" max="5" width="10.5546875" customWidth="1"/>
    <col min="6" max="6" width="11.44140625" hidden="1" customWidth="1" outlineLevel="1"/>
    <col min="7" max="7" width="10.88671875" customWidth="1" collapsed="1"/>
    <col min="11" max="11" width="9.109375" hidden="1" customWidth="1" outlineLevel="1"/>
    <col min="12" max="12" width="9.109375" collapsed="1"/>
    <col min="16" max="16" width="9.109375" hidden="1" customWidth="1" outlineLevel="1"/>
    <col min="17" max="17" width="9.109375" collapsed="1"/>
    <col min="21" max="21" width="9.109375" hidden="1" customWidth="1" outlineLevel="1"/>
    <col min="22" max="22" width="9.109375" collapsed="1"/>
    <col min="26" max="26" width="9.109375" hidden="1" customWidth="1" outlineLevel="1"/>
    <col min="27" max="27" width="9.109375" collapsed="1"/>
    <col min="31" max="31" width="9.109375" hidden="1" customWidth="1" outlineLevel="1"/>
    <col min="32" max="32" width="9.109375" collapsed="1"/>
    <col min="36" max="36" width="9.109375" hidden="1" customWidth="1" outlineLevel="1"/>
    <col min="37" max="37" width="9.109375" collapsed="1"/>
  </cols>
  <sheetData>
    <row r="2" spans="1:36" x14ac:dyDescent="0.3">
      <c r="A2" s="41"/>
    </row>
    <row r="4" spans="1:36" x14ac:dyDescent="0.3">
      <c r="B4" s="78">
        <v>2009</v>
      </c>
      <c r="C4" s="78"/>
      <c r="D4" s="78"/>
      <c r="E4" s="78"/>
      <c r="F4" s="79"/>
      <c r="G4" s="78">
        <f>B4+1</f>
        <v>2010</v>
      </c>
      <c r="H4" s="78"/>
      <c r="I4" s="78"/>
      <c r="J4" s="78"/>
      <c r="K4" s="79"/>
      <c r="L4" s="78">
        <f>G4+1</f>
        <v>2011</v>
      </c>
      <c r="M4" s="78"/>
      <c r="N4" s="78"/>
      <c r="O4" s="78"/>
      <c r="P4" s="79"/>
      <c r="Q4" s="78">
        <f>L4+1</f>
        <v>2012</v>
      </c>
      <c r="R4" s="78"/>
      <c r="S4" s="78"/>
      <c r="T4" s="78"/>
      <c r="U4" s="79"/>
      <c r="V4" s="78">
        <f>Q4+1</f>
        <v>2013</v>
      </c>
      <c r="W4" s="78"/>
      <c r="X4" s="78"/>
      <c r="Y4" s="78"/>
      <c r="Z4" s="79"/>
      <c r="AA4" s="78">
        <f>V4+1</f>
        <v>2014</v>
      </c>
      <c r="AB4" s="78"/>
      <c r="AC4" s="78"/>
      <c r="AD4" s="78"/>
      <c r="AE4" s="79"/>
      <c r="AF4" s="78">
        <f>AA4+1</f>
        <v>2015</v>
      </c>
      <c r="AG4" s="78"/>
      <c r="AH4" s="78"/>
      <c r="AI4" s="78"/>
      <c r="AJ4" s="79"/>
    </row>
    <row r="5" spans="1:36" x14ac:dyDescent="0.3">
      <c r="B5" s="80" t="s">
        <v>236</v>
      </c>
      <c r="C5" s="80" t="s">
        <v>237</v>
      </c>
      <c r="D5" s="80" t="s">
        <v>238</v>
      </c>
      <c r="E5" s="80" t="s">
        <v>239</v>
      </c>
      <c r="F5" s="81">
        <v>2009</v>
      </c>
      <c r="G5" s="80" t="s">
        <v>240</v>
      </c>
      <c r="H5" s="80" t="s">
        <v>241</v>
      </c>
      <c r="I5" s="80" t="s">
        <v>242</v>
      </c>
      <c r="J5" s="80" t="s">
        <v>243</v>
      </c>
      <c r="K5" s="81">
        <v>2010</v>
      </c>
      <c r="L5" s="80" t="s">
        <v>244</v>
      </c>
      <c r="M5" s="80" t="s">
        <v>245</v>
      </c>
      <c r="N5" s="80" t="s">
        <v>246</v>
      </c>
      <c r="O5" s="80" t="s">
        <v>247</v>
      </c>
      <c r="P5" s="81">
        <v>2011</v>
      </c>
      <c r="Q5" s="80" t="s">
        <v>1537</v>
      </c>
      <c r="R5" s="80" t="s">
        <v>1538</v>
      </c>
      <c r="S5" s="80" t="s">
        <v>248</v>
      </c>
      <c r="T5" s="80" t="s">
        <v>1141</v>
      </c>
      <c r="U5" s="81">
        <v>2012</v>
      </c>
      <c r="V5" s="80" t="s">
        <v>1140</v>
      </c>
      <c r="W5" s="80" t="s">
        <v>1142</v>
      </c>
      <c r="X5" s="80" t="s">
        <v>1527</v>
      </c>
      <c r="Y5" s="80" t="s">
        <v>1528</v>
      </c>
      <c r="Z5" s="81">
        <v>2013</v>
      </c>
      <c r="AA5" s="80" t="s">
        <v>1529</v>
      </c>
      <c r="AB5" s="80" t="s">
        <v>1530</v>
      </c>
      <c r="AC5" s="80" t="s">
        <v>1531</v>
      </c>
      <c r="AD5" s="80" t="s">
        <v>1532</v>
      </c>
      <c r="AE5" s="81">
        <v>2014</v>
      </c>
      <c r="AF5" s="80" t="s">
        <v>1533</v>
      </c>
      <c r="AG5" s="80" t="s">
        <v>1534</v>
      </c>
      <c r="AH5" s="80" t="s">
        <v>1535</v>
      </c>
      <c r="AI5" s="80" t="s">
        <v>1536</v>
      </c>
      <c r="AJ5" s="81">
        <v>2015</v>
      </c>
    </row>
    <row r="6" spans="1:36" x14ac:dyDescent="0.3">
      <c r="B6" s="264">
        <v>39903</v>
      </c>
      <c r="C6" s="264">
        <v>39994</v>
      </c>
      <c r="D6" s="264">
        <v>40086</v>
      </c>
      <c r="E6" s="264">
        <v>40178</v>
      </c>
      <c r="G6" s="264">
        <v>40268</v>
      </c>
      <c r="H6" s="264">
        <v>40359</v>
      </c>
      <c r="I6" s="264">
        <v>40451</v>
      </c>
      <c r="J6" s="264">
        <v>40543</v>
      </c>
      <c r="L6" s="264">
        <v>40633</v>
      </c>
      <c r="M6" s="264">
        <v>40724</v>
      </c>
      <c r="N6" s="264">
        <v>40816</v>
      </c>
      <c r="O6" s="264">
        <v>40908</v>
      </c>
      <c r="Q6" s="264">
        <v>40999</v>
      </c>
      <c r="R6" s="264">
        <v>41090</v>
      </c>
      <c r="S6" s="264">
        <v>41182</v>
      </c>
      <c r="T6" s="264">
        <v>41274</v>
      </c>
      <c r="V6" s="264">
        <v>41364</v>
      </c>
      <c r="W6" s="264">
        <v>41455</v>
      </c>
      <c r="X6" s="264">
        <v>41547</v>
      </c>
      <c r="Y6" s="264">
        <v>41639</v>
      </c>
      <c r="AA6" s="264">
        <v>41729</v>
      </c>
      <c r="AB6" s="264">
        <v>41820</v>
      </c>
      <c r="AC6" s="264">
        <v>41912</v>
      </c>
      <c r="AD6" s="264">
        <v>42004</v>
      </c>
      <c r="AF6" s="264">
        <v>42094</v>
      </c>
      <c r="AG6" s="264">
        <v>42185</v>
      </c>
      <c r="AH6" s="264">
        <v>42277</v>
      </c>
      <c r="AI6" s="264">
        <v>42369</v>
      </c>
    </row>
    <row r="7" spans="1:36" x14ac:dyDescent="0.3">
      <c r="A7" s="83" t="s">
        <v>109</v>
      </c>
    </row>
    <row r="8" spans="1:36" x14ac:dyDescent="0.3">
      <c r="A8" t="s">
        <v>250</v>
      </c>
      <c r="B8" s="82">
        <f>[7]Annual!H4</f>
        <v>17311.651000000002</v>
      </c>
      <c r="C8" s="82">
        <f>[7]Annual!I4</f>
        <v>18393.899000000001</v>
      </c>
      <c r="D8" s="82">
        <f>[7]Annual!J4</f>
        <v>18716.062999999998</v>
      </c>
      <c r="E8" s="82">
        <f>[7]Annual!K4</f>
        <v>19335.859</v>
      </c>
      <c r="F8" s="82">
        <f>[7]Annual!L4</f>
        <v>73757.471999999994</v>
      </c>
      <c r="G8" s="82">
        <f>[7]Annual!M4</f>
        <v>19300.627</v>
      </c>
      <c r="H8" s="82">
        <f>[7]Annual!N4</f>
        <v>19602.12</v>
      </c>
      <c r="I8" s="82">
        <f>[7]Annual!O4</f>
        <v>19715.373</v>
      </c>
      <c r="J8" s="82">
        <f>[7]Annual!P4</f>
        <v>19888.609</v>
      </c>
      <c r="K8" s="82">
        <f>[7]Annual!Q4</f>
        <v>78506.729000000007</v>
      </c>
      <c r="L8" s="82">
        <f>[7]Annual!R4</f>
        <v>19760.257000000001</v>
      </c>
      <c r="M8" s="82">
        <f>[7]Annual!S4</f>
        <v>20161.022000000001</v>
      </c>
      <c r="N8" s="82">
        <f>[7]Annual!T4</f>
        <v>20347.187999999998</v>
      </c>
      <c r="O8" s="82">
        <f>[7]Annual!U4</f>
        <v>20311.921999999999</v>
      </c>
      <c r="P8" s="82">
        <f>[7]Annual!V4</f>
        <v>80580.388999999996</v>
      </c>
      <c r="Q8" s="82">
        <f>[7]Annual!W4</f>
        <v>19708.370999999999</v>
      </c>
      <c r="R8" s="82">
        <f>[7]Annual!X4</f>
        <v>19326.807000000001</v>
      </c>
      <c r="S8" s="82">
        <f>[7]Annual!Y4</f>
        <v>19452.973999999998</v>
      </c>
      <c r="T8" s="82">
        <f>[7]Annual!Z4</f>
        <v>21059.811000000002</v>
      </c>
      <c r="U8" s="82">
        <f>[7]Annual!AA4</f>
        <v>79547.963000000003</v>
      </c>
      <c r="V8" s="82">
        <f>[7]Annual!AB4</f>
        <v>20523.668000000001</v>
      </c>
      <c r="W8" s="82">
        <f>[7]Annual!AC4</f>
        <v>21906.648000000001</v>
      </c>
      <c r="X8" s="82">
        <f>[7]Annual!AD4</f>
        <v>24469.040000000001</v>
      </c>
      <c r="Y8" s="82">
        <f>[7]Annual!AE4</f>
        <v>29176.362000000001</v>
      </c>
      <c r="Z8" s="82">
        <f>[7]Annual!AF4</f>
        <v>96075.717999999993</v>
      </c>
      <c r="AA8" s="82">
        <f>[7]Annual!AG4</f>
        <v>28455.902999999998</v>
      </c>
      <c r="AB8" s="82">
        <f>[7]Annual!AH4</f>
        <v>30348.153999999999</v>
      </c>
      <c r="AC8" s="82">
        <f>[7]Annual!AI4</f>
        <v>31588.707999999999</v>
      </c>
      <c r="AD8" s="82">
        <f>[7]Annual!AJ4</f>
        <v>33588.601999999999</v>
      </c>
      <c r="AE8" s="82">
        <f>[7]Annual!AK4</f>
        <v>123981.367</v>
      </c>
      <c r="AF8" s="82">
        <f>[7]Annual!AL4</f>
        <v>32669.267</v>
      </c>
      <c r="AG8" s="82">
        <f>[7]Annual!AM4</f>
        <v>34233.555999999997</v>
      </c>
      <c r="AH8" s="82">
        <f>[7]Annual!AN4</f>
        <v>35470.377999999997</v>
      </c>
      <c r="AI8" s="82">
        <f>[7]Annual!AO4</f>
        <v>36709.046000000002</v>
      </c>
      <c r="AJ8" s="82">
        <f>[7]Annual!AP4</f>
        <v>139082.247</v>
      </c>
    </row>
    <row r="9" spans="1:36" x14ac:dyDescent="0.3">
      <c r="A9" t="s">
        <v>249</v>
      </c>
      <c r="B9" s="82">
        <f>[7]Annual!H6</f>
        <v>552.47100000000137</v>
      </c>
      <c r="C9" s="82">
        <f>[7]Annual!I6</f>
        <v>519.22300000000178</v>
      </c>
      <c r="D9" s="82">
        <f>[7]Annual!J6</f>
        <v>538.53299999999945</v>
      </c>
      <c r="E9" s="82">
        <f>[7]Annual!K6</f>
        <v>563.36999999999898</v>
      </c>
      <c r="F9" s="82">
        <f>[7]Annual!L6</f>
        <v>2173.5969999999943</v>
      </c>
      <c r="G9" s="82">
        <f>[7]Annual!M6</f>
        <v>612.0679999999993</v>
      </c>
      <c r="H9" s="82">
        <f>[7]Annual!N6</f>
        <v>588.36999999999898</v>
      </c>
      <c r="I9" s="82">
        <f>[7]Annual!O6</f>
        <v>592.83399999999892</v>
      </c>
      <c r="J9" s="82">
        <f>[7]Annual!P6</f>
        <v>580.23199999999997</v>
      </c>
      <c r="K9" s="82">
        <f>[7]Annual!Q6</f>
        <v>2373.5040000000008</v>
      </c>
      <c r="L9" s="82">
        <f>[7]Annual!R6</f>
        <v>687.33600000000297</v>
      </c>
      <c r="M9" s="82">
        <f>[7]Annual!S6</f>
        <v>653.58100000000195</v>
      </c>
      <c r="N9" s="82">
        <f>[7]Annual!T6</f>
        <v>606.68099999999686</v>
      </c>
      <c r="O9" s="82">
        <f>[7]Annual!U6</f>
        <v>583.91699999999764</v>
      </c>
      <c r="P9" s="82">
        <f>[7]Annual!V6</f>
        <v>2531.5149999999994</v>
      </c>
      <c r="Q9" s="82">
        <f>[7]Annual!W6</f>
        <v>679.74099999999817</v>
      </c>
      <c r="R9" s="82">
        <f>[7]Annual!X6</f>
        <v>667.8660000000018</v>
      </c>
      <c r="S9" s="82">
        <f>[7]Annual!Y6</f>
        <v>719.54799999999886</v>
      </c>
      <c r="T9" s="82">
        <f>[7]Annual!Z6</f>
        <v>649.68700000000172</v>
      </c>
      <c r="U9" s="82">
        <f>[7]Annual!AA6</f>
        <v>2716.8420000000006</v>
      </c>
      <c r="V9" s="82">
        <f>[7]Annual!AB6</f>
        <v>713.31800000000294</v>
      </c>
      <c r="W9" s="82">
        <f>[7]Annual!AC6</f>
        <v>678.54300000000148</v>
      </c>
      <c r="X9" s="82">
        <f>[7]Annual!AD6</f>
        <v>720.38899999999921</v>
      </c>
      <c r="Y9" s="82">
        <f>[7]Annual!AE6</f>
        <v>725.05400000000009</v>
      </c>
      <c r="Z9" s="82">
        <f>[7]Annual!AF6</f>
        <v>2837.3040000000037</v>
      </c>
      <c r="AA9" s="82">
        <f>[7]Annual!AG6</f>
        <v>831.57200000000012</v>
      </c>
      <c r="AB9" s="82">
        <f>[7]Annual!AH6</f>
        <v>822.71699999999691</v>
      </c>
      <c r="AC9" s="82">
        <f>[7]Annual!AI6</f>
        <v>926.91999999999825</v>
      </c>
      <c r="AD9" s="82">
        <f>[7]Annual!AJ6</f>
        <v>896.32300000000032</v>
      </c>
      <c r="AE9" s="82">
        <f>[7]Annual!AK6</f>
        <v>3477.5319999999956</v>
      </c>
      <c r="AF9" s="82">
        <f>[7]Annual!AL6</f>
        <v>1041.6369999999988</v>
      </c>
      <c r="AG9" s="82">
        <f>[7]Annual!AM6</f>
        <v>1006.6069999999963</v>
      </c>
      <c r="AH9" s="82">
        <f>[7]Annual!AN6</f>
        <v>1062.0599999999977</v>
      </c>
      <c r="AI9" s="82">
        <f>[7]Annual!AO6</f>
        <v>1053.648000000001</v>
      </c>
      <c r="AJ9" s="82">
        <f>[7]Annual!AP6</f>
        <v>4163.9519999999939</v>
      </c>
    </row>
    <row r="10" spans="1:36" x14ac:dyDescent="0.3">
      <c r="A10" t="s">
        <v>251</v>
      </c>
      <c r="B10" s="84">
        <f>+B9/B8</f>
        <v>3.1913247326901477E-2</v>
      </c>
      <c r="C10" s="84">
        <f t="shared" ref="C10:S10" si="0">+C9/C8</f>
        <v>2.8228001034473538E-2</v>
      </c>
      <c r="D10" s="84">
        <f t="shared" si="0"/>
        <v>2.87738398828856E-2</v>
      </c>
      <c r="E10" s="84">
        <f t="shared" si="0"/>
        <v>2.9136021316663457E-2</v>
      </c>
      <c r="F10" s="84">
        <f t="shared" si="0"/>
        <v>2.946951598341107E-2</v>
      </c>
      <c r="G10" s="84">
        <f t="shared" si="0"/>
        <v>3.1712337635456056E-2</v>
      </c>
      <c r="H10" s="84">
        <f t="shared" si="0"/>
        <v>3.0015630962365245E-2</v>
      </c>
      <c r="I10" s="84">
        <f t="shared" si="0"/>
        <v>3.0069631449529205E-2</v>
      </c>
      <c r="J10" s="84">
        <f t="shared" si="0"/>
        <v>2.9174086533653509E-2</v>
      </c>
      <c r="K10" s="84">
        <f t="shared" si="0"/>
        <v>3.0233128169178985E-2</v>
      </c>
      <c r="L10" s="84">
        <f t="shared" si="0"/>
        <v>3.4783758126222898E-2</v>
      </c>
      <c r="M10" s="84">
        <f t="shared" si="0"/>
        <v>3.2418049045331229E-2</v>
      </c>
      <c r="N10" s="84">
        <f t="shared" si="0"/>
        <v>2.98164542441932E-2</v>
      </c>
      <c r="O10" s="84">
        <f t="shared" si="0"/>
        <v>2.8747501098123442E-2</v>
      </c>
      <c r="P10" s="84">
        <f t="shared" si="0"/>
        <v>3.1416018604725274E-2</v>
      </c>
      <c r="Q10" s="84">
        <f t="shared" si="0"/>
        <v>3.448996368091499E-2</v>
      </c>
      <c r="R10" s="84">
        <f t="shared" si="0"/>
        <v>3.4556458291325712E-2</v>
      </c>
      <c r="S10" s="84">
        <f t="shared" si="0"/>
        <v>3.6989099970009674E-2</v>
      </c>
      <c r="T10" s="84">
        <f>+T9/T8</f>
        <v>3.0849612088161744E-2</v>
      </c>
      <c r="U10" s="84">
        <f>+U9/U8</f>
        <v>3.4153508116857759E-2</v>
      </c>
      <c r="V10" s="84">
        <f>+V9/V8</f>
        <v>3.4755873072981051E-2</v>
      </c>
      <c r="W10" s="84">
        <f>+W9/W8</f>
        <v>3.0974296021919989E-2</v>
      </c>
      <c r="X10" s="84">
        <f>+X9/X8</f>
        <v>2.9440836256755441E-2</v>
      </c>
      <c r="Y10" s="84">
        <f t="shared" ref="Y10:AJ10" si="1">+Y9/Y8</f>
        <v>2.4850733617851329E-2</v>
      </c>
      <c r="Z10" s="84">
        <f t="shared" si="1"/>
        <v>2.9531957283941441E-2</v>
      </c>
      <c r="AA10" s="84">
        <f t="shared" si="1"/>
        <v>2.922318086338712E-2</v>
      </c>
      <c r="AB10" s="84">
        <f t="shared" si="1"/>
        <v>2.7109293039701755E-2</v>
      </c>
      <c r="AC10" s="84">
        <f t="shared" si="1"/>
        <v>2.934339701389491E-2</v>
      </c>
      <c r="AD10" s="84">
        <f t="shared" si="1"/>
        <v>2.6685332125463285E-2</v>
      </c>
      <c r="AE10" s="84">
        <f t="shared" si="1"/>
        <v>2.8048827691986938E-2</v>
      </c>
      <c r="AF10" s="84">
        <f t="shared" si="1"/>
        <v>3.1884308882718392E-2</v>
      </c>
      <c r="AG10" s="84">
        <f t="shared" si="1"/>
        <v>2.9404102804861887E-2</v>
      </c>
      <c r="AH10" s="84">
        <f t="shared" si="1"/>
        <v>2.994216751792151E-2</v>
      </c>
      <c r="AI10" s="84">
        <f t="shared" si="1"/>
        <v>2.8702679987924529E-2</v>
      </c>
      <c r="AJ10" s="84">
        <f t="shared" si="1"/>
        <v>2.993877428511774E-2</v>
      </c>
    </row>
    <row r="11" spans="1:36" x14ac:dyDescent="0.3">
      <c r="A11" t="s">
        <v>252</v>
      </c>
      <c r="B11" s="82">
        <f>+[7]Annual!H10</f>
        <v>248.26600000000133</v>
      </c>
      <c r="C11" s="82">
        <f>+[7]Annual!I10</f>
        <v>212.98700000000173</v>
      </c>
      <c r="D11" s="82">
        <f>+[7]Annual!J10</f>
        <v>224.61199999999945</v>
      </c>
      <c r="E11" s="82">
        <f>+[7]Annual!K10</f>
        <v>262.38199999999898</v>
      </c>
      <c r="F11" s="82">
        <f>+[7]Annual!L10</f>
        <v>948.24699999999439</v>
      </c>
      <c r="G11" s="82">
        <f>+[7]Annual!M10</f>
        <v>311.22699999999929</v>
      </c>
      <c r="H11" s="82">
        <f>+[7]Annual!N10</f>
        <v>281.85399999999896</v>
      </c>
      <c r="I11" s="82">
        <f>+[7]Annual!O10</f>
        <v>248.17199999999895</v>
      </c>
      <c r="J11" s="82">
        <f>+[7]Annual!P10</f>
        <v>276.76599999999996</v>
      </c>
      <c r="K11" s="82">
        <f>+[7]Annual!Q10</f>
        <v>1118.0190000000009</v>
      </c>
      <c r="L11" s="82">
        <f>+[7]Annual!R10</f>
        <v>365.24900000000298</v>
      </c>
      <c r="M11" s="82">
        <f>+[7]Annual!S10</f>
        <v>317.15900000000198</v>
      </c>
      <c r="N11" s="82">
        <f>+[7]Annual!T10</f>
        <v>237.42599999999686</v>
      </c>
      <c r="O11" s="82">
        <f>+[7]Annual!U10</f>
        <v>281.41899999999765</v>
      </c>
      <c r="P11" s="82">
        <f>+[7]Annual!V10</f>
        <v>1201.2529999999992</v>
      </c>
      <c r="Q11" s="82">
        <f>+[7]Annual!W10</f>
        <v>377.05999999999818</v>
      </c>
      <c r="R11" s="82">
        <f>+[7]Annual!X10</f>
        <v>324.38600000000179</v>
      </c>
      <c r="S11" s="82">
        <f>+[7]Annual!Y10</f>
        <v>296.25699999999887</v>
      </c>
      <c r="T11" s="82">
        <f>+[7]Annual!Z10</f>
        <v>253.00600000000168</v>
      </c>
      <c r="U11" s="82">
        <f>+[7]Annual!AA10</f>
        <v>1250.7090000000007</v>
      </c>
      <c r="V11" s="82">
        <f>+[7]Annual!AB10</f>
        <v>356.01200000000296</v>
      </c>
      <c r="W11" s="82">
        <f>+[7]Annual!AC10</f>
        <v>312.32800000000151</v>
      </c>
      <c r="X11" s="82">
        <f>+[7]Annual!AD10</f>
        <v>325.68399999999923</v>
      </c>
      <c r="Y11" s="82">
        <f>+[7]Annual!AE10</f>
        <v>323.00200000000007</v>
      </c>
      <c r="Z11" s="82">
        <f>+[7]Annual!AF10</f>
        <v>1188.1360000000038</v>
      </c>
      <c r="AA11" s="82">
        <f>+[7]Annual!AG10</f>
        <v>416.56200000000013</v>
      </c>
      <c r="AB11" s="82">
        <f>+[7]Annual!AH10</f>
        <v>393.47299999999694</v>
      </c>
      <c r="AC11" s="82">
        <f>+[7]Annual!AI10</f>
        <v>424.62299999999823</v>
      </c>
      <c r="AD11" s="82">
        <f>+[7]Annual!AJ10</f>
        <v>435.56700000000035</v>
      </c>
      <c r="AE11" s="82">
        <f>+[7]Annual!AK10</f>
        <v>1670.2249999999956</v>
      </c>
      <c r="AF11" s="82">
        <f>+[7]Annual!AL10</f>
        <v>552.72499999999877</v>
      </c>
      <c r="AG11" s="82">
        <f>+[7]Annual!AM10</f>
        <v>455.14299999999628</v>
      </c>
      <c r="AH11" s="82">
        <f>+[7]Annual!AN10</f>
        <v>455.96199999999999</v>
      </c>
      <c r="AI11" s="82">
        <f>+[7]Annual!AO10</f>
        <v>475.12400000000105</v>
      </c>
      <c r="AJ11" s="82">
        <f>+[7]Annual!AP10</f>
        <v>1938.9539999999961</v>
      </c>
    </row>
    <row r="12" spans="1:36" x14ac:dyDescent="0.3">
      <c r="A12" t="s">
        <v>253</v>
      </c>
      <c r="B12" s="84">
        <f>+B11/B8</f>
        <v>1.4340977645633066E-2</v>
      </c>
      <c r="C12" s="84">
        <f t="shared" ref="C12:S12" si="2">+C11/C8</f>
        <v>1.1579219827183008E-2</v>
      </c>
      <c r="D12" s="84">
        <f t="shared" si="2"/>
        <v>1.2001028207695148E-2</v>
      </c>
      <c r="E12" s="84">
        <f t="shared" si="2"/>
        <v>1.3569710039776302E-2</v>
      </c>
      <c r="F12" s="84">
        <f t="shared" si="2"/>
        <v>1.2856283903005711E-2</v>
      </c>
      <c r="G12" s="84">
        <f t="shared" si="2"/>
        <v>1.6125227434321137E-2</v>
      </c>
      <c r="H12" s="84">
        <f t="shared" si="2"/>
        <v>1.4378750869803825E-2</v>
      </c>
      <c r="I12" s="84">
        <f t="shared" si="2"/>
        <v>1.2587740541353134E-2</v>
      </c>
      <c r="J12" s="84">
        <f t="shared" si="2"/>
        <v>1.391580477045931E-2</v>
      </c>
      <c r="K12" s="84">
        <f t="shared" si="2"/>
        <v>1.4241059514783768E-2</v>
      </c>
      <c r="L12" s="84">
        <f t="shared" si="2"/>
        <v>1.8484020729082774E-2</v>
      </c>
      <c r="M12" s="84">
        <f t="shared" si="2"/>
        <v>1.5731295764669171E-2</v>
      </c>
      <c r="N12" s="84">
        <f t="shared" si="2"/>
        <v>1.1668737714518432E-2</v>
      </c>
      <c r="O12" s="84">
        <f t="shared" si="2"/>
        <v>1.3854868091754078E-2</v>
      </c>
      <c r="P12" s="84">
        <f t="shared" si="2"/>
        <v>1.4907510560665069E-2</v>
      </c>
      <c r="Q12" s="84">
        <f t="shared" si="2"/>
        <v>1.9131971891537772E-2</v>
      </c>
      <c r="R12" s="84">
        <f t="shared" si="2"/>
        <v>1.6784252049497975E-2</v>
      </c>
      <c r="S12" s="84">
        <f t="shared" si="2"/>
        <v>1.522939371635406E-2</v>
      </c>
      <c r="T12" s="84">
        <f>+T11/T8</f>
        <v>1.2013688062062934E-2</v>
      </c>
      <c r="U12" s="84">
        <f>+U11/U8</f>
        <v>1.5722703043948474E-2</v>
      </c>
      <c r="V12" s="84">
        <f>+V11/V8</f>
        <v>1.7346411957161016E-2</v>
      </c>
      <c r="W12" s="84">
        <f>+W11/W8</f>
        <v>1.4257224564890142E-2</v>
      </c>
      <c r="X12" s="84">
        <f>+X11/X8</f>
        <v>1.3310044039324764E-2</v>
      </c>
      <c r="Y12" s="84">
        <f t="shared" ref="Y12:AJ12" si="3">+Y11/Y8</f>
        <v>1.1070674267065924E-2</v>
      </c>
      <c r="Z12" s="84">
        <f t="shared" si="3"/>
        <v>1.2366662719085835E-2</v>
      </c>
      <c r="AA12" s="84">
        <f t="shared" si="3"/>
        <v>1.4638860696144493E-2</v>
      </c>
      <c r="AB12" s="84">
        <f t="shared" si="3"/>
        <v>1.2965302601271793E-2</v>
      </c>
      <c r="AC12" s="84">
        <f t="shared" si="3"/>
        <v>1.3442240182789313E-2</v>
      </c>
      <c r="AD12" s="84">
        <f t="shared" si="3"/>
        <v>1.2967702555765803E-2</v>
      </c>
      <c r="AE12" s="84">
        <f t="shared" si="3"/>
        <v>1.3471580773907709E-2</v>
      </c>
      <c r="AF12" s="84">
        <f t="shared" si="3"/>
        <v>1.6918806289715614E-2</v>
      </c>
      <c r="AG12" s="84">
        <f t="shared" si="3"/>
        <v>1.3295229978445603E-2</v>
      </c>
      <c r="AH12" s="84">
        <f t="shared" si="3"/>
        <v>1.2854726273286403E-2</v>
      </c>
      <c r="AI12" s="84">
        <f t="shared" si="3"/>
        <v>1.2942967790554977E-2</v>
      </c>
      <c r="AJ12" s="84">
        <f t="shared" si="3"/>
        <v>1.3941060356898002E-2</v>
      </c>
    </row>
    <row r="13" spans="1:36" x14ac:dyDescent="0.3">
      <c r="A13" t="s">
        <v>254</v>
      </c>
      <c r="B13" s="84">
        <f>+B11/B9</f>
        <v>0.44937381328612852</v>
      </c>
      <c r="C13" s="84">
        <f t="shared" ref="C13:S13" si="4">+C11/C9</f>
        <v>0.4102033230423171</v>
      </c>
      <c r="D13" s="84">
        <f t="shared" si="4"/>
        <v>0.41708121879253396</v>
      </c>
      <c r="E13" s="84">
        <f t="shared" si="4"/>
        <v>0.46573654969203093</v>
      </c>
      <c r="F13" s="84">
        <f t="shared" si="4"/>
        <v>0.43625704304891699</v>
      </c>
      <c r="G13" s="84">
        <f t="shared" si="4"/>
        <v>0.50848435141193404</v>
      </c>
      <c r="H13" s="84">
        <f t="shared" si="4"/>
        <v>0.4790420993592458</v>
      </c>
      <c r="I13" s="84">
        <f t="shared" si="4"/>
        <v>0.41861971479368493</v>
      </c>
      <c r="J13" s="84">
        <f t="shared" si="4"/>
        <v>0.47699196183595521</v>
      </c>
      <c r="K13" s="84">
        <f t="shared" si="4"/>
        <v>0.47104154869762199</v>
      </c>
      <c r="L13" s="84">
        <f t="shared" si="4"/>
        <v>0.53139803531315311</v>
      </c>
      <c r="M13" s="84">
        <f t="shared" si="4"/>
        <v>0.48526349450183076</v>
      </c>
      <c r="N13" s="84">
        <f t="shared" si="4"/>
        <v>0.39135229222605966</v>
      </c>
      <c r="O13" s="84">
        <f t="shared" si="4"/>
        <v>0.48195034568268913</v>
      </c>
      <c r="P13" s="84">
        <f t="shared" si="4"/>
        <v>0.47451940833848488</v>
      </c>
      <c r="Q13" s="84">
        <f t="shared" si="4"/>
        <v>0.55471127973742818</v>
      </c>
      <c r="R13" s="84">
        <f t="shared" si="4"/>
        <v>0.48570521631584918</v>
      </c>
      <c r="S13" s="84">
        <f t="shared" si="4"/>
        <v>0.4117265283205559</v>
      </c>
      <c r="T13" s="84">
        <f>+T11/T9</f>
        <v>0.38942752433094863</v>
      </c>
      <c r="U13" s="84">
        <f>+U11/U9</f>
        <v>0.46035396979286997</v>
      </c>
      <c r="V13" s="84">
        <f>+V11/V9</f>
        <v>0.49909297115732604</v>
      </c>
      <c r="W13" s="84">
        <f>+W11/W9</f>
        <v>0.46029212592275043</v>
      </c>
      <c r="X13" s="84">
        <f>+X11/X9</f>
        <v>0.45209463220565499</v>
      </c>
      <c r="Y13" s="84">
        <f t="shared" ref="Y13:AJ13" si="5">+Y11/Y9</f>
        <v>0.44548681891279823</v>
      </c>
      <c r="Z13" s="84">
        <f t="shared" si="5"/>
        <v>0.41875526908642935</v>
      </c>
      <c r="AA13" s="84">
        <f t="shared" si="5"/>
        <v>0.50093317235308554</v>
      </c>
      <c r="AB13" s="84">
        <f t="shared" si="5"/>
        <v>0.4782604467878972</v>
      </c>
      <c r="AC13" s="84">
        <f t="shared" si="5"/>
        <v>0.45810102274198317</v>
      </c>
      <c r="AD13" s="84">
        <f t="shared" si="5"/>
        <v>0.48594870375969401</v>
      </c>
      <c r="AE13" s="84">
        <f t="shared" si="5"/>
        <v>0.48029033233914098</v>
      </c>
      <c r="AF13" s="84">
        <f t="shared" si="5"/>
        <v>0.53063111237407989</v>
      </c>
      <c r="AG13" s="84">
        <f t="shared" si="5"/>
        <v>0.45215560789861181</v>
      </c>
      <c r="AH13" s="84">
        <f t="shared" si="5"/>
        <v>0.42931849424703028</v>
      </c>
      <c r="AI13" s="84">
        <f t="shared" si="5"/>
        <v>0.45093237969416788</v>
      </c>
      <c r="AJ13" s="84">
        <f t="shared" si="5"/>
        <v>0.46565234181373821</v>
      </c>
    </row>
    <row r="14" spans="1:36" ht="11.25" customHeight="1" x14ac:dyDescent="0.3"/>
    <row r="15" spans="1:36" x14ac:dyDescent="0.3">
      <c r="A15" s="83" t="s">
        <v>255</v>
      </c>
      <c r="B15" s="82"/>
    </row>
    <row r="16" spans="1:36" x14ac:dyDescent="0.3">
      <c r="A16" t="s">
        <v>250</v>
      </c>
      <c r="B16" s="82">
        <f>+[5]Annual!C4</f>
        <v>24089.3</v>
      </c>
      <c r="C16" s="82">
        <f>+[5]Annual!D4</f>
        <v>24347.3</v>
      </c>
      <c r="D16" s="82">
        <f>+[5]Annual!E4</f>
        <v>24780.7</v>
      </c>
      <c r="E16" s="82">
        <f>+[5]Annual!F4</f>
        <v>24919.7</v>
      </c>
      <c r="F16" s="82">
        <f>+[5]Annual!G4</f>
        <v>98137</v>
      </c>
      <c r="G16" s="82">
        <f>+[5]Annual!H4</f>
        <v>24342.799999999999</v>
      </c>
      <c r="H16" s="82">
        <f>+[5]Annual!I4</f>
        <v>24459.599999999999</v>
      </c>
      <c r="I16" s="82">
        <f>+[5]Annual!J4</f>
        <v>24437.5</v>
      </c>
      <c r="J16" s="82">
        <f>+[5]Annual!K4</f>
        <v>25371.8</v>
      </c>
      <c r="K16" s="82">
        <f>+[5]Annual!L4</f>
        <v>98611.7</v>
      </c>
      <c r="L16" s="82">
        <f>+[5]Annual!M4</f>
        <v>26071.4</v>
      </c>
      <c r="M16" s="82">
        <f>+[5]Annual!N4</f>
        <v>26763.5</v>
      </c>
      <c r="N16" s="82">
        <f>+[5]Annual!O4</f>
        <v>26792</v>
      </c>
      <c r="O16" s="82">
        <f>+[5]Annual!P4</f>
        <v>27078</v>
      </c>
      <c r="P16" s="82">
        <f>+[5]Annual!Q4</f>
        <v>106704.9</v>
      </c>
      <c r="Q16" s="82">
        <f>+[5]Annual!R4</f>
        <v>26917.5</v>
      </c>
      <c r="R16" s="82">
        <f>+[5]Annual!S4</f>
        <v>26764</v>
      </c>
      <c r="S16" s="82">
        <f>+[5]Annual!T4</f>
        <v>25889</v>
      </c>
      <c r="T16" s="82">
        <f>+[5]Annual!U4</f>
        <v>25232</v>
      </c>
      <c r="U16" s="82">
        <f>+[5]Annual!V4</f>
        <v>104802.5</v>
      </c>
      <c r="V16" s="82">
        <f>+[5]Annual!W4</f>
        <v>24552</v>
      </c>
      <c r="W16" s="82">
        <f>+[5]Annual!X4</f>
        <v>25420</v>
      </c>
      <c r="X16" s="82">
        <f>+[5]Annual!Y4</f>
        <v>24523</v>
      </c>
      <c r="Y16" s="82">
        <f>+[5]Annual!Z4</f>
        <v>22240</v>
      </c>
      <c r="Z16" s="82">
        <f>+[5]Annual!AA4</f>
        <v>96735</v>
      </c>
      <c r="AA16" s="82">
        <f>+[5]Annual!AB4</f>
        <v>21427</v>
      </c>
      <c r="AB16" s="82">
        <f>+[5]Annual!AC4</f>
        <v>22894</v>
      </c>
      <c r="AC16" s="82">
        <f>+[5]Annual!AD4</f>
        <v>24070</v>
      </c>
      <c r="AD16" s="82">
        <f>+[5]Annual!AE4</f>
        <v>25537</v>
      </c>
      <c r="AE16" s="82">
        <f>+[5]Annual!AF4</f>
        <v>93928</v>
      </c>
      <c r="AF16" s="82">
        <f>+[5]Annual!AG4</f>
        <v>25375</v>
      </c>
      <c r="AG16" s="82">
        <f>+[5]Annual!AH4</f>
        <v>27547</v>
      </c>
      <c r="AH16" s="82">
        <f>+[5]Annual!AI4</f>
        <v>28055</v>
      </c>
      <c r="AI16" s="82">
        <f>+[5]Annual!AJ4</f>
        <v>31445</v>
      </c>
      <c r="AJ16" s="82">
        <f>+[5]Annual!AK4</f>
        <v>112422</v>
      </c>
    </row>
    <row r="17" spans="1:36" x14ac:dyDescent="0.3">
      <c r="A17" t="s">
        <v>249</v>
      </c>
      <c r="B17" s="82">
        <f>[5]Annual!C6</f>
        <v>986.89999999999782</v>
      </c>
      <c r="C17" s="82">
        <f>[5]Annual!D6</f>
        <v>944.29999999999927</v>
      </c>
      <c r="D17" s="82">
        <f>[5]Annual!E6</f>
        <v>908.79999999999927</v>
      </c>
      <c r="E17" s="82">
        <f>[5]Annual!F6</f>
        <v>957.70000000000073</v>
      </c>
      <c r="F17" s="82">
        <f>[5]Annual!G6</f>
        <v>3797.6999999999971</v>
      </c>
      <c r="G17" s="82">
        <f>[5]Annual!H6</f>
        <v>1010.0999999999985</v>
      </c>
      <c r="H17" s="82">
        <f>[5]Annual!I6</f>
        <v>904.09999999999854</v>
      </c>
      <c r="I17" s="82">
        <f>[5]Annual!J6</f>
        <v>962.20000000000073</v>
      </c>
      <c r="J17" s="82">
        <f>[5]Annual!K6</f>
        <v>994.20000000000073</v>
      </c>
      <c r="K17" s="82">
        <f>[5]Annual!L6</f>
        <v>3870.5999999999913</v>
      </c>
      <c r="L17" s="82">
        <f>[5]Annual!M6</f>
        <v>1162.2000000000007</v>
      </c>
      <c r="M17" s="82">
        <f>[5]Annual!N6</f>
        <v>1043.4000000000015</v>
      </c>
      <c r="N17" s="82">
        <f>[5]Annual!O6</f>
        <v>1084.5</v>
      </c>
      <c r="O17" s="82">
        <f>[5]Annual!P6</f>
        <v>1113.9000000000015</v>
      </c>
      <c r="P17" s="82">
        <f>[5]Annual!Q6</f>
        <v>4404</v>
      </c>
      <c r="Q17" s="82">
        <f>[5]Annual!R6</f>
        <v>1206.7000000000007</v>
      </c>
      <c r="R17" s="82">
        <f>[5]Annual!S6</f>
        <v>1136</v>
      </c>
      <c r="S17" s="82">
        <f>[5]Annual!T6</f>
        <v>1159</v>
      </c>
      <c r="T17" s="82">
        <f>[5]Annual!U6</f>
        <v>1224</v>
      </c>
      <c r="U17" s="82">
        <f>[5]Annual!V6</f>
        <v>4725.6999999999971</v>
      </c>
      <c r="V17" s="82">
        <f>[5]Annual!W6</f>
        <v>1291</v>
      </c>
      <c r="W17" s="82">
        <f>[5]Annual!X6</f>
        <v>1247</v>
      </c>
      <c r="X17" s="82">
        <f>[5]Annual!Y6</f>
        <v>1264</v>
      </c>
      <c r="Y17" s="82">
        <f>[5]Annual!Z6</f>
        <v>1345</v>
      </c>
      <c r="Z17" s="82">
        <f>[5]Annual!AA6</f>
        <v>5147</v>
      </c>
      <c r="AA17" s="82">
        <f>[5]Annual!AB6</f>
        <v>1297</v>
      </c>
      <c r="AB17" s="82">
        <f>[5]Annual!AC6</f>
        <v>1256</v>
      </c>
      <c r="AC17" s="82">
        <f>[5]Annual!AD6</f>
        <v>1341</v>
      </c>
      <c r="AD17" s="82">
        <f>[5]Annual!AE6</f>
        <v>1454</v>
      </c>
      <c r="AE17" s="82">
        <f>[5]Annual!AF6</f>
        <v>5348</v>
      </c>
      <c r="AF17" s="82">
        <f>[5]Annual!AG6</f>
        <v>1459</v>
      </c>
      <c r="AG17" s="82">
        <f>[5]Annual!AH6</f>
        <v>1458</v>
      </c>
      <c r="AH17" s="82">
        <f>[5]Annual!AI6</f>
        <v>1579</v>
      </c>
      <c r="AI17" s="82">
        <f>[5]Annual!AJ6</f>
        <v>1609</v>
      </c>
      <c r="AJ17" s="82">
        <f>[5]Annual!AK6</f>
        <v>6105</v>
      </c>
    </row>
    <row r="18" spans="1:36" x14ac:dyDescent="0.3">
      <c r="A18" t="s">
        <v>251</v>
      </c>
      <c r="B18" s="84">
        <f>+B17/B16</f>
        <v>4.0968396757066323E-2</v>
      </c>
      <c r="C18" s="84">
        <f>+C17/C16</f>
        <v>3.8784588024134065E-2</v>
      </c>
      <c r="D18" s="84">
        <f>+D17/D16</f>
        <v>3.6673701711412481E-2</v>
      </c>
      <c r="E18" s="84">
        <f>+E17/E16</f>
        <v>3.8431441791032826E-2</v>
      </c>
      <c r="F18" s="84">
        <f>+F17/F16</f>
        <v>3.8697942671978937E-2</v>
      </c>
      <c r="G18" s="84">
        <f t="shared" ref="G18:X18" si="6">+G17/G16</f>
        <v>4.1494815715529793E-2</v>
      </c>
      <c r="H18" s="84">
        <f t="shared" si="6"/>
        <v>3.6962992035846812E-2</v>
      </c>
      <c r="I18" s="84">
        <f t="shared" si="6"/>
        <v>3.9373913043478294E-2</v>
      </c>
      <c r="J18" s="84">
        <f t="shared" si="6"/>
        <v>3.9185237153059729E-2</v>
      </c>
      <c r="K18" s="84">
        <f t="shared" si="6"/>
        <v>3.9250920529713934E-2</v>
      </c>
      <c r="L18" s="84">
        <f t="shared" si="6"/>
        <v>4.457758309872123E-2</v>
      </c>
      <c r="M18" s="84">
        <f t="shared" si="6"/>
        <v>3.8985932333215068E-2</v>
      </c>
      <c r="N18" s="84">
        <f t="shared" si="6"/>
        <v>4.0478501045088086E-2</v>
      </c>
      <c r="O18" s="84">
        <f t="shared" si="6"/>
        <v>4.1136716153334862E-2</v>
      </c>
      <c r="P18" s="84">
        <f t="shared" si="6"/>
        <v>4.1272706314330457E-2</v>
      </c>
      <c r="Q18" s="84">
        <f t="shared" si="6"/>
        <v>4.4829571839881142E-2</v>
      </c>
      <c r="R18" s="84">
        <f t="shared" si="6"/>
        <v>4.2445075474518007E-2</v>
      </c>
      <c r="S18" s="84">
        <f t="shared" si="6"/>
        <v>4.4768048205801693E-2</v>
      </c>
      <c r="T18" s="84">
        <f t="shared" si="6"/>
        <v>4.8509828788839568E-2</v>
      </c>
      <c r="U18" s="84">
        <f t="shared" si="6"/>
        <v>4.5091481596335935E-2</v>
      </c>
      <c r="V18" s="84">
        <f t="shared" si="6"/>
        <v>5.2582274356467902E-2</v>
      </c>
      <c r="W18" s="84">
        <f t="shared" si="6"/>
        <v>4.90558615263572E-2</v>
      </c>
      <c r="X18" s="84">
        <f t="shared" si="6"/>
        <v>5.1543449007054605E-2</v>
      </c>
      <c r="Y18" s="84">
        <f t="shared" ref="Y18:AJ18" si="7">+Y17/Y16</f>
        <v>6.047661870503597E-2</v>
      </c>
      <c r="Z18" s="84">
        <f t="shared" si="7"/>
        <v>5.3207215588980207E-2</v>
      </c>
      <c r="AA18" s="84">
        <f t="shared" si="7"/>
        <v>6.0531105614411725E-2</v>
      </c>
      <c r="AB18" s="84">
        <f t="shared" si="7"/>
        <v>5.4861535773565125E-2</v>
      </c>
      <c r="AC18" s="84">
        <f t="shared" si="7"/>
        <v>5.5712505193186539E-2</v>
      </c>
      <c r="AD18" s="84">
        <f t="shared" si="7"/>
        <v>5.6936993382151385E-2</v>
      </c>
      <c r="AE18" s="84">
        <f t="shared" si="7"/>
        <v>5.6937228515458647E-2</v>
      </c>
      <c r="AF18" s="84">
        <f t="shared" si="7"/>
        <v>5.7497536945812805E-2</v>
      </c>
      <c r="AG18" s="84">
        <f t="shared" si="7"/>
        <v>5.2927723527062841E-2</v>
      </c>
      <c r="AH18" s="84">
        <f t="shared" si="7"/>
        <v>5.6282302619853855E-2</v>
      </c>
      <c r="AI18" s="84">
        <f t="shared" si="7"/>
        <v>5.1168707266656066E-2</v>
      </c>
      <c r="AJ18" s="84">
        <f t="shared" si="7"/>
        <v>5.4304317660244433E-2</v>
      </c>
    </row>
    <row r="19" spans="1:36" x14ac:dyDescent="0.3">
      <c r="A19" t="s">
        <v>252</v>
      </c>
      <c r="B19" s="82">
        <f>[5]Annual!C34</f>
        <v>415</v>
      </c>
      <c r="C19" s="82">
        <f>[5]Annual!D34</f>
        <v>356</v>
      </c>
      <c r="D19" s="82">
        <f>[5]Annual!E34</f>
        <v>326</v>
      </c>
      <c r="E19" s="82">
        <f>[5]Annual!F34</f>
        <v>361</v>
      </c>
      <c r="F19" s="82">
        <f>[5]Annual!G34</f>
        <v>1458</v>
      </c>
      <c r="G19" s="82">
        <f>[5]Annual!H34</f>
        <v>388</v>
      </c>
      <c r="H19" s="82">
        <f>[5]Annual!I34</f>
        <v>320</v>
      </c>
      <c r="I19" s="82">
        <f>[5]Annual!J34</f>
        <v>382</v>
      </c>
      <c r="J19" s="82">
        <f>[5]Annual!K34</f>
        <v>393</v>
      </c>
      <c r="K19" s="82">
        <f>[5]Annual!L34</f>
        <v>1483</v>
      </c>
      <c r="L19" s="82">
        <f>[5]Annual!M34</f>
        <v>493</v>
      </c>
      <c r="M19" s="82">
        <f>[5]Annual!N34</f>
        <v>375</v>
      </c>
      <c r="N19" s="82">
        <f>[5]Annual!O34</f>
        <v>442</v>
      </c>
      <c r="O19" s="82">
        <f>[5]Annual!P34</f>
        <v>475</v>
      </c>
      <c r="P19" s="82">
        <f>[5]Annual!Q34</f>
        <v>1785</v>
      </c>
      <c r="Q19" s="82">
        <f>[5]Annual!R34</f>
        <v>524</v>
      </c>
      <c r="R19" s="82">
        <f>[5]Annual!S34</f>
        <v>425</v>
      </c>
      <c r="S19" s="82">
        <f>[5]Annual!T34</f>
        <v>469</v>
      </c>
      <c r="T19" s="82">
        <f>[5]Annual!U34</f>
        <v>525</v>
      </c>
      <c r="U19" s="82">
        <f>[5]Annual!V34</f>
        <v>1943</v>
      </c>
      <c r="V19" s="82">
        <f>[5]Annual!W34</f>
        <v>579</v>
      </c>
      <c r="W19" s="82">
        <f>[5]Annual!X34</f>
        <v>472</v>
      </c>
      <c r="X19" s="82">
        <f>[5]Annual!Y34</f>
        <v>532</v>
      </c>
      <c r="Y19" s="82">
        <f>[5]Annual!Z34</f>
        <v>579</v>
      </c>
      <c r="Z19" s="82">
        <f>[5]Annual!AA34</f>
        <v>2162</v>
      </c>
      <c r="AA19" s="82">
        <f>[5]Annual!AB34</f>
        <v>561</v>
      </c>
      <c r="AB19" s="82">
        <f>[5]Annual!AC34</f>
        <v>461</v>
      </c>
      <c r="AC19" s="82">
        <f>[5]Annual!AD34</f>
        <v>566</v>
      </c>
      <c r="AD19" s="82">
        <f>[5]Annual!AE34</f>
        <v>639</v>
      </c>
      <c r="AE19" s="82">
        <f>[5]Annual!AF34</f>
        <v>2227</v>
      </c>
      <c r="AF19" s="82">
        <f>[5]Annual!AG34</f>
        <v>657</v>
      </c>
      <c r="AG19" s="82">
        <f>[5]Annual!AH34</f>
        <v>611</v>
      </c>
      <c r="AH19" s="82">
        <f>[5]Annual!AI34</f>
        <v>737</v>
      </c>
      <c r="AI19" s="82">
        <f>[5]Annual!AJ34</f>
        <v>726</v>
      </c>
      <c r="AJ19" s="82">
        <f>[5]Annual!AK34</f>
        <v>2731</v>
      </c>
    </row>
    <row r="20" spans="1:36" x14ac:dyDescent="0.3">
      <c r="A20" t="s">
        <v>253</v>
      </c>
      <c r="B20" s="84">
        <f>+B19/B16</f>
        <v>1.722756576571341E-2</v>
      </c>
      <c r="C20" s="84">
        <f>+C19/C16</f>
        <v>1.4621744505550925E-2</v>
      </c>
      <c r="D20" s="84">
        <f>+D19/D16</f>
        <v>1.3155399161444188E-2</v>
      </c>
      <c r="E20" s="84">
        <f>+E19/E16</f>
        <v>1.4486530736726365E-2</v>
      </c>
      <c r="F20" s="84">
        <f>+F19/F16</f>
        <v>1.4856781845787013E-2</v>
      </c>
      <c r="G20" s="84">
        <f t="shared" ref="G20:W20" si="8">+G19/G16</f>
        <v>1.5939004551653878E-2</v>
      </c>
      <c r="H20" s="84">
        <f t="shared" si="8"/>
        <v>1.3082797756300186E-2</v>
      </c>
      <c r="I20" s="84">
        <f t="shared" si="8"/>
        <v>1.5631713554987211E-2</v>
      </c>
      <c r="J20" s="84">
        <f t="shared" si="8"/>
        <v>1.5489638102144902E-2</v>
      </c>
      <c r="K20" s="84">
        <f t="shared" si="8"/>
        <v>1.5038783430363739E-2</v>
      </c>
      <c r="L20" s="84">
        <f t="shared" si="8"/>
        <v>1.8909609763955906E-2</v>
      </c>
      <c r="M20" s="84">
        <f t="shared" si="8"/>
        <v>1.4011620303771928E-2</v>
      </c>
      <c r="N20" s="84">
        <f t="shared" si="8"/>
        <v>1.6497461928934011E-2</v>
      </c>
      <c r="O20" s="84">
        <f t="shared" si="8"/>
        <v>1.7541915946524853E-2</v>
      </c>
      <c r="P20" s="84">
        <f t="shared" si="8"/>
        <v>1.6728378921680262E-2</v>
      </c>
      <c r="Q20" s="84">
        <f t="shared" si="8"/>
        <v>1.9466889569982354E-2</v>
      </c>
      <c r="R20" s="84">
        <f t="shared" si="8"/>
        <v>1.5879539680167389E-2</v>
      </c>
      <c r="S20" s="84">
        <f t="shared" si="8"/>
        <v>1.811580207810267E-2</v>
      </c>
      <c r="T20" s="84">
        <f t="shared" si="8"/>
        <v>2.080691185795815E-2</v>
      </c>
      <c r="U20" s="84">
        <f t="shared" si="8"/>
        <v>1.8539634073614655E-2</v>
      </c>
      <c r="V20" s="84">
        <f t="shared" si="8"/>
        <v>2.3582600195503421E-2</v>
      </c>
      <c r="W20" s="84">
        <f t="shared" si="8"/>
        <v>1.856805664830842E-2</v>
      </c>
      <c r="X20" s="84">
        <f t="shared" ref="X20:AJ20" si="9">+X19/X16</f>
        <v>2.1693919993475513E-2</v>
      </c>
      <c r="Y20" s="84">
        <f t="shared" si="9"/>
        <v>2.6034172661870504E-2</v>
      </c>
      <c r="Z20" s="84">
        <f t="shared" si="9"/>
        <v>2.2349718302579213E-2</v>
      </c>
      <c r="AA20" s="84">
        <f t="shared" si="9"/>
        <v>2.6181920007467215E-2</v>
      </c>
      <c r="AB20" s="84">
        <f t="shared" si="9"/>
        <v>2.0136280248099939E-2</v>
      </c>
      <c r="AC20" s="84">
        <f t="shared" si="9"/>
        <v>2.3514748649771499E-2</v>
      </c>
      <c r="AD20" s="84">
        <f t="shared" si="9"/>
        <v>2.5022516348827191E-2</v>
      </c>
      <c r="AE20" s="84">
        <f t="shared" si="9"/>
        <v>2.3709649944638447E-2</v>
      </c>
      <c r="AF20" s="84">
        <f t="shared" si="9"/>
        <v>2.5891625615763546E-2</v>
      </c>
      <c r="AG20" s="84">
        <f t="shared" si="9"/>
        <v>2.2180273714016045E-2</v>
      </c>
      <c r="AH20" s="84">
        <f t="shared" si="9"/>
        <v>2.6269827125289611E-2</v>
      </c>
      <c r="AI20" s="84">
        <f t="shared" si="9"/>
        <v>2.3087931308634124E-2</v>
      </c>
      <c r="AJ20" s="84">
        <f t="shared" si="9"/>
        <v>2.4292398285033177E-2</v>
      </c>
    </row>
    <row r="21" spans="1:36" x14ac:dyDescent="0.3">
      <c r="A21" t="s">
        <v>254</v>
      </c>
      <c r="B21" s="84">
        <f>+B19/B17</f>
        <v>0.42050866349174276</v>
      </c>
      <c r="C21" s="84">
        <f>+C19/C17</f>
        <v>0.37699883511595922</v>
      </c>
      <c r="D21" s="84">
        <f>+D19/D17</f>
        <v>0.35871478873239465</v>
      </c>
      <c r="E21" s="84">
        <f>+E19/E17</f>
        <v>0.37694476349587525</v>
      </c>
      <c r="F21" s="84">
        <f>+F19/F17</f>
        <v>0.38391658108855387</v>
      </c>
      <c r="G21" s="84">
        <f t="shared" ref="G21:W21" si="10">+G19/G17</f>
        <v>0.38412038412038468</v>
      </c>
      <c r="H21" s="84">
        <f t="shared" si="10"/>
        <v>0.35394314788187203</v>
      </c>
      <c r="I21" s="84">
        <f t="shared" si="10"/>
        <v>0.39700685928081447</v>
      </c>
      <c r="J21" s="84">
        <f t="shared" si="10"/>
        <v>0.39529269764634856</v>
      </c>
      <c r="K21" s="84">
        <f t="shared" si="10"/>
        <v>0.38314473208288208</v>
      </c>
      <c r="L21" s="84">
        <f t="shared" si="10"/>
        <v>0.424195491309585</v>
      </c>
      <c r="M21" s="84">
        <f t="shared" si="10"/>
        <v>0.35940195514663548</v>
      </c>
      <c r="N21" s="84">
        <f t="shared" si="10"/>
        <v>0.40756108805901337</v>
      </c>
      <c r="O21" s="84">
        <f t="shared" si="10"/>
        <v>0.42642966154951017</v>
      </c>
      <c r="P21" s="84">
        <f t="shared" si="10"/>
        <v>0.40531335149863762</v>
      </c>
      <c r="Q21" s="84">
        <f t="shared" si="10"/>
        <v>0.43424214800696087</v>
      </c>
      <c r="R21" s="84">
        <f t="shared" si="10"/>
        <v>0.37411971830985913</v>
      </c>
      <c r="S21" s="84">
        <f t="shared" si="10"/>
        <v>0.40465918895599656</v>
      </c>
      <c r="T21" s="84">
        <f t="shared" si="10"/>
        <v>0.42892156862745096</v>
      </c>
      <c r="U21" s="84">
        <f t="shared" si="10"/>
        <v>0.41115601921408496</v>
      </c>
      <c r="V21" s="84">
        <f t="shared" si="10"/>
        <v>0.44848954298993027</v>
      </c>
      <c r="W21" s="84">
        <f t="shared" si="10"/>
        <v>0.3785084202085004</v>
      </c>
      <c r="X21" s="84">
        <f t="shared" ref="X21:AJ21" si="11">+X19/X17</f>
        <v>0.42088607594936711</v>
      </c>
      <c r="Y21" s="84">
        <f t="shared" si="11"/>
        <v>0.43048327137546466</v>
      </c>
      <c r="Z21" s="84">
        <f t="shared" si="11"/>
        <v>0.42005051486302702</v>
      </c>
      <c r="AA21" s="84">
        <f t="shared" si="11"/>
        <v>0.43253662297609868</v>
      </c>
      <c r="AB21" s="84">
        <f t="shared" si="11"/>
        <v>0.36703821656050956</v>
      </c>
      <c r="AC21" s="84">
        <f t="shared" si="11"/>
        <v>0.42207307979120062</v>
      </c>
      <c r="AD21" s="84">
        <f t="shared" si="11"/>
        <v>0.43947730398899587</v>
      </c>
      <c r="AE21" s="84">
        <f t="shared" si="11"/>
        <v>0.41641735228122662</v>
      </c>
      <c r="AF21" s="84">
        <f t="shared" si="11"/>
        <v>0.45030843043180263</v>
      </c>
      <c r="AG21" s="84">
        <f t="shared" si="11"/>
        <v>0.41906721536351166</v>
      </c>
      <c r="AH21" s="84">
        <f t="shared" si="11"/>
        <v>0.4667511082963901</v>
      </c>
      <c r="AI21" s="84">
        <f t="shared" si="11"/>
        <v>0.45121193287756373</v>
      </c>
      <c r="AJ21" s="84">
        <f t="shared" si="11"/>
        <v>0.44733824733824734</v>
      </c>
    </row>
    <row r="22" spans="1:36" ht="9" customHeight="1" x14ac:dyDescent="0.3"/>
    <row r="23" spans="1:36" x14ac:dyDescent="0.3">
      <c r="A23" s="83" t="s">
        <v>110</v>
      </c>
    </row>
    <row r="24" spans="1:36" x14ac:dyDescent="0.3">
      <c r="A24" t="s">
        <v>250</v>
      </c>
      <c r="B24" s="82">
        <f>+[6]Annual!H10</f>
        <v>26224</v>
      </c>
      <c r="C24" s="82">
        <f>+[6]Annual!I10</f>
        <v>26657</v>
      </c>
      <c r="D24" s="82">
        <f>+[6]Annual!J10</f>
        <v>27130</v>
      </c>
      <c r="E24" s="82">
        <f>+[6]Annual!K10</f>
        <v>28272</v>
      </c>
      <c r="F24" s="82">
        <f>+[6]Annual!L10</f>
        <v>108283</v>
      </c>
      <c r="G24" s="82">
        <f>+[6]Annual!M10</f>
        <v>26643</v>
      </c>
      <c r="H24" s="82">
        <f>+[6]Annual!N10</f>
        <v>27450</v>
      </c>
      <c r="I24" s="82">
        <f>+[6]Annual!O10</f>
        <v>27534</v>
      </c>
      <c r="J24" s="82">
        <f>+[6]Annual!P10</f>
        <v>28247</v>
      </c>
      <c r="K24" s="82">
        <f>+[6]Annual!Q10</f>
        <v>109874</v>
      </c>
      <c r="L24" s="82">
        <f>+[6]Annual!R10</f>
        <v>28853</v>
      </c>
      <c r="M24" s="82">
        <f>+[6]Annual!S10</f>
        <v>29980</v>
      </c>
      <c r="N24" s="82">
        <f>+[6]Annual!T10</f>
        <v>30216</v>
      </c>
      <c r="O24" s="82">
        <f>+[6]Annual!U10</f>
        <v>30839</v>
      </c>
      <c r="P24" s="82">
        <f>+[6]Annual!V10</f>
        <v>119888</v>
      </c>
      <c r="Q24" s="82">
        <f>+[6]Annual!W10</f>
        <v>31699</v>
      </c>
      <c r="R24" s="82">
        <f>+[6]Annual!X10</f>
        <v>30798</v>
      </c>
      <c r="S24" s="82">
        <f>+[6]Annual!Y10</f>
        <v>29850</v>
      </c>
      <c r="T24" s="82">
        <f>+[6]Annual!Z10</f>
        <v>31187</v>
      </c>
      <c r="U24" s="82">
        <f>+[6]Annual!AA10</f>
        <v>123534</v>
      </c>
      <c r="V24" s="82">
        <f>+[6]Annual!AB10</f>
        <v>30620</v>
      </c>
      <c r="W24" s="82">
        <f>+[6]Annual!AC10</f>
        <v>32239</v>
      </c>
      <c r="X24" s="82">
        <f>+[6]Annual!AD10</f>
        <v>32985</v>
      </c>
      <c r="Y24" s="82">
        <f>+[6]Annual!AE10</f>
        <v>34336</v>
      </c>
      <c r="Z24" s="82">
        <f>+[6]Annual!AF10</f>
        <v>130180</v>
      </c>
      <c r="AA24" s="82">
        <f>+[6]Annual!AG10</f>
        <v>37832</v>
      </c>
      <c r="AB24" s="82">
        <f>+[6]Annual!AH10</f>
        <v>44058</v>
      </c>
      <c r="AC24" s="82">
        <f>+[6]Annual!AI10</f>
        <v>44758</v>
      </c>
      <c r="AD24" s="82">
        <f>+[6]Annual!AJ10</f>
        <v>47005</v>
      </c>
      <c r="AE24" s="82">
        <f>+[6]Annual!AK10</f>
        <v>173653</v>
      </c>
      <c r="AF24" s="82">
        <f>+[6]Annual!AL10</f>
        <v>44925</v>
      </c>
      <c r="AG24" s="82">
        <f>+[6]Annual!AM10</f>
        <v>47546</v>
      </c>
      <c r="AH24" s="82">
        <f>+[6]Annual!AN10</f>
        <v>48761</v>
      </c>
      <c r="AI24" s="82">
        <f>+[6]Annual!AO10</f>
        <v>47899</v>
      </c>
      <c r="AJ24" s="82">
        <f>+[6]Annual!AP10</f>
        <v>189131</v>
      </c>
    </row>
    <row r="25" spans="1:36" x14ac:dyDescent="0.3">
      <c r="A25" t="s">
        <v>249</v>
      </c>
      <c r="B25" s="82">
        <f>+[6]Annual!H12</f>
        <v>1465</v>
      </c>
      <c r="C25" s="82">
        <f>+[6]Annual!I12</f>
        <v>1303</v>
      </c>
      <c r="D25" s="82">
        <f>+[6]Annual!J12</f>
        <v>1335</v>
      </c>
      <c r="E25" s="82">
        <f>+[6]Annual!K12</f>
        <v>1455</v>
      </c>
      <c r="F25" s="82">
        <f>+[6]Annual!L12</f>
        <v>5558</v>
      </c>
      <c r="G25" s="82">
        <f>+[6]Annual!M12</f>
        <v>1583</v>
      </c>
      <c r="H25" s="82">
        <f>+[6]Annual!N12</f>
        <v>1396</v>
      </c>
      <c r="I25" s="82">
        <f>+[6]Annual!O12</f>
        <v>1370</v>
      </c>
      <c r="J25" s="82">
        <f>+[6]Annual!P12</f>
        <v>1465</v>
      </c>
      <c r="K25" s="82">
        <f>+[6]Annual!Q12</f>
        <v>5814</v>
      </c>
      <c r="L25" s="82">
        <f>+[6]Annual!R12</f>
        <v>1755</v>
      </c>
      <c r="M25" s="82">
        <f>+[6]Annual!S12</f>
        <v>1514</v>
      </c>
      <c r="N25" s="82">
        <f>+[6]Annual!T12</f>
        <v>1653</v>
      </c>
      <c r="O25" s="82">
        <f>+[6]Annual!U12</f>
        <v>1571</v>
      </c>
      <c r="P25" s="82">
        <f>+[6]Annual!V12</f>
        <v>6493</v>
      </c>
      <c r="Q25" s="82">
        <f>+[6]Annual!W12</f>
        <v>1849</v>
      </c>
      <c r="R25" s="82">
        <f>+[6]Annual!X12</f>
        <v>1600</v>
      </c>
      <c r="S25" s="82">
        <f>+[6]Annual!Y12</f>
        <v>1720</v>
      </c>
      <c r="T25" s="82">
        <f>+[6]Annual!Z12</f>
        <v>1668</v>
      </c>
      <c r="U25" s="82">
        <f>+[6]Annual!AA12</f>
        <v>6837</v>
      </c>
      <c r="V25" s="82">
        <f>+[6]Annual!AB12</f>
        <v>1996</v>
      </c>
      <c r="W25" s="82">
        <f>+[6]Annual!AC12</f>
        <v>1951</v>
      </c>
      <c r="X25" s="82">
        <f>+[6]Annual!AD12</f>
        <v>2040</v>
      </c>
      <c r="Y25" s="82">
        <f>+[6]Annual!AE12</f>
        <v>1870</v>
      </c>
      <c r="Z25" s="82">
        <f>+[6]Annual!AF12</f>
        <v>7857</v>
      </c>
      <c r="AA25" s="82">
        <f>+[6]Annual!AG12</f>
        <v>2352</v>
      </c>
      <c r="AB25" s="82">
        <f>+[6]Annual!AH12</f>
        <v>2797</v>
      </c>
      <c r="AC25" s="82">
        <f>+[6]Annual!AI12</f>
        <v>3020</v>
      </c>
      <c r="AD25" s="82">
        <f>+[6]Annual!AJ12</f>
        <v>2942</v>
      </c>
      <c r="AE25" s="82">
        <f>+[6]Annual!AK12</f>
        <v>11111</v>
      </c>
      <c r="AF25" s="82">
        <f>+[6]Annual!AL12</f>
        <v>2917</v>
      </c>
      <c r="AG25" s="82">
        <f>+[6]Annual!AM12</f>
        <v>2848</v>
      </c>
      <c r="AH25" s="82">
        <f>+[6]Annual!AN12</f>
        <v>2844</v>
      </c>
      <c r="AI25" s="82">
        <f>+[6]Annual!AO12</f>
        <v>2872</v>
      </c>
      <c r="AJ25" s="82">
        <f>+[6]Annual!AP12</f>
        <v>11481</v>
      </c>
    </row>
    <row r="26" spans="1:36" x14ac:dyDescent="0.3">
      <c r="A26" t="s">
        <v>251</v>
      </c>
      <c r="B26" s="84">
        <f>+B25/B24</f>
        <v>5.5864856619890178E-2</v>
      </c>
      <c r="C26" s="84">
        <f t="shared" ref="C26:AJ26" si="12">+C25/C24</f>
        <v>4.8880219079416289E-2</v>
      </c>
      <c r="D26" s="84">
        <f t="shared" si="12"/>
        <v>4.9207519351271656E-2</v>
      </c>
      <c r="E26" s="84">
        <f t="shared" si="12"/>
        <v>5.1464346349745331E-2</v>
      </c>
      <c r="F26" s="84">
        <f t="shared" si="12"/>
        <v>5.1328463378369646E-2</v>
      </c>
      <c r="G26" s="84">
        <f t="shared" si="12"/>
        <v>5.9415231017528054E-2</v>
      </c>
      <c r="H26" s="84">
        <f t="shared" si="12"/>
        <v>5.0856102003642989E-2</v>
      </c>
      <c r="I26" s="84">
        <f t="shared" si="12"/>
        <v>4.9756664487542672E-2</v>
      </c>
      <c r="J26" s="84">
        <f t="shared" si="12"/>
        <v>5.1863914752009063E-2</v>
      </c>
      <c r="K26" s="84">
        <f t="shared" si="12"/>
        <v>5.2915157362069282E-2</v>
      </c>
      <c r="L26" s="84">
        <f t="shared" si="12"/>
        <v>6.0825564066128303E-2</v>
      </c>
      <c r="M26" s="84">
        <f t="shared" si="12"/>
        <v>5.0500333555703804E-2</v>
      </c>
      <c r="N26" s="84">
        <f t="shared" si="12"/>
        <v>5.4706115965051628E-2</v>
      </c>
      <c r="O26" s="84">
        <f t="shared" si="12"/>
        <v>5.0941989039852136E-2</v>
      </c>
      <c r="P26" s="84">
        <f t="shared" si="12"/>
        <v>5.4158881622847994E-2</v>
      </c>
      <c r="Q26" s="84">
        <f t="shared" si="12"/>
        <v>5.832991577021357E-2</v>
      </c>
      <c r="R26" s="84">
        <f t="shared" si="12"/>
        <v>5.1951425417234888E-2</v>
      </c>
      <c r="S26" s="84">
        <f t="shared" si="12"/>
        <v>5.7621440536013403E-2</v>
      </c>
      <c r="T26" s="84">
        <f t="shared" si="12"/>
        <v>5.3483823387950109E-2</v>
      </c>
      <c r="U26" s="84">
        <f t="shared" si="12"/>
        <v>5.5345087182476077E-2</v>
      </c>
      <c r="V26" s="84">
        <f t="shared" si="12"/>
        <v>6.5186152841280209E-2</v>
      </c>
      <c r="W26" s="84">
        <f t="shared" si="12"/>
        <v>6.0516765408356342E-2</v>
      </c>
      <c r="X26" s="84">
        <f t="shared" si="12"/>
        <v>6.1846293769895408E-2</v>
      </c>
      <c r="Y26" s="84">
        <f t="shared" si="12"/>
        <v>5.4461789375582478E-2</v>
      </c>
      <c r="Z26" s="84">
        <f t="shared" si="12"/>
        <v>6.0354893224765706E-2</v>
      </c>
      <c r="AA26" s="84">
        <f t="shared" si="12"/>
        <v>6.2169591879890039E-2</v>
      </c>
      <c r="AB26" s="84">
        <f t="shared" si="12"/>
        <v>6.3484497707567297E-2</v>
      </c>
      <c r="AC26" s="84">
        <f t="shared" si="12"/>
        <v>6.7473971133652083E-2</v>
      </c>
      <c r="AD26" s="84">
        <f t="shared" si="12"/>
        <v>6.2589086267418353E-2</v>
      </c>
      <c r="AE26" s="84">
        <f t="shared" si="12"/>
        <v>6.3983921959309659E-2</v>
      </c>
      <c r="AF26" s="84">
        <f t="shared" si="12"/>
        <v>6.4930439621591535E-2</v>
      </c>
      <c r="AG26" s="84">
        <f t="shared" si="12"/>
        <v>5.9899886425777142E-2</v>
      </c>
      <c r="AH26" s="84">
        <f t="shared" si="12"/>
        <v>5.8325300957732612E-2</v>
      </c>
      <c r="AI26" s="84">
        <f t="shared" si="12"/>
        <v>5.9959498110607738E-2</v>
      </c>
      <c r="AJ26" s="84">
        <f t="shared" si="12"/>
        <v>6.0703956516911559E-2</v>
      </c>
    </row>
    <row r="27" spans="1:36" x14ac:dyDescent="0.3">
      <c r="A27" t="s">
        <v>252</v>
      </c>
      <c r="B27" s="82">
        <f>+[6]Annual!H40</f>
        <v>530</v>
      </c>
      <c r="C27" s="82">
        <f>+[6]Annual!I40</f>
        <v>489</v>
      </c>
      <c r="D27" s="82">
        <f>+[6]Annual!J40</f>
        <v>477</v>
      </c>
      <c r="E27" s="82">
        <f>+[6]Annual!K40</f>
        <v>539</v>
      </c>
      <c r="F27" s="82">
        <f>+[6]Annual!L40</f>
        <v>2035</v>
      </c>
      <c r="G27" s="82">
        <f>+[6]Annual!M40</f>
        <v>604</v>
      </c>
      <c r="H27" s="82">
        <f>+[6]Annual!N40</f>
        <v>502</v>
      </c>
      <c r="I27" s="82">
        <f>+[6]Annual!O40</f>
        <v>469</v>
      </c>
      <c r="J27" s="82">
        <f>+[6]Annual!P40</f>
        <v>548</v>
      </c>
      <c r="K27" s="82">
        <f>+[6]Annual!Q40</f>
        <v>2123</v>
      </c>
      <c r="L27" s="82">
        <f>+[6]Annual!R40</f>
        <v>690</v>
      </c>
      <c r="M27" s="82">
        <f>+[6]Annual!S40</f>
        <v>530</v>
      </c>
      <c r="N27" s="82">
        <f>+[6]Annual!T40</f>
        <v>654</v>
      </c>
      <c r="O27" s="82">
        <f>+[6]Annual!U40</f>
        <v>576</v>
      </c>
      <c r="P27" s="82">
        <f>+[6]Annual!V40</f>
        <v>2450</v>
      </c>
      <c r="Q27" s="82">
        <f>+[6]Annual!W40</f>
        <v>760</v>
      </c>
      <c r="R27" s="82">
        <f>+[6]Annual!X40</f>
        <v>662</v>
      </c>
      <c r="S27" s="82">
        <f>+[6]Annual!Y40</f>
        <v>813</v>
      </c>
      <c r="T27" s="82">
        <f>+[6]Annual!Z40</f>
        <v>667</v>
      </c>
      <c r="U27" s="82">
        <f>+[6]Annual!AA40</f>
        <v>2902</v>
      </c>
      <c r="V27" s="82">
        <f>+[6]Annual!AB40</f>
        <v>693</v>
      </c>
      <c r="W27" s="82">
        <f>+[6]Annual!AC40</f>
        <v>845</v>
      </c>
      <c r="X27" s="82">
        <f>+[6]Annual!AD40</f>
        <v>798</v>
      </c>
      <c r="Y27" s="82">
        <f>+[6]Annual!AE40</f>
        <v>714</v>
      </c>
      <c r="Z27" s="82">
        <f>+[6]Annual!AF40</f>
        <v>3050</v>
      </c>
      <c r="AA27" s="82">
        <f>+[6]Annual!AG40</f>
        <v>874</v>
      </c>
      <c r="AB27" s="82">
        <f>+[6]Annual!AH40</f>
        <v>1077</v>
      </c>
      <c r="AC27" s="82">
        <f>+[6]Annual!AI40</f>
        <v>1000</v>
      </c>
      <c r="AD27" s="82">
        <f>+[6]Annual!AJ40</f>
        <v>990</v>
      </c>
      <c r="AE27" s="82">
        <f>+[6]Annual!AK40</f>
        <v>3941</v>
      </c>
      <c r="AF27" s="82">
        <f>+[6]Annual!AL40</f>
        <v>992</v>
      </c>
      <c r="AG27" s="82">
        <f>+[6]Annual!AM40</f>
        <v>1300</v>
      </c>
      <c r="AH27" s="82">
        <f>+[6]Annual!AN40</f>
        <v>1113</v>
      </c>
      <c r="AI27" s="82">
        <f>+[6]Annual!AO40</f>
        <v>1010</v>
      </c>
      <c r="AJ27" s="82">
        <f>+[6]Annual!AP40</f>
        <v>4415</v>
      </c>
    </row>
    <row r="28" spans="1:36" x14ac:dyDescent="0.3">
      <c r="A28" t="s">
        <v>253</v>
      </c>
      <c r="B28" s="84">
        <f>+B27/B24</f>
        <v>2.0210494203782795E-2</v>
      </c>
      <c r="C28" s="84">
        <f t="shared" ref="C28:AJ28" si="13">+C27/C24</f>
        <v>1.8344149754285929E-2</v>
      </c>
      <c r="D28" s="84">
        <f t="shared" si="13"/>
        <v>1.7582012532252118E-2</v>
      </c>
      <c r="E28" s="84">
        <f t="shared" si="13"/>
        <v>1.9064799094510469E-2</v>
      </c>
      <c r="F28" s="84">
        <f t="shared" si="13"/>
        <v>1.8793347062789172E-2</v>
      </c>
      <c r="G28" s="84">
        <f t="shared" si="13"/>
        <v>2.2670119731261495E-2</v>
      </c>
      <c r="H28" s="84">
        <f t="shared" si="13"/>
        <v>1.8287795992714025E-2</v>
      </c>
      <c r="I28" s="84">
        <f t="shared" si="13"/>
        <v>1.7033485872012786E-2</v>
      </c>
      <c r="J28" s="84">
        <f t="shared" si="13"/>
        <v>1.9400290296314654E-2</v>
      </c>
      <c r="K28" s="84">
        <f t="shared" si="13"/>
        <v>1.9322132624642774E-2</v>
      </c>
      <c r="L28" s="84">
        <f t="shared" si="13"/>
        <v>2.3914324333691471E-2</v>
      </c>
      <c r="M28" s="84">
        <f t="shared" si="13"/>
        <v>1.7678452301534357E-2</v>
      </c>
      <c r="N28" s="84">
        <f t="shared" si="13"/>
        <v>2.1644162033359809E-2</v>
      </c>
      <c r="O28" s="84">
        <f t="shared" si="13"/>
        <v>1.8677648432180033E-2</v>
      </c>
      <c r="P28" s="84">
        <f t="shared" si="13"/>
        <v>2.043574002402242E-2</v>
      </c>
      <c r="Q28" s="84">
        <f t="shared" si="13"/>
        <v>2.3975519732483675E-2</v>
      </c>
      <c r="R28" s="84">
        <f t="shared" si="13"/>
        <v>2.1494902266380934E-2</v>
      </c>
      <c r="S28" s="84">
        <f t="shared" si="13"/>
        <v>2.7236180904522612E-2</v>
      </c>
      <c r="T28" s="84">
        <f t="shared" si="13"/>
        <v>2.1387116426716261E-2</v>
      </c>
      <c r="U28" s="84">
        <f t="shared" si="13"/>
        <v>2.3491508410639985E-2</v>
      </c>
      <c r="V28" s="84">
        <f t="shared" si="13"/>
        <v>2.2632266492488569E-2</v>
      </c>
      <c r="W28" s="84">
        <f t="shared" si="13"/>
        <v>2.6210490399826297E-2</v>
      </c>
      <c r="X28" s="84">
        <f t="shared" si="13"/>
        <v>2.4192814915870851E-2</v>
      </c>
      <c r="Y28" s="84">
        <f t="shared" si="13"/>
        <v>2.0794501397949673E-2</v>
      </c>
      <c r="Z28" s="84">
        <f t="shared" si="13"/>
        <v>2.3429098171762176E-2</v>
      </c>
      <c r="AA28" s="84">
        <f t="shared" si="13"/>
        <v>2.310213575808839E-2</v>
      </c>
      <c r="AB28" s="84">
        <f t="shared" si="13"/>
        <v>2.4445049707204139E-2</v>
      </c>
      <c r="AC28" s="84">
        <f t="shared" si="13"/>
        <v>2.2342374547566917E-2</v>
      </c>
      <c r="AD28" s="84">
        <f t="shared" si="13"/>
        <v>2.106158919263908E-2</v>
      </c>
      <c r="AE28" s="84">
        <f t="shared" si="13"/>
        <v>2.2694684226589809E-2</v>
      </c>
      <c r="AF28" s="84">
        <f t="shared" si="13"/>
        <v>2.2081246521981079E-2</v>
      </c>
      <c r="AG28" s="84">
        <f t="shared" si="13"/>
        <v>2.734194253985614E-2</v>
      </c>
      <c r="AH28" s="84">
        <f t="shared" si="13"/>
        <v>2.2825618834724472E-2</v>
      </c>
      <c r="AI28" s="84">
        <f t="shared" si="13"/>
        <v>2.1086035199064698E-2</v>
      </c>
      <c r="AJ28" s="84">
        <f t="shared" si="13"/>
        <v>2.3343608398411684E-2</v>
      </c>
    </row>
    <row r="29" spans="1:36" x14ac:dyDescent="0.3">
      <c r="A29" t="s">
        <v>254</v>
      </c>
      <c r="B29" s="84">
        <f>+B27/B25</f>
        <v>0.36177474402730375</v>
      </c>
      <c r="C29" s="84">
        <f t="shared" ref="C29:AJ29" si="14">+C27/C25</f>
        <v>0.375287797390637</v>
      </c>
      <c r="D29" s="84">
        <f t="shared" si="14"/>
        <v>0.35730337078651686</v>
      </c>
      <c r="E29" s="84">
        <f t="shared" si="14"/>
        <v>0.37044673539518902</v>
      </c>
      <c r="F29" s="84">
        <f t="shared" si="14"/>
        <v>0.3661388988844908</v>
      </c>
      <c r="G29" s="84">
        <f t="shared" si="14"/>
        <v>0.38155401137081491</v>
      </c>
      <c r="H29" s="84">
        <f t="shared" si="14"/>
        <v>0.35959885386819485</v>
      </c>
      <c r="I29" s="84">
        <f t="shared" si="14"/>
        <v>0.34233576642335767</v>
      </c>
      <c r="J29" s="84">
        <f t="shared" si="14"/>
        <v>0.37406143344709897</v>
      </c>
      <c r="K29" s="84">
        <f t="shared" si="14"/>
        <v>0.36515307877536979</v>
      </c>
      <c r="L29" s="84">
        <f t="shared" si="14"/>
        <v>0.39316239316239315</v>
      </c>
      <c r="M29" s="84">
        <f t="shared" si="14"/>
        <v>0.35006605019815057</v>
      </c>
      <c r="N29" s="84">
        <f t="shared" si="14"/>
        <v>0.39564428312159711</v>
      </c>
      <c r="O29" s="84">
        <f t="shared" si="14"/>
        <v>0.36664544875875238</v>
      </c>
      <c r="P29" s="84">
        <f t="shared" si="14"/>
        <v>0.37732943169567223</v>
      </c>
      <c r="Q29" s="84">
        <f t="shared" si="14"/>
        <v>0.41103299080584099</v>
      </c>
      <c r="R29" s="84">
        <f t="shared" si="14"/>
        <v>0.41375000000000001</v>
      </c>
      <c r="S29" s="84">
        <f t="shared" si="14"/>
        <v>0.47267441860465115</v>
      </c>
      <c r="T29" s="84">
        <f t="shared" si="14"/>
        <v>0.3998800959232614</v>
      </c>
      <c r="U29" s="84">
        <f t="shared" si="14"/>
        <v>0.42445517039637271</v>
      </c>
      <c r="V29" s="84">
        <f t="shared" si="14"/>
        <v>0.3471943887775551</v>
      </c>
      <c r="W29" s="84">
        <f t="shared" si="14"/>
        <v>0.43311122501281396</v>
      </c>
      <c r="X29" s="84">
        <f t="shared" si="14"/>
        <v>0.39117647058823529</v>
      </c>
      <c r="Y29" s="84">
        <f t="shared" si="14"/>
        <v>0.38181818181818183</v>
      </c>
      <c r="Z29" s="84">
        <f t="shared" si="14"/>
        <v>0.38818887616138475</v>
      </c>
      <c r="AA29" s="84">
        <f t="shared" si="14"/>
        <v>0.37159863945578231</v>
      </c>
      <c r="AB29" s="84">
        <f t="shared" si="14"/>
        <v>0.38505541651769754</v>
      </c>
      <c r="AC29" s="84">
        <f t="shared" si="14"/>
        <v>0.33112582781456956</v>
      </c>
      <c r="AD29" s="84">
        <f t="shared" si="14"/>
        <v>0.33650577838205303</v>
      </c>
      <c r="AE29" s="84">
        <f t="shared" si="14"/>
        <v>0.35469354693546934</v>
      </c>
      <c r="AF29" s="84">
        <f t="shared" si="14"/>
        <v>0.34007541995200546</v>
      </c>
      <c r="AG29" s="84">
        <f t="shared" si="14"/>
        <v>0.45646067415730335</v>
      </c>
      <c r="AH29" s="84">
        <f t="shared" si="14"/>
        <v>0.39135021097046413</v>
      </c>
      <c r="AI29" s="84">
        <f t="shared" si="14"/>
        <v>0.35167130919220058</v>
      </c>
      <c r="AJ29" s="84">
        <f t="shared" si="14"/>
        <v>0.38454838428708299</v>
      </c>
    </row>
    <row r="31" spans="1:36" x14ac:dyDescent="0.3">
      <c r="E31" s="41" t="s">
        <v>251</v>
      </c>
    </row>
    <row r="49" spans="5:5" x14ac:dyDescent="0.3">
      <c r="E49" s="41" t="s">
        <v>256</v>
      </c>
    </row>
    <row r="67" spans="5:5" x14ac:dyDescent="0.3">
      <c r="E67" s="41" t="s">
        <v>254</v>
      </c>
    </row>
    <row r="83" spans="1:23" x14ac:dyDescent="0.3">
      <c r="A83" s="41" t="s">
        <v>274</v>
      </c>
    </row>
    <row r="85" spans="1:23" x14ac:dyDescent="0.3">
      <c r="C85" s="85" t="s">
        <v>109</v>
      </c>
      <c r="D85" s="85" t="s">
        <v>255</v>
      </c>
      <c r="E85" t="s">
        <v>110</v>
      </c>
      <c r="G85" t="s">
        <v>257</v>
      </c>
      <c r="H85" t="s">
        <v>258</v>
      </c>
      <c r="I85" t="s">
        <v>259</v>
      </c>
      <c r="J85" t="s">
        <v>260</v>
      </c>
      <c r="L85" t="s">
        <v>261</v>
      </c>
      <c r="M85" t="s">
        <v>262</v>
      </c>
      <c r="N85" t="s">
        <v>263</v>
      </c>
      <c r="O85" t="s">
        <v>264</v>
      </c>
      <c r="Q85" t="s">
        <v>265</v>
      </c>
      <c r="R85" t="s">
        <v>266</v>
      </c>
      <c r="S85" t="s">
        <v>267</v>
      </c>
      <c r="T85" t="s">
        <v>268</v>
      </c>
      <c r="U85" t="s">
        <v>269</v>
      </c>
      <c r="V85" t="s">
        <v>270</v>
      </c>
      <c r="W85" t="s">
        <v>271</v>
      </c>
    </row>
    <row r="86" spans="1:23" x14ac:dyDescent="0.3">
      <c r="B86" s="86" t="e">
        <f t="array" aca="1" ref="B86:B95" ca="1">_xll.FDS(C85,"JULIAN(FF_SALES(CAL,0,-10AY).dates)")</f>
        <v>#NAME?</v>
      </c>
      <c r="C86" s="87" t="e">
        <f t="array" aca="1" ref="C86:C95" ca="1">_xll.FDS(C85,"FF_SALES(CAL,0,-10AY)")</f>
        <v>#NAME?</v>
      </c>
      <c r="D86" s="87" t="e">
        <f t="array" aca="1" ref="D86:D95" ca="1">_xll.FDS(D85,"FF_SALES(CAL,0,-10AY)")</f>
        <v>#NAME?</v>
      </c>
      <c r="E86" s="87" t="e">
        <f t="array" aca="1" ref="E86:E95" ca="1">_xll.FDS(E85,"FF_SALES(CAL,0,-10AY)")</f>
        <v>#NAME?</v>
      </c>
      <c r="G86" s="87" t="e">
        <f t="array" aca="1" ref="G86:G95" ca="1">_xll.FDS(G85,"FF_SALES(CAL,0,-10AY)")</f>
        <v>#NAME?</v>
      </c>
      <c r="H86" s="87" t="e">
        <f t="array" aca="1" ref="H86:H95" ca="1">_xll.FDS(H85,"FF_SALES(CAL,0,-10AY)")</f>
        <v>#NAME?</v>
      </c>
      <c r="I86" s="87" t="e">
        <f t="array" aca="1" ref="I86:I95" ca="1">_xll.FDS(I85,"FF_SALES(CAL,0,-10AY)")</f>
        <v>#NAME?</v>
      </c>
      <c r="J86" s="87" t="e">
        <f t="array" aca="1" ref="J86:J95" ca="1">_xll.FDS(J85,"FF_SALES(CAL,0,-10AY)")</f>
        <v>#NAME?</v>
      </c>
      <c r="K86" s="87" t="e">
        <f t="array" aca="1" ref="K86:K95" ca="1">_xll.FDS(K85,"FF_SALES(CAL,0,-10AY)")</f>
        <v>#NAME?</v>
      </c>
      <c r="L86" s="87" t="e">
        <f t="array" aca="1" ref="L86:L95" ca="1">_xll.FDS(L85,"FF_SALES(CAL,0,-10AY)")</f>
        <v>#NAME?</v>
      </c>
      <c r="M86" s="87" t="e">
        <f t="array" aca="1" ref="M86:M95" ca="1">_xll.FDS(M85,"FF_SALES(CAL,0,-10AY)")</f>
        <v>#NAME?</v>
      </c>
      <c r="N86" s="87" t="e">
        <f t="array" aca="1" ref="N86:N95" ca="1">_xll.FDS(N85,"FF_SALES(CAL,0,-10AY)")</f>
        <v>#NAME?</v>
      </c>
      <c r="O86" s="87" t="e">
        <f t="array" aca="1" ref="O86:O95" ca="1">_xll.FDS(O85,"FF_SALES(CAL,0,-10AY)")</f>
        <v>#NAME?</v>
      </c>
      <c r="P86" s="87" t="e">
        <f t="array" aca="1" ref="P86:P95" ca="1">_xll.FDS(P85,"FF_SALES(CAL,0,-10AY)")</f>
        <v>#NAME?</v>
      </c>
      <c r="Q86" s="87" t="e">
        <f t="array" aca="1" ref="Q86:Q95" ca="1">_xll.FDS(Q85,"FF_SALES(CAL,0,-10AY)")</f>
        <v>#NAME?</v>
      </c>
      <c r="R86" s="87" t="e">
        <f t="array" aca="1" ref="R86:R95" ca="1">_xll.FDS(R85,"FF_SALES(CAL,0,-10AY)")</f>
        <v>#NAME?</v>
      </c>
      <c r="S86" s="87" t="e">
        <f t="array" aca="1" ref="S86:S95" ca="1">_xll.FDS(S85,"FF_SALES(CAL,0,-10AY)")</f>
        <v>#NAME?</v>
      </c>
      <c r="T86" s="87" t="e">
        <f t="array" aca="1" ref="T86:T95" ca="1">_xll.FDS(T85,"FF_SALES(CAL,0,-10AY)")</f>
        <v>#NAME?</v>
      </c>
      <c r="U86" s="87" t="e">
        <f t="array" aca="1" ref="U86:U95" ca="1">_xll.FDS(U85,"FF_SALES(CAL,0,-10AY)")</f>
        <v>#NAME?</v>
      </c>
      <c r="V86" s="87" t="e">
        <f t="array" aca="1" ref="V86:V95" ca="1">_xll.FDS(V85,"FF_SALES(CAL,0,-10AY)")</f>
        <v>#NAME?</v>
      </c>
      <c r="W86" s="87" t="e">
        <f t="array" aca="1" ref="W86:W95" ca="1">_xll.FDS(W85,"FF_SALES(CAL,0,-10AY)")</f>
        <v>#NAME?</v>
      </c>
    </row>
    <row r="87" spans="1:23" x14ac:dyDescent="0.3">
      <c r="B87" s="86" t="e">
        <f ca="1"/>
        <v>#NAME?</v>
      </c>
      <c r="C87" s="87" t="e">
        <f ca="1"/>
        <v>#NAME?</v>
      </c>
      <c r="D87" s="87" t="e">
        <f ca="1"/>
        <v>#NAME?</v>
      </c>
      <c r="E87" s="87" t="e">
        <f ca="1"/>
        <v>#NAME?</v>
      </c>
      <c r="G87" s="87" t="e">
        <f ca="1"/>
        <v>#NAME?</v>
      </c>
      <c r="H87" s="87" t="e">
        <f ca="1"/>
        <v>#NAME?</v>
      </c>
      <c r="I87" s="87" t="e">
        <f ca="1"/>
        <v>#NAME?</v>
      </c>
      <c r="J87" s="87" t="e">
        <f ca="1"/>
        <v>#NAME?</v>
      </c>
      <c r="K87" s="87" t="e">
        <f ca="1"/>
        <v>#NAME?</v>
      </c>
      <c r="L87" s="87" t="e">
        <f ca="1"/>
        <v>#NAME?</v>
      </c>
      <c r="M87" s="87" t="e">
        <f ca="1"/>
        <v>#NAME?</v>
      </c>
      <c r="N87" s="87" t="e">
        <f ca="1"/>
        <v>#NAME?</v>
      </c>
      <c r="O87" s="87" t="e">
        <f ca="1"/>
        <v>#NAME?</v>
      </c>
      <c r="P87" s="87" t="e">
        <f ca="1"/>
        <v>#NAME?</v>
      </c>
      <c r="Q87" s="87" t="e">
        <f ca="1"/>
        <v>#NAME?</v>
      </c>
      <c r="R87" s="87" t="e">
        <f ca="1"/>
        <v>#NAME?</v>
      </c>
      <c r="S87" s="87" t="e">
        <f ca="1"/>
        <v>#NAME?</v>
      </c>
      <c r="T87" s="87" t="e">
        <f ca="1"/>
        <v>#NAME?</v>
      </c>
      <c r="U87" s="87" t="e">
        <f ca="1"/>
        <v>#NAME?</v>
      </c>
      <c r="V87" s="87" t="e">
        <f ca="1"/>
        <v>#NAME?</v>
      </c>
      <c r="W87" s="87" t="e">
        <f ca="1"/>
        <v>#NAME?</v>
      </c>
    </row>
    <row r="88" spans="1:23" x14ac:dyDescent="0.3">
      <c r="B88" s="86" t="e">
        <f ca="1"/>
        <v>#NAME?</v>
      </c>
      <c r="C88" s="87" t="e">
        <f ca="1"/>
        <v>#NAME?</v>
      </c>
      <c r="D88" s="87" t="e">
        <f ca="1"/>
        <v>#NAME?</v>
      </c>
      <c r="E88" s="87" t="e">
        <f ca="1"/>
        <v>#NAME?</v>
      </c>
      <c r="G88" s="87" t="e">
        <f ca="1"/>
        <v>#NAME?</v>
      </c>
      <c r="H88" s="87" t="e">
        <f ca="1"/>
        <v>#NAME?</v>
      </c>
      <c r="I88" s="87" t="e">
        <f ca="1"/>
        <v>#NAME?</v>
      </c>
      <c r="J88" s="87" t="e">
        <f ca="1"/>
        <v>#NAME?</v>
      </c>
      <c r="K88" s="87" t="e">
        <f ca="1"/>
        <v>#NAME?</v>
      </c>
      <c r="L88" s="87" t="e">
        <f ca="1"/>
        <v>#NAME?</v>
      </c>
      <c r="M88" s="87" t="e">
        <f ca="1"/>
        <v>#NAME?</v>
      </c>
      <c r="N88" s="87" t="e">
        <f ca="1"/>
        <v>#NAME?</v>
      </c>
      <c r="O88" s="87" t="e">
        <f ca="1"/>
        <v>#NAME?</v>
      </c>
      <c r="P88" s="87" t="e">
        <f ca="1"/>
        <v>#NAME?</v>
      </c>
      <c r="Q88" s="87" t="e">
        <f ca="1"/>
        <v>#NAME?</v>
      </c>
      <c r="R88" s="87" t="e">
        <f ca="1"/>
        <v>#NAME?</v>
      </c>
      <c r="S88" s="87" t="e">
        <f ca="1"/>
        <v>#NAME?</v>
      </c>
      <c r="T88" s="87" t="e">
        <f ca="1"/>
        <v>#NAME?</v>
      </c>
      <c r="U88" s="87" t="e">
        <f ca="1"/>
        <v>#NAME?</v>
      </c>
      <c r="V88" s="87" t="e">
        <f ca="1"/>
        <v>#NAME?</v>
      </c>
      <c r="W88" s="87" t="e">
        <f ca="1"/>
        <v>#NAME?</v>
      </c>
    </row>
    <row r="89" spans="1:23" x14ac:dyDescent="0.3">
      <c r="B89" s="86" t="e">
        <f ca="1"/>
        <v>#NAME?</v>
      </c>
      <c r="C89" s="87" t="e">
        <f ca="1"/>
        <v>#NAME?</v>
      </c>
      <c r="D89" s="87" t="e">
        <f ca="1"/>
        <v>#NAME?</v>
      </c>
      <c r="E89" s="87" t="e">
        <f ca="1"/>
        <v>#NAME?</v>
      </c>
      <c r="G89" s="87" t="e">
        <f ca="1"/>
        <v>#NAME?</v>
      </c>
      <c r="H89" s="87" t="e">
        <f ca="1"/>
        <v>#NAME?</v>
      </c>
      <c r="I89" s="87" t="e">
        <f ca="1"/>
        <v>#NAME?</v>
      </c>
      <c r="J89" s="87" t="e">
        <f ca="1"/>
        <v>#NAME?</v>
      </c>
      <c r="K89" s="87" t="e">
        <f ca="1"/>
        <v>#NAME?</v>
      </c>
      <c r="L89" s="87" t="e">
        <f ca="1"/>
        <v>#NAME?</v>
      </c>
      <c r="M89" s="87" t="e">
        <f ca="1"/>
        <v>#NAME?</v>
      </c>
      <c r="N89" s="87" t="e">
        <f ca="1"/>
        <v>#NAME?</v>
      </c>
      <c r="O89" s="87" t="e">
        <f ca="1"/>
        <v>#NAME?</v>
      </c>
      <c r="P89" s="87" t="e">
        <f ca="1"/>
        <v>#NAME?</v>
      </c>
      <c r="Q89" s="87" t="e">
        <f ca="1"/>
        <v>#NAME?</v>
      </c>
      <c r="R89" s="87" t="e">
        <f ca="1"/>
        <v>#NAME?</v>
      </c>
      <c r="S89" s="87" t="e">
        <f ca="1"/>
        <v>#NAME?</v>
      </c>
      <c r="T89" s="87" t="e">
        <f ca="1"/>
        <v>#NAME?</v>
      </c>
      <c r="U89" s="87" t="e">
        <f ca="1"/>
        <v>#NAME?</v>
      </c>
      <c r="V89" s="87" t="e">
        <f ca="1"/>
        <v>#NAME?</v>
      </c>
      <c r="W89" s="87" t="e">
        <f ca="1"/>
        <v>#NAME?</v>
      </c>
    </row>
    <row r="90" spans="1:23" x14ac:dyDescent="0.3">
      <c r="B90" s="86" t="e">
        <f ca="1"/>
        <v>#NAME?</v>
      </c>
      <c r="C90" s="87" t="e">
        <f ca="1"/>
        <v>#NAME?</v>
      </c>
      <c r="D90" s="87" t="e">
        <f ca="1"/>
        <v>#NAME?</v>
      </c>
      <c r="E90" s="87" t="e">
        <f ca="1"/>
        <v>#NAME?</v>
      </c>
      <c r="G90" s="87" t="e">
        <f ca="1"/>
        <v>#NAME?</v>
      </c>
      <c r="H90" s="87" t="e">
        <f ca="1"/>
        <v>#NAME?</v>
      </c>
      <c r="I90" s="87" t="e">
        <f ca="1"/>
        <v>#NAME?</v>
      </c>
      <c r="J90" s="87" t="e">
        <f ca="1"/>
        <v>#NAME?</v>
      </c>
      <c r="K90" s="87" t="e">
        <f ca="1"/>
        <v>#NAME?</v>
      </c>
      <c r="L90" s="87" t="e">
        <f ca="1"/>
        <v>#NAME?</v>
      </c>
      <c r="M90" s="87" t="e">
        <f ca="1"/>
        <v>#NAME?</v>
      </c>
      <c r="N90" s="87" t="e">
        <f ca="1"/>
        <v>#NAME?</v>
      </c>
      <c r="O90" s="87" t="e">
        <f ca="1"/>
        <v>#NAME?</v>
      </c>
      <c r="P90" s="87" t="e">
        <f ca="1"/>
        <v>#NAME?</v>
      </c>
      <c r="Q90" s="87" t="e">
        <f ca="1"/>
        <v>#NAME?</v>
      </c>
      <c r="R90" s="87" t="e">
        <f ca="1"/>
        <v>#NAME?</v>
      </c>
      <c r="S90" s="87" t="e">
        <f ca="1"/>
        <v>#NAME?</v>
      </c>
      <c r="T90" s="87" t="e">
        <f ca="1"/>
        <v>#NAME?</v>
      </c>
      <c r="U90" s="87" t="e">
        <f ca="1"/>
        <v>#NAME?</v>
      </c>
      <c r="V90" s="87" t="e">
        <f ca="1"/>
        <v>#NAME?</v>
      </c>
      <c r="W90" s="87" t="e">
        <f ca="1"/>
        <v>#NAME?</v>
      </c>
    </row>
    <row r="91" spans="1:23" x14ac:dyDescent="0.3">
      <c r="B91" s="86" t="e">
        <f ca="1"/>
        <v>#NAME?</v>
      </c>
      <c r="C91" s="87" t="e">
        <f ca="1"/>
        <v>#NAME?</v>
      </c>
      <c r="D91" s="87" t="e">
        <f ca="1"/>
        <v>#NAME?</v>
      </c>
      <c r="E91" s="87" t="e">
        <f ca="1"/>
        <v>#NAME?</v>
      </c>
      <c r="G91" s="87" t="e">
        <f ca="1"/>
        <v>#NAME?</v>
      </c>
      <c r="H91" s="87" t="e">
        <f ca="1"/>
        <v>#NAME?</v>
      </c>
      <c r="I91" s="87" t="e">
        <f ca="1"/>
        <v>#NAME?</v>
      </c>
      <c r="J91" s="87" t="e">
        <f ca="1"/>
        <v>#NAME?</v>
      </c>
      <c r="K91" s="87" t="e">
        <f ca="1"/>
        <v>#NAME?</v>
      </c>
      <c r="L91" s="87" t="e">
        <f ca="1"/>
        <v>#NAME?</v>
      </c>
      <c r="M91" s="87" t="e">
        <f ca="1"/>
        <v>#NAME?</v>
      </c>
      <c r="N91" s="87" t="e">
        <f ca="1"/>
        <v>#NAME?</v>
      </c>
      <c r="O91" s="87" t="e">
        <f ca="1"/>
        <v>#NAME?</v>
      </c>
      <c r="P91" s="87" t="e">
        <f ca="1"/>
        <v>#NAME?</v>
      </c>
      <c r="Q91" s="87" t="e">
        <f ca="1"/>
        <v>#NAME?</v>
      </c>
      <c r="R91" s="87" t="e">
        <f ca="1"/>
        <v>#NAME?</v>
      </c>
      <c r="S91" s="87" t="e">
        <f ca="1"/>
        <v>#NAME?</v>
      </c>
      <c r="T91" s="87" t="e">
        <f ca="1"/>
        <v>#NAME?</v>
      </c>
      <c r="U91" s="87" t="e">
        <f ca="1"/>
        <v>#NAME?</v>
      </c>
      <c r="V91" s="87" t="e">
        <f ca="1"/>
        <v>#NAME?</v>
      </c>
      <c r="W91" s="87" t="e">
        <f ca="1"/>
        <v>#NAME?</v>
      </c>
    </row>
    <row r="92" spans="1:23" x14ac:dyDescent="0.3">
      <c r="B92" s="86" t="e">
        <f ca="1"/>
        <v>#NAME?</v>
      </c>
      <c r="C92" s="87" t="e">
        <f ca="1"/>
        <v>#NAME?</v>
      </c>
      <c r="D92" s="87" t="e">
        <f ca="1"/>
        <v>#NAME?</v>
      </c>
      <c r="E92" s="87" t="e">
        <f ca="1"/>
        <v>#NAME?</v>
      </c>
      <c r="G92" s="87" t="e">
        <f ca="1"/>
        <v>#NAME?</v>
      </c>
      <c r="H92" s="87" t="e">
        <f ca="1"/>
        <v>#NAME?</v>
      </c>
      <c r="I92" s="87" t="e">
        <f ca="1"/>
        <v>#NAME?</v>
      </c>
      <c r="J92" s="87" t="e">
        <f ca="1"/>
        <v>#NAME?</v>
      </c>
      <c r="K92" s="87" t="e">
        <f ca="1"/>
        <v>#NAME?</v>
      </c>
      <c r="L92" s="87" t="e">
        <f ca="1"/>
        <v>#NAME?</v>
      </c>
      <c r="M92" s="87" t="e">
        <f ca="1"/>
        <v>#NAME?</v>
      </c>
      <c r="N92" s="87" t="e">
        <f ca="1"/>
        <v>#NAME?</v>
      </c>
      <c r="O92" s="87" t="e">
        <f ca="1"/>
        <v>#NAME?</v>
      </c>
      <c r="P92" s="87" t="e">
        <f ca="1"/>
        <v>#NAME?</v>
      </c>
      <c r="Q92" s="87" t="e">
        <f ca="1"/>
        <v>#NAME?</v>
      </c>
      <c r="R92" s="87" t="e">
        <f ca="1"/>
        <v>#NAME?</v>
      </c>
      <c r="S92" s="87" t="e">
        <f ca="1"/>
        <v>#NAME?</v>
      </c>
      <c r="T92" s="87" t="e">
        <f ca="1"/>
        <v>#NAME?</v>
      </c>
      <c r="U92" s="87" t="e">
        <f ca="1"/>
        <v>#NAME?</v>
      </c>
      <c r="V92" s="87" t="e">
        <f ca="1"/>
        <v>#NAME?</v>
      </c>
      <c r="W92" s="87" t="e">
        <f ca="1"/>
        <v>#NAME?</v>
      </c>
    </row>
    <row r="93" spans="1:23" x14ac:dyDescent="0.3">
      <c r="B93" s="86" t="e">
        <f ca="1"/>
        <v>#NAME?</v>
      </c>
      <c r="C93" s="87" t="e">
        <f ca="1"/>
        <v>#NAME?</v>
      </c>
      <c r="D93" s="87" t="e">
        <f ca="1"/>
        <v>#NAME?</v>
      </c>
      <c r="E93" s="87" t="e">
        <f ca="1"/>
        <v>#NAME?</v>
      </c>
      <c r="G93" s="87" t="e">
        <f ca="1"/>
        <v>#NAME?</v>
      </c>
      <c r="H93" s="87" t="e">
        <f ca="1"/>
        <v>#NAME?</v>
      </c>
      <c r="I93" s="87" t="e">
        <f ca="1"/>
        <v>#NAME?</v>
      </c>
      <c r="J93" s="87" t="e">
        <f ca="1"/>
        <v>#NAME?</v>
      </c>
      <c r="K93" s="87" t="e">
        <f ca="1"/>
        <v>#NAME?</v>
      </c>
      <c r="L93" s="87" t="e">
        <f ca="1"/>
        <v>#NAME?</v>
      </c>
      <c r="M93" s="87" t="e">
        <f ca="1"/>
        <v>#NAME?</v>
      </c>
      <c r="N93" s="87" t="e">
        <f ca="1"/>
        <v>#NAME?</v>
      </c>
      <c r="O93" s="87" t="e">
        <f ca="1"/>
        <v>#NAME?</v>
      </c>
      <c r="P93" s="87" t="e">
        <f ca="1"/>
        <v>#NAME?</v>
      </c>
      <c r="Q93" s="87" t="e">
        <f ca="1"/>
        <v>#NAME?</v>
      </c>
      <c r="R93" s="87" t="e">
        <f ca="1"/>
        <v>#NAME?</v>
      </c>
      <c r="S93" s="87" t="e">
        <f ca="1"/>
        <v>#NAME?</v>
      </c>
      <c r="T93" s="87" t="e">
        <f ca="1"/>
        <v>#NAME?</v>
      </c>
      <c r="U93" s="87" t="e">
        <f ca="1"/>
        <v>#NAME?</v>
      </c>
      <c r="V93" s="87" t="e">
        <f ca="1"/>
        <v>#NAME?</v>
      </c>
      <c r="W93" s="87" t="e">
        <f ca="1"/>
        <v>#NAME?</v>
      </c>
    </row>
    <row r="94" spans="1:23" x14ac:dyDescent="0.3">
      <c r="B94" s="86" t="e">
        <f ca="1"/>
        <v>#NAME?</v>
      </c>
      <c r="C94" s="87" t="e">
        <f ca="1"/>
        <v>#NAME?</v>
      </c>
      <c r="D94" s="87" t="e">
        <f ca="1"/>
        <v>#NAME?</v>
      </c>
      <c r="E94" s="87" t="e">
        <f ca="1"/>
        <v>#NAME?</v>
      </c>
      <c r="G94" s="87" t="e">
        <f ca="1"/>
        <v>#NAME?</v>
      </c>
      <c r="H94" s="87" t="e">
        <f ca="1"/>
        <v>#NAME?</v>
      </c>
      <c r="I94" s="87" t="e">
        <f ca="1"/>
        <v>#NAME?</v>
      </c>
      <c r="J94" s="87" t="e">
        <f ca="1"/>
        <v>#NAME?</v>
      </c>
      <c r="K94" s="87" t="e">
        <f ca="1"/>
        <v>#NAME?</v>
      </c>
      <c r="L94" s="87" t="e">
        <f ca="1"/>
        <v>#NAME?</v>
      </c>
      <c r="M94" s="87" t="e">
        <f ca="1"/>
        <v>#NAME?</v>
      </c>
      <c r="N94" s="87" t="e">
        <f ca="1"/>
        <v>#NAME?</v>
      </c>
      <c r="O94" s="87" t="e">
        <f ca="1"/>
        <v>#NAME?</v>
      </c>
      <c r="P94" s="87" t="e">
        <f ca="1"/>
        <v>#NAME?</v>
      </c>
      <c r="Q94" s="87" t="e">
        <f ca="1"/>
        <v>#NAME?</v>
      </c>
      <c r="R94" s="87" t="e">
        <f ca="1"/>
        <v>#NAME?</v>
      </c>
      <c r="S94" s="87" t="e">
        <f ca="1"/>
        <v>#NAME?</v>
      </c>
      <c r="T94" s="87" t="e">
        <f ca="1"/>
        <v>#NAME?</v>
      </c>
      <c r="U94" s="87" t="e">
        <f ca="1"/>
        <v>#NAME?</v>
      </c>
      <c r="V94" s="87" t="e">
        <f ca="1"/>
        <v>#NAME?</v>
      </c>
      <c r="W94" s="87" t="e">
        <f ca="1"/>
        <v>#NAME?</v>
      </c>
    </row>
    <row r="95" spans="1:23" x14ac:dyDescent="0.3">
      <c r="B95" s="86" t="e">
        <f ca="1"/>
        <v>#NAME?</v>
      </c>
      <c r="C95" s="87" t="e">
        <f ca="1"/>
        <v>#NAME?</v>
      </c>
      <c r="D95" s="87" t="e">
        <f ca="1"/>
        <v>#NAME?</v>
      </c>
      <c r="E95" s="87" t="e">
        <f ca="1"/>
        <v>#NAME?</v>
      </c>
      <c r="G95" s="87" t="e">
        <f ca="1"/>
        <v>#NAME?</v>
      </c>
      <c r="H95" s="87" t="e">
        <f ca="1"/>
        <v>#NAME?</v>
      </c>
      <c r="I95" s="87" t="e">
        <f ca="1"/>
        <v>#NAME?</v>
      </c>
      <c r="J95" s="87" t="e">
        <f ca="1"/>
        <v>#NAME?</v>
      </c>
      <c r="K95" s="87" t="e">
        <f ca="1"/>
        <v>#NAME?</v>
      </c>
      <c r="L95" s="87" t="e">
        <f ca="1"/>
        <v>#NAME?</v>
      </c>
      <c r="M95" s="87" t="e">
        <f ca="1"/>
        <v>#NAME?</v>
      </c>
      <c r="N95" s="87" t="e">
        <f ca="1"/>
        <v>#NAME?</v>
      </c>
      <c r="O95" s="87" t="e">
        <f ca="1"/>
        <v>#NAME?</v>
      </c>
      <c r="P95" s="87" t="e">
        <f ca="1"/>
        <v>#NAME?</v>
      </c>
      <c r="Q95" s="87" t="e">
        <f ca="1"/>
        <v>#NAME?</v>
      </c>
      <c r="R95" s="87" t="e">
        <f ca="1"/>
        <v>#NAME?</v>
      </c>
      <c r="S95" s="87" t="e">
        <f ca="1"/>
        <v>#NAME?</v>
      </c>
      <c r="T95" s="87" t="e">
        <f ca="1"/>
        <v>#NAME?</v>
      </c>
      <c r="U95" s="87" t="e">
        <f ca="1"/>
        <v>#NAME?</v>
      </c>
      <c r="V95" s="87" t="e">
        <f ca="1"/>
        <v>#NAME?</v>
      </c>
      <c r="W95" s="87" t="e">
        <f ca="1"/>
        <v>#NAME?</v>
      </c>
    </row>
    <row r="98" spans="2:20" x14ac:dyDescent="0.3">
      <c r="C98" s="85" t="s">
        <v>109</v>
      </c>
      <c r="D98" s="85" t="s">
        <v>255</v>
      </c>
      <c r="E98" t="s">
        <v>110</v>
      </c>
      <c r="F98" t="s">
        <v>257</v>
      </c>
      <c r="G98" t="s">
        <v>258</v>
      </c>
      <c r="H98" t="s">
        <v>259</v>
      </c>
      <c r="I98" t="s">
        <v>260</v>
      </c>
      <c r="J98" t="s">
        <v>261</v>
      </c>
      <c r="K98" t="s">
        <v>262</v>
      </c>
      <c r="L98" t="s">
        <v>263</v>
      </c>
      <c r="M98" t="s">
        <v>264</v>
      </c>
      <c r="N98" t="s">
        <v>265</v>
      </c>
      <c r="O98" t="s">
        <v>266</v>
      </c>
      <c r="P98" t="s">
        <v>267</v>
      </c>
      <c r="Q98" t="s">
        <v>268</v>
      </c>
      <c r="R98" t="s">
        <v>269</v>
      </c>
      <c r="S98" t="s">
        <v>270</v>
      </c>
      <c r="T98" t="s">
        <v>271</v>
      </c>
    </row>
    <row r="99" spans="2:20" x14ac:dyDescent="0.3">
      <c r="B99" s="86" t="e">
        <f t="array" aca="1" ref="B99:B108" ca="1">_xll.FDS(C98,"JULIAN(FF_SALES(CAL,0,-10AY).dates)")</f>
        <v>#NAME?</v>
      </c>
      <c r="C99" s="30" t="e">
        <f t="shared" ref="C99:C107" ca="1" si="15">+C86/C87-1</f>
        <v>#NAME?</v>
      </c>
      <c r="D99" s="30" t="e">
        <f t="shared" ref="D99:E107" ca="1" si="16">+D86/D87-1</f>
        <v>#NAME?</v>
      </c>
      <c r="E99" s="30" t="e">
        <f t="shared" ca="1" si="16"/>
        <v>#NAME?</v>
      </c>
      <c r="F99" s="30" t="e">
        <f t="shared" ref="F99:F107" ca="1" si="17">+G86/G87-1</f>
        <v>#NAME?</v>
      </c>
      <c r="G99" s="30" t="e">
        <f t="shared" ref="G99:G107" ca="1" si="18">+H86/H87-1</f>
        <v>#NAME?</v>
      </c>
      <c r="H99" s="30" t="e">
        <f t="shared" ref="H99:I107" ca="1" si="19">+I86/I87-1</f>
        <v>#NAME?</v>
      </c>
      <c r="I99" s="30" t="e">
        <f t="shared" ca="1" si="19"/>
        <v>#NAME?</v>
      </c>
      <c r="J99" s="30" t="e">
        <f t="shared" ref="J99:J107" ca="1" si="20">+L86/L87-1</f>
        <v>#NAME?</v>
      </c>
      <c r="K99" s="30" t="e">
        <f t="shared" ref="K99:K107" ca="1" si="21">+M86/M87-1</f>
        <v>#NAME?</v>
      </c>
      <c r="L99" s="30" t="e">
        <f t="shared" ref="L99:L107" ca="1" si="22">+N86/N87-1</f>
        <v>#NAME?</v>
      </c>
      <c r="M99" s="30" t="e">
        <f t="shared" ref="M99:M107" ca="1" si="23">+O86/O87-1</f>
        <v>#NAME?</v>
      </c>
      <c r="N99" s="30" t="e">
        <f t="shared" ref="N99:N107" ca="1" si="24">+Q86/Q87-1</f>
        <v>#NAME?</v>
      </c>
      <c r="O99" s="30" t="e">
        <f t="shared" ref="O99:O107" ca="1" si="25">+R86/R87-1</f>
        <v>#NAME?</v>
      </c>
      <c r="P99" s="30" t="e">
        <f t="shared" ref="P99:P107" ca="1" si="26">+S86/S87-1</f>
        <v>#NAME?</v>
      </c>
      <c r="Q99" s="30" t="e">
        <f t="shared" ref="Q99:Q107" ca="1" si="27">+T86/T87-1</f>
        <v>#NAME?</v>
      </c>
      <c r="R99" s="30" t="e">
        <f t="shared" ref="R99:R107" ca="1" si="28">+U86/U87-1</f>
        <v>#NAME?</v>
      </c>
      <c r="S99" s="30" t="e">
        <f t="shared" ref="S99:S107" ca="1" si="29">+V86/V87-1</f>
        <v>#NAME?</v>
      </c>
      <c r="T99" s="30" t="e">
        <f t="shared" ref="T99:T107" ca="1" si="30">+W86/W87-1</f>
        <v>#NAME?</v>
      </c>
    </row>
    <row r="100" spans="2:20" x14ac:dyDescent="0.3">
      <c r="B100" s="86" t="e">
        <f ca="1"/>
        <v>#NAME?</v>
      </c>
      <c r="C100" s="30" t="e">
        <f t="shared" ca="1" si="15"/>
        <v>#NAME?</v>
      </c>
      <c r="D100" s="30" t="e">
        <f ca="1">+D87/D88-1</f>
        <v>#NAME?</v>
      </c>
      <c r="E100" s="30" t="e">
        <f ca="1">+E87/E88-1</f>
        <v>#NAME?</v>
      </c>
      <c r="F100" s="30" t="e">
        <f t="shared" ca="1" si="17"/>
        <v>#NAME?</v>
      </c>
      <c r="G100" s="30" t="e">
        <f t="shared" ca="1" si="18"/>
        <v>#NAME?</v>
      </c>
      <c r="H100" s="30" t="e">
        <f t="shared" ca="1" si="19"/>
        <v>#NAME?</v>
      </c>
      <c r="I100" s="30" t="e">
        <f t="shared" ca="1" si="19"/>
        <v>#NAME?</v>
      </c>
      <c r="J100" s="30" t="e">
        <f t="shared" ca="1" si="20"/>
        <v>#NAME?</v>
      </c>
      <c r="K100" s="30" t="e">
        <f t="shared" ca="1" si="21"/>
        <v>#NAME?</v>
      </c>
      <c r="L100" s="30" t="e">
        <f t="shared" ca="1" si="22"/>
        <v>#NAME?</v>
      </c>
      <c r="M100" s="30" t="e">
        <f t="shared" ca="1" si="23"/>
        <v>#NAME?</v>
      </c>
      <c r="N100" s="30" t="e">
        <f t="shared" ca="1" si="24"/>
        <v>#NAME?</v>
      </c>
      <c r="O100" s="30" t="e">
        <f t="shared" ca="1" si="25"/>
        <v>#NAME?</v>
      </c>
      <c r="P100" s="30" t="e">
        <f t="shared" ca="1" si="26"/>
        <v>#NAME?</v>
      </c>
      <c r="Q100" s="30" t="e">
        <f t="shared" ca="1" si="27"/>
        <v>#NAME?</v>
      </c>
      <c r="R100" s="30" t="e">
        <f t="shared" ca="1" si="28"/>
        <v>#NAME?</v>
      </c>
      <c r="S100" s="30" t="e">
        <f t="shared" ca="1" si="29"/>
        <v>#NAME?</v>
      </c>
      <c r="T100" s="30" t="e">
        <f t="shared" ca="1" si="30"/>
        <v>#NAME?</v>
      </c>
    </row>
    <row r="101" spans="2:20" x14ac:dyDescent="0.3">
      <c r="B101" s="86" t="e">
        <f ca="1"/>
        <v>#NAME?</v>
      </c>
      <c r="C101" s="30" t="e">
        <f t="shared" ca="1" si="15"/>
        <v>#NAME?</v>
      </c>
      <c r="D101" s="30" t="e">
        <f t="shared" ca="1" si="16"/>
        <v>#NAME?</v>
      </c>
      <c r="E101" s="30" t="e">
        <f t="shared" ca="1" si="16"/>
        <v>#NAME?</v>
      </c>
      <c r="F101" s="30" t="e">
        <f t="shared" ca="1" si="17"/>
        <v>#NAME?</v>
      </c>
      <c r="G101" s="30" t="e">
        <f t="shared" ca="1" si="18"/>
        <v>#NAME?</v>
      </c>
      <c r="H101" s="30" t="e">
        <f t="shared" ca="1" si="19"/>
        <v>#NAME?</v>
      </c>
      <c r="I101" s="30" t="e">
        <f t="shared" ca="1" si="19"/>
        <v>#NAME?</v>
      </c>
      <c r="J101" s="30" t="e">
        <f t="shared" ca="1" si="20"/>
        <v>#NAME?</v>
      </c>
      <c r="K101" s="30" t="e">
        <f t="shared" ca="1" si="21"/>
        <v>#NAME?</v>
      </c>
      <c r="L101" s="30" t="e">
        <f t="shared" ca="1" si="22"/>
        <v>#NAME?</v>
      </c>
      <c r="M101" s="30" t="e">
        <f t="shared" ca="1" si="23"/>
        <v>#NAME?</v>
      </c>
      <c r="N101" s="30" t="e">
        <f t="shared" ca="1" si="24"/>
        <v>#NAME?</v>
      </c>
      <c r="O101" s="30" t="e">
        <f t="shared" ca="1" si="25"/>
        <v>#NAME?</v>
      </c>
      <c r="P101" s="30" t="e">
        <f t="shared" ca="1" si="26"/>
        <v>#NAME?</v>
      </c>
      <c r="Q101" s="30" t="e">
        <f t="shared" ca="1" si="27"/>
        <v>#NAME?</v>
      </c>
      <c r="R101" s="30" t="e">
        <f t="shared" ca="1" si="28"/>
        <v>#NAME?</v>
      </c>
      <c r="S101" s="30" t="e">
        <f t="shared" ca="1" si="29"/>
        <v>#NAME?</v>
      </c>
      <c r="T101" s="30" t="e">
        <f t="shared" ca="1" si="30"/>
        <v>#NAME?</v>
      </c>
    </row>
    <row r="102" spans="2:20" x14ac:dyDescent="0.3">
      <c r="B102" s="86" t="e">
        <f ca="1"/>
        <v>#NAME?</v>
      </c>
      <c r="C102" s="30" t="e">
        <f t="shared" ca="1" si="15"/>
        <v>#NAME?</v>
      </c>
      <c r="D102" s="30" t="e">
        <f t="shared" ca="1" si="16"/>
        <v>#NAME?</v>
      </c>
      <c r="E102" s="30" t="e">
        <f t="shared" ca="1" si="16"/>
        <v>#NAME?</v>
      </c>
      <c r="F102" s="30" t="e">
        <f t="shared" ca="1" si="17"/>
        <v>#NAME?</v>
      </c>
      <c r="G102" s="30" t="e">
        <f t="shared" ca="1" si="18"/>
        <v>#NAME?</v>
      </c>
      <c r="H102" s="30" t="e">
        <f t="shared" ca="1" si="19"/>
        <v>#NAME?</v>
      </c>
      <c r="I102" s="30" t="e">
        <f t="shared" ca="1" si="19"/>
        <v>#NAME?</v>
      </c>
      <c r="J102" s="30" t="e">
        <f t="shared" ca="1" si="20"/>
        <v>#NAME?</v>
      </c>
      <c r="K102" s="30" t="e">
        <f t="shared" ca="1" si="21"/>
        <v>#NAME?</v>
      </c>
      <c r="L102" s="30" t="e">
        <f t="shared" ca="1" si="22"/>
        <v>#NAME?</v>
      </c>
      <c r="M102" s="30" t="e">
        <f t="shared" ca="1" si="23"/>
        <v>#NAME?</v>
      </c>
      <c r="N102" s="30" t="e">
        <f t="shared" ca="1" si="24"/>
        <v>#NAME?</v>
      </c>
      <c r="O102" s="30" t="e">
        <f t="shared" ca="1" si="25"/>
        <v>#NAME?</v>
      </c>
      <c r="P102" s="30" t="e">
        <f t="shared" ca="1" si="26"/>
        <v>#NAME?</v>
      </c>
      <c r="Q102" s="30" t="e">
        <f t="shared" ca="1" si="27"/>
        <v>#NAME?</v>
      </c>
      <c r="R102" s="30" t="e">
        <f t="shared" ca="1" si="28"/>
        <v>#NAME?</v>
      </c>
      <c r="S102" s="30" t="e">
        <f t="shared" ca="1" si="29"/>
        <v>#NAME?</v>
      </c>
      <c r="T102" s="30" t="e">
        <f t="shared" ca="1" si="30"/>
        <v>#NAME?</v>
      </c>
    </row>
    <row r="103" spans="2:20" x14ac:dyDescent="0.3">
      <c r="B103" s="86" t="e">
        <f ca="1"/>
        <v>#NAME?</v>
      </c>
      <c r="C103" s="30" t="e">
        <f t="shared" ca="1" si="15"/>
        <v>#NAME?</v>
      </c>
      <c r="D103" s="30" t="e">
        <f t="shared" ca="1" si="16"/>
        <v>#NAME?</v>
      </c>
      <c r="E103" s="30" t="e">
        <f t="shared" ca="1" si="16"/>
        <v>#NAME?</v>
      </c>
      <c r="F103" s="30" t="e">
        <f t="shared" ca="1" si="17"/>
        <v>#NAME?</v>
      </c>
      <c r="G103" s="30" t="e">
        <f t="shared" ca="1" si="18"/>
        <v>#NAME?</v>
      </c>
      <c r="H103" s="30" t="e">
        <f t="shared" ca="1" si="19"/>
        <v>#NAME?</v>
      </c>
      <c r="I103" s="30" t="e">
        <f t="shared" ca="1" si="19"/>
        <v>#NAME?</v>
      </c>
      <c r="J103" s="30" t="e">
        <f t="shared" ca="1" si="20"/>
        <v>#NAME?</v>
      </c>
      <c r="K103" s="30" t="e">
        <f t="shared" ca="1" si="21"/>
        <v>#NAME?</v>
      </c>
      <c r="L103" s="30" t="e">
        <f t="shared" ca="1" si="22"/>
        <v>#NAME?</v>
      </c>
      <c r="M103" s="30" t="e">
        <f t="shared" ca="1" si="23"/>
        <v>#NAME?</v>
      </c>
      <c r="N103" s="30" t="e">
        <f t="shared" ca="1" si="24"/>
        <v>#NAME?</v>
      </c>
      <c r="O103" s="30" t="e">
        <f t="shared" ca="1" si="25"/>
        <v>#NAME?</v>
      </c>
      <c r="P103" s="30" t="e">
        <f t="shared" ca="1" si="26"/>
        <v>#NAME?</v>
      </c>
      <c r="Q103" s="30" t="e">
        <f t="shared" ca="1" si="27"/>
        <v>#NAME?</v>
      </c>
      <c r="R103" s="30" t="e">
        <f t="shared" ca="1" si="28"/>
        <v>#NAME?</v>
      </c>
      <c r="S103" s="30" t="e">
        <f t="shared" ca="1" si="29"/>
        <v>#NAME?</v>
      </c>
      <c r="T103" s="30" t="e">
        <f t="shared" ca="1" si="30"/>
        <v>#NAME?</v>
      </c>
    </row>
    <row r="104" spans="2:20" x14ac:dyDescent="0.3">
      <c r="B104" s="86" t="e">
        <f ca="1"/>
        <v>#NAME?</v>
      </c>
      <c r="C104" s="30" t="e">
        <f t="shared" ca="1" si="15"/>
        <v>#NAME?</v>
      </c>
      <c r="D104" s="30" t="e">
        <f t="shared" ca="1" si="16"/>
        <v>#NAME?</v>
      </c>
      <c r="E104" s="30" t="e">
        <f t="shared" ca="1" si="16"/>
        <v>#NAME?</v>
      </c>
      <c r="F104" s="30" t="e">
        <f t="shared" ca="1" si="17"/>
        <v>#NAME?</v>
      </c>
      <c r="G104" s="30" t="e">
        <f t="shared" ca="1" si="18"/>
        <v>#NAME?</v>
      </c>
      <c r="H104" s="30" t="e">
        <f t="shared" ca="1" si="19"/>
        <v>#NAME?</v>
      </c>
      <c r="I104" s="30" t="e">
        <f t="shared" ca="1" si="19"/>
        <v>#NAME?</v>
      </c>
      <c r="J104" s="30" t="e">
        <f t="shared" ca="1" si="20"/>
        <v>#NAME?</v>
      </c>
      <c r="K104" s="30" t="e">
        <f t="shared" ca="1" si="21"/>
        <v>#NAME?</v>
      </c>
      <c r="L104" s="30" t="e">
        <f t="shared" ca="1" si="22"/>
        <v>#NAME?</v>
      </c>
      <c r="M104" s="30" t="e">
        <f t="shared" ca="1" si="23"/>
        <v>#NAME?</v>
      </c>
      <c r="N104" s="30" t="e">
        <f t="shared" ca="1" si="24"/>
        <v>#NAME?</v>
      </c>
      <c r="O104" s="30" t="e">
        <f t="shared" ca="1" si="25"/>
        <v>#NAME?</v>
      </c>
      <c r="P104" s="30" t="e">
        <f t="shared" ca="1" si="26"/>
        <v>#NAME?</v>
      </c>
      <c r="Q104" s="30" t="e">
        <f t="shared" ca="1" si="27"/>
        <v>#NAME?</v>
      </c>
      <c r="R104" s="30" t="e">
        <f t="shared" ca="1" si="28"/>
        <v>#NAME?</v>
      </c>
      <c r="S104" s="30" t="e">
        <f t="shared" ca="1" si="29"/>
        <v>#NAME?</v>
      </c>
      <c r="T104" s="30" t="e">
        <f t="shared" ca="1" si="30"/>
        <v>#NAME?</v>
      </c>
    </row>
    <row r="105" spans="2:20" x14ac:dyDescent="0.3">
      <c r="B105" s="86" t="e">
        <f ca="1"/>
        <v>#NAME?</v>
      </c>
      <c r="C105" s="30" t="e">
        <f t="shared" ca="1" si="15"/>
        <v>#NAME?</v>
      </c>
      <c r="D105" s="30" t="e">
        <f t="shared" ca="1" si="16"/>
        <v>#NAME?</v>
      </c>
      <c r="E105" s="30" t="e">
        <f t="shared" ca="1" si="16"/>
        <v>#NAME?</v>
      </c>
      <c r="F105" s="30" t="e">
        <f t="shared" ca="1" si="17"/>
        <v>#NAME?</v>
      </c>
      <c r="G105" s="30" t="e">
        <f t="shared" ca="1" si="18"/>
        <v>#NAME?</v>
      </c>
      <c r="H105" s="30" t="e">
        <f t="shared" ca="1" si="19"/>
        <v>#NAME?</v>
      </c>
      <c r="I105" s="30" t="e">
        <f t="shared" ca="1" si="19"/>
        <v>#NAME?</v>
      </c>
      <c r="J105" s="30" t="e">
        <f t="shared" ca="1" si="20"/>
        <v>#NAME?</v>
      </c>
      <c r="K105" s="30" t="e">
        <f t="shared" ca="1" si="21"/>
        <v>#NAME?</v>
      </c>
      <c r="L105" s="30" t="e">
        <f t="shared" ca="1" si="22"/>
        <v>#NAME?</v>
      </c>
      <c r="M105" s="30" t="e">
        <f t="shared" ca="1" si="23"/>
        <v>#NAME?</v>
      </c>
      <c r="N105" s="30" t="e">
        <f t="shared" ca="1" si="24"/>
        <v>#NAME?</v>
      </c>
      <c r="O105" s="30" t="e">
        <f t="shared" ca="1" si="25"/>
        <v>#NAME?</v>
      </c>
      <c r="P105" s="30" t="e">
        <f t="shared" ca="1" si="26"/>
        <v>#NAME?</v>
      </c>
      <c r="Q105" s="30" t="e">
        <f t="shared" ca="1" si="27"/>
        <v>#NAME?</v>
      </c>
      <c r="R105" s="30" t="e">
        <f t="shared" ca="1" si="28"/>
        <v>#NAME?</v>
      </c>
      <c r="S105" s="30" t="e">
        <f t="shared" ca="1" si="29"/>
        <v>#NAME?</v>
      </c>
      <c r="T105" s="30" t="e">
        <f t="shared" ca="1" si="30"/>
        <v>#NAME?</v>
      </c>
    </row>
    <row r="106" spans="2:20" x14ac:dyDescent="0.3">
      <c r="B106" s="86" t="e">
        <f ca="1"/>
        <v>#NAME?</v>
      </c>
      <c r="C106" s="30" t="e">
        <f t="shared" ca="1" si="15"/>
        <v>#NAME?</v>
      </c>
      <c r="D106" s="30" t="e">
        <f t="shared" ca="1" si="16"/>
        <v>#NAME?</v>
      </c>
      <c r="E106" s="30" t="e">
        <f t="shared" ca="1" si="16"/>
        <v>#NAME?</v>
      </c>
      <c r="F106" s="30" t="e">
        <f t="shared" ca="1" si="17"/>
        <v>#NAME?</v>
      </c>
      <c r="G106" s="30" t="e">
        <f t="shared" ca="1" si="18"/>
        <v>#NAME?</v>
      </c>
      <c r="H106" s="30" t="e">
        <f t="shared" ca="1" si="19"/>
        <v>#NAME?</v>
      </c>
      <c r="I106" s="30" t="e">
        <f t="shared" ca="1" si="19"/>
        <v>#NAME?</v>
      </c>
      <c r="J106" s="30" t="e">
        <f t="shared" ca="1" si="20"/>
        <v>#NAME?</v>
      </c>
      <c r="K106" s="30" t="e">
        <f t="shared" ca="1" si="21"/>
        <v>#NAME?</v>
      </c>
      <c r="L106" s="30" t="e">
        <f t="shared" ca="1" si="22"/>
        <v>#NAME?</v>
      </c>
      <c r="M106" s="30" t="e">
        <f t="shared" ca="1" si="23"/>
        <v>#NAME?</v>
      </c>
      <c r="N106" s="30" t="e">
        <f t="shared" ca="1" si="24"/>
        <v>#NAME?</v>
      </c>
      <c r="O106" s="30" t="e">
        <f t="shared" ca="1" si="25"/>
        <v>#NAME?</v>
      </c>
      <c r="P106" s="30" t="e">
        <f t="shared" ca="1" si="26"/>
        <v>#NAME?</v>
      </c>
      <c r="Q106" s="30" t="e">
        <f t="shared" ca="1" si="27"/>
        <v>#NAME?</v>
      </c>
      <c r="R106" s="30" t="e">
        <f t="shared" ca="1" si="28"/>
        <v>#NAME?</v>
      </c>
      <c r="S106" s="30" t="e">
        <f t="shared" ca="1" si="29"/>
        <v>#NAME?</v>
      </c>
      <c r="T106" s="30" t="e">
        <f t="shared" ca="1" si="30"/>
        <v>#NAME?</v>
      </c>
    </row>
    <row r="107" spans="2:20" x14ac:dyDescent="0.3">
      <c r="B107" s="86" t="e">
        <f ca="1"/>
        <v>#NAME?</v>
      </c>
      <c r="C107" s="30" t="e">
        <f t="shared" ca="1" si="15"/>
        <v>#NAME?</v>
      </c>
      <c r="D107" s="30" t="e">
        <f t="shared" ca="1" si="16"/>
        <v>#NAME?</v>
      </c>
      <c r="E107" s="30" t="e">
        <f t="shared" ca="1" si="16"/>
        <v>#NAME?</v>
      </c>
      <c r="F107" s="30" t="e">
        <f t="shared" ca="1" si="17"/>
        <v>#NAME?</v>
      </c>
      <c r="G107" s="30" t="e">
        <f t="shared" ca="1" si="18"/>
        <v>#NAME?</v>
      </c>
      <c r="H107" s="30" t="e">
        <f t="shared" ca="1" si="19"/>
        <v>#NAME?</v>
      </c>
      <c r="I107" s="30" t="e">
        <f t="shared" ca="1" si="19"/>
        <v>#NAME?</v>
      </c>
      <c r="J107" s="30" t="e">
        <f t="shared" ca="1" si="20"/>
        <v>#NAME?</v>
      </c>
      <c r="K107" s="30" t="e">
        <f t="shared" ca="1" si="21"/>
        <v>#NAME?</v>
      </c>
      <c r="L107" s="30" t="e">
        <f t="shared" ca="1" si="22"/>
        <v>#NAME?</v>
      </c>
      <c r="M107" s="30" t="e">
        <f t="shared" ca="1" si="23"/>
        <v>#NAME?</v>
      </c>
      <c r="N107" s="30" t="e">
        <f t="shared" ca="1" si="24"/>
        <v>#NAME?</v>
      </c>
      <c r="O107" s="30" t="e">
        <f t="shared" ca="1" si="25"/>
        <v>#NAME?</v>
      </c>
      <c r="P107" s="30" t="e">
        <f t="shared" ca="1" si="26"/>
        <v>#NAME?</v>
      </c>
      <c r="Q107" s="30" t="e">
        <f t="shared" ca="1" si="27"/>
        <v>#NAME?</v>
      </c>
      <c r="R107" s="30" t="e">
        <f t="shared" ca="1" si="28"/>
        <v>#NAME?</v>
      </c>
      <c r="S107" s="30" t="e">
        <f t="shared" ca="1" si="29"/>
        <v>#NAME?</v>
      </c>
      <c r="T107" s="30" t="e">
        <f t="shared" ca="1" si="30"/>
        <v>#NAME?</v>
      </c>
    </row>
    <row r="108" spans="2:20" x14ac:dyDescent="0.3">
      <c r="B108" s="86" t="e">
        <f ca="1"/>
        <v>#NAME?</v>
      </c>
      <c r="C108" s="88"/>
      <c r="D108" s="88"/>
      <c r="E108" s="88"/>
    </row>
    <row r="109" spans="2:20" x14ac:dyDescent="0.3">
      <c r="B109" s="86"/>
    </row>
    <row r="110" spans="2:20" x14ac:dyDescent="0.3">
      <c r="C110" s="89" t="s">
        <v>272</v>
      </c>
      <c r="D110" s="89" t="s">
        <v>273</v>
      </c>
    </row>
    <row r="111" spans="2:20" x14ac:dyDescent="0.3">
      <c r="B111" s="86" t="e">
        <f t="array" aca="1" ref="B111:B119" ca="1">_xll.FDS(C110,"JULIAN(FF_SALES(CAL,0,-10AY).dates)")</f>
        <v>#NAME?</v>
      </c>
      <c r="C111" s="88" t="e">
        <f ca="1">MEDIAN(C99:E99)</f>
        <v>#NAME?</v>
      </c>
      <c r="D111" s="88" t="e">
        <f ca="1">MEDIAN(F99:T99)</f>
        <v>#NAME?</v>
      </c>
    </row>
    <row r="112" spans="2:20" x14ac:dyDescent="0.3">
      <c r="B112" s="86" t="e">
        <f ca="1"/>
        <v>#NAME?</v>
      </c>
      <c r="C112" s="88" t="e">
        <f t="shared" ref="C112:C119" ca="1" si="31">MEDIAN(C100:E100)</f>
        <v>#NAME?</v>
      </c>
      <c r="D112" s="88" t="e">
        <f t="shared" ref="D112:D119" ca="1" si="32">MEDIAN(F100:T100)</f>
        <v>#NAME?</v>
      </c>
    </row>
    <row r="113" spans="1:15" x14ac:dyDescent="0.3">
      <c r="B113" s="86" t="e">
        <f ca="1"/>
        <v>#NAME?</v>
      </c>
      <c r="C113" s="88" t="e">
        <f t="shared" ca="1" si="31"/>
        <v>#NAME?</v>
      </c>
      <c r="D113" s="88" t="e">
        <f t="shared" ca="1" si="32"/>
        <v>#NAME?</v>
      </c>
    </row>
    <row r="114" spans="1:15" x14ac:dyDescent="0.3">
      <c r="B114" s="86" t="e">
        <f ca="1"/>
        <v>#NAME?</v>
      </c>
      <c r="C114" s="88" t="e">
        <f t="shared" ca="1" si="31"/>
        <v>#NAME?</v>
      </c>
      <c r="D114" s="88" t="e">
        <f t="shared" ca="1" si="32"/>
        <v>#NAME?</v>
      </c>
    </row>
    <row r="115" spans="1:15" x14ac:dyDescent="0.3">
      <c r="B115" s="86" t="e">
        <f ca="1"/>
        <v>#NAME?</v>
      </c>
      <c r="C115" s="88" t="e">
        <f t="shared" ca="1" si="31"/>
        <v>#NAME?</v>
      </c>
      <c r="D115" s="88" t="e">
        <f t="shared" ca="1" si="32"/>
        <v>#NAME?</v>
      </c>
    </row>
    <row r="116" spans="1:15" x14ac:dyDescent="0.3">
      <c r="B116" s="86" t="e">
        <f ca="1"/>
        <v>#NAME?</v>
      </c>
      <c r="C116" s="88" t="e">
        <f t="shared" ca="1" si="31"/>
        <v>#NAME?</v>
      </c>
      <c r="D116" s="88" t="e">
        <f t="shared" ca="1" si="32"/>
        <v>#NAME?</v>
      </c>
    </row>
    <row r="117" spans="1:15" x14ac:dyDescent="0.3">
      <c r="B117" s="86" t="e">
        <f ca="1"/>
        <v>#NAME?</v>
      </c>
      <c r="C117" s="88" t="e">
        <f t="shared" ca="1" si="31"/>
        <v>#NAME?</v>
      </c>
      <c r="D117" s="88" t="e">
        <f t="shared" ca="1" si="32"/>
        <v>#NAME?</v>
      </c>
    </row>
    <row r="118" spans="1:15" x14ac:dyDescent="0.3">
      <c r="B118" s="86" t="e">
        <f ca="1"/>
        <v>#NAME?</v>
      </c>
      <c r="C118" s="88" t="e">
        <f t="shared" ca="1" si="31"/>
        <v>#NAME?</v>
      </c>
      <c r="D118" s="88" t="e">
        <f t="shared" ca="1" si="32"/>
        <v>#NAME?</v>
      </c>
    </row>
    <row r="119" spans="1:15" x14ac:dyDescent="0.3">
      <c r="B119" s="86" t="e">
        <f ca="1"/>
        <v>#NAME?</v>
      </c>
      <c r="C119" s="88" t="e">
        <f t="shared" ca="1" si="31"/>
        <v>#NAME?</v>
      </c>
      <c r="D119" s="88" t="e">
        <f t="shared" ca="1" si="32"/>
        <v>#NAME?</v>
      </c>
    </row>
    <row r="122" spans="1:15" x14ac:dyDescent="0.3">
      <c r="A122" s="114">
        <v>2010</v>
      </c>
      <c r="B122" t="s">
        <v>296</v>
      </c>
    </row>
    <row r="123" spans="1:15" x14ac:dyDescent="0.3">
      <c r="A123" t="s">
        <v>298</v>
      </c>
      <c r="B123" s="115">
        <v>32.700000000000003</v>
      </c>
      <c r="C123" s="30">
        <f>+B123/$B$126</f>
        <v>0.1200881380829967</v>
      </c>
      <c r="I123" s="90"/>
      <c r="J123" s="90"/>
      <c r="K123" s="90"/>
      <c r="L123" s="90"/>
      <c r="M123" s="90"/>
      <c r="N123" s="90"/>
      <c r="O123" s="90"/>
    </row>
    <row r="124" spans="1:15" x14ac:dyDescent="0.3">
      <c r="A124" t="s">
        <v>299</v>
      </c>
      <c r="B124" s="115">
        <v>75.599999999999994</v>
      </c>
      <c r="C124" s="30">
        <f>+B124/$B$126</f>
        <v>0.27763496143958866</v>
      </c>
      <c r="I124" s="90"/>
      <c r="J124" s="90"/>
      <c r="K124" s="90"/>
      <c r="L124" s="90"/>
      <c r="M124" s="90"/>
      <c r="N124" s="90"/>
      <c r="O124" s="90"/>
    </row>
    <row r="125" spans="1:15" x14ac:dyDescent="0.3">
      <c r="A125" t="s">
        <v>300</v>
      </c>
      <c r="B125" s="115">
        <v>164</v>
      </c>
      <c r="C125" s="30">
        <f>+B125/$B$126</f>
        <v>0.60227690047741456</v>
      </c>
      <c r="I125" s="90"/>
      <c r="J125" s="90"/>
      <c r="K125" s="90"/>
      <c r="L125" s="90"/>
      <c r="M125" s="90"/>
      <c r="N125" s="90"/>
      <c r="O125" s="90"/>
    </row>
    <row r="126" spans="1:15" x14ac:dyDescent="0.3">
      <c r="A126" t="s">
        <v>20</v>
      </c>
      <c r="B126" s="115">
        <f>SUM(B123:B125)</f>
        <v>272.3</v>
      </c>
      <c r="C126" s="30">
        <f>+B126/$B$126</f>
        <v>1</v>
      </c>
      <c r="I126" s="90"/>
      <c r="J126" s="90"/>
      <c r="K126" s="90"/>
      <c r="L126" s="90"/>
      <c r="M126" s="90"/>
      <c r="N126" s="90"/>
      <c r="O126" s="90"/>
    </row>
    <row r="127" spans="1:15" ht="10.5" customHeight="1" x14ac:dyDescent="0.3">
      <c r="I127" s="90"/>
      <c r="J127" s="90"/>
      <c r="K127" s="90"/>
      <c r="L127" s="90"/>
      <c r="M127" s="90"/>
      <c r="N127" s="90"/>
      <c r="O127" s="90"/>
    </row>
    <row r="128" spans="1:15" x14ac:dyDescent="0.3">
      <c r="B128" t="s">
        <v>297</v>
      </c>
      <c r="I128" s="90"/>
      <c r="J128" s="90"/>
      <c r="K128" s="90"/>
      <c r="L128" s="90"/>
      <c r="M128" s="90"/>
      <c r="N128" s="90"/>
      <c r="O128" s="90"/>
    </row>
    <row r="129" spans="1:15" x14ac:dyDescent="0.3">
      <c r="A129" t="s">
        <v>299</v>
      </c>
      <c r="B129" s="115">
        <v>0.5</v>
      </c>
      <c r="C129" s="30">
        <f>+B129/$B$132</f>
        <v>5.6818181818181816E-2</v>
      </c>
      <c r="I129" s="90"/>
      <c r="J129" s="90"/>
      <c r="K129" s="90"/>
      <c r="L129" s="90"/>
      <c r="M129" s="90"/>
      <c r="N129" s="90"/>
      <c r="O129" s="90"/>
    </row>
    <row r="130" spans="1:15" x14ac:dyDescent="0.3">
      <c r="A130" t="s">
        <v>300</v>
      </c>
      <c r="B130" s="115">
        <v>2.6</v>
      </c>
      <c r="C130" s="30">
        <f>+B130/$B$132</f>
        <v>0.29545454545454541</v>
      </c>
      <c r="I130" s="90"/>
      <c r="J130" s="90"/>
      <c r="K130" s="90"/>
      <c r="L130" s="90"/>
      <c r="M130" s="90"/>
      <c r="N130" s="90"/>
      <c r="O130" s="90"/>
    </row>
    <row r="131" spans="1:15" x14ac:dyDescent="0.3">
      <c r="A131" t="s">
        <v>298</v>
      </c>
      <c r="B131" s="115">
        <v>5.7</v>
      </c>
      <c r="C131" s="30">
        <f>+B131/$B$132</f>
        <v>0.64772727272727271</v>
      </c>
      <c r="I131" s="90"/>
      <c r="J131" s="90"/>
      <c r="K131" s="90"/>
      <c r="L131" s="90"/>
      <c r="M131" s="90"/>
      <c r="N131" s="90"/>
      <c r="O131" s="90"/>
    </row>
    <row r="132" spans="1:15" x14ac:dyDescent="0.3">
      <c r="A132" t="s">
        <v>20</v>
      </c>
      <c r="B132" s="115">
        <f>SUM(B129:B131)</f>
        <v>8.8000000000000007</v>
      </c>
      <c r="C132" s="30">
        <f>+B132/$B$132</f>
        <v>1</v>
      </c>
      <c r="I132" s="90"/>
      <c r="J132" s="90"/>
      <c r="K132" s="90"/>
      <c r="L132" s="90"/>
      <c r="M132" s="90"/>
      <c r="N132" s="90"/>
      <c r="O132" s="90"/>
    </row>
    <row r="133" spans="1:15" x14ac:dyDescent="0.3">
      <c r="I133" s="90"/>
      <c r="J133" s="90"/>
      <c r="K133" s="90"/>
      <c r="L133" s="90"/>
      <c r="M133" s="90"/>
      <c r="N133" s="90"/>
      <c r="O133" s="90"/>
    </row>
    <row r="134" spans="1:15" x14ac:dyDescent="0.3">
      <c r="I134" s="90"/>
      <c r="J134" s="90"/>
      <c r="K134" s="90"/>
      <c r="L134" s="90"/>
      <c r="M134" s="90"/>
      <c r="N134" s="90"/>
      <c r="O134" s="90"/>
    </row>
    <row r="135" spans="1:15" x14ac:dyDescent="0.3">
      <c r="I135" s="90"/>
      <c r="J135" s="90"/>
      <c r="K135" s="90"/>
      <c r="L135" s="90"/>
      <c r="M135" s="90"/>
      <c r="N135" s="90"/>
      <c r="O135" s="90"/>
    </row>
    <row r="136" spans="1:15" x14ac:dyDescent="0.3">
      <c r="I136" s="90"/>
      <c r="J136" s="90"/>
      <c r="K136" s="90"/>
      <c r="L136" s="90"/>
      <c r="M136" s="90"/>
      <c r="N136" s="90"/>
      <c r="O136" s="90"/>
    </row>
    <row r="137" spans="1:15" x14ac:dyDescent="0.3">
      <c r="I137" s="90"/>
      <c r="J137" s="90"/>
      <c r="K137" s="90"/>
      <c r="L137" s="90"/>
      <c r="M137" s="90"/>
      <c r="N137" s="90"/>
      <c r="O137" s="90"/>
    </row>
    <row r="138" spans="1:15" x14ac:dyDescent="0.3">
      <c r="I138" s="90"/>
      <c r="J138" s="90"/>
      <c r="K138" s="90"/>
      <c r="L138" s="90"/>
      <c r="M138" s="90"/>
      <c r="N138" s="90"/>
      <c r="O138" s="90"/>
    </row>
    <row r="139" spans="1:15" x14ac:dyDescent="0.3">
      <c r="A139" t="s">
        <v>298</v>
      </c>
      <c r="I139" s="90"/>
      <c r="J139" s="90"/>
      <c r="K139" s="90"/>
      <c r="L139" s="90"/>
      <c r="M139" s="90"/>
      <c r="N139" s="90"/>
      <c r="O139" s="90"/>
    </row>
    <row r="140" spans="1:15" x14ac:dyDescent="0.3">
      <c r="A140" t="s">
        <v>299</v>
      </c>
      <c r="D140" s="90"/>
      <c r="E140" s="90"/>
      <c r="F140" s="90"/>
      <c r="G140" s="90"/>
      <c r="H140" s="90"/>
      <c r="I140" s="90"/>
      <c r="J140" s="90"/>
      <c r="K140" s="90"/>
      <c r="L140" s="90"/>
      <c r="M140" s="90"/>
      <c r="N140" s="90"/>
      <c r="O140" s="90"/>
    </row>
    <row r="141" spans="1:15" x14ac:dyDescent="0.3">
      <c r="A141" t="s">
        <v>300</v>
      </c>
      <c r="D141" s="90"/>
      <c r="E141" s="90"/>
      <c r="F141" s="90"/>
      <c r="G141" s="90"/>
      <c r="H141" s="90"/>
      <c r="I141" s="90"/>
      <c r="J141" s="90"/>
      <c r="K141" s="90"/>
      <c r="L141" s="90"/>
      <c r="M141" s="90"/>
      <c r="N141" s="90"/>
      <c r="O141" s="90"/>
    </row>
    <row r="142" spans="1:15" x14ac:dyDescent="0.3">
      <c r="A142" t="s">
        <v>20</v>
      </c>
      <c r="D142" s="90"/>
      <c r="E142" s="90"/>
      <c r="F142" s="90"/>
      <c r="G142" s="90"/>
      <c r="H142" s="90"/>
      <c r="I142" s="90"/>
      <c r="J142" s="90"/>
      <c r="K142" s="90"/>
      <c r="L142" s="90"/>
      <c r="M142" s="90"/>
      <c r="N142" s="90"/>
      <c r="O142" s="90"/>
    </row>
    <row r="143" spans="1:15" x14ac:dyDescent="0.3">
      <c r="B143" s="6"/>
      <c r="D143" s="90"/>
      <c r="E143" s="90"/>
      <c r="F143" s="90"/>
      <c r="G143" s="90"/>
      <c r="H143" s="90"/>
      <c r="I143" s="90"/>
      <c r="J143" s="90"/>
      <c r="K143" s="90"/>
      <c r="L143" s="90"/>
      <c r="M143" s="90"/>
      <c r="N143" s="90"/>
      <c r="O143" s="90"/>
    </row>
    <row r="144" spans="1:15" x14ac:dyDescent="0.3">
      <c r="C144" s="116"/>
      <c r="D144" s="90"/>
      <c r="H144" s="90"/>
      <c r="I144" s="90"/>
      <c r="J144" s="90"/>
      <c r="K144" s="90"/>
      <c r="L144" s="90"/>
      <c r="M144" s="90"/>
      <c r="N144" s="90"/>
      <c r="O144" s="90"/>
    </row>
    <row r="145" spans="1:15" x14ac:dyDescent="0.3">
      <c r="A145" t="s">
        <v>299</v>
      </c>
      <c r="D145" s="90"/>
      <c r="H145" s="90"/>
      <c r="I145" s="90"/>
      <c r="J145" s="90"/>
      <c r="K145" s="90"/>
      <c r="L145" s="90"/>
      <c r="M145" s="90"/>
      <c r="N145" s="90"/>
      <c r="O145" s="90"/>
    </row>
    <row r="146" spans="1:15" x14ac:dyDescent="0.3">
      <c r="A146" t="s">
        <v>300</v>
      </c>
      <c r="D146" s="90"/>
      <c r="H146" s="90"/>
      <c r="I146" s="90"/>
      <c r="J146" s="90"/>
      <c r="K146" s="90"/>
      <c r="L146" s="90"/>
      <c r="M146" s="90"/>
      <c r="N146" s="90"/>
      <c r="O146" s="90"/>
    </row>
    <row r="147" spans="1:15" x14ac:dyDescent="0.3">
      <c r="A147" t="s">
        <v>298</v>
      </c>
      <c r="D147" s="90"/>
      <c r="H147" s="90"/>
      <c r="I147" s="90"/>
      <c r="J147" s="90"/>
      <c r="K147" s="90"/>
      <c r="L147" s="90"/>
      <c r="M147" s="90"/>
      <c r="N147" s="90"/>
      <c r="O147" s="90"/>
    </row>
    <row r="148" spans="1:15" x14ac:dyDescent="0.3">
      <c r="A148" t="s">
        <v>20</v>
      </c>
      <c r="D148" s="90"/>
      <c r="H148" s="90"/>
      <c r="I148" s="90"/>
      <c r="J148" s="90"/>
      <c r="K148" s="90"/>
      <c r="L148" s="90"/>
      <c r="M148" s="90"/>
      <c r="N148" s="90"/>
      <c r="O148" s="90"/>
    </row>
    <row r="149" spans="1:15" x14ac:dyDescent="0.3">
      <c r="D149" s="90"/>
      <c r="H149" s="90"/>
      <c r="I149" s="90"/>
      <c r="J149" s="90"/>
      <c r="K149" s="90"/>
      <c r="L149" s="90"/>
      <c r="M149" s="90"/>
      <c r="N149" s="90"/>
      <c r="O149" s="90"/>
    </row>
    <row r="150" spans="1:15" x14ac:dyDescent="0.3">
      <c r="D150" s="90"/>
      <c r="H150" s="90"/>
      <c r="I150" s="90"/>
      <c r="J150" s="90"/>
      <c r="K150" s="90"/>
      <c r="L150" s="90"/>
      <c r="M150" s="90"/>
      <c r="N150" s="90"/>
      <c r="O150" s="90"/>
    </row>
    <row r="151" spans="1:15" x14ac:dyDescent="0.3">
      <c r="D151" s="90"/>
      <c r="H151" s="90"/>
      <c r="I151" s="90"/>
      <c r="J151" s="90"/>
      <c r="K151" s="90"/>
      <c r="L151" s="90"/>
      <c r="M151" s="90"/>
      <c r="N151" s="90"/>
      <c r="O151" s="90"/>
    </row>
    <row r="152" spans="1:15" x14ac:dyDescent="0.3">
      <c r="B152" s="41">
        <v>2015</v>
      </c>
      <c r="D152" s="90"/>
      <c r="H152" s="90"/>
      <c r="I152" s="90"/>
      <c r="J152" s="90"/>
      <c r="K152" s="90"/>
      <c r="L152" s="90"/>
      <c r="M152" s="90"/>
      <c r="N152" s="90"/>
      <c r="O152" s="90"/>
    </row>
    <row r="153" spans="1:15" x14ac:dyDescent="0.3">
      <c r="A153" t="s">
        <v>109</v>
      </c>
      <c r="B153" s="354"/>
      <c r="D153" s="90"/>
      <c r="H153" s="90"/>
      <c r="I153" s="90"/>
      <c r="J153" s="90"/>
      <c r="K153" s="90"/>
      <c r="L153" s="90"/>
      <c r="M153" s="90"/>
      <c r="N153" s="90"/>
      <c r="O153" s="90"/>
    </row>
    <row r="154" spans="1:15" x14ac:dyDescent="0.3">
      <c r="A154" t="s">
        <v>1521</v>
      </c>
      <c r="B154" s="354">
        <f>+[7]Income!$AQ$58+[7]Income!$AO$58+[7]Income!$AN$58+[7]Income!$AM$58</f>
        <v>108955.59237</v>
      </c>
      <c r="D154" s="90"/>
      <c r="H154" s="90"/>
      <c r="I154" s="90"/>
      <c r="J154" s="90"/>
      <c r="K154" s="90"/>
      <c r="L154" s="90"/>
      <c r="M154" s="90"/>
      <c r="N154" s="90"/>
      <c r="O154" s="90"/>
    </row>
    <row r="155" spans="1:15" x14ac:dyDescent="0.3">
      <c r="A155" t="s">
        <v>1522</v>
      </c>
      <c r="B155" s="354">
        <f>+[7]Income!$AQ$62+[7]Income!$AO$62+[7]Income!$AN$62+[7]Income!$AM$62</f>
        <v>24736.912629999999</v>
      </c>
      <c r="D155" s="90"/>
      <c r="H155" s="90"/>
      <c r="I155" s="90"/>
      <c r="J155" s="90"/>
      <c r="K155" s="90"/>
      <c r="L155" s="90"/>
      <c r="M155" s="90"/>
      <c r="N155" s="90"/>
      <c r="O155" s="90"/>
    </row>
    <row r="156" spans="1:15" x14ac:dyDescent="0.3">
      <c r="A156" s="355" t="s">
        <v>1526</v>
      </c>
      <c r="B156" s="356">
        <f>+B154+B155</f>
        <v>133692.505</v>
      </c>
      <c r="D156" s="90"/>
      <c r="H156" s="90"/>
      <c r="I156" s="90"/>
      <c r="J156" s="90"/>
      <c r="K156" s="90"/>
      <c r="L156" s="90"/>
      <c r="M156" s="90"/>
      <c r="N156" s="90"/>
      <c r="O156" s="90"/>
    </row>
    <row r="157" spans="1:15" x14ac:dyDescent="0.3">
      <c r="D157" s="90"/>
      <c r="H157" s="90"/>
      <c r="I157" s="90"/>
      <c r="J157" s="90"/>
      <c r="K157" s="90"/>
      <c r="L157" s="90"/>
      <c r="M157" s="90"/>
      <c r="N157" s="90"/>
      <c r="O157" s="90"/>
    </row>
    <row r="158" spans="1:15" x14ac:dyDescent="0.3">
      <c r="A158" t="s">
        <v>110</v>
      </c>
      <c r="D158" s="90"/>
      <c r="H158" s="90"/>
      <c r="I158" s="90"/>
      <c r="J158" s="90"/>
      <c r="K158" s="90"/>
      <c r="L158" s="90"/>
      <c r="M158" s="90"/>
      <c r="N158" s="90"/>
      <c r="O158" s="90"/>
    </row>
    <row r="159" spans="1:15" x14ac:dyDescent="0.3">
      <c r="A159" t="s">
        <v>1523</v>
      </c>
      <c r="B159" s="354">
        <f>+[6]Annual!$AP$83</f>
        <v>0.15477464114712669</v>
      </c>
      <c r="D159" s="90"/>
      <c r="E159" s="90"/>
      <c r="F159" s="90"/>
      <c r="G159" s="90"/>
      <c r="H159" s="90"/>
      <c r="I159" s="90"/>
      <c r="J159" s="90"/>
      <c r="K159" s="90"/>
      <c r="L159" s="90"/>
      <c r="M159" s="90"/>
      <c r="N159" s="90"/>
      <c r="O159" s="90"/>
    </row>
    <row r="160" spans="1:15" x14ac:dyDescent="0.3">
      <c r="A160" t="s">
        <v>1524</v>
      </c>
      <c r="B160" s="354">
        <f>+[6]Annual!$AP$85</f>
        <v>0</v>
      </c>
      <c r="D160" s="90"/>
      <c r="E160" s="90"/>
      <c r="F160" s="90"/>
      <c r="G160" s="90"/>
      <c r="H160" s="90"/>
      <c r="I160" s="90"/>
      <c r="J160" s="90"/>
      <c r="K160" s="90"/>
      <c r="L160" s="90"/>
      <c r="M160" s="90"/>
      <c r="N160" s="90"/>
      <c r="O160" s="90"/>
    </row>
    <row r="161" spans="1:15" x14ac:dyDescent="0.3">
      <c r="A161" s="355" t="s">
        <v>1526</v>
      </c>
      <c r="B161" s="354">
        <f>+B159+B160</f>
        <v>0.15477464114712669</v>
      </c>
      <c r="D161" s="90"/>
      <c r="E161" s="90"/>
      <c r="F161" s="90"/>
      <c r="G161" s="90"/>
      <c r="H161" s="90"/>
      <c r="I161" s="90"/>
      <c r="J161" s="90"/>
      <c r="K161" s="90"/>
      <c r="L161" s="90"/>
      <c r="M161" s="90"/>
      <c r="N161" s="90"/>
      <c r="O161" s="90"/>
    </row>
    <row r="162" spans="1:15" x14ac:dyDescent="0.3">
      <c r="A162" t="s">
        <v>255</v>
      </c>
      <c r="D162" s="90"/>
      <c r="E162" s="90"/>
      <c r="F162" s="90"/>
      <c r="G162" s="90"/>
      <c r="H162" s="90"/>
      <c r="I162" s="90"/>
      <c r="J162" s="90"/>
      <c r="K162" s="90"/>
      <c r="L162" s="90"/>
      <c r="M162" s="90"/>
      <c r="N162" s="90"/>
      <c r="O162" s="90"/>
    </row>
    <row r="163" spans="1:15" x14ac:dyDescent="0.3">
      <c r="A163" t="s">
        <v>1525</v>
      </c>
      <c r="B163" s="354">
        <f>+[5]Annual!$AK$76</f>
        <v>100708</v>
      </c>
      <c r="D163" s="90"/>
      <c r="E163" s="90"/>
      <c r="F163" s="90"/>
      <c r="G163" s="90"/>
      <c r="H163" s="90"/>
      <c r="I163" s="90"/>
      <c r="J163" s="90"/>
      <c r="K163" s="90"/>
      <c r="L163" s="90"/>
      <c r="M163" s="90"/>
      <c r="N163" s="90"/>
      <c r="O163" s="90"/>
    </row>
    <row r="164" spans="1:15" x14ac:dyDescent="0.3">
      <c r="D164" s="90"/>
      <c r="E164" s="90"/>
      <c r="F164" s="90"/>
      <c r="G164" s="90"/>
      <c r="H164" s="90"/>
      <c r="I164" s="90"/>
      <c r="J164" s="90"/>
      <c r="K164" s="90"/>
      <c r="L164" s="90"/>
      <c r="M164" s="90"/>
      <c r="N164" s="90"/>
      <c r="O164" s="90"/>
    </row>
    <row r="165" spans="1:15" x14ac:dyDescent="0.3">
      <c r="A165" s="41" t="s">
        <v>20</v>
      </c>
      <c r="B165" s="356">
        <f>+B163+B161+B156</f>
        <v>234400.65977464116</v>
      </c>
    </row>
    <row r="167" spans="1:15" x14ac:dyDescent="0.3">
      <c r="A167" t="s">
        <v>109</v>
      </c>
      <c r="B167" s="30">
        <f>+B156/B165</f>
        <v>0.57035891080057299</v>
      </c>
    </row>
    <row r="168" spans="1:15" x14ac:dyDescent="0.3">
      <c r="A168" t="s">
        <v>255</v>
      </c>
      <c r="B168" s="30">
        <f>+B163/B165</f>
        <v>0.42964042889991549</v>
      </c>
    </row>
    <row r="169" spans="1:15" x14ac:dyDescent="0.3">
      <c r="A169" t="s">
        <v>110</v>
      </c>
      <c r="B169" s="30">
        <f>B161/B165</f>
        <v>6.602995115113201E-7</v>
      </c>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9"/>
  <sheetViews>
    <sheetView workbookViewId="0">
      <selection activeCell="D19" sqref="D19"/>
    </sheetView>
  </sheetViews>
  <sheetFormatPr defaultRowHeight="14.4" x14ac:dyDescent="0.3"/>
  <cols>
    <col min="1" max="1" width="23.6640625" bestFit="1" customWidth="1"/>
    <col min="2" max="2" width="13" customWidth="1"/>
    <col min="3" max="3" width="2.6640625" customWidth="1"/>
    <col min="4" max="4" width="16.88671875" customWidth="1"/>
    <col min="5" max="5" width="4.33203125" customWidth="1"/>
    <col min="6" max="6" width="15.44140625" bestFit="1" customWidth="1"/>
  </cols>
  <sheetData>
    <row r="1" spans="1:7" x14ac:dyDescent="0.3">
      <c r="A1" s="7"/>
      <c r="B1" s="7"/>
      <c r="C1" s="7"/>
      <c r="D1" s="7"/>
      <c r="E1" s="7"/>
      <c r="F1" s="7"/>
    </row>
    <row r="2" spans="1:7" x14ac:dyDescent="0.3">
      <c r="A2" s="42"/>
      <c r="B2" s="262" t="s">
        <v>1136</v>
      </c>
      <c r="C2" s="263"/>
      <c r="D2" s="359" t="s">
        <v>1137</v>
      </c>
      <c r="E2" s="359"/>
      <c r="F2" s="359"/>
      <c r="G2" s="42"/>
    </row>
    <row r="3" spans="1:7" x14ac:dyDescent="0.3">
      <c r="B3" s="7"/>
      <c r="C3" s="7"/>
      <c r="D3" s="42" t="s">
        <v>1138</v>
      </c>
      <c r="E3" s="42"/>
      <c r="F3" s="42" t="s">
        <v>1139</v>
      </c>
      <c r="G3" s="42"/>
    </row>
    <row r="4" spans="1:7" x14ac:dyDescent="0.3">
      <c r="A4" s="42" t="s">
        <v>1135</v>
      </c>
      <c r="B4" s="261">
        <v>-5.1499999999999997E-2</v>
      </c>
      <c r="C4" s="261"/>
      <c r="D4" s="261">
        <v>-8.6499999999999994E-2</v>
      </c>
      <c r="E4" s="261"/>
      <c r="F4" s="261">
        <v>-8.1500000000000003E-2</v>
      </c>
      <c r="G4" s="42"/>
    </row>
    <row r="5" spans="1:7" x14ac:dyDescent="0.3">
      <c r="A5" s="42"/>
      <c r="B5" s="42"/>
      <c r="C5" s="42"/>
      <c r="D5" s="42"/>
      <c r="E5" s="42"/>
      <c r="F5" s="261"/>
      <c r="G5" s="42"/>
    </row>
    <row r="6" spans="1:7" x14ac:dyDescent="0.3">
      <c r="A6" s="42"/>
      <c r="B6" s="42"/>
      <c r="C6" s="42"/>
      <c r="D6" s="42"/>
      <c r="E6" s="42"/>
      <c r="F6" s="42"/>
      <c r="G6" s="42"/>
    </row>
    <row r="7" spans="1:7" x14ac:dyDescent="0.3">
      <c r="A7" s="42"/>
      <c r="B7" s="42"/>
      <c r="C7" s="42"/>
      <c r="D7" s="42"/>
      <c r="E7" s="42"/>
      <c r="F7" s="42"/>
      <c r="G7" s="42"/>
    </row>
    <row r="8" spans="1:7" x14ac:dyDescent="0.3">
      <c r="A8" s="42"/>
      <c r="B8" s="42"/>
      <c r="C8" s="42"/>
      <c r="D8" s="42"/>
      <c r="E8" s="42"/>
      <c r="F8" s="42"/>
      <c r="G8" s="42"/>
    </row>
    <row r="9" spans="1:7" x14ac:dyDescent="0.3">
      <c r="A9" s="42"/>
      <c r="B9" s="42"/>
      <c r="C9" s="42"/>
      <c r="D9" s="42"/>
      <c r="E9" s="42"/>
      <c r="F9" s="42"/>
      <c r="G9" s="42"/>
    </row>
  </sheetData>
  <mergeCells count="1">
    <mergeCell ref="D2:F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3:D40"/>
  <sheetViews>
    <sheetView showGridLines="0" zoomScale="85" zoomScaleNormal="85" workbookViewId="0">
      <selection activeCell="R8" sqref="R8"/>
    </sheetView>
  </sheetViews>
  <sheetFormatPr defaultRowHeight="14.4" x14ac:dyDescent="0.3"/>
  <cols>
    <col min="1" max="1" width="10.6640625" bestFit="1" customWidth="1"/>
  </cols>
  <sheetData>
    <row r="3" spans="1:4" x14ac:dyDescent="0.3">
      <c r="B3" t="s">
        <v>109</v>
      </c>
      <c r="C3" t="s">
        <v>255</v>
      </c>
      <c r="D3" t="s">
        <v>110</v>
      </c>
    </row>
    <row r="4" spans="1:4" x14ac:dyDescent="0.3">
      <c r="A4" s="117">
        <v>39172</v>
      </c>
      <c r="B4" s="5">
        <v>9.2873696992772495E-2</v>
      </c>
      <c r="C4" s="5">
        <v>0.15208003013393812</v>
      </c>
      <c r="D4" s="5">
        <v>0.13740458015267176</v>
      </c>
    </row>
    <row r="5" spans="1:4" x14ac:dyDescent="0.3">
      <c r="A5" s="117">
        <v>39263</v>
      </c>
      <c r="B5" s="5">
        <v>9.5507707660361235E-2</v>
      </c>
      <c r="C5" s="5">
        <v>0.15012014558818274</v>
      </c>
      <c r="D5" s="5">
        <v>0.14165579237349571</v>
      </c>
    </row>
    <row r="6" spans="1:4" x14ac:dyDescent="0.3">
      <c r="A6" s="117">
        <v>39355</v>
      </c>
      <c r="B6" s="5">
        <v>9.4943368353191268E-2</v>
      </c>
      <c r="C6" s="5">
        <v>0.14887625618191033</v>
      </c>
      <c r="D6" s="5">
        <v>0.1385952208544533</v>
      </c>
    </row>
    <row r="7" spans="1:4" x14ac:dyDescent="0.3">
      <c r="A7" s="117">
        <v>39447</v>
      </c>
      <c r="B7" s="5">
        <v>9.6658671373252111E-2</v>
      </c>
      <c r="C7" s="5">
        <v>0.14236703804919043</v>
      </c>
      <c r="D7" s="5">
        <v>0.1387005649717514</v>
      </c>
    </row>
    <row r="8" spans="1:4" x14ac:dyDescent="0.3">
      <c r="A8" s="117">
        <v>39538</v>
      </c>
      <c r="B8" s="5">
        <v>9.6051395227828323E-2</v>
      </c>
      <c r="C8" s="5">
        <v>0.14081859506746316</v>
      </c>
      <c r="D8" s="5">
        <v>0.12439437984496124</v>
      </c>
    </row>
    <row r="9" spans="1:4" x14ac:dyDescent="0.3">
      <c r="A9" s="117">
        <v>39629</v>
      </c>
      <c r="B9" s="5">
        <v>0.10801259547884143</v>
      </c>
      <c r="C9" s="5">
        <v>0.1462000700447918</v>
      </c>
      <c r="D9" s="5">
        <v>0.1256407199904637</v>
      </c>
    </row>
    <row r="10" spans="1:4" x14ac:dyDescent="0.3">
      <c r="A10" s="117">
        <v>39721</v>
      </c>
      <c r="B10" s="5">
        <v>0.12853674667139958</v>
      </c>
      <c r="C10" s="5">
        <v>0.14682712335107606</v>
      </c>
      <c r="D10" s="5">
        <v>0.13690904727621792</v>
      </c>
    </row>
    <row r="11" spans="1:4" x14ac:dyDescent="0.3">
      <c r="A11" s="117">
        <v>39813</v>
      </c>
      <c r="B11" s="5">
        <v>0.13228431650057518</v>
      </c>
      <c r="C11" s="5">
        <v>0.14424504839777411</v>
      </c>
      <c r="D11" s="5">
        <v>0.16335462502957179</v>
      </c>
    </row>
    <row r="12" spans="1:4" x14ac:dyDescent="0.3">
      <c r="A12" s="117">
        <v>39903</v>
      </c>
      <c r="B12" s="5">
        <v>0.13462266092812294</v>
      </c>
      <c r="C12" s="5">
        <v>0.14356258818066542</v>
      </c>
      <c r="D12" s="5">
        <v>0.18553062767834635</v>
      </c>
    </row>
    <row r="13" spans="1:4" x14ac:dyDescent="0.3">
      <c r="A13" s="117">
        <v>39994</v>
      </c>
      <c r="B13" s="5">
        <v>0.14493828208790807</v>
      </c>
      <c r="C13" s="5">
        <v>0.1356402936026708</v>
      </c>
      <c r="D13" s="5">
        <v>0.19290603609209708</v>
      </c>
    </row>
    <row r="14" spans="1:4" x14ac:dyDescent="0.3">
      <c r="A14" s="117">
        <v>40086</v>
      </c>
      <c r="B14" s="5">
        <v>0.15064849598992319</v>
      </c>
      <c r="C14" s="5">
        <v>0.11045575948500273</v>
      </c>
      <c r="D14" s="5">
        <v>0.18971021611001965</v>
      </c>
    </row>
    <row r="15" spans="1:4" x14ac:dyDescent="0.3">
      <c r="A15" s="117">
        <v>40178</v>
      </c>
      <c r="B15" s="5">
        <v>0.16093362504631767</v>
      </c>
      <c r="C15" s="5">
        <v>9.1793566690308914E-2</v>
      </c>
      <c r="D15" s="5">
        <v>0.17665535871340621</v>
      </c>
    </row>
    <row r="16" spans="1:4" x14ac:dyDescent="0.3">
      <c r="A16" s="117">
        <v>40268</v>
      </c>
      <c r="B16" s="5">
        <v>0.16993387163533616</v>
      </c>
      <c r="C16" s="5">
        <v>7.5510507533704113E-2</v>
      </c>
      <c r="D16" s="5">
        <v>0.15909612296398257</v>
      </c>
    </row>
    <row r="17" spans="1:4" x14ac:dyDescent="0.3">
      <c r="A17" s="117">
        <v>40359</v>
      </c>
      <c r="B17" s="5">
        <v>0.17458989402686975</v>
      </c>
      <c r="C17" s="5">
        <v>6.0459101196249934E-2</v>
      </c>
      <c r="D17" s="5">
        <v>0.15284738041002277</v>
      </c>
    </row>
    <row r="18" spans="1:4" x14ac:dyDescent="0.3">
      <c r="A18" s="117">
        <v>40451</v>
      </c>
      <c r="B18" s="5">
        <v>0.18265181141464612</v>
      </c>
      <c r="C18" s="5">
        <v>0.12185770217361981</v>
      </c>
      <c r="D18" s="5">
        <v>0.15276273022751896</v>
      </c>
    </row>
    <row r="19" spans="1:4" x14ac:dyDescent="0.3">
      <c r="A19" s="117">
        <v>40543</v>
      </c>
      <c r="B19" s="5">
        <v>0.17501985809056156</v>
      </c>
      <c r="C19" s="5">
        <v>0.12939493049877332</v>
      </c>
      <c r="D19" s="5">
        <v>0.15071621341083663</v>
      </c>
    </row>
    <row r="20" spans="1:4" x14ac:dyDescent="0.3">
      <c r="A20" s="117">
        <v>40633</v>
      </c>
      <c r="B20" s="5">
        <v>0.17957422338239959</v>
      </c>
      <c r="C20" s="5">
        <v>0.13340295350176021</v>
      </c>
      <c r="D20" s="5">
        <v>0.16208791208791209</v>
      </c>
    </row>
    <row r="21" spans="1:4" x14ac:dyDescent="0.3">
      <c r="A21" s="117">
        <v>40724</v>
      </c>
      <c r="B21" s="5">
        <v>0.18140445420462212</v>
      </c>
      <c r="C21" s="5">
        <v>0.13752126826369968</v>
      </c>
      <c r="D21" s="5">
        <v>0.18171890357103854</v>
      </c>
    </row>
    <row r="22" spans="1:4" x14ac:dyDescent="0.3">
      <c r="A22" s="117">
        <v>40816</v>
      </c>
      <c r="B22" s="5">
        <v>0.18953567075093111</v>
      </c>
      <c r="C22" s="5">
        <v>0.14530424176717721</v>
      </c>
      <c r="D22" s="5">
        <v>0.19265449747085991</v>
      </c>
    </row>
    <row r="23" spans="1:4" x14ac:dyDescent="0.3">
      <c r="A23" s="117">
        <v>40908</v>
      </c>
      <c r="B23" s="5">
        <v>0.18898688254545754</v>
      </c>
      <c r="C23" s="5">
        <v>0.13860223691528212</v>
      </c>
      <c r="D23" s="5">
        <v>0.16128163704900378</v>
      </c>
    </row>
    <row r="24" spans="1:4" x14ac:dyDescent="0.3">
      <c r="A24" s="117">
        <v>40999</v>
      </c>
      <c r="B24" s="5">
        <v>0.18689047025071398</v>
      </c>
      <c r="C24" s="5">
        <v>0.14482453335956583</v>
      </c>
      <c r="D24" s="5">
        <v>0.16535994297933002</v>
      </c>
    </row>
    <row r="25" spans="1:4" x14ac:dyDescent="0.3">
      <c r="A25" s="117">
        <v>41090</v>
      </c>
      <c r="B25" s="5">
        <v>0.18387831796762497</v>
      </c>
      <c r="C25" s="5">
        <v>0.14821689459440071</v>
      </c>
      <c r="D25" s="5">
        <v>0.17137355584082156</v>
      </c>
    </row>
    <row r="26" spans="1:4" x14ac:dyDescent="0.3">
      <c r="A26" s="117">
        <v>41182</v>
      </c>
      <c r="B26" s="5">
        <v>0.20109669384967591</v>
      </c>
      <c r="C26" s="5">
        <v>0.15110410094637253</v>
      </c>
      <c r="D26" s="5">
        <v>0.16771696074900971</v>
      </c>
    </row>
    <row r="27" spans="1:4" x14ac:dyDescent="0.3">
      <c r="A27" s="117">
        <v>41274</v>
      </c>
      <c r="B27" s="5">
        <v>0.17238988012915293</v>
      </c>
      <c r="C27" s="5">
        <v>0.15051468594135067</v>
      </c>
      <c r="D27" s="5">
        <v>0.15878703137289171</v>
      </c>
    </row>
    <row r="28" spans="1:4" x14ac:dyDescent="0.3">
      <c r="A28" s="117">
        <v>41364</v>
      </c>
      <c r="B28" s="5">
        <v>0.16810717784206961</v>
      </c>
      <c r="C28" s="5">
        <v>0.16014101324842214</v>
      </c>
      <c r="D28" s="5">
        <v>0.17010452317084451</v>
      </c>
    </row>
    <row r="29" spans="1:4" x14ac:dyDescent="0.3">
      <c r="A29" s="117">
        <v>41455</v>
      </c>
      <c r="B29" s="5">
        <v>0.15357346410617248</v>
      </c>
      <c r="C29" s="5">
        <v>0.17049682643904573</v>
      </c>
      <c r="D29" s="5">
        <v>0.18315867569322081</v>
      </c>
    </row>
    <row r="30" spans="1:4" x14ac:dyDescent="0.3">
      <c r="A30" s="117">
        <v>41547</v>
      </c>
      <c r="B30" s="5">
        <v>0.16539079724205197</v>
      </c>
      <c r="C30" s="5">
        <v>0.17914847161572053</v>
      </c>
      <c r="D30" s="5">
        <v>0.17838172804532579</v>
      </c>
    </row>
    <row r="31" spans="1:4" x14ac:dyDescent="0.3">
      <c r="A31" s="117">
        <v>41639</v>
      </c>
      <c r="B31" s="5">
        <v>0.17191995804295512</v>
      </c>
      <c r="C31" s="5">
        <v>0.17766712575484692</v>
      </c>
      <c r="D31" s="5">
        <v>0.16053759894459102</v>
      </c>
    </row>
    <row r="32" spans="1:4" x14ac:dyDescent="0.3">
      <c r="A32" s="117">
        <v>41729</v>
      </c>
      <c r="B32" s="5">
        <v>0.16593516937106095</v>
      </c>
      <c r="C32" s="5">
        <v>0.14185623293903549</v>
      </c>
      <c r="D32" s="5">
        <v>0.19542828435066567</v>
      </c>
    </row>
    <row r="33" spans="1:4" x14ac:dyDescent="0.3">
      <c r="A33" s="117">
        <v>41820</v>
      </c>
      <c r="B33" s="5">
        <v>0.17619676650414295</v>
      </c>
      <c r="C33" s="5">
        <v>0.14253738935802218</v>
      </c>
      <c r="D33" s="5">
        <v>0.19443087445041524</v>
      </c>
    </row>
    <row r="34" spans="1:4" x14ac:dyDescent="0.3">
      <c r="A34" s="117">
        <v>41912</v>
      </c>
      <c r="B34" s="5">
        <v>0.21418967153533047</v>
      </c>
      <c r="C34" s="5">
        <v>0.1369351669941061</v>
      </c>
      <c r="D34" s="5">
        <v>0.19684366011039414</v>
      </c>
    </row>
    <row r="35" spans="1:4" x14ac:dyDescent="0.3">
      <c r="A35" s="117">
        <v>42004</v>
      </c>
      <c r="B35" s="5">
        <v>0.20229630507392746</v>
      </c>
      <c r="C35" s="5">
        <v>0.14174852652259332</v>
      </c>
      <c r="D35" s="5">
        <v>0.2234710487559104</v>
      </c>
    </row>
    <row r="36" spans="1:4" x14ac:dyDescent="0.3">
      <c r="A36" s="117">
        <v>42094</v>
      </c>
      <c r="B36" s="5">
        <v>0.25331584267781843</v>
      </c>
      <c r="C36" s="5">
        <v>0.14332185227707617</v>
      </c>
      <c r="D36" s="5">
        <v>0.13128215789200146</v>
      </c>
    </row>
    <row r="37" spans="1:4" x14ac:dyDescent="0.3">
      <c r="A37" s="117">
        <v>42185</v>
      </c>
      <c r="B37" s="5">
        <v>0.22615667090340272</v>
      </c>
      <c r="C37" s="5">
        <v>0.14971560782801505</v>
      </c>
      <c r="D37" s="5">
        <v>0.13845918990433545</v>
      </c>
    </row>
    <row r="38" spans="1:4" x14ac:dyDescent="0.3">
      <c r="A38" s="117">
        <v>42277</v>
      </c>
      <c r="B38" s="5">
        <v>0.22605818904392855</v>
      </c>
      <c r="C38" s="5">
        <v>0.16184351554126475</v>
      </c>
      <c r="D38" s="5">
        <v>0.14043993231810489</v>
      </c>
    </row>
    <row r="39" spans="1:4" x14ac:dyDescent="0.3">
      <c r="A39" s="117">
        <v>42369</v>
      </c>
      <c r="B39" s="5">
        <v>0.22195927933221646</v>
      </c>
      <c r="C39" s="5">
        <v>0.16107582373957921</v>
      </c>
      <c r="D39" s="5">
        <v>0.14529212444809528</v>
      </c>
    </row>
    <row r="40" spans="1:4" x14ac:dyDescent="0.3">
      <c r="A40" s="117">
        <v>42460</v>
      </c>
      <c r="B40" s="5">
        <v>0.11944719690790651</v>
      </c>
      <c r="C40" s="5">
        <v>0.16091399922869262</v>
      </c>
      <c r="D40" s="5">
        <v>0.16553656486410759</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4:U34"/>
  <sheetViews>
    <sheetView zoomScale="70" zoomScaleNormal="70" workbookViewId="0">
      <selection activeCell="B4" sqref="B4:I14"/>
    </sheetView>
  </sheetViews>
  <sheetFormatPr defaultRowHeight="14.4" x14ac:dyDescent="0.3"/>
  <cols>
    <col min="3" max="3" width="7.88671875" customWidth="1"/>
    <col min="4" max="4" width="7.6640625" customWidth="1"/>
    <col min="7" max="7" width="6.88671875" customWidth="1"/>
    <col min="8" max="9" width="8" customWidth="1"/>
  </cols>
  <sheetData>
    <row r="4" spans="1:9" x14ac:dyDescent="0.3">
      <c r="A4" s="7"/>
      <c r="B4" s="63"/>
      <c r="C4" s="360" t="s">
        <v>292</v>
      </c>
      <c r="D4" s="360"/>
      <c r="E4" s="361" t="s">
        <v>294</v>
      </c>
      <c r="F4" s="361"/>
      <c r="G4" s="361"/>
      <c r="H4" s="360" t="s">
        <v>293</v>
      </c>
      <c r="I4" s="360"/>
    </row>
    <row r="5" spans="1:9" x14ac:dyDescent="0.3">
      <c r="A5" s="7"/>
      <c r="B5" s="63"/>
      <c r="C5" s="112"/>
      <c r="D5" s="112"/>
      <c r="E5" s="63"/>
      <c r="F5" s="63"/>
      <c r="G5" s="63"/>
      <c r="H5" s="112"/>
      <c r="I5" s="112"/>
    </row>
    <row r="6" spans="1:9" x14ac:dyDescent="0.3">
      <c r="A6" s="7"/>
      <c r="B6" s="63"/>
      <c r="C6" s="112"/>
      <c r="D6" s="112"/>
      <c r="E6" s="63"/>
      <c r="F6" s="63"/>
      <c r="G6" s="63"/>
      <c r="H6" s="112"/>
      <c r="I6" s="112"/>
    </row>
    <row r="7" spans="1:9" x14ac:dyDescent="0.3">
      <c r="A7" s="7"/>
      <c r="C7" s="112"/>
      <c r="D7" s="112"/>
      <c r="E7" s="63"/>
      <c r="F7" s="63"/>
      <c r="G7" s="63"/>
      <c r="H7" s="112"/>
      <c r="I7" s="112"/>
    </row>
    <row r="8" spans="1:9" ht="92.4" x14ac:dyDescent="0.3">
      <c r="A8" s="7"/>
      <c r="B8" s="113" t="s">
        <v>295</v>
      </c>
      <c r="C8" s="112"/>
      <c r="D8" s="112"/>
      <c r="E8" s="63"/>
      <c r="F8" s="63"/>
      <c r="G8" s="63"/>
      <c r="H8" s="112"/>
      <c r="I8" s="112"/>
    </row>
    <row r="9" spans="1:9" x14ac:dyDescent="0.3">
      <c r="A9" s="7"/>
      <c r="B9" s="63"/>
      <c r="C9" s="112"/>
      <c r="D9" s="112"/>
      <c r="E9" s="63"/>
      <c r="F9" s="63"/>
      <c r="G9" s="63"/>
      <c r="H9" s="112"/>
      <c r="I9" s="112"/>
    </row>
    <row r="10" spans="1:9" x14ac:dyDescent="0.3">
      <c r="A10" s="7"/>
      <c r="B10" s="63"/>
      <c r="C10" s="112"/>
      <c r="D10" s="112"/>
      <c r="E10" s="63"/>
      <c r="F10" s="63"/>
      <c r="G10" s="63"/>
      <c r="H10" s="112"/>
      <c r="I10" s="112"/>
    </row>
    <row r="11" spans="1:9" x14ac:dyDescent="0.3">
      <c r="A11" s="7"/>
      <c r="B11" s="63"/>
      <c r="C11" s="112"/>
      <c r="D11" s="112"/>
      <c r="E11" s="63"/>
      <c r="F11" s="63"/>
      <c r="G11" s="63"/>
      <c r="H11" s="112"/>
      <c r="I11" s="112"/>
    </row>
    <row r="12" spans="1:9" x14ac:dyDescent="0.3">
      <c r="A12" s="7"/>
      <c r="B12" s="63"/>
      <c r="C12" s="112"/>
      <c r="D12" s="112"/>
      <c r="E12" s="63"/>
      <c r="F12" s="63"/>
      <c r="G12" s="63"/>
      <c r="H12" s="112"/>
      <c r="I12" s="112"/>
    </row>
    <row r="13" spans="1:9" x14ac:dyDescent="0.3">
      <c r="A13" s="7"/>
      <c r="B13" s="63"/>
      <c r="C13" s="112"/>
      <c r="D13" s="112"/>
      <c r="E13" s="63"/>
      <c r="F13" s="63"/>
      <c r="G13" s="63"/>
      <c r="H13" s="112"/>
      <c r="I13" s="112"/>
    </row>
    <row r="14" spans="1:9" x14ac:dyDescent="0.3">
      <c r="A14" s="7"/>
      <c r="B14" s="63"/>
      <c r="C14" s="112"/>
      <c r="D14" s="112"/>
      <c r="E14" s="63"/>
      <c r="F14" s="63"/>
      <c r="G14" s="63"/>
      <c r="H14" s="112"/>
      <c r="I14" s="112"/>
    </row>
    <row r="15" spans="1:9" ht="0.75" customHeight="1" x14ac:dyDescent="0.3">
      <c r="A15" s="7"/>
      <c r="B15" s="63"/>
      <c r="C15" s="63"/>
      <c r="D15" s="63"/>
      <c r="E15" s="63"/>
      <c r="F15" s="63"/>
      <c r="G15" s="63"/>
    </row>
    <row r="16" spans="1:9" x14ac:dyDescent="0.3">
      <c r="A16" s="7"/>
      <c r="B16" s="63"/>
      <c r="C16" s="63"/>
      <c r="D16" s="63"/>
      <c r="E16" s="63"/>
      <c r="F16" s="63"/>
      <c r="G16" s="63"/>
    </row>
    <row r="18" spans="13:21" x14ac:dyDescent="0.3">
      <c r="M18" s="108" t="s">
        <v>275</v>
      </c>
      <c r="N18" s="366" t="s">
        <v>276</v>
      </c>
      <c r="O18" s="366"/>
      <c r="P18" s="366" t="s">
        <v>277</v>
      </c>
      <c r="Q18" s="366"/>
      <c r="R18" s="361" t="s">
        <v>278</v>
      </c>
      <c r="S18" s="361"/>
      <c r="T18" s="362" t="s">
        <v>20</v>
      </c>
      <c r="U18" s="363"/>
    </row>
    <row r="19" spans="13:21" x14ac:dyDescent="0.3">
      <c r="M19" s="108" t="s">
        <v>291</v>
      </c>
      <c r="N19" s="367">
        <v>0.6</v>
      </c>
      <c r="O19" s="367"/>
      <c r="P19" s="367">
        <v>0.28000000000000003</v>
      </c>
      <c r="Q19" s="367"/>
      <c r="R19" s="367">
        <v>0.12</v>
      </c>
      <c r="S19" s="367"/>
      <c r="T19" s="364">
        <f>+SUM(N19:R19)</f>
        <v>1</v>
      </c>
      <c r="U19" s="365"/>
    </row>
    <row r="20" spans="13:21" ht="27" x14ac:dyDescent="0.3">
      <c r="M20" s="67"/>
      <c r="N20" s="104" t="s">
        <v>285</v>
      </c>
      <c r="O20" s="100" t="s">
        <v>286</v>
      </c>
      <c r="P20" s="98" t="s">
        <v>285</v>
      </c>
      <c r="Q20" s="100" t="s">
        <v>286</v>
      </c>
      <c r="R20" s="98" t="s">
        <v>285</v>
      </c>
      <c r="S20" s="96" t="s">
        <v>286</v>
      </c>
      <c r="T20" s="104" t="s">
        <v>285</v>
      </c>
      <c r="U20" s="97" t="s">
        <v>286</v>
      </c>
    </row>
    <row r="21" spans="13:21" x14ac:dyDescent="0.3">
      <c r="M21" s="91" t="s">
        <v>279</v>
      </c>
      <c r="N21" s="105"/>
      <c r="O21" s="101"/>
      <c r="P21" s="94"/>
      <c r="Q21" s="101"/>
      <c r="R21" s="94"/>
      <c r="S21" s="63"/>
      <c r="T21" s="101"/>
      <c r="U21" s="94"/>
    </row>
    <row r="22" spans="13:21" x14ac:dyDescent="0.3">
      <c r="M22" s="63"/>
      <c r="N22" s="101"/>
      <c r="O22" s="101"/>
      <c r="P22" s="94"/>
      <c r="Q22" s="101"/>
      <c r="R22" s="94"/>
      <c r="S22" s="63"/>
      <c r="T22" s="101"/>
      <c r="U22" s="94"/>
    </row>
    <row r="23" spans="13:21" x14ac:dyDescent="0.3">
      <c r="M23" s="63" t="s">
        <v>280</v>
      </c>
      <c r="N23" s="101">
        <v>175</v>
      </c>
      <c r="O23" s="102">
        <f>+N23/$N$27</f>
        <v>0.4375</v>
      </c>
      <c r="P23" s="94">
        <v>175</v>
      </c>
      <c r="Q23" s="102">
        <f>+P23/$N$27</f>
        <v>0.4375</v>
      </c>
      <c r="R23" s="94">
        <v>0</v>
      </c>
      <c r="S23" s="92">
        <f>+R23/$R$27</f>
        <v>0</v>
      </c>
      <c r="T23" s="109">
        <f>($N$19*N23)+($P$19*P23)+($R$19*R23)</f>
        <v>154</v>
      </c>
      <c r="U23" s="95">
        <f>+T23/$T$27</f>
        <v>0.27402135231316727</v>
      </c>
    </row>
    <row r="24" spans="13:21" x14ac:dyDescent="0.3">
      <c r="M24" s="63" t="s">
        <v>281</v>
      </c>
      <c r="N24" s="101">
        <v>25</v>
      </c>
      <c r="O24" s="102">
        <f>+N24/$N$27</f>
        <v>6.25E-2</v>
      </c>
      <c r="P24" s="94">
        <v>25</v>
      </c>
      <c r="Q24" s="102">
        <f>+P24/$N$27</f>
        <v>6.25E-2</v>
      </c>
      <c r="R24" s="94">
        <v>1550</v>
      </c>
      <c r="S24" s="92">
        <f>+R24/$R$27</f>
        <v>0.88571428571428568</v>
      </c>
      <c r="T24" s="109">
        <f>($N$19*N24)+($P$19*P24)+($R$19*R24)</f>
        <v>208</v>
      </c>
      <c r="U24" s="95">
        <f>+T24/$T$27</f>
        <v>0.37010676156583627</v>
      </c>
    </row>
    <row r="25" spans="13:21" x14ac:dyDescent="0.3">
      <c r="M25" s="63" t="s">
        <v>282</v>
      </c>
      <c r="N25" s="101">
        <v>200</v>
      </c>
      <c r="O25" s="102">
        <f>+N25/$N$27</f>
        <v>0.5</v>
      </c>
      <c r="P25" s="94">
        <v>200</v>
      </c>
      <c r="Q25" s="102">
        <f>+P25/$N$27</f>
        <v>0.5</v>
      </c>
      <c r="R25" s="94">
        <v>200</v>
      </c>
      <c r="S25" s="92">
        <f>+R25/$R$27</f>
        <v>0.11428571428571428</v>
      </c>
      <c r="T25" s="109">
        <f>($N$19*N25)+($P$19*P25)+($R$19*R25)</f>
        <v>200</v>
      </c>
      <c r="U25" s="95">
        <f>+T25/$T$27</f>
        <v>0.35587188612099646</v>
      </c>
    </row>
    <row r="26" spans="13:21" x14ac:dyDescent="0.3">
      <c r="M26" s="63"/>
      <c r="N26" s="101"/>
      <c r="O26" s="102"/>
      <c r="P26" s="94"/>
      <c r="Q26" s="102"/>
      <c r="R26" s="94"/>
      <c r="S26" s="92"/>
      <c r="T26" s="101"/>
      <c r="U26" s="95"/>
    </row>
    <row r="27" spans="13:21" x14ac:dyDescent="0.3">
      <c r="M27" s="63" t="s">
        <v>283</v>
      </c>
      <c r="N27" s="101">
        <f>+N25+N24+N23</f>
        <v>400</v>
      </c>
      <c r="O27" s="102">
        <f>+N27/$N$27</f>
        <v>1</v>
      </c>
      <c r="P27" s="94">
        <f>+P25+P24+P23</f>
        <v>400</v>
      </c>
      <c r="Q27" s="102">
        <f>+P27/$N$27</f>
        <v>1</v>
      </c>
      <c r="R27" s="94">
        <f>+R25+R24+R23</f>
        <v>1750</v>
      </c>
      <c r="S27" s="92">
        <f>+R27/$R$27</f>
        <v>1</v>
      </c>
      <c r="T27" s="101">
        <f>+T25+T24+T23</f>
        <v>562</v>
      </c>
      <c r="U27" s="95">
        <f>+T27/$T$27</f>
        <v>1</v>
      </c>
    </row>
    <row r="28" spans="13:21" x14ac:dyDescent="0.3">
      <c r="M28" s="63" t="s">
        <v>284</v>
      </c>
      <c r="N28" s="101">
        <v>-240</v>
      </c>
      <c r="O28" s="101"/>
      <c r="P28" s="94">
        <v>-340</v>
      </c>
      <c r="Q28" s="101"/>
      <c r="R28" s="94">
        <v>0</v>
      </c>
      <c r="S28" s="63"/>
      <c r="T28" s="109">
        <f>($N$19*N28)+($P$19*P28)+($R$19*R28)</f>
        <v>-239.2</v>
      </c>
      <c r="U28" s="94"/>
    </row>
    <row r="29" spans="13:21" x14ac:dyDescent="0.3">
      <c r="M29" s="63"/>
      <c r="N29" s="101"/>
      <c r="O29" s="101"/>
      <c r="P29" s="94"/>
      <c r="Q29" s="101"/>
      <c r="R29" s="94"/>
      <c r="S29" s="63"/>
      <c r="T29" s="101"/>
      <c r="U29" s="94"/>
    </row>
    <row r="30" spans="13:21" x14ac:dyDescent="0.3">
      <c r="M30" s="93" t="s">
        <v>287</v>
      </c>
      <c r="N30" s="103">
        <f>N27+N28</f>
        <v>160</v>
      </c>
      <c r="O30" s="106"/>
      <c r="P30" s="99">
        <f>P27+P28</f>
        <v>60</v>
      </c>
      <c r="Q30" s="106"/>
      <c r="R30" s="99">
        <f>R27+R28</f>
        <v>1750</v>
      </c>
      <c r="S30" s="107"/>
      <c r="T30" s="110">
        <f>+T27+T28</f>
        <v>322.8</v>
      </c>
      <c r="U30" s="111"/>
    </row>
    <row r="31" spans="13:21" x14ac:dyDescent="0.3">
      <c r="M31" s="63"/>
      <c r="N31" s="63"/>
      <c r="O31" s="63"/>
      <c r="P31" s="63"/>
      <c r="Q31" s="63"/>
      <c r="R31" s="63"/>
      <c r="S31" s="63"/>
      <c r="T31" s="63"/>
      <c r="U31" s="63"/>
    </row>
    <row r="32" spans="13:21" x14ac:dyDescent="0.3">
      <c r="M32" s="63" t="s">
        <v>288</v>
      </c>
      <c r="N32" s="63"/>
      <c r="O32" s="63"/>
      <c r="P32" s="63"/>
      <c r="Q32" s="63"/>
      <c r="R32" s="63"/>
      <c r="S32" s="63"/>
      <c r="T32" s="63"/>
      <c r="U32" s="63"/>
    </row>
    <row r="33" spans="13:21" x14ac:dyDescent="0.3">
      <c r="M33" s="63" t="s">
        <v>290</v>
      </c>
      <c r="N33" s="63"/>
      <c r="O33" s="63"/>
      <c r="P33" s="63"/>
      <c r="Q33" s="63"/>
      <c r="R33" s="63"/>
      <c r="S33" s="63"/>
      <c r="T33" s="63"/>
      <c r="U33" s="63"/>
    </row>
    <row r="34" spans="13:21" x14ac:dyDescent="0.3">
      <c r="M34" s="63" t="s">
        <v>289</v>
      </c>
      <c r="N34" s="63"/>
      <c r="O34" s="63"/>
      <c r="P34" s="63"/>
      <c r="Q34" s="63"/>
      <c r="R34" s="63"/>
      <c r="S34" s="63"/>
      <c r="T34" s="63"/>
      <c r="U34" s="63"/>
    </row>
  </sheetData>
  <mergeCells count="11">
    <mergeCell ref="H4:I4"/>
    <mergeCell ref="C4:D4"/>
    <mergeCell ref="E4:G4"/>
    <mergeCell ref="T18:U18"/>
    <mergeCell ref="T19:U19"/>
    <mergeCell ref="N18:O18"/>
    <mergeCell ref="N19:O19"/>
    <mergeCell ref="P18:Q18"/>
    <mergeCell ref="P19:Q19"/>
    <mergeCell ref="R18:S18"/>
    <mergeCell ref="R19:S19"/>
  </mergeCells>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3:D15"/>
  <sheetViews>
    <sheetView zoomScaleNormal="100" workbookViewId="0">
      <selection activeCell="A3" sqref="A3:C10"/>
    </sheetView>
  </sheetViews>
  <sheetFormatPr defaultRowHeight="14.4" x14ac:dyDescent="0.3"/>
  <cols>
    <col min="1" max="1" width="38.6640625" bestFit="1" customWidth="1"/>
    <col min="2" max="2" width="16.109375" customWidth="1"/>
    <col min="3" max="3" width="40.44140625" bestFit="1" customWidth="1"/>
  </cols>
  <sheetData>
    <row r="3" spans="1:4" x14ac:dyDescent="0.3">
      <c r="A3" s="348" t="s">
        <v>4</v>
      </c>
      <c r="B3" s="348" t="s">
        <v>5</v>
      </c>
      <c r="C3" s="348" t="s">
        <v>6</v>
      </c>
    </row>
    <row r="4" spans="1:4" x14ac:dyDescent="0.3">
      <c r="A4" s="139" t="s">
        <v>1506</v>
      </c>
      <c r="B4" s="8" t="s">
        <v>7</v>
      </c>
      <c r="C4" s="10" t="s">
        <v>8</v>
      </c>
      <c r="D4" t="s">
        <v>1505</v>
      </c>
    </row>
    <row r="5" spans="1:4" x14ac:dyDescent="0.3">
      <c r="A5" s="10" t="s">
        <v>9</v>
      </c>
      <c r="B5" s="27">
        <v>2500</v>
      </c>
      <c r="C5" s="10" t="s">
        <v>10</v>
      </c>
    </row>
    <row r="6" spans="1:4" x14ac:dyDescent="0.3">
      <c r="A6" s="10" t="s">
        <v>11</v>
      </c>
      <c r="B6" s="8" t="s">
        <v>12</v>
      </c>
      <c r="C6" s="10" t="s">
        <v>13</v>
      </c>
    </row>
    <row r="7" spans="1:4" x14ac:dyDescent="0.3">
      <c r="A7" s="10" t="s">
        <v>18</v>
      </c>
      <c r="B7" s="25">
        <v>1900</v>
      </c>
      <c r="C7" s="26" t="s">
        <v>19</v>
      </c>
    </row>
    <row r="8" spans="1:4" x14ac:dyDescent="0.3">
      <c r="A8" s="10" t="s">
        <v>14</v>
      </c>
      <c r="B8" s="27">
        <v>1700</v>
      </c>
      <c r="C8" s="10" t="s">
        <v>8</v>
      </c>
      <c r="D8" t="s">
        <v>15</v>
      </c>
    </row>
    <row r="9" spans="1:4" x14ac:dyDescent="0.3">
      <c r="A9" s="10" t="s">
        <v>16</v>
      </c>
      <c r="B9" s="27">
        <v>1300</v>
      </c>
      <c r="C9" s="139" t="s">
        <v>8</v>
      </c>
      <c r="D9" t="s">
        <v>17</v>
      </c>
    </row>
    <row r="10" spans="1:4" x14ac:dyDescent="0.3">
      <c r="A10" s="8" t="s">
        <v>20</v>
      </c>
      <c r="B10" s="8" t="s">
        <v>21</v>
      </c>
      <c r="C10" s="10"/>
    </row>
    <row r="11" spans="1:4" x14ac:dyDescent="0.3">
      <c r="A11" s="7"/>
      <c r="B11" s="7"/>
      <c r="C11" s="7"/>
    </row>
    <row r="12" spans="1:4" x14ac:dyDescent="0.3">
      <c r="A12" s="7"/>
      <c r="B12" s="7"/>
      <c r="C12" s="7"/>
    </row>
    <row r="13" spans="1:4" x14ac:dyDescent="0.3">
      <c r="A13" s="7"/>
      <c r="B13" s="7"/>
      <c r="C13" s="7"/>
    </row>
    <row r="14" spans="1:4" x14ac:dyDescent="0.3">
      <c r="A14" s="7"/>
      <c r="B14" s="7"/>
      <c r="C14" s="7"/>
    </row>
    <row r="15" spans="1:4" x14ac:dyDescent="0.3">
      <c r="A15" s="7"/>
      <c r="B15" s="7"/>
      <c r="C15" s="7"/>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46"/>
  <sheetViews>
    <sheetView zoomScale="70" zoomScaleNormal="70" workbookViewId="0">
      <selection activeCell="H47" sqref="H47"/>
    </sheetView>
  </sheetViews>
  <sheetFormatPr defaultRowHeight="14.4" x14ac:dyDescent="0.3"/>
  <cols>
    <col min="1" max="1" width="25.88671875" customWidth="1"/>
    <col min="2" max="2" width="43.44140625" bestFit="1" customWidth="1"/>
    <col min="3" max="3" width="13.88671875" hidden="1" customWidth="1"/>
    <col min="4" max="4" width="6.6640625" hidden="1" customWidth="1"/>
    <col min="5" max="5" width="27" customWidth="1"/>
    <col min="6" max="6" width="23.33203125" customWidth="1"/>
  </cols>
  <sheetData>
    <row r="1" spans="1:6" ht="40.200000000000003" x14ac:dyDescent="0.3">
      <c r="A1" s="16" t="s">
        <v>1509</v>
      </c>
      <c r="B1" s="16" t="s">
        <v>23</v>
      </c>
      <c r="C1" s="17" t="s">
        <v>1158</v>
      </c>
      <c r="D1" s="17" t="s">
        <v>25</v>
      </c>
      <c r="E1" s="17" t="s">
        <v>26</v>
      </c>
      <c r="F1" s="17" t="s">
        <v>46</v>
      </c>
    </row>
    <row r="2" spans="1:6" x14ac:dyDescent="0.3">
      <c r="A2" s="8">
        <v>1</v>
      </c>
      <c r="B2" s="10" t="s">
        <v>27</v>
      </c>
      <c r="C2" s="9"/>
      <c r="D2" s="9"/>
      <c r="E2" s="9"/>
      <c r="F2" s="7"/>
    </row>
    <row r="3" spans="1:6" x14ac:dyDescent="0.3">
      <c r="A3" s="8"/>
      <c r="B3" s="8" t="s">
        <v>28</v>
      </c>
      <c r="C3" s="19">
        <v>40.5</v>
      </c>
      <c r="D3" s="20" t="e">
        <f>+C3/#REF!</f>
        <v>#REF!</v>
      </c>
      <c r="E3" s="23" t="s">
        <v>41</v>
      </c>
      <c r="F3" s="28" t="s">
        <v>47</v>
      </c>
    </row>
    <row r="4" spans="1:6" ht="16.2" x14ac:dyDescent="0.3">
      <c r="A4" s="18"/>
      <c r="B4" s="8" t="s">
        <v>37</v>
      </c>
      <c r="C4" s="19">
        <v>16.100000000000001</v>
      </c>
      <c r="D4" s="20" t="e">
        <f>+C4/#REF!</f>
        <v>#REF!</v>
      </c>
      <c r="E4" s="23" t="s">
        <v>42</v>
      </c>
      <c r="F4" s="28" t="s">
        <v>8</v>
      </c>
    </row>
    <row r="5" spans="1:6" x14ac:dyDescent="0.3">
      <c r="A5" s="8">
        <v>2</v>
      </c>
      <c r="B5" s="10" t="s">
        <v>24</v>
      </c>
      <c r="C5" s="19">
        <v>46.7</v>
      </c>
      <c r="D5" s="20" t="e">
        <f>+C5/#REF!</f>
        <v>#REF!</v>
      </c>
      <c r="E5" s="24" t="s">
        <v>41</v>
      </c>
      <c r="F5" s="28" t="s">
        <v>48</v>
      </c>
    </row>
    <row r="6" spans="1:6" x14ac:dyDescent="0.3">
      <c r="A6" s="8">
        <v>3</v>
      </c>
      <c r="B6" s="10" t="s">
        <v>29</v>
      </c>
      <c r="C6" s="19">
        <f>13.9+25.8</f>
        <v>39.700000000000003</v>
      </c>
      <c r="D6" s="20" t="e">
        <f>+C6/#REF!</f>
        <v>#REF!</v>
      </c>
      <c r="E6" s="24" t="s">
        <v>42</v>
      </c>
      <c r="F6" s="28" t="s">
        <v>48</v>
      </c>
    </row>
    <row r="7" spans="1:6" ht="16.2" x14ac:dyDescent="0.3">
      <c r="A7" s="8">
        <v>4</v>
      </c>
      <c r="B7" s="10" t="s">
        <v>36</v>
      </c>
      <c r="C7" s="19">
        <v>17.399999999999999</v>
      </c>
      <c r="D7" s="20" t="e">
        <f>+C7/#REF!</f>
        <v>#REF!</v>
      </c>
      <c r="E7" s="24" t="s">
        <v>43</v>
      </c>
      <c r="F7" s="28" t="s">
        <v>8</v>
      </c>
    </row>
    <row r="8" spans="1:6" x14ac:dyDescent="0.3">
      <c r="A8" s="8">
        <v>5</v>
      </c>
      <c r="B8" s="10" t="s">
        <v>30</v>
      </c>
      <c r="C8" s="19">
        <v>17.100000000000001</v>
      </c>
      <c r="D8" s="20" t="e">
        <f>+C8/#REF!</f>
        <v>#REF!</v>
      </c>
      <c r="E8" s="24" t="s">
        <v>41</v>
      </c>
      <c r="F8" s="28" t="s">
        <v>8</v>
      </c>
    </row>
    <row r="9" spans="1:6" x14ac:dyDescent="0.3">
      <c r="A9" s="8">
        <v>6</v>
      </c>
      <c r="B9" s="14" t="s">
        <v>31</v>
      </c>
      <c r="C9" s="19">
        <v>7</v>
      </c>
      <c r="D9" s="20" t="e">
        <f>+C9/#REF!</f>
        <v>#REF!</v>
      </c>
      <c r="E9" s="24" t="s">
        <v>44</v>
      </c>
      <c r="F9" s="28" t="s">
        <v>47</v>
      </c>
    </row>
    <row r="10" spans="1:6" x14ac:dyDescent="0.3">
      <c r="A10" s="8">
        <v>7</v>
      </c>
      <c r="B10" s="10" t="s">
        <v>32</v>
      </c>
      <c r="C10" s="19">
        <v>3.7</v>
      </c>
      <c r="D10" s="20" t="e">
        <f>+C10/#REF!</f>
        <v>#REF!</v>
      </c>
      <c r="E10" s="24" t="s">
        <v>44</v>
      </c>
      <c r="F10" s="28" t="s">
        <v>47</v>
      </c>
    </row>
    <row r="11" spans="1:6" x14ac:dyDescent="0.3">
      <c r="A11" s="8">
        <v>8</v>
      </c>
      <c r="B11" s="10" t="s">
        <v>49</v>
      </c>
      <c r="C11" s="19">
        <v>3.2</v>
      </c>
      <c r="D11" s="20" t="e">
        <f>+C11/#REF!</f>
        <v>#REF!</v>
      </c>
      <c r="E11" s="24" t="s">
        <v>42</v>
      </c>
      <c r="F11" s="28" t="s">
        <v>8</v>
      </c>
    </row>
    <row r="12" spans="1:6" x14ac:dyDescent="0.3">
      <c r="A12" s="8">
        <v>9</v>
      </c>
      <c r="B12" s="10" t="s">
        <v>33</v>
      </c>
      <c r="C12" s="19">
        <v>3</v>
      </c>
      <c r="D12" s="20" t="e">
        <f>+C12/#REF!</f>
        <v>#REF!</v>
      </c>
      <c r="E12" s="24" t="s">
        <v>43</v>
      </c>
      <c r="F12" s="28" t="s">
        <v>8</v>
      </c>
    </row>
    <row r="13" spans="1:6" ht="16.2" x14ac:dyDescent="0.3">
      <c r="A13" s="8">
        <v>10</v>
      </c>
      <c r="B13" s="10" t="s">
        <v>39</v>
      </c>
      <c r="C13" s="19">
        <v>2.4</v>
      </c>
      <c r="D13" s="20" t="e">
        <f>+C13/#REF!</f>
        <v>#REF!</v>
      </c>
      <c r="E13" s="24" t="s">
        <v>43</v>
      </c>
      <c r="F13" s="28" t="s">
        <v>47</v>
      </c>
    </row>
    <row r="14" spans="1:6" x14ac:dyDescent="0.3">
      <c r="A14" s="8">
        <v>11</v>
      </c>
      <c r="B14" s="10" t="s">
        <v>34</v>
      </c>
      <c r="C14" s="19">
        <v>2.2999999999999998</v>
      </c>
      <c r="D14" s="20" t="e">
        <f>+C14/#REF!</f>
        <v>#REF!</v>
      </c>
      <c r="E14" s="24" t="s">
        <v>44</v>
      </c>
      <c r="F14" s="28" t="s">
        <v>8</v>
      </c>
    </row>
    <row r="15" spans="1:6" x14ac:dyDescent="0.3">
      <c r="A15" s="8"/>
      <c r="B15" s="10" t="s">
        <v>35</v>
      </c>
      <c r="C15" s="19">
        <v>30.1</v>
      </c>
      <c r="D15" s="20" t="e">
        <f>+C15/#REF!</f>
        <v>#REF!</v>
      </c>
      <c r="E15" s="24" t="s">
        <v>45</v>
      </c>
      <c r="F15" s="28" t="s">
        <v>45</v>
      </c>
    </row>
    <row r="16" spans="1:6" ht="10.5" customHeight="1" x14ac:dyDescent="0.3">
      <c r="A16" s="8"/>
      <c r="B16" s="10"/>
      <c r="C16" s="11"/>
      <c r="D16" s="12"/>
      <c r="E16" s="13"/>
      <c r="F16" s="7"/>
    </row>
    <row r="17" spans="1:6" ht="16.2" x14ac:dyDescent="0.3">
      <c r="A17" s="21" t="s">
        <v>50</v>
      </c>
      <c r="B17" s="10"/>
      <c r="C17" s="11"/>
      <c r="D17" s="15"/>
      <c r="E17" s="13"/>
      <c r="F17" s="7"/>
    </row>
    <row r="18" spans="1:6" ht="16.2" x14ac:dyDescent="0.3">
      <c r="A18" s="21" t="s">
        <v>38</v>
      </c>
      <c r="B18" s="10"/>
      <c r="C18" s="8"/>
      <c r="D18" s="8"/>
      <c r="E18" s="13"/>
      <c r="F18" s="7"/>
    </row>
    <row r="19" spans="1:6" ht="16.2" x14ac:dyDescent="0.3">
      <c r="A19" s="22" t="s">
        <v>40</v>
      </c>
      <c r="B19" s="10"/>
      <c r="C19" s="8"/>
      <c r="D19" s="8"/>
      <c r="E19" s="8"/>
      <c r="F19" s="7"/>
    </row>
    <row r="20" spans="1:6" x14ac:dyDescent="0.3">
      <c r="A20" t="s">
        <v>1507</v>
      </c>
    </row>
    <row r="24" spans="1:6" x14ac:dyDescent="0.3">
      <c r="A24" s="160">
        <v>2016</v>
      </c>
    </row>
    <row r="26" spans="1:6" ht="28.5" customHeight="1" x14ac:dyDescent="0.3">
      <c r="A26" s="352" t="s">
        <v>22</v>
      </c>
      <c r="B26" s="352" t="s">
        <v>23</v>
      </c>
      <c r="C26" s="353" t="s">
        <v>1158</v>
      </c>
      <c r="D26" s="353" t="s">
        <v>25</v>
      </c>
      <c r="E26" s="353" t="s">
        <v>26</v>
      </c>
      <c r="F26" s="353" t="s">
        <v>46</v>
      </c>
    </row>
    <row r="27" spans="1:6" x14ac:dyDescent="0.3">
      <c r="A27" s="8">
        <v>1</v>
      </c>
      <c r="B27" s="139" t="s">
        <v>1510</v>
      </c>
      <c r="C27" s="9"/>
      <c r="D27" s="9"/>
      <c r="E27" s="9"/>
      <c r="F27" s="7"/>
    </row>
    <row r="28" spans="1:6" x14ac:dyDescent="0.3">
      <c r="A28" s="8"/>
      <c r="B28" s="350" t="s">
        <v>1511</v>
      </c>
      <c r="C28" s="19">
        <v>40.5</v>
      </c>
      <c r="D28" s="20" t="e">
        <f>+C28/#REF!</f>
        <v>#REF!</v>
      </c>
      <c r="E28" s="23" t="s">
        <v>41</v>
      </c>
      <c r="F28" s="28" t="s">
        <v>47</v>
      </c>
    </row>
    <row r="29" spans="1:6" x14ac:dyDescent="0.3">
      <c r="A29" s="18"/>
      <c r="B29" s="350" t="s">
        <v>1512</v>
      </c>
      <c r="C29" s="19">
        <v>16.100000000000001</v>
      </c>
      <c r="D29" s="20" t="e">
        <f>+C29/#REF!</f>
        <v>#REF!</v>
      </c>
      <c r="E29" s="23" t="s">
        <v>42</v>
      </c>
      <c r="F29" s="28" t="s">
        <v>8</v>
      </c>
    </row>
    <row r="30" spans="1:6" x14ac:dyDescent="0.3">
      <c r="A30" s="18"/>
      <c r="B30" s="350" t="s">
        <v>1540</v>
      </c>
      <c r="C30" s="19"/>
      <c r="D30" s="20"/>
      <c r="E30" s="357" t="s">
        <v>1539</v>
      </c>
      <c r="F30" s="28" t="s">
        <v>8</v>
      </c>
    </row>
    <row r="31" spans="1:6" x14ac:dyDescent="0.3">
      <c r="A31" s="18"/>
      <c r="B31" s="350" t="s">
        <v>1520</v>
      </c>
      <c r="C31" s="19"/>
      <c r="D31" s="20"/>
      <c r="E31" s="24" t="s">
        <v>43</v>
      </c>
      <c r="F31" s="28" t="s">
        <v>8</v>
      </c>
    </row>
    <row r="32" spans="1:6" x14ac:dyDescent="0.3">
      <c r="A32" s="8">
        <v>2</v>
      </c>
      <c r="B32" s="139" t="s">
        <v>1514</v>
      </c>
      <c r="C32" s="19">
        <v>46.7</v>
      </c>
      <c r="D32" s="20" t="e">
        <f>+C32/#REF!</f>
        <v>#REF!</v>
      </c>
      <c r="E32" s="24" t="s">
        <v>41</v>
      </c>
      <c r="F32" s="28" t="s">
        <v>48</v>
      </c>
    </row>
    <row r="33" spans="1:8" x14ac:dyDescent="0.3">
      <c r="A33" s="8"/>
      <c r="B33" s="139" t="s">
        <v>1515</v>
      </c>
      <c r="C33" s="19"/>
      <c r="D33" s="20"/>
      <c r="E33" s="351" t="s">
        <v>41</v>
      </c>
      <c r="F33" s="28" t="s">
        <v>48</v>
      </c>
    </row>
    <row r="34" spans="1:8" x14ac:dyDescent="0.3">
      <c r="A34" s="8"/>
      <c r="B34" s="139" t="s">
        <v>1516</v>
      </c>
      <c r="C34" s="19"/>
      <c r="D34" s="20"/>
      <c r="E34" s="351" t="s">
        <v>41</v>
      </c>
      <c r="F34" s="28" t="s">
        <v>1541</v>
      </c>
      <c r="H34" t="s">
        <v>1517</v>
      </c>
    </row>
    <row r="35" spans="1:8" x14ac:dyDescent="0.3">
      <c r="A35" s="8">
        <v>3</v>
      </c>
      <c r="B35" s="10" t="s">
        <v>29</v>
      </c>
      <c r="C35" s="19">
        <f>13.9+25.8</f>
        <v>39.700000000000003</v>
      </c>
      <c r="D35" s="20" t="e">
        <f>+C35/#REF!</f>
        <v>#REF!</v>
      </c>
      <c r="E35" s="24" t="s">
        <v>42</v>
      </c>
      <c r="F35" s="28" t="s">
        <v>48</v>
      </c>
    </row>
    <row r="36" spans="1:8" x14ac:dyDescent="0.3">
      <c r="A36" s="8">
        <v>4</v>
      </c>
      <c r="B36" s="139" t="s">
        <v>1513</v>
      </c>
      <c r="C36" s="19">
        <v>17.399999999999999</v>
      </c>
      <c r="D36" s="20" t="e">
        <f>+C36/#REF!</f>
        <v>#REF!</v>
      </c>
      <c r="E36" s="24" t="s">
        <v>43</v>
      </c>
      <c r="F36" s="28" t="s">
        <v>8</v>
      </c>
    </row>
    <row r="37" spans="1:8" x14ac:dyDescent="0.3">
      <c r="A37" s="8">
        <v>5</v>
      </c>
      <c r="B37" s="14" t="s">
        <v>31</v>
      </c>
      <c r="C37" s="19">
        <v>7</v>
      </c>
      <c r="D37" s="20" t="e">
        <f>+C37/#REF!</f>
        <v>#REF!</v>
      </c>
      <c r="E37" s="24" t="s">
        <v>44</v>
      </c>
      <c r="F37" s="28" t="s">
        <v>47</v>
      </c>
    </row>
    <row r="38" spans="1:8" x14ac:dyDescent="0.3">
      <c r="A38" s="8">
        <v>6</v>
      </c>
      <c r="B38" s="139" t="s">
        <v>1519</v>
      </c>
      <c r="C38" s="19">
        <v>3.7</v>
      </c>
      <c r="D38" s="20" t="e">
        <f>+C38/#REF!</f>
        <v>#REF!</v>
      </c>
      <c r="E38" s="24" t="s">
        <v>44</v>
      </c>
      <c r="F38" s="28" t="s">
        <v>8</v>
      </c>
      <c r="H38" t="s">
        <v>1518</v>
      </c>
    </row>
    <row r="39" spans="1:8" x14ac:dyDescent="0.3">
      <c r="A39" s="8">
        <v>7</v>
      </c>
      <c r="B39" s="10" t="s">
        <v>49</v>
      </c>
      <c r="C39" s="19">
        <v>3.2</v>
      </c>
      <c r="D39" s="20" t="e">
        <f>+C39/#REF!</f>
        <v>#REF!</v>
      </c>
      <c r="E39" s="24" t="s">
        <v>42</v>
      </c>
      <c r="F39" s="28" t="s">
        <v>47</v>
      </c>
    </row>
    <row r="40" spans="1:8" ht="16.2" x14ac:dyDescent="0.3">
      <c r="A40" s="8">
        <v>8</v>
      </c>
      <c r="B40" s="10" t="s">
        <v>39</v>
      </c>
      <c r="C40" s="19">
        <v>2.4</v>
      </c>
      <c r="D40" s="20" t="e">
        <f>+C40/#REF!</f>
        <v>#REF!</v>
      </c>
      <c r="E40" s="24" t="s">
        <v>43</v>
      </c>
      <c r="F40" s="28" t="s">
        <v>47</v>
      </c>
    </row>
    <row r="41" spans="1:8" x14ac:dyDescent="0.3">
      <c r="A41" s="8">
        <v>9</v>
      </c>
      <c r="B41" s="10" t="s">
        <v>34</v>
      </c>
      <c r="C41" s="19">
        <v>2.2999999999999998</v>
      </c>
      <c r="D41" s="20" t="e">
        <f>+C41/#REF!</f>
        <v>#REF!</v>
      </c>
      <c r="E41" s="24" t="s">
        <v>44</v>
      </c>
      <c r="F41" s="28" t="s">
        <v>8</v>
      </c>
    </row>
    <row r="42" spans="1:8" x14ac:dyDescent="0.3">
      <c r="A42" s="8"/>
      <c r="B42" s="10" t="s">
        <v>35</v>
      </c>
      <c r="C42" s="19">
        <v>30.1</v>
      </c>
      <c r="D42" s="20" t="e">
        <f>+C42/#REF!</f>
        <v>#REF!</v>
      </c>
      <c r="E42" s="24" t="s">
        <v>45</v>
      </c>
      <c r="F42" s="28" t="s">
        <v>45</v>
      </c>
    </row>
    <row r="43" spans="1:8" x14ac:dyDescent="0.3">
      <c r="A43" s="8"/>
      <c r="B43" s="10"/>
      <c r="C43" s="11"/>
      <c r="D43" s="12"/>
      <c r="E43" s="13"/>
      <c r="F43" s="7"/>
    </row>
    <row r="44" spans="1:8" ht="16.2" x14ac:dyDescent="0.3">
      <c r="A44" s="21" t="s">
        <v>50</v>
      </c>
      <c r="B44" s="10"/>
      <c r="C44" s="11"/>
      <c r="D44" s="15"/>
      <c r="E44" s="13"/>
      <c r="F44" s="7"/>
    </row>
    <row r="45" spans="1:8" ht="16.2" x14ac:dyDescent="0.3">
      <c r="A45" s="21" t="s">
        <v>38</v>
      </c>
      <c r="B45" s="10"/>
      <c r="C45" s="8"/>
      <c r="D45" s="8"/>
      <c r="E45" s="13"/>
      <c r="F45" s="7"/>
    </row>
    <row r="46" spans="1:8" ht="16.2" x14ac:dyDescent="0.3">
      <c r="A46" s="22" t="s">
        <v>40</v>
      </c>
      <c r="B46" s="10"/>
      <c r="C46" s="8"/>
      <c r="D46" s="8"/>
      <c r="E46" s="8"/>
      <c r="F46" s="7"/>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3:D18"/>
  <sheetViews>
    <sheetView workbookViewId="0">
      <selection activeCell="B3" sqref="B3:D16"/>
    </sheetView>
  </sheetViews>
  <sheetFormatPr defaultRowHeight="14.4" x14ac:dyDescent="0.3"/>
  <cols>
    <col min="2" max="2" width="19.88671875" bestFit="1" customWidth="1"/>
    <col min="3" max="3" width="30.88671875" customWidth="1"/>
    <col min="4" max="4" width="22.88671875" customWidth="1"/>
  </cols>
  <sheetData>
    <row r="3" spans="2:4" ht="42" customHeight="1" x14ac:dyDescent="0.3">
      <c r="B3" s="348" t="s">
        <v>23</v>
      </c>
      <c r="C3" s="349" t="s">
        <v>301</v>
      </c>
      <c r="D3" s="349" t="s">
        <v>302</v>
      </c>
    </row>
    <row r="4" spans="2:4" ht="6.75" customHeight="1" x14ac:dyDescent="0.3">
      <c r="B4" s="10"/>
      <c r="C4" s="10"/>
      <c r="D4" s="10"/>
    </row>
    <row r="5" spans="2:4" x14ac:dyDescent="0.3">
      <c r="B5" s="10" t="s">
        <v>13</v>
      </c>
      <c r="C5" s="118">
        <v>11.2</v>
      </c>
      <c r="D5" s="119">
        <f t="shared" ref="D5:D16" si="0">+C5/$C$16</f>
        <v>0.27930174563591015</v>
      </c>
    </row>
    <row r="6" spans="2:4" x14ac:dyDescent="0.3">
      <c r="B6" s="10" t="s">
        <v>48</v>
      </c>
      <c r="C6" s="118">
        <v>10.7</v>
      </c>
      <c r="D6" s="119">
        <f t="shared" si="0"/>
        <v>0.26683291770573558</v>
      </c>
    </row>
    <row r="7" spans="2:4" x14ac:dyDescent="0.3">
      <c r="B7" s="10" t="s">
        <v>8</v>
      </c>
      <c r="C7" s="118">
        <v>9.8000000000000007</v>
      </c>
      <c r="D7" s="119">
        <f t="shared" si="0"/>
        <v>0.24438902743142141</v>
      </c>
    </row>
    <row r="8" spans="2:4" x14ac:dyDescent="0.3">
      <c r="B8" s="10" t="s">
        <v>303</v>
      </c>
      <c r="C8" s="118">
        <v>2.2999999999999998</v>
      </c>
      <c r="D8" s="119">
        <f t="shared" si="0"/>
        <v>5.7356608478802973E-2</v>
      </c>
    </row>
    <row r="9" spans="2:4" x14ac:dyDescent="0.3">
      <c r="B9" s="10" t="s">
        <v>304</v>
      </c>
      <c r="C9" s="118">
        <v>2.1</v>
      </c>
      <c r="D9" s="119">
        <f t="shared" si="0"/>
        <v>5.236907730673316E-2</v>
      </c>
    </row>
    <row r="10" spans="2:4" x14ac:dyDescent="0.3">
      <c r="B10" s="10" t="s">
        <v>305</v>
      </c>
      <c r="C10" s="118">
        <v>1.4</v>
      </c>
      <c r="D10" s="119">
        <f t="shared" si="0"/>
        <v>3.4912718204488769E-2</v>
      </c>
    </row>
    <row r="11" spans="2:4" x14ac:dyDescent="0.3">
      <c r="B11" s="10" t="s">
        <v>306</v>
      </c>
      <c r="C11" s="118">
        <v>0.7</v>
      </c>
      <c r="D11" s="119">
        <f t="shared" si="0"/>
        <v>1.7456359102244384E-2</v>
      </c>
    </row>
    <row r="12" spans="2:4" x14ac:dyDescent="0.3">
      <c r="B12" s="10" t="s">
        <v>307</v>
      </c>
      <c r="C12" s="118">
        <v>0.5</v>
      </c>
      <c r="D12" s="119">
        <f t="shared" si="0"/>
        <v>1.2468827930174561E-2</v>
      </c>
    </row>
    <row r="13" spans="2:4" x14ac:dyDescent="0.3">
      <c r="B13" s="10" t="s">
        <v>308</v>
      </c>
      <c r="C13" s="118">
        <v>0.5</v>
      </c>
      <c r="D13" s="119">
        <f t="shared" si="0"/>
        <v>1.2468827930174561E-2</v>
      </c>
    </row>
    <row r="14" spans="2:4" x14ac:dyDescent="0.3">
      <c r="B14" s="10" t="s">
        <v>309</v>
      </c>
      <c r="C14" s="118">
        <v>0.2</v>
      </c>
      <c r="D14" s="119">
        <f t="shared" si="0"/>
        <v>4.9875311720698244E-3</v>
      </c>
    </row>
    <row r="15" spans="2:4" ht="15" thickBot="1" x14ac:dyDescent="0.35">
      <c r="B15" s="122" t="s">
        <v>113</v>
      </c>
      <c r="C15" s="123">
        <v>0.7</v>
      </c>
      <c r="D15" s="124">
        <f t="shared" si="0"/>
        <v>1.7456359102244384E-2</v>
      </c>
    </row>
    <row r="16" spans="2:4" ht="15" thickTop="1" x14ac:dyDescent="0.3">
      <c r="B16" s="120" t="s">
        <v>20</v>
      </c>
      <c r="C16" s="121">
        <f>SUM(C5:C15)</f>
        <v>40.100000000000009</v>
      </c>
      <c r="D16" s="119">
        <f t="shared" si="0"/>
        <v>1</v>
      </c>
    </row>
    <row r="17" spans="2:4" x14ac:dyDescent="0.3">
      <c r="B17" s="7"/>
      <c r="C17" s="7"/>
      <c r="D17" s="7"/>
    </row>
    <row r="18" spans="2:4" x14ac:dyDescent="0.3">
      <c r="B18" s="7"/>
      <c r="C18" s="7"/>
      <c r="D18" s="7"/>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3:C6"/>
  <sheetViews>
    <sheetView workbookViewId="0">
      <selection activeCell="A31" sqref="A31"/>
    </sheetView>
  </sheetViews>
  <sheetFormatPr defaultRowHeight="14.4" x14ac:dyDescent="0.3"/>
  <cols>
    <col min="1" max="1" width="19.44140625" customWidth="1"/>
  </cols>
  <sheetData>
    <row r="3" spans="1:3" x14ac:dyDescent="0.3">
      <c r="B3">
        <v>2005</v>
      </c>
      <c r="C3">
        <v>2010</v>
      </c>
    </row>
    <row r="4" spans="1:3" x14ac:dyDescent="0.3">
      <c r="A4" t="s">
        <v>48</v>
      </c>
      <c r="B4" s="30">
        <v>0.08</v>
      </c>
      <c r="C4" s="30">
        <v>0.18</v>
      </c>
    </row>
    <row r="5" spans="1:3" x14ac:dyDescent="0.3">
      <c r="A5" t="s">
        <v>13</v>
      </c>
      <c r="B5" s="30">
        <v>0.4</v>
      </c>
      <c r="C5" s="30">
        <v>0.48</v>
      </c>
    </row>
    <row r="6" spans="1:3" x14ac:dyDescent="0.3">
      <c r="A6" t="s">
        <v>8</v>
      </c>
      <c r="B6" s="30">
        <v>0.33</v>
      </c>
      <c r="C6" s="30">
        <v>0.18</v>
      </c>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2:R56"/>
  <sheetViews>
    <sheetView zoomScale="55" zoomScaleNormal="55" workbookViewId="0">
      <selection activeCell="L57" sqref="L57"/>
    </sheetView>
  </sheetViews>
  <sheetFormatPr defaultRowHeight="14.4" x14ac:dyDescent="0.3"/>
  <cols>
    <col min="1" max="1" width="43.33203125" bestFit="1" customWidth="1"/>
    <col min="3" max="4" width="14.33203125" bestFit="1" customWidth="1"/>
  </cols>
  <sheetData>
    <row r="2" spans="1:15" x14ac:dyDescent="0.3">
      <c r="A2" s="285" t="s">
        <v>1173</v>
      </c>
      <c r="B2" s="285"/>
      <c r="C2" s="285"/>
      <c r="D2" s="285"/>
      <c r="E2" s="285"/>
      <c r="F2" s="285"/>
      <c r="G2" s="285"/>
      <c r="H2" s="285"/>
      <c r="I2" s="285"/>
      <c r="J2" s="285"/>
      <c r="K2" s="285"/>
      <c r="L2" s="285"/>
      <c r="M2" s="285"/>
      <c r="N2" s="285"/>
      <c r="O2" s="285"/>
    </row>
    <row r="3" spans="1:15" x14ac:dyDescent="0.3">
      <c r="B3">
        <v>2011</v>
      </c>
      <c r="C3">
        <v>2012</v>
      </c>
      <c r="D3">
        <v>2013</v>
      </c>
      <c r="E3">
        <v>2014</v>
      </c>
      <c r="F3">
        <v>2015</v>
      </c>
      <c r="G3">
        <v>2016</v>
      </c>
      <c r="H3">
        <v>2017</v>
      </c>
      <c r="I3">
        <v>2018</v>
      </c>
      <c r="J3">
        <v>2019</v>
      </c>
      <c r="K3">
        <v>2020</v>
      </c>
      <c r="L3">
        <v>2021</v>
      </c>
      <c r="N3" t="s">
        <v>1060</v>
      </c>
    </row>
    <row r="5" spans="1:15" x14ac:dyDescent="0.3">
      <c r="A5" s="41" t="s">
        <v>1056</v>
      </c>
    </row>
    <row r="6" spans="1:15" x14ac:dyDescent="0.3">
      <c r="A6" t="s">
        <v>1058</v>
      </c>
      <c r="B6">
        <v>269.2</v>
      </c>
      <c r="C6">
        <v>277.10000000000002</v>
      </c>
      <c r="D6">
        <v>283.7</v>
      </c>
      <c r="E6">
        <v>308.7</v>
      </c>
      <c r="F6">
        <v>327.3</v>
      </c>
      <c r="G6">
        <v>347.8</v>
      </c>
      <c r="H6">
        <v>371.1</v>
      </c>
      <c r="I6">
        <v>394.9</v>
      </c>
      <c r="J6">
        <v>420.9</v>
      </c>
      <c r="K6">
        <v>450.7</v>
      </c>
      <c r="L6">
        <v>483.2</v>
      </c>
      <c r="M6">
        <f>SUM(C6:L6)</f>
        <v>3665.3999999999996</v>
      </c>
    </row>
    <row r="7" spans="1:15" x14ac:dyDescent="0.3">
      <c r="A7" s="114" t="s">
        <v>1057</v>
      </c>
      <c r="C7" s="5">
        <f>+C6/B6-1</f>
        <v>2.9346210995542465E-2</v>
      </c>
      <c r="D7" s="5">
        <f t="shared" ref="D7:L7" si="0">+D6/C6-1</f>
        <v>2.3818116203536466E-2</v>
      </c>
      <c r="E7" s="5">
        <f t="shared" si="0"/>
        <v>8.8121254846668995E-2</v>
      </c>
      <c r="F7" s="5">
        <f t="shared" si="0"/>
        <v>6.0252672497570492E-2</v>
      </c>
      <c r="G7" s="5">
        <f t="shared" si="0"/>
        <v>6.2633669416437554E-2</v>
      </c>
      <c r="H7" s="5">
        <f t="shared" si="0"/>
        <v>6.6992524439333012E-2</v>
      </c>
      <c r="I7" s="5">
        <f t="shared" si="0"/>
        <v>6.4133656696308217E-2</v>
      </c>
      <c r="J7" s="5">
        <f t="shared" si="0"/>
        <v>6.5839453026082628E-2</v>
      </c>
      <c r="K7" s="5">
        <f t="shared" si="0"/>
        <v>7.0800665241149918E-2</v>
      </c>
      <c r="L7" s="5">
        <f t="shared" si="0"/>
        <v>7.2110051031728517E-2</v>
      </c>
      <c r="N7" s="5">
        <f>+(L6/C6)^(1/9)-1</f>
        <v>6.3732103928158423E-2</v>
      </c>
    </row>
    <row r="8" spans="1:15" x14ac:dyDescent="0.3">
      <c r="A8" s="41" t="s">
        <v>1055</v>
      </c>
    </row>
    <row r="9" spans="1:15" x14ac:dyDescent="0.3">
      <c r="A9" t="s">
        <v>1059</v>
      </c>
      <c r="B9">
        <v>268.60000000000002</v>
      </c>
      <c r="C9">
        <v>274.8</v>
      </c>
      <c r="D9">
        <v>282</v>
      </c>
      <c r="E9">
        <v>293.60000000000002</v>
      </c>
      <c r="F9">
        <v>309.39999999999998</v>
      </c>
      <c r="G9">
        <v>328.8</v>
      </c>
      <c r="H9">
        <v>350</v>
      </c>
      <c r="I9">
        <v>373.3</v>
      </c>
      <c r="J9">
        <v>398.9</v>
      </c>
      <c r="K9">
        <v>426.9</v>
      </c>
      <c r="L9">
        <v>457.3</v>
      </c>
      <c r="M9">
        <f>SUM(C9:L9)</f>
        <v>3495.0000000000005</v>
      </c>
    </row>
    <row r="10" spans="1:15" x14ac:dyDescent="0.3">
      <c r="A10" s="114" t="s">
        <v>1057</v>
      </c>
      <c r="C10" s="5">
        <f t="shared" ref="C10:L10" si="1">+C9/B9-1</f>
        <v>2.3082650781831582E-2</v>
      </c>
      <c r="D10" s="5">
        <f t="shared" si="1"/>
        <v>2.6200873362445476E-2</v>
      </c>
      <c r="E10" s="5">
        <f t="shared" si="1"/>
        <v>4.1134751773049816E-2</v>
      </c>
      <c r="F10" s="5">
        <f t="shared" si="1"/>
        <v>5.3814713896457533E-2</v>
      </c>
      <c r="G10" s="5">
        <f t="shared" si="1"/>
        <v>6.2702003878474688E-2</v>
      </c>
      <c r="H10" s="5">
        <f t="shared" si="1"/>
        <v>6.4476885644768833E-2</v>
      </c>
      <c r="I10" s="5">
        <f t="shared" si="1"/>
        <v>6.6571428571428504E-2</v>
      </c>
      <c r="J10" s="5">
        <f t="shared" si="1"/>
        <v>6.85775515671041E-2</v>
      </c>
      <c r="K10" s="5">
        <f t="shared" si="1"/>
        <v>7.0193030834795778E-2</v>
      </c>
      <c r="L10" s="5">
        <f t="shared" si="1"/>
        <v>7.1211056453502009E-2</v>
      </c>
      <c r="N10" s="5">
        <f>+(L9/C9)^(1/9)-1</f>
        <v>5.8220212627236423E-2</v>
      </c>
    </row>
    <row r="12" spans="1:15" x14ac:dyDescent="0.3">
      <c r="A12" t="s">
        <v>1069</v>
      </c>
      <c r="C12" s="5">
        <v>4.2000000000000003E-2</v>
      </c>
      <c r="D12" s="5">
        <v>3.9E-2</v>
      </c>
      <c r="E12" s="5">
        <v>4.2000000000000003E-2</v>
      </c>
      <c r="F12" s="5">
        <v>4.4999999999999998E-2</v>
      </c>
      <c r="G12" s="5">
        <v>4.4999999999999998E-2</v>
      </c>
      <c r="H12" s="5">
        <v>4.4999999999999998E-2</v>
      </c>
      <c r="I12" s="5">
        <v>4.4999999999999998E-2</v>
      </c>
      <c r="J12" s="5">
        <v>4.4999999999999998E-2</v>
      </c>
      <c r="K12" s="5">
        <v>4.4999999999999998E-2</v>
      </c>
      <c r="L12" s="5">
        <v>4.4999999999999998E-2</v>
      </c>
      <c r="M12">
        <f>+M6-M9</f>
        <v>170.39999999999918</v>
      </c>
    </row>
    <row r="35" spans="1:18" x14ac:dyDescent="0.3">
      <c r="A35" s="285" t="s">
        <v>1234</v>
      </c>
      <c r="B35" s="285"/>
      <c r="C35" s="285"/>
      <c r="D35" s="285"/>
      <c r="E35" s="285"/>
      <c r="F35" s="285"/>
      <c r="G35" s="285"/>
      <c r="H35" s="285"/>
      <c r="I35" s="285"/>
      <c r="J35" s="285"/>
      <c r="K35" s="285"/>
      <c r="L35" s="285"/>
      <c r="M35" s="285"/>
      <c r="N35" s="285"/>
      <c r="O35" s="285"/>
    </row>
    <row r="36" spans="1:18" x14ac:dyDescent="0.3">
      <c r="B36">
        <v>2011</v>
      </c>
      <c r="C36">
        <v>2012</v>
      </c>
      <c r="D36">
        <v>2013</v>
      </c>
      <c r="E36">
        <v>2014</v>
      </c>
      <c r="F36">
        <v>2015</v>
      </c>
      <c r="G36">
        <v>2016</v>
      </c>
      <c r="H36">
        <v>2017</v>
      </c>
      <c r="I36">
        <v>2018</v>
      </c>
      <c r="J36">
        <v>2019</v>
      </c>
      <c r="K36">
        <v>2020</v>
      </c>
      <c r="L36">
        <v>2021</v>
      </c>
      <c r="M36">
        <v>2022</v>
      </c>
      <c r="N36">
        <v>2023</v>
      </c>
      <c r="O36">
        <v>2024</v>
      </c>
      <c r="R36" t="s">
        <v>1060</v>
      </c>
    </row>
    <row r="38" spans="1:18" x14ac:dyDescent="0.3">
      <c r="A38" s="41"/>
    </row>
    <row r="39" spans="1:18" x14ac:dyDescent="0.3">
      <c r="A39" t="s">
        <v>1235</v>
      </c>
      <c r="B39">
        <v>263</v>
      </c>
      <c r="C39">
        <v>264.39999999999998</v>
      </c>
      <c r="D39">
        <v>271.10000000000002</v>
      </c>
      <c r="E39">
        <v>305.10000000000002</v>
      </c>
      <c r="F39">
        <v>328.4</v>
      </c>
      <c r="G39">
        <v>343.2</v>
      </c>
      <c r="H39">
        <v>364.4</v>
      </c>
      <c r="I39">
        <v>385.1</v>
      </c>
      <c r="J39">
        <v>408.7</v>
      </c>
      <c r="K39">
        <v>435.3</v>
      </c>
      <c r="L39">
        <v>464.1</v>
      </c>
      <c r="M39">
        <v>495.2</v>
      </c>
      <c r="N39">
        <v>528.29999999999995</v>
      </c>
      <c r="O39">
        <v>564.29999999999995</v>
      </c>
      <c r="Q39">
        <f>SUM(F39:O39)</f>
        <v>4317</v>
      </c>
    </row>
    <row r="40" spans="1:18" x14ac:dyDescent="0.3">
      <c r="A40" s="114" t="s">
        <v>1057</v>
      </c>
      <c r="C40" s="5">
        <f t="shared" ref="C40:M40" si="2">+C39/B39-1</f>
        <v>5.3231939163498332E-3</v>
      </c>
      <c r="D40" s="5">
        <f t="shared" si="2"/>
        <v>2.534039334341931E-2</v>
      </c>
      <c r="E40" s="5">
        <f t="shared" si="2"/>
        <v>0.12541497602360741</v>
      </c>
      <c r="F40" s="5">
        <f t="shared" si="2"/>
        <v>7.6368403802032025E-2</v>
      </c>
      <c r="G40" s="5">
        <f t="shared" si="2"/>
        <v>4.5066991473812434E-2</v>
      </c>
      <c r="H40" s="5">
        <f t="shared" si="2"/>
        <v>6.1771561771561734E-2</v>
      </c>
      <c r="I40" s="5">
        <f t="shared" si="2"/>
        <v>5.6805708013172529E-2</v>
      </c>
      <c r="J40" s="5">
        <f t="shared" si="2"/>
        <v>6.128278369254736E-2</v>
      </c>
      <c r="K40" s="5">
        <f t="shared" si="2"/>
        <v>6.5084413995595947E-2</v>
      </c>
      <c r="L40" s="5">
        <f t="shared" si="2"/>
        <v>6.6161268090971781E-2</v>
      </c>
      <c r="M40" s="5">
        <f t="shared" si="2"/>
        <v>6.7011419952596407E-2</v>
      </c>
      <c r="N40" s="5">
        <f t="shared" ref="N40" si="3">+N39/M39-1</f>
        <v>6.6841680129240633E-2</v>
      </c>
      <c r="O40" s="5">
        <f t="shared" ref="O40" si="4">+O39/N39-1</f>
        <v>6.8143100511073307E-2</v>
      </c>
      <c r="R40" s="5">
        <f>+(O39/F39)^(1/9)-1</f>
        <v>6.1996264364823528E-2</v>
      </c>
    </row>
    <row r="41" spans="1:18" x14ac:dyDescent="0.3">
      <c r="A41" s="114" t="s">
        <v>1236</v>
      </c>
      <c r="C41" s="5"/>
      <c r="F41" s="5">
        <v>5.2999999999999999E-2</v>
      </c>
      <c r="G41" s="5">
        <v>4.9000000000000002E-2</v>
      </c>
      <c r="H41" s="5">
        <v>5.3999999999999999E-2</v>
      </c>
      <c r="I41" s="5">
        <v>5.5E-2</v>
      </c>
      <c r="J41" s="5">
        <v>6.2E-2</v>
      </c>
      <c r="K41" s="5">
        <v>6.3E-2</v>
      </c>
      <c r="L41" s="5">
        <v>6.3E-2</v>
      </c>
      <c r="M41" s="5">
        <v>6.2E-2</v>
      </c>
      <c r="N41" s="5">
        <v>6.0999999999999999E-2</v>
      </c>
      <c r="O41" s="5">
        <v>0.06</v>
      </c>
    </row>
    <row r="42" spans="1:18" x14ac:dyDescent="0.3">
      <c r="A42" s="114"/>
    </row>
    <row r="43" spans="1:18" x14ac:dyDescent="0.3">
      <c r="D43" s="311">
        <v>3.7</v>
      </c>
      <c r="E43" s="311">
        <v>3.9</v>
      </c>
      <c r="F43" s="311">
        <v>3.2</v>
      </c>
      <c r="G43" s="311">
        <v>4.7</v>
      </c>
      <c r="H43" s="311">
        <v>5.3</v>
      </c>
      <c r="I43" s="311">
        <v>5.3</v>
      </c>
      <c r="J43" s="311">
        <v>5.2</v>
      </c>
      <c r="K43" s="311">
        <v>5</v>
      </c>
      <c r="L43" s="311">
        <v>4.9000000000000004</v>
      </c>
      <c r="M43" s="311">
        <v>4.7</v>
      </c>
      <c r="N43" s="311">
        <v>4.5</v>
      </c>
      <c r="O43" s="311">
        <v>4.5</v>
      </c>
      <c r="P43" s="5"/>
    </row>
    <row r="44" spans="1:18" x14ac:dyDescent="0.3">
      <c r="A44" t="s">
        <v>1174</v>
      </c>
      <c r="C44" s="288"/>
      <c r="D44" s="5">
        <f t="shared" ref="D44:O44" si="5">+D43/100</f>
        <v>3.7000000000000005E-2</v>
      </c>
      <c r="E44" s="5">
        <f t="shared" si="5"/>
        <v>3.9E-2</v>
      </c>
      <c r="F44" s="5">
        <f t="shared" si="5"/>
        <v>3.2000000000000001E-2</v>
      </c>
      <c r="G44" s="5">
        <f t="shared" si="5"/>
        <v>4.7E-2</v>
      </c>
      <c r="H44" s="5">
        <f t="shared" si="5"/>
        <v>5.2999999999999999E-2</v>
      </c>
      <c r="I44" s="5">
        <f t="shared" si="5"/>
        <v>5.2999999999999999E-2</v>
      </c>
      <c r="J44" s="5">
        <f t="shared" si="5"/>
        <v>5.2000000000000005E-2</v>
      </c>
      <c r="K44" s="5">
        <f t="shared" si="5"/>
        <v>0.05</v>
      </c>
      <c r="L44" s="5">
        <f t="shared" si="5"/>
        <v>4.9000000000000002E-2</v>
      </c>
      <c r="M44" s="5">
        <f t="shared" si="5"/>
        <v>4.7E-2</v>
      </c>
      <c r="N44" s="5">
        <f t="shared" si="5"/>
        <v>4.4999999999999998E-2</v>
      </c>
      <c r="O44" s="5">
        <f t="shared" si="5"/>
        <v>4.4999999999999998E-2</v>
      </c>
    </row>
    <row r="45" spans="1:18" x14ac:dyDescent="0.3">
      <c r="C45" s="5"/>
      <c r="D45" s="5"/>
      <c r="F45" s="286"/>
      <c r="G45" s="286"/>
      <c r="H45" s="286"/>
      <c r="I45" s="286"/>
    </row>
    <row r="48" spans="1:18" x14ac:dyDescent="0.3">
      <c r="L48" s="287"/>
    </row>
    <row r="49" spans="12:12" x14ac:dyDescent="0.3">
      <c r="L49" s="287"/>
    </row>
    <row r="50" spans="12:12" x14ac:dyDescent="0.3">
      <c r="L50" s="287"/>
    </row>
    <row r="51" spans="12:12" x14ac:dyDescent="0.3">
      <c r="L51" s="287"/>
    </row>
    <row r="52" spans="12:12" x14ac:dyDescent="0.3">
      <c r="L52" s="287"/>
    </row>
    <row r="53" spans="12:12" x14ac:dyDescent="0.3">
      <c r="L53" s="287"/>
    </row>
    <row r="54" spans="12:12" x14ac:dyDescent="0.3">
      <c r="L54" s="287"/>
    </row>
    <row r="55" spans="12:12" x14ac:dyDescent="0.3">
      <c r="L55" s="287"/>
    </row>
    <row r="56" spans="12:12" x14ac:dyDescent="0.3">
      <c r="L56" s="287"/>
    </row>
  </sheetData>
  <pageMargins left="0.7" right="0.7" top="0.75" bottom="0.75" header="0.3" footer="0.3"/>
  <pageSetup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B3:P8"/>
  <sheetViews>
    <sheetView zoomScale="85" zoomScaleNormal="85" workbookViewId="0">
      <selection activeCell="Q27" sqref="Q27"/>
    </sheetView>
  </sheetViews>
  <sheetFormatPr defaultRowHeight="14.4" x14ac:dyDescent="0.3"/>
  <cols>
    <col min="2" max="2" width="21.44140625" bestFit="1" customWidth="1"/>
  </cols>
  <sheetData>
    <row r="3" spans="2:16" x14ac:dyDescent="0.3">
      <c r="C3" s="29">
        <v>1998</v>
      </c>
      <c r="D3" s="29">
        <v>1999</v>
      </c>
      <c r="E3" s="29">
        <v>2000</v>
      </c>
      <c r="F3" s="29">
        <v>2001</v>
      </c>
      <c r="G3" s="29">
        <v>2002</v>
      </c>
      <c r="H3" s="29">
        <v>2003</v>
      </c>
      <c r="I3" s="29">
        <v>2004</v>
      </c>
      <c r="J3" s="29">
        <v>2005</v>
      </c>
      <c r="K3" s="29">
        <v>2006</v>
      </c>
      <c r="L3" s="29">
        <v>2007</v>
      </c>
      <c r="M3" s="29">
        <v>2008</v>
      </c>
      <c r="N3" s="29">
        <v>2009</v>
      </c>
      <c r="O3" s="29">
        <v>2010</v>
      </c>
      <c r="P3" s="29">
        <v>2011</v>
      </c>
    </row>
    <row r="4" spans="2:16" x14ac:dyDescent="0.3">
      <c r="B4" t="s">
        <v>51</v>
      </c>
      <c r="C4">
        <v>30</v>
      </c>
      <c r="D4">
        <v>35</v>
      </c>
      <c r="E4">
        <v>27</v>
      </c>
      <c r="F4">
        <v>24</v>
      </c>
      <c r="G4">
        <v>17</v>
      </c>
      <c r="H4">
        <v>21</v>
      </c>
      <c r="I4">
        <v>31</v>
      </c>
      <c r="J4">
        <v>18</v>
      </c>
      <c r="K4">
        <v>18</v>
      </c>
      <c r="L4">
        <v>16</v>
      </c>
      <c r="M4">
        <v>21</v>
      </c>
      <c r="N4">
        <v>19</v>
      </c>
      <c r="O4">
        <v>15</v>
      </c>
      <c r="P4">
        <v>24</v>
      </c>
    </row>
    <row r="5" spans="2:16" x14ac:dyDescent="0.3">
      <c r="B5" t="s">
        <v>52</v>
      </c>
      <c r="C5">
        <v>9</v>
      </c>
      <c r="D5">
        <v>5</v>
      </c>
      <c r="E5">
        <v>6</v>
      </c>
      <c r="F5">
        <v>8</v>
      </c>
      <c r="G5">
        <v>9</v>
      </c>
      <c r="H5">
        <v>14</v>
      </c>
      <c r="I5">
        <v>7</v>
      </c>
      <c r="J5">
        <v>10</v>
      </c>
      <c r="K5">
        <v>11</v>
      </c>
      <c r="L5">
        <v>10</v>
      </c>
      <c r="M5">
        <v>10</v>
      </c>
      <c r="N5">
        <v>15</v>
      </c>
      <c r="O5">
        <v>11</v>
      </c>
      <c r="P5">
        <v>11</v>
      </c>
    </row>
    <row r="6" spans="2:16" x14ac:dyDescent="0.3">
      <c r="B6" t="s">
        <v>53</v>
      </c>
      <c r="C6" s="30">
        <f>+C4/C8</f>
        <v>0.76923076923076927</v>
      </c>
      <c r="D6" s="30">
        <f t="shared" ref="D6:P6" si="0">+D4/D8</f>
        <v>0.875</v>
      </c>
      <c r="E6" s="30">
        <f t="shared" si="0"/>
        <v>0.81818181818181823</v>
      </c>
      <c r="F6" s="30">
        <f t="shared" si="0"/>
        <v>0.75</v>
      </c>
      <c r="G6" s="30">
        <f t="shared" si="0"/>
        <v>0.65384615384615385</v>
      </c>
      <c r="H6" s="30">
        <f t="shared" si="0"/>
        <v>0.6</v>
      </c>
      <c r="I6" s="30">
        <f t="shared" si="0"/>
        <v>0.81578947368421051</v>
      </c>
      <c r="J6" s="30">
        <f t="shared" si="0"/>
        <v>0.6428571428571429</v>
      </c>
      <c r="K6" s="30">
        <f t="shared" si="0"/>
        <v>0.62068965517241381</v>
      </c>
      <c r="L6" s="30">
        <f t="shared" si="0"/>
        <v>0.61538461538461542</v>
      </c>
      <c r="M6" s="30">
        <f t="shared" si="0"/>
        <v>0.67741935483870963</v>
      </c>
      <c r="N6" s="30">
        <f t="shared" si="0"/>
        <v>0.55882352941176472</v>
      </c>
      <c r="O6" s="30">
        <f t="shared" si="0"/>
        <v>0.57692307692307687</v>
      </c>
      <c r="P6" s="30">
        <f t="shared" si="0"/>
        <v>0.68571428571428572</v>
      </c>
    </row>
    <row r="7" spans="2:16" x14ac:dyDescent="0.3">
      <c r="B7" t="s">
        <v>54</v>
      </c>
      <c r="C7" s="30">
        <f>+C5/C8</f>
        <v>0.23076923076923078</v>
      </c>
      <c r="D7" s="30">
        <f t="shared" ref="D7:P7" si="1">+D5/D8</f>
        <v>0.125</v>
      </c>
      <c r="E7" s="30">
        <f t="shared" si="1"/>
        <v>0.18181818181818182</v>
      </c>
      <c r="F7" s="30">
        <f t="shared" si="1"/>
        <v>0.25</v>
      </c>
      <c r="G7" s="30">
        <f t="shared" si="1"/>
        <v>0.34615384615384615</v>
      </c>
      <c r="H7" s="30">
        <f t="shared" si="1"/>
        <v>0.4</v>
      </c>
      <c r="I7" s="30">
        <f t="shared" si="1"/>
        <v>0.18421052631578946</v>
      </c>
      <c r="J7" s="30">
        <f t="shared" si="1"/>
        <v>0.35714285714285715</v>
      </c>
      <c r="K7" s="30">
        <f t="shared" si="1"/>
        <v>0.37931034482758619</v>
      </c>
      <c r="L7" s="30">
        <f t="shared" si="1"/>
        <v>0.38461538461538464</v>
      </c>
      <c r="M7" s="30">
        <f t="shared" si="1"/>
        <v>0.32258064516129031</v>
      </c>
      <c r="N7" s="30">
        <f t="shared" si="1"/>
        <v>0.44117647058823528</v>
      </c>
      <c r="O7" s="30">
        <f t="shared" si="1"/>
        <v>0.42307692307692307</v>
      </c>
      <c r="P7" s="30">
        <f t="shared" si="1"/>
        <v>0.31428571428571428</v>
      </c>
    </row>
    <row r="8" spans="2:16" x14ac:dyDescent="0.3">
      <c r="B8" t="s">
        <v>55</v>
      </c>
      <c r="C8">
        <f>+C4+C5</f>
        <v>39</v>
      </c>
      <c r="D8">
        <f t="shared" ref="D8:P8" si="2">+D4+D5</f>
        <v>40</v>
      </c>
      <c r="E8">
        <f t="shared" si="2"/>
        <v>33</v>
      </c>
      <c r="F8">
        <f t="shared" si="2"/>
        <v>32</v>
      </c>
      <c r="G8">
        <f t="shared" si="2"/>
        <v>26</v>
      </c>
      <c r="H8">
        <f t="shared" si="2"/>
        <v>35</v>
      </c>
      <c r="I8">
        <f t="shared" si="2"/>
        <v>38</v>
      </c>
      <c r="J8">
        <f t="shared" si="2"/>
        <v>28</v>
      </c>
      <c r="K8">
        <f t="shared" si="2"/>
        <v>29</v>
      </c>
      <c r="L8">
        <f t="shared" si="2"/>
        <v>26</v>
      </c>
      <c r="M8">
        <f t="shared" si="2"/>
        <v>31</v>
      </c>
      <c r="N8">
        <f t="shared" si="2"/>
        <v>34</v>
      </c>
      <c r="O8">
        <f t="shared" si="2"/>
        <v>26</v>
      </c>
      <c r="P8">
        <f t="shared" si="2"/>
        <v>35</v>
      </c>
    </row>
  </sheetData>
  <pageMargins left="0.7" right="0.7" top="0.75" bottom="0.75" header="0.3" footer="0.3"/>
  <pageSetup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3:B51"/>
  <sheetViews>
    <sheetView topLeftCell="A3" zoomScale="70" zoomScaleNormal="70" workbookViewId="0">
      <selection activeCell="I32" sqref="I32"/>
    </sheetView>
  </sheetViews>
  <sheetFormatPr defaultRowHeight="14.4" x14ac:dyDescent="0.3"/>
  <cols>
    <col min="1" max="1" width="60.5546875" bestFit="1" customWidth="1"/>
  </cols>
  <sheetData>
    <row r="3" spans="1:2" x14ac:dyDescent="0.3">
      <c r="A3" t="s">
        <v>73</v>
      </c>
    </row>
    <row r="5" spans="1:2" x14ac:dyDescent="0.3">
      <c r="A5" t="s">
        <v>71</v>
      </c>
      <c r="B5">
        <v>5</v>
      </c>
    </row>
    <row r="6" spans="1:2" x14ac:dyDescent="0.3">
      <c r="A6" t="s">
        <v>70</v>
      </c>
      <c r="B6">
        <v>18</v>
      </c>
    </row>
    <row r="7" spans="1:2" x14ac:dyDescent="0.3">
      <c r="A7" t="s">
        <v>69</v>
      </c>
      <c r="B7">
        <v>19</v>
      </c>
    </row>
    <row r="8" spans="1:2" x14ac:dyDescent="0.3">
      <c r="A8" t="s">
        <v>68</v>
      </c>
      <c r="B8">
        <v>20</v>
      </c>
    </row>
    <row r="9" spans="1:2" x14ac:dyDescent="0.3">
      <c r="A9" t="s">
        <v>66</v>
      </c>
      <c r="B9">
        <v>22</v>
      </c>
    </row>
    <row r="10" spans="1:2" x14ac:dyDescent="0.3">
      <c r="A10" t="s">
        <v>65</v>
      </c>
      <c r="B10">
        <v>24</v>
      </c>
    </row>
    <row r="11" spans="1:2" x14ac:dyDescent="0.3">
      <c r="A11" t="s">
        <v>64</v>
      </c>
      <c r="B11">
        <v>27</v>
      </c>
    </row>
    <row r="12" spans="1:2" x14ac:dyDescent="0.3">
      <c r="A12" t="s">
        <v>67</v>
      </c>
      <c r="B12">
        <v>28</v>
      </c>
    </row>
    <row r="13" spans="1:2" x14ac:dyDescent="0.3">
      <c r="A13" t="s">
        <v>72</v>
      </c>
      <c r="B13">
        <v>32</v>
      </c>
    </row>
    <row r="14" spans="1:2" x14ac:dyDescent="0.3">
      <c r="A14" t="s">
        <v>62</v>
      </c>
      <c r="B14">
        <v>36</v>
      </c>
    </row>
    <row r="15" spans="1:2" x14ac:dyDescent="0.3">
      <c r="A15" t="s">
        <v>63</v>
      </c>
      <c r="B15">
        <v>39</v>
      </c>
    </row>
    <row r="16" spans="1:2" x14ac:dyDescent="0.3">
      <c r="A16" t="s">
        <v>61</v>
      </c>
      <c r="B16">
        <v>40</v>
      </c>
    </row>
    <row r="17" spans="1:2" x14ac:dyDescent="0.3">
      <c r="A17" t="s">
        <v>60</v>
      </c>
      <c r="B17">
        <v>44</v>
      </c>
    </row>
    <row r="18" spans="1:2" x14ac:dyDescent="0.3">
      <c r="A18" t="s">
        <v>59</v>
      </c>
      <c r="B18">
        <v>59</v>
      </c>
    </row>
    <row r="19" spans="1:2" x14ac:dyDescent="0.3">
      <c r="A19" t="s">
        <v>58</v>
      </c>
      <c r="B19">
        <v>69</v>
      </c>
    </row>
    <row r="20" spans="1:2" x14ac:dyDescent="0.3">
      <c r="A20" t="s">
        <v>57</v>
      </c>
      <c r="B20">
        <v>188</v>
      </c>
    </row>
    <row r="21" spans="1:2" x14ac:dyDescent="0.3">
      <c r="A21" t="s">
        <v>56</v>
      </c>
      <c r="B21">
        <v>352</v>
      </c>
    </row>
    <row r="51" spans="1:1" x14ac:dyDescent="0.3">
      <c r="A51" t="s">
        <v>90</v>
      </c>
    </row>
  </sheetData>
  <sortState xmlns:xlrd2="http://schemas.microsoft.com/office/spreadsheetml/2017/richdata2" ref="A5:B21">
    <sortCondition ref="B5:B21"/>
  </sortState>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J21"/>
  <sheetViews>
    <sheetView zoomScaleNormal="100" workbookViewId="0">
      <selection activeCell="H8" sqref="H8:H9"/>
    </sheetView>
  </sheetViews>
  <sheetFormatPr defaultRowHeight="14.4" x14ac:dyDescent="0.3"/>
  <cols>
    <col min="2" max="2" width="26.6640625" customWidth="1"/>
    <col min="3" max="3" width="4.5546875" customWidth="1"/>
    <col min="6" max="6" width="3.88671875" customWidth="1"/>
  </cols>
  <sheetData>
    <row r="1" spans="1:10" x14ac:dyDescent="0.3">
      <c r="A1" s="7"/>
      <c r="B1" s="7"/>
      <c r="C1" s="7"/>
      <c r="D1" s="7"/>
      <c r="E1" s="7"/>
      <c r="F1" s="7"/>
      <c r="G1" s="7"/>
      <c r="H1" s="7"/>
      <c r="I1" s="7"/>
      <c r="J1" s="7"/>
    </row>
    <row r="2" spans="1:10" x14ac:dyDescent="0.3">
      <c r="A2" s="7"/>
      <c r="B2" s="7"/>
      <c r="C2" s="7"/>
      <c r="D2" s="7"/>
      <c r="E2" s="7"/>
      <c r="F2" s="7"/>
      <c r="G2" s="7"/>
      <c r="H2" s="7"/>
      <c r="I2" s="7"/>
      <c r="J2" s="7"/>
    </row>
    <row r="3" spans="1:10" x14ac:dyDescent="0.3">
      <c r="A3" s="7"/>
      <c r="B3" s="35"/>
      <c r="C3" s="7"/>
      <c r="D3" s="368" t="s">
        <v>75</v>
      </c>
      <c r="E3" s="368"/>
      <c r="F3" s="7"/>
      <c r="G3" s="368" t="s">
        <v>74</v>
      </c>
      <c r="H3" s="368"/>
      <c r="I3" s="7"/>
      <c r="J3" s="7"/>
    </row>
    <row r="4" spans="1:10" x14ac:dyDescent="0.3">
      <c r="A4" s="7"/>
      <c r="B4" s="36" t="s">
        <v>23</v>
      </c>
      <c r="C4" s="31"/>
      <c r="D4" s="37">
        <v>2011</v>
      </c>
      <c r="E4" s="37" t="s">
        <v>86</v>
      </c>
      <c r="F4" s="28"/>
      <c r="G4" s="37">
        <v>2011</v>
      </c>
      <c r="H4" s="37" t="s">
        <v>86</v>
      </c>
      <c r="I4" s="7"/>
      <c r="J4" s="7"/>
    </row>
    <row r="5" spans="1:10" ht="6.75" customHeight="1" x14ac:dyDescent="0.3">
      <c r="A5" s="7"/>
      <c r="B5" s="31"/>
      <c r="C5" s="31"/>
      <c r="D5" s="32"/>
      <c r="E5" s="32"/>
      <c r="F5" s="28"/>
      <c r="G5" s="32"/>
      <c r="H5" s="32"/>
      <c r="I5" s="7"/>
      <c r="J5" s="7"/>
    </row>
    <row r="6" spans="1:10" x14ac:dyDescent="0.3">
      <c r="A6" s="7"/>
      <c r="B6" s="7" t="s">
        <v>76</v>
      </c>
      <c r="C6" s="7"/>
      <c r="D6" s="34">
        <v>25.7</v>
      </c>
      <c r="E6" s="34">
        <v>32.6</v>
      </c>
      <c r="F6" s="28"/>
      <c r="G6" s="38">
        <v>0.18099999999999999</v>
      </c>
      <c r="H6" s="38">
        <v>0.152</v>
      </c>
      <c r="I6" s="7"/>
      <c r="J6" s="7"/>
    </row>
    <row r="7" spans="1:10" x14ac:dyDescent="0.3">
      <c r="A7" s="7"/>
      <c r="B7" s="7" t="s">
        <v>77</v>
      </c>
      <c r="C7" s="7"/>
      <c r="D7" s="28">
        <v>11.4</v>
      </c>
      <c r="E7" s="28">
        <v>19.600000000000001</v>
      </c>
      <c r="F7" s="28"/>
      <c r="G7" s="38">
        <v>0.08</v>
      </c>
      <c r="H7" s="38">
        <v>9.0999999999999998E-2</v>
      </c>
      <c r="I7" s="7"/>
      <c r="J7" s="7"/>
    </row>
    <row r="8" spans="1:10" x14ac:dyDescent="0.3">
      <c r="A8" s="7"/>
      <c r="B8" s="7" t="s">
        <v>78</v>
      </c>
      <c r="C8" s="7"/>
      <c r="D8" s="28">
        <v>11.5</v>
      </c>
      <c r="E8" s="28">
        <v>17.8</v>
      </c>
      <c r="F8" s="28"/>
      <c r="G8" s="38">
        <v>8.1000000000000003E-2</v>
      </c>
      <c r="H8" s="38">
        <v>8.3000000000000004E-2</v>
      </c>
      <c r="I8" s="7"/>
      <c r="J8" s="7"/>
    </row>
    <row r="9" spans="1:10" x14ac:dyDescent="0.3">
      <c r="A9" s="7"/>
      <c r="B9" s="7" t="s">
        <v>79</v>
      </c>
      <c r="C9" s="7"/>
      <c r="D9" s="28">
        <v>10.1</v>
      </c>
      <c r="E9" s="28">
        <v>14.3</v>
      </c>
      <c r="F9" s="28"/>
      <c r="G9" s="38">
        <v>7.0999999999999994E-2</v>
      </c>
      <c r="H9" s="38">
        <v>6.7000000000000004E-2</v>
      </c>
      <c r="I9" s="7"/>
      <c r="J9" s="7"/>
    </row>
    <row r="10" spans="1:10" x14ac:dyDescent="0.3">
      <c r="A10" s="7"/>
      <c r="B10" s="7" t="s">
        <v>80</v>
      </c>
      <c r="C10" s="7"/>
      <c r="D10" s="28">
        <v>14.4</v>
      </c>
      <c r="E10" s="28">
        <v>13.6</v>
      </c>
      <c r="F10" s="28"/>
      <c r="G10" s="38">
        <v>0.10100000000000001</v>
      </c>
      <c r="H10" s="38">
        <v>6.3E-2</v>
      </c>
      <c r="I10" s="7"/>
      <c r="J10" s="7"/>
    </row>
    <row r="11" spans="1:10" x14ac:dyDescent="0.3">
      <c r="A11" s="7"/>
      <c r="B11" s="7" t="s">
        <v>81</v>
      </c>
      <c r="C11" s="7"/>
      <c r="D11" s="28">
        <v>4.7</v>
      </c>
      <c r="E11" s="28">
        <v>12.5</v>
      </c>
      <c r="F11" s="28"/>
      <c r="G11" s="38">
        <v>3.3000000000000002E-2</v>
      </c>
      <c r="H11" s="38">
        <v>5.8000000000000003E-2</v>
      </c>
      <c r="I11" s="7"/>
      <c r="J11" s="7"/>
    </row>
    <row r="12" spans="1:10" x14ac:dyDescent="0.3">
      <c r="A12" s="7"/>
      <c r="B12" s="7" t="s">
        <v>82</v>
      </c>
      <c r="C12" s="7"/>
      <c r="D12" s="28">
        <v>6.8</v>
      </c>
      <c r="E12" s="28">
        <v>8.5</v>
      </c>
      <c r="F12" s="28"/>
      <c r="G12" s="38">
        <v>4.8000000000000001E-2</v>
      </c>
      <c r="H12" s="38">
        <v>0.04</v>
      </c>
      <c r="I12" s="7"/>
      <c r="J12" s="7"/>
    </row>
    <row r="13" spans="1:10" x14ac:dyDescent="0.3">
      <c r="A13" s="7"/>
      <c r="B13" s="7" t="s">
        <v>83</v>
      </c>
      <c r="C13" s="7"/>
      <c r="D13" s="28">
        <v>7.7</v>
      </c>
      <c r="E13" s="28">
        <v>8.4</v>
      </c>
      <c r="F13" s="28"/>
      <c r="G13" s="38">
        <v>5.3999999999999999E-2</v>
      </c>
      <c r="H13" s="38">
        <v>3.9E-2</v>
      </c>
      <c r="I13" s="7"/>
      <c r="J13" s="7"/>
    </row>
    <row r="14" spans="1:10" x14ac:dyDescent="0.3">
      <c r="A14" s="7"/>
      <c r="B14" s="7" t="s">
        <v>84</v>
      </c>
      <c r="C14" s="7"/>
      <c r="D14" s="28">
        <v>5.3</v>
      </c>
      <c r="E14" s="28">
        <v>8.3000000000000007</v>
      </c>
      <c r="F14" s="28"/>
      <c r="G14" s="38">
        <v>3.6999999999999998E-2</v>
      </c>
      <c r="H14" s="38">
        <v>3.7999999999999999E-2</v>
      </c>
      <c r="I14" s="7"/>
      <c r="J14" s="7"/>
    </row>
    <row r="15" spans="1:10" x14ac:dyDescent="0.3">
      <c r="A15" s="7"/>
      <c r="B15" s="7" t="s">
        <v>85</v>
      </c>
      <c r="C15" s="7"/>
      <c r="D15" s="28">
        <v>8.1</v>
      </c>
      <c r="E15" s="28">
        <v>7.6</v>
      </c>
      <c r="F15" s="28"/>
      <c r="G15" s="38">
        <v>5.7000000000000002E-2</v>
      </c>
      <c r="H15" s="38">
        <v>3.5000000000000003E-2</v>
      </c>
      <c r="I15" s="7"/>
      <c r="J15" s="7"/>
    </row>
    <row r="16" spans="1:10" ht="7.5" customHeight="1" x14ac:dyDescent="0.3">
      <c r="A16" s="7"/>
      <c r="B16" s="7"/>
      <c r="C16" s="7"/>
      <c r="D16" s="7"/>
      <c r="E16" s="7"/>
      <c r="F16" s="7"/>
      <c r="G16" s="7"/>
      <c r="H16" s="7"/>
      <c r="I16" s="7"/>
      <c r="J16" s="7"/>
    </row>
    <row r="17" spans="1:10" ht="63" customHeight="1" x14ac:dyDescent="0.3">
      <c r="A17" s="7"/>
      <c r="B17" s="33" t="s">
        <v>87</v>
      </c>
      <c r="C17" s="33"/>
      <c r="D17" s="369">
        <v>0.34</v>
      </c>
      <c r="E17" s="369"/>
      <c r="F17" s="7"/>
      <c r="G17" s="370">
        <v>0.49</v>
      </c>
      <c r="H17" s="370"/>
      <c r="I17" s="7"/>
      <c r="J17" s="7"/>
    </row>
    <row r="18" spans="1:10" x14ac:dyDescent="0.3">
      <c r="A18" s="7"/>
      <c r="B18" s="7"/>
      <c r="C18" s="7"/>
      <c r="D18" s="7"/>
      <c r="E18" s="7"/>
      <c r="F18" s="7"/>
      <c r="G18" s="7"/>
      <c r="H18" s="7"/>
      <c r="I18" s="7"/>
      <c r="J18" s="7"/>
    </row>
    <row r="19" spans="1:10" x14ac:dyDescent="0.3">
      <c r="A19" s="7"/>
      <c r="B19" s="7"/>
      <c r="C19" s="7"/>
      <c r="D19" s="7"/>
      <c r="E19" s="7"/>
      <c r="F19" s="7"/>
      <c r="G19" s="7"/>
      <c r="H19" s="7"/>
      <c r="I19" s="7"/>
      <c r="J19" s="7"/>
    </row>
    <row r="20" spans="1:10" x14ac:dyDescent="0.3">
      <c r="A20" s="7"/>
      <c r="B20" s="7" t="s">
        <v>88</v>
      </c>
      <c r="C20" s="7"/>
      <c r="D20" s="7"/>
      <c r="E20" s="7"/>
      <c r="F20" s="7"/>
      <c r="G20" s="7"/>
      <c r="H20" s="7"/>
      <c r="I20" s="7"/>
      <c r="J20" s="7"/>
    </row>
    <row r="21" spans="1:10" x14ac:dyDescent="0.3">
      <c r="A21" s="7"/>
      <c r="B21" s="7"/>
      <c r="C21" s="7"/>
      <c r="D21" s="7"/>
      <c r="E21" s="7"/>
      <c r="F21" s="7"/>
      <c r="G21" s="7"/>
      <c r="H21" s="7"/>
      <c r="I21" s="7"/>
      <c r="J21" s="7"/>
    </row>
  </sheetData>
  <mergeCells count="4">
    <mergeCell ref="D3:E3"/>
    <mergeCell ref="G3:H3"/>
    <mergeCell ref="D17:E17"/>
    <mergeCell ref="G17:H17"/>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4:B43"/>
  <sheetViews>
    <sheetView zoomScale="85" zoomScaleNormal="85" workbookViewId="0">
      <selection activeCell="M26" sqref="M26"/>
    </sheetView>
  </sheetViews>
  <sheetFormatPr defaultRowHeight="14.4" x14ac:dyDescent="0.3"/>
  <sheetData>
    <row r="4" spans="1:2" x14ac:dyDescent="0.3">
      <c r="A4" t="s">
        <v>96</v>
      </c>
    </row>
    <row r="6" spans="1:2" x14ac:dyDescent="0.3">
      <c r="A6" t="s">
        <v>1200</v>
      </c>
      <c r="B6" s="5">
        <v>1E-3</v>
      </c>
    </row>
    <row r="7" spans="1:2" x14ac:dyDescent="0.3">
      <c r="A7" t="s">
        <v>1201</v>
      </c>
      <c r="B7" s="5">
        <v>-1.4999999999999999E-2</v>
      </c>
    </row>
    <row r="8" spans="1:2" x14ac:dyDescent="0.3">
      <c r="A8" t="s">
        <v>1202</v>
      </c>
      <c r="B8" s="5">
        <v>2.4E-2</v>
      </c>
    </row>
    <row r="9" spans="1:2" x14ac:dyDescent="0.3">
      <c r="A9" t="s">
        <v>1026</v>
      </c>
      <c r="B9" s="5">
        <v>0.02</v>
      </c>
    </row>
    <row r="10" spans="1:2" x14ac:dyDescent="0.3">
      <c r="A10" t="s">
        <v>1027</v>
      </c>
      <c r="B10" s="5">
        <v>1.9E-2</v>
      </c>
    </row>
    <row r="11" spans="1:2" x14ac:dyDescent="0.3">
      <c r="A11" t="s">
        <v>1028</v>
      </c>
      <c r="B11" s="5">
        <v>1.9E-2</v>
      </c>
    </row>
    <row r="12" spans="1:2" x14ac:dyDescent="0.3">
      <c r="B12" s="39"/>
    </row>
    <row r="13" spans="1:2" x14ac:dyDescent="0.3">
      <c r="A13" t="s">
        <v>97</v>
      </c>
      <c r="B13" s="39"/>
    </row>
    <row r="14" spans="1:2" x14ac:dyDescent="0.3">
      <c r="B14" s="39"/>
    </row>
    <row r="15" spans="1:2" x14ac:dyDescent="0.3">
      <c r="A15" t="s">
        <v>1200</v>
      </c>
      <c r="B15" s="5">
        <v>0.17100000000000001</v>
      </c>
    </row>
    <row r="16" spans="1:2" x14ac:dyDescent="0.3">
      <c r="A16" t="s">
        <v>1201</v>
      </c>
      <c r="B16" s="5">
        <v>0.184</v>
      </c>
    </row>
    <row r="17" spans="1:2" x14ac:dyDescent="0.3">
      <c r="A17" t="s">
        <v>1202</v>
      </c>
      <c r="B17" s="5">
        <v>0.19</v>
      </c>
    </row>
    <row r="18" spans="1:2" x14ac:dyDescent="0.3">
      <c r="A18" t="s">
        <v>1026</v>
      </c>
      <c r="B18" s="5">
        <v>0.14099999999999999</v>
      </c>
    </row>
    <row r="19" spans="1:2" x14ac:dyDescent="0.3">
      <c r="A19" t="s">
        <v>1027</v>
      </c>
      <c r="B19" s="5">
        <v>0.18</v>
      </c>
    </row>
    <row r="20" spans="1:2" x14ac:dyDescent="0.3">
      <c r="A20" t="s">
        <v>1028</v>
      </c>
      <c r="B20" s="5">
        <v>0.182</v>
      </c>
    </row>
    <row r="35" spans="1:1" x14ac:dyDescent="0.3">
      <c r="A35" t="s">
        <v>1199</v>
      </c>
    </row>
    <row r="37" spans="1:1" x14ac:dyDescent="0.3">
      <c r="A37" t="s">
        <v>89</v>
      </c>
    </row>
    <row r="40" spans="1:1" x14ac:dyDescent="0.3">
      <c r="A40" t="s">
        <v>1196</v>
      </c>
    </row>
    <row r="42" spans="1:1" x14ac:dyDescent="0.3">
      <c r="A42" t="s">
        <v>1198</v>
      </c>
    </row>
    <row r="43" spans="1:1" x14ac:dyDescent="0.3">
      <c r="A43" t="s">
        <v>1197</v>
      </c>
    </row>
  </sheetData>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3:B6"/>
  <sheetViews>
    <sheetView zoomScale="85" zoomScaleNormal="85" workbookViewId="0">
      <selection activeCell="F8" sqref="F8"/>
    </sheetView>
  </sheetViews>
  <sheetFormatPr defaultRowHeight="14.4" x14ac:dyDescent="0.3"/>
  <sheetData>
    <row r="3" spans="1:2" x14ac:dyDescent="0.3">
      <c r="A3" t="s">
        <v>98</v>
      </c>
    </row>
    <row r="5" spans="1:2" x14ac:dyDescent="0.3">
      <c r="A5">
        <v>2010</v>
      </c>
      <c r="B5" s="30">
        <v>0.18</v>
      </c>
    </row>
    <row r="6" spans="1:2" x14ac:dyDescent="0.3">
      <c r="A6">
        <v>2020</v>
      </c>
      <c r="B6" s="30">
        <v>0.43</v>
      </c>
    </row>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3:C43"/>
  <sheetViews>
    <sheetView topLeftCell="A4" zoomScale="85" zoomScaleNormal="85" workbookViewId="0">
      <selection activeCell="G27" sqref="G27"/>
    </sheetView>
  </sheetViews>
  <sheetFormatPr defaultRowHeight="14.4" x14ac:dyDescent="0.3"/>
  <cols>
    <col min="2" max="2" width="46.6640625" bestFit="1" customWidth="1"/>
    <col min="3" max="3" width="46.88671875" bestFit="1" customWidth="1"/>
  </cols>
  <sheetData>
    <row r="3" spans="1:3" x14ac:dyDescent="0.3">
      <c r="B3" t="s">
        <v>93</v>
      </c>
      <c r="C3" t="s">
        <v>92</v>
      </c>
    </row>
    <row r="4" spans="1:3" x14ac:dyDescent="0.3">
      <c r="A4">
        <v>1995</v>
      </c>
      <c r="B4">
        <v>118</v>
      </c>
      <c r="C4" s="5">
        <v>0.44700000000000001</v>
      </c>
    </row>
    <row r="5" spans="1:3" x14ac:dyDescent="0.3">
      <c r="A5">
        <v>2000</v>
      </c>
      <c r="B5">
        <v>125</v>
      </c>
      <c r="C5" s="5">
        <v>0.45400000000000001</v>
      </c>
    </row>
    <row r="6" spans="1:3" x14ac:dyDescent="0.3">
      <c r="A6">
        <v>2005</v>
      </c>
      <c r="B6">
        <v>133</v>
      </c>
      <c r="C6" s="5">
        <v>0.46200000000000002</v>
      </c>
    </row>
    <row r="7" spans="1:3" x14ac:dyDescent="0.3">
      <c r="A7">
        <v>2010</v>
      </c>
      <c r="B7">
        <v>141</v>
      </c>
      <c r="C7" s="5">
        <v>0.47</v>
      </c>
    </row>
    <row r="8" spans="1:3" x14ac:dyDescent="0.3">
      <c r="A8">
        <v>2015</v>
      </c>
      <c r="B8">
        <v>149</v>
      </c>
      <c r="C8" s="5">
        <v>0.47699999999999998</v>
      </c>
    </row>
    <row r="9" spans="1:3" x14ac:dyDescent="0.3">
      <c r="A9">
        <v>2020</v>
      </c>
      <c r="B9">
        <v>157</v>
      </c>
      <c r="C9" s="5">
        <v>0.48299999999999998</v>
      </c>
    </row>
    <row r="10" spans="1:3" x14ac:dyDescent="0.3">
      <c r="A10">
        <v>2025</v>
      </c>
      <c r="B10">
        <v>164</v>
      </c>
      <c r="C10" s="5">
        <v>0.48799999999999999</v>
      </c>
    </row>
    <row r="11" spans="1:3" x14ac:dyDescent="0.3">
      <c r="A11">
        <v>2030</v>
      </c>
      <c r="B11">
        <v>171</v>
      </c>
      <c r="C11" s="5">
        <v>0.49199999999999999</v>
      </c>
    </row>
    <row r="38" spans="1:1" x14ac:dyDescent="0.3">
      <c r="A38" s="40" t="s">
        <v>94</v>
      </c>
    </row>
    <row r="39" spans="1:1" x14ac:dyDescent="0.3">
      <c r="A39" s="40" t="s">
        <v>95</v>
      </c>
    </row>
    <row r="43" spans="1:1" x14ac:dyDescent="0.3">
      <c r="A43" t="s">
        <v>91</v>
      </c>
    </row>
  </sheetData>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3:D103"/>
  <sheetViews>
    <sheetView topLeftCell="A21" zoomScale="70" zoomScaleNormal="70" workbookViewId="0">
      <selection activeCell="E38" sqref="E38"/>
    </sheetView>
  </sheetViews>
  <sheetFormatPr defaultRowHeight="14.4" x14ac:dyDescent="0.3"/>
  <cols>
    <col min="1" max="1" width="48.6640625" bestFit="1" customWidth="1"/>
    <col min="2" max="2" width="55.109375" bestFit="1" customWidth="1"/>
  </cols>
  <sheetData>
    <row r="3" spans="1:2" x14ac:dyDescent="0.3">
      <c r="A3" s="41" t="s">
        <v>99</v>
      </c>
    </row>
    <row r="5" spans="1:2" x14ac:dyDescent="0.3">
      <c r="A5" s="42"/>
      <c r="B5" s="43" t="s">
        <v>115</v>
      </c>
    </row>
    <row r="6" spans="1:2" x14ac:dyDescent="0.3">
      <c r="A6" s="42" t="s">
        <v>100</v>
      </c>
      <c r="B6" s="44">
        <v>0.73</v>
      </c>
    </row>
    <row r="7" spans="1:2" x14ac:dyDescent="0.3">
      <c r="A7" s="45" t="s">
        <v>101</v>
      </c>
      <c r="B7" s="46">
        <v>0.12</v>
      </c>
    </row>
    <row r="8" spans="1:2" x14ac:dyDescent="0.3">
      <c r="A8" s="42" t="s">
        <v>102</v>
      </c>
      <c r="B8" s="44">
        <v>0.1</v>
      </c>
    </row>
    <row r="9" spans="1:2" x14ac:dyDescent="0.3">
      <c r="A9" s="45" t="s">
        <v>103</v>
      </c>
      <c r="B9" s="46">
        <v>0.02</v>
      </c>
    </row>
    <row r="10" spans="1:2" x14ac:dyDescent="0.3">
      <c r="A10" s="42" t="s">
        <v>104</v>
      </c>
      <c r="B10" s="44">
        <v>0.02</v>
      </c>
    </row>
    <row r="11" spans="1:2" x14ac:dyDescent="0.3">
      <c r="A11" s="45" t="s">
        <v>105</v>
      </c>
      <c r="B11" s="46">
        <v>0.01</v>
      </c>
    </row>
    <row r="12" spans="1:2" x14ac:dyDescent="0.3">
      <c r="A12" s="42" t="s">
        <v>107</v>
      </c>
      <c r="B12" s="44">
        <v>0.01</v>
      </c>
    </row>
    <row r="13" spans="1:2" x14ac:dyDescent="0.3">
      <c r="A13" s="45" t="s">
        <v>106</v>
      </c>
      <c r="B13" s="46">
        <v>1.0000000000000001E-5</v>
      </c>
    </row>
    <row r="16" spans="1:2" x14ac:dyDescent="0.3">
      <c r="A16" t="s">
        <v>114</v>
      </c>
    </row>
    <row r="19" spans="1:2" x14ac:dyDescent="0.3">
      <c r="A19" t="s">
        <v>108</v>
      </c>
    </row>
    <row r="21" spans="1:2" x14ac:dyDescent="0.3">
      <c r="A21" t="s">
        <v>109</v>
      </c>
      <c r="B21" s="5">
        <v>0.55000000000000004</v>
      </c>
    </row>
    <row r="22" spans="1:2" x14ac:dyDescent="0.3">
      <c r="A22" t="s">
        <v>110</v>
      </c>
      <c r="B22" s="5">
        <f>0.16+0.09</f>
        <v>0.25</v>
      </c>
    </row>
    <row r="23" spans="1:2" x14ac:dyDescent="0.3">
      <c r="A23" t="s">
        <v>111</v>
      </c>
      <c r="B23" s="5">
        <v>0.05</v>
      </c>
    </row>
    <row r="24" spans="1:2" x14ac:dyDescent="0.3">
      <c r="A24" t="s">
        <v>112</v>
      </c>
      <c r="B24" s="5">
        <v>7.0000000000000007E-2</v>
      </c>
    </row>
    <row r="25" spans="1:2" x14ac:dyDescent="0.3">
      <c r="A25" t="s">
        <v>113</v>
      </c>
      <c r="B25" s="5">
        <v>0.08</v>
      </c>
    </row>
    <row r="26" spans="1:2" x14ac:dyDescent="0.3">
      <c r="A26" t="s">
        <v>20</v>
      </c>
      <c r="B26" s="39">
        <f>SUM(B21:B25)</f>
        <v>1.0000000000000002</v>
      </c>
    </row>
    <row r="46" spans="1:4" x14ac:dyDescent="0.3">
      <c r="A46" s="47" t="s">
        <v>116</v>
      </c>
      <c r="B46" s="47"/>
      <c r="C46" s="47"/>
      <c r="D46" s="47"/>
    </row>
    <row r="47" spans="1:4" x14ac:dyDescent="0.3">
      <c r="A47" s="42"/>
      <c r="B47" s="42"/>
      <c r="C47" s="47"/>
      <c r="D47" s="47"/>
    </row>
    <row r="48" spans="1:4" x14ac:dyDescent="0.3">
      <c r="A48" s="48" t="s">
        <v>117</v>
      </c>
      <c r="B48" s="48" t="s">
        <v>125</v>
      </c>
      <c r="C48" s="47"/>
      <c r="D48" s="47"/>
    </row>
    <row r="49" spans="1:4" x14ac:dyDescent="0.3">
      <c r="A49" s="42" t="s">
        <v>128</v>
      </c>
      <c r="B49" s="42" t="s">
        <v>48</v>
      </c>
      <c r="C49" s="47"/>
      <c r="D49" s="47"/>
    </row>
    <row r="50" spans="1:4" x14ac:dyDescent="0.3">
      <c r="A50" s="42" t="s">
        <v>118</v>
      </c>
      <c r="B50" s="42" t="s">
        <v>8</v>
      </c>
      <c r="C50" s="47"/>
      <c r="D50" s="47"/>
    </row>
    <row r="51" spans="1:4" x14ac:dyDescent="0.3">
      <c r="A51" s="42" t="s">
        <v>119</v>
      </c>
      <c r="B51" s="42" t="s">
        <v>126</v>
      </c>
      <c r="C51" s="47"/>
      <c r="D51" s="47"/>
    </row>
    <row r="52" spans="1:4" x14ac:dyDescent="0.3">
      <c r="A52" s="42" t="s">
        <v>120</v>
      </c>
      <c r="B52" s="42" t="s">
        <v>123</v>
      </c>
      <c r="C52" s="47"/>
      <c r="D52" s="47"/>
    </row>
    <row r="53" spans="1:4" x14ac:dyDescent="0.3">
      <c r="A53" s="42" t="s">
        <v>121</v>
      </c>
      <c r="B53" s="42" t="s">
        <v>124</v>
      </c>
      <c r="C53" s="47"/>
      <c r="D53" s="47"/>
    </row>
    <row r="54" spans="1:4" x14ac:dyDescent="0.3">
      <c r="A54" s="42" t="s">
        <v>122</v>
      </c>
      <c r="B54" s="42" t="s">
        <v>13</v>
      </c>
      <c r="C54" s="47"/>
      <c r="D54" s="47"/>
    </row>
    <row r="55" spans="1:4" x14ac:dyDescent="0.3">
      <c r="A55" s="49" t="s">
        <v>127</v>
      </c>
      <c r="B55" s="42"/>
      <c r="C55" s="47"/>
      <c r="D55" s="47"/>
    </row>
    <row r="56" spans="1:4" x14ac:dyDescent="0.3">
      <c r="A56" s="42"/>
      <c r="B56" s="42"/>
      <c r="C56" s="47"/>
      <c r="D56" s="47"/>
    </row>
    <row r="58" spans="1:4" x14ac:dyDescent="0.3">
      <c r="A58" t="s">
        <v>157</v>
      </c>
    </row>
    <row r="59" spans="1:4" x14ac:dyDescent="0.3">
      <c r="A59" s="47" t="s">
        <v>129</v>
      </c>
      <c r="B59" s="47"/>
    </row>
    <row r="60" spans="1:4" x14ac:dyDescent="0.3">
      <c r="A60" s="47"/>
      <c r="B60" s="47"/>
    </row>
    <row r="61" spans="1:4" x14ac:dyDescent="0.3">
      <c r="A61" s="50" t="s">
        <v>130</v>
      </c>
      <c r="B61" s="50" t="s">
        <v>131</v>
      </c>
    </row>
    <row r="62" spans="1:4" x14ac:dyDescent="0.3">
      <c r="A62" s="42" t="s">
        <v>132</v>
      </c>
      <c r="B62" s="51">
        <v>1</v>
      </c>
    </row>
    <row r="63" spans="1:4" x14ac:dyDescent="0.3">
      <c r="A63" s="42" t="s">
        <v>133</v>
      </c>
      <c r="B63" s="51">
        <v>1</v>
      </c>
    </row>
    <row r="64" spans="1:4" x14ac:dyDescent="0.3">
      <c r="A64" s="42" t="s">
        <v>134</v>
      </c>
      <c r="B64" s="51">
        <v>1</v>
      </c>
    </row>
    <row r="65" spans="1:2" x14ac:dyDescent="0.3">
      <c r="A65" s="42" t="s">
        <v>135</v>
      </c>
      <c r="B65" s="51">
        <v>0.75</v>
      </c>
    </row>
    <row r="66" spans="1:2" x14ac:dyDescent="0.3">
      <c r="A66" s="42" t="s">
        <v>136</v>
      </c>
      <c r="B66" s="51">
        <v>0.75</v>
      </c>
    </row>
    <row r="67" spans="1:2" x14ac:dyDescent="0.3">
      <c r="A67" s="42" t="s">
        <v>137</v>
      </c>
      <c r="B67" s="51">
        <v>0.75</v>
      </c>
    </row>
    <row r="68" spans="1:2" x14ac:dyDescent="0.3">
      <c r="A68" s="42" t="s">
        <v>138</v>
      </c>
      <c r="B68" s="51">
        <v>0.5</v>
      </c>
    </row>
    <row r="69" spans="1:2" x14ac:dyDescent="0.3">
      <c r="A69" s="42" t="s">
        <v>139</v>
      </c>
      <c r="B69" s="51">
        <v>0.5</v>
      </c>
    </row>
    <row r="70" spans="1:2" x14ac:dyDescent="0.3">
      <c r="A70" s="42" t="s">
        <v>140</v>
      </c>
      <c r="B70" s="51">
        <v>0.5</v>
      </c>
    </row>
    <row r="71" spans="1:2" x14ac:dyDescent="0.3">
      <c r="A71" s="42" t="s">
        <v>141</v>
      </c>
      <c r="B71" s="51">
        <v>0.5</v>
      </c>
    </row>
    <row r="72" spans="1:2" x14ac:dyDescent="0.3">
      <c r="A72" s="42" t="s">
        <v>142</v>
      </c>
      <c r="B72" s="51">
        <v>0.5</v>
      </c>
    </row>
    <row r="73" spans="1:2" x14ac:dyDescent="0.3">
      <c r="A73" s="42" t="s">
        <v>143</v>
      </c>
      <c r="B73" s="51">
        <v>0.25</v>
      </c>
    </row>
    <row r="74" spans="1:2" x14ac:dyDescent="0.3">
      <c r="A74" s="42" t="s">
        <v>144</v>
      </c>
      <c r="B74" s="51">
        <v>0.25</v>
      </c>
    </row>
    <row r="75" spans="1:2" x14ac:dyDescent="0.3">
      <c r="A75" s="42" t="s">
        <v>145</v>
      </c>
      <c r="B75" s="51">
        <v>0.25</v>
      </c>
    </row>
    <row r="76" spans="1:2" x14ac:dyDescent="0.3">
      <c r="A76" s="42" t="s">
        <v>146</v>
      </c>
      <c r="B76" s="51">
        <v>0.25</v>
      </c>
    </row>
    <row r="77" spans="1:2" x14ac:dyDescent="0.3">
      <c r="A77" s="42" t="s">
        <v>147</v>
      </c>
      <c r="B77" s="51">
        <v>0.25</v>
      </c>
    </row>
    <row r="78" spans="1:2" x14ac:dyDescent="0.3">
      <c r="A78" s="42" t="s">
        <v>148</v>
      </c>
      <c r="B78" s="51">
        <v>0.25</v>
      </c>
    </row>
    <row r="79" spans="1:2" x14ac:dyDescent="0.3">
      <c r="A79" s="47"/>
      <c r="B79" s="47"/>
    </row>
    <row r="80" spans="1:2" x14ac:dyDescent="0.3">
      <c r="A80" s="47"/>
      <c r="B80" s="47"/>
    </row>
    <row r="81" spans="1:2" x14ac:dyDescent="0.3">
      <c r="A81" s="47"/>
      <c r="B81" s="47"/>
    </row>
    <row r="82" spans="1:2" x14ac:dyDescent="0.3">
      <c r="A82" s="47"/>
      <c r="B82" s="47"/>
    </row>
    <row r="83" spans="1:2" x14ac:dyDescent="0.3">
      <c r="A83" s="47"/>
      <c r="B83" s="47"/>
    </row>
    <row r="84" spans="1:2" x14ac:dyDescent="0.3">
      <c r="A84" s="47"/>
      <c r="B84" s="47"/>
    </row>
    <row r="85" spans="1:2" x14ac:dyDescent="0.3">
      <c r="A85" s="47"/>
      <c r="B85" s="47"/>
    </row>
    <row r="86" spans="1:2" x14ac:dyDescent="0.3">
      <c r="A86" s="47"/>
      <c r="B86" s="47"/>
    </row>
    <row r="87" spans="1:2" x14ac:dyDescent="0.3">
      <c r="A87" s="47"/>
      <c r="B87" s="47"/>
    </row>
    <row r="88" spans="1:2" x14ac:dyDescent="0.3">
      <c r="A88" s="47"/>
      <c r="B88" s="47"/>
    </row>
    <row r="89" spans="1:2" x14ac:dyDescent="0.3">
      <c r="A89" s="47"/>
      <c r="B89" s="47"/>
    </row>
    <row r="90" spans="1:2" x14ac:dyDescent="0.3">
      <c r="A90" s="47"/>
      <c r="B90" s="47"/>
    </row>
    <row r="91" spans="1:2" x14ac:dyDescent="0.3">
      <c r="A91" s="47"/>
      <c r="B91" s="47"/>
    </row>
    <row r="92" spans="1:2" x14ac:dyDescent="0.3">
      <c r="A92" s="47"/>
      <c r="B92" s="47"/>
    </row>
    <row r="93" spans="1:2" x14ac:dyDescent="0.3">
      <c r="A93" s="47"/>
      <c r="B93" s="47"/>
    </row>
    <row r="94" spans="1:2" x14ac:dyDescent="0.3">
      <c r="A94" s="47"/>
      <c r="B94" s="47"/>
    </row>
    <row r="95" spans="1:2" x14ac:dyDescent="0.3">
      <c r="A95" s="47"/>
      <c r="B95" s="47"/>
    </row>
    <row r="96" spans="1:2" x14ac:dyDescent="0.3">
      <c r="A96" s="47"/>
      <c r="B96" s="47"/>
    </row>
    <row r="97" spans="1:2" x14ac:dyDescent="0.3">
      <c r="A97" s="47"/>
      <c r="B97" s="47"/>
    </row>
    <row r="98" spans="1:2" x14ac:dyDescent="0.3">
      <c r="A98" s="47"/>
      <c r="B98" s="47"/>
    </row>
    <row r="99" spans="1:2" x14ac:dyDescent="0.3">
      <c r="A99" s="47"/>
      <c r="B99" s="47"/>
    </row>
    <row r="100" spans="1:2" x14ac:dyDescent="0.3">
      <c r="A100" s="47"/>
      <c r="B100" s="47"/>
    </row>
    <row r="101" spans="1:2" x14ac:dyDescent="0.3">
      <c r="A101" s="47"/>
      <c r="B101" s="47"/>
    </row>
    <row r="102" spans="1:2" x14ac:dyDescent="0.3">
      <c r="A102" s="47"/>
      <c r="B102" s="47"/>
    </row>
    <row r="103" spans="1:2" x14ac:dyDescent="0.3">
      <c r="A103" s="47"/>
      <c r="B103" s="47"/>
    </row>
  </sheetData>
  <pageMargins left="0.7" right="0.7" top="0.75" bottom="0.75" header="0.3" footer="0.3"/>
  <pageSetup orientation="portrait"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3:B34"/>
  <sheetViews>
    <sheetView zoomScale="85" zoomScaleNormal="85" workbookViewId="0">
      <selection activeCell="B38" sqref="B38"/>
    </sheetView>
  </sheetViews>
  <sheetFormatPr defaultRowHeight="14.4" x14ac:dyDescent="0.3"/>
  <cols>
    <col min="1" max="1" width="38.5546875" customWidth="1"/>
  </cols>
  <sheetData>
    <row r="3" spans="1:2" x14ac:dyDescent="0.3">
      <c r="A3" t="s">
        <v>149</v>
      </c>
    </row>
    <row r="6" spans="1:2" x14ac:dyDescent="0.3">
      <c r="A6" t="s">
        <v>151</v>
      </c>
      <c r="B6" s="5">
        <v>0.22700000000000001</v>
      </c>
    </row>
    <row r="7" spans="1:2" x14ac:dyDescent="0.3">
      <c r="A7" t="s">
        <v>152</v>
      </c>
      <c r="B7" s="5">
        <f>0.196+0.109</f>
        <v>0.30499999999999999</v>
      </c>
    </row>
    <row r="8" spans="1:2" x14ac:dyDescent="0.3">
      <c r="A8" t="s">
        <v>153</v>
      </c>
      <c r="B8" s="5">
        <f>0.081+0.023</f>
        <v>0.10400000000000001</v>
      </c>
    </row>
    <row r="9" spans="1:2" x14ac:dyDescent="0.3">
      <c r="A9" t="s">
        <v>154</v>
      </c>
      <c r="B9" s="5">
        <v>1.6E-2</v>
      </c>
    </row>
    <row r="10" spans="1:2" x14ac:dyDescent="0.3">
      <c r="A10" t="s">
        <v>155</v>
      </c>
      <c r="B10" s="5">
        <v>1.6E-2</v>
      </c>
    </row>
    <row r="11" spans="1:2" x14ac:dyDescent="0.3">
      <c r="A11" t="s">
        <v>156</v>
      </c>
      <c r="B11" s="5">
        <v>0.33200000000000002</v>
      </c>
    </row>
    <row r="12" spans="1:2" x14ac:dyDescent="0.3">
      <c r="A12" t="s">
        <v>20</v>
      </c>
      <c r="B12" s="39">
        <f>SUM(B6:B11)</f>
        <v>1</v>
      </c>
    </row>
    <row r="30" spans="1:1" x14ac:dyDescent="0.3">
      <c r="A30" t="s">
        <v>150</v>
      </c>
    </row>
    <row r="34" spans="1:1" x14ac:dyDescent="0.3">
      <c r="A34" t="s">
        <v>1508</v>
      </c>
    </row>
  </sheetData>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3:D7"/>
  <sheetViews>
    <sheetView zoomScale="85" zoomScaleNormal="85" workbookViewId="0">
      <selection activeCell="A40" sqref="A40"/>
    </sheetView>
  </sheetViews>
  <sheetFormatPr defaultRowHeight="14.4" x14ac:dyDescent="0.3"/>
  <cols>
    <col min="1" max="1" width="20.33203125" customWidth="1"/>
  </cols>
  <sheetData>
    <row r="3" spans="1:4" x14ac:dyDescent="0.3">
      <c r="A3" t="s">
        <v>158</v>
      </c>
    </row>
    <row r="5" spans="1:4" x14ac:dyDescent="0.3">
      <c r="B5">
        <v>2008</v>
      </c>
      <c r="C5">
        <v>2009</v>
      </c>
      <c r="D5">
        <v>2010</v>
      </c>
    </row>
    <row r="6" spans="1:4" x14ac:dyDescent="0.3">
      <c r="A6" t="s">
        <v>159</v>
      </c>
      <c r="B6" s="30">
        <v>0.65</v>
      </c>
      <c r="C6" s="30">
        <v>0.8</v>
      </c>
      <c r="D6" s="30">
        <v>0.98</v>
      </c>
    </row>
    <row r="7" spans="1:4" x14ac:dyDescent="0.3">
      <c r="A7" t="s">
        <v>160</v>
      </c>
      <c r="B7" s="30">
        <v>0.28999999999999998</v>
      </c>
      <c r="C7" s="30">
        <v>0.64</v>
      </c>
      <c r="D7" s="30">
        <v>0.75</v>
      </c>
    </row>
  </sheetData>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K35"/>
  <sheetViews>
    <sheetView zoomScale="55" zoomScaleNormal="55" workbookViewId="0">
      <selection activeCell="E21" sqref="E21"/>
    </sheetView>
  </sheetViews>
  <sheetFormatPr defaultColWidth="9.109375" defaultRowHeight="14.4" x14ac:dyDescent="0.3"/>
  <cols>
    <col min="1" max="1" width="30.6640625" style="179" customWidth="1"/>
    <col min="2" max="2" width="36" style="179" bestFit="1" customWidth="1"/>
    <col min="3" max="3" width="13.109375" style="179" customWidth="1"/>
    <col min="4" max="4" width="12.44140625" style="178" hidden="1" customWidth="1"/>
    <col min="5" max="16384" width="9.109375" style="177"/>
  </cols>
  <sheetData>
    <row r="1" spans="1:11" x14ac:dyDescent="0.3">
      <c r="A1" s="207" t="s">
        <v>1107</v>
      </c>
      <c r="B1" s="206"/>
      <c r="C1" s="205"/>
      <c r="D1" s="204"/>
    </row>
    <row r="2" spans="1:11" x14ac:dyDescent="0.3">
      <c r="A2" s="206"/>
      <c r="B2" s="206"/>
      <c r="C2" s="205"/>
      <c r="D2" s="204"/>
    </row>
    <row r="3" spans="1:11" ht="21.75" customHeight="1" x14ac:dyDescent="0.3">
      <c r="A3" s="203" t="s">
        <v>172</v>
      </c>
      <c r="B3" s="203" t="s">
        <v>1106</v>
      </c>
      <c r="C3" s="202" t="s">
        <v>1105</v>
      </c>
      <c r="D3" s="199" t="s">
        <v>1104</v>
      </c>
    </row>
    <row r="4" spans="1:11" s="200" customFormat="1" x14ac:dyDescent="0.3">
      <c r="A4" s="192" t="s">
        <v>1077</v>
      </c>
      <c r="B4" s="198" t="s">
        <v>1159</v>
      </c>
      <c r="C4" s="197" t="s">
        <v>905</v>
      </c>
      <c r="D4" s="201"/>
    </row>
    <row r="5" spans="1:11" s="200" customFormat="1" x14ac:dyDescent="0.3">
      <c r="A5" s="192" t="s">
        <v>1100</v>
      </c>
      <c r="B5" s="198" t="s">
        <v>1103</v>
      </c>
      <c r="C5" s="197" t="s">
        <v>900</v>
      </c>
      <c r="D5" s="201"/>
    </row>
    <row r="6" spans="1:11" x14ac:dyDescent="0.3">
      <c r="A6" s="192" t="s">
        <v>1077</v>
      </c>
      <c r="B6" s="198" t="s">
        <v>1102</v>
      </c>
      <c r="C6" s="197" t="s">
        <v>892</v>
      </c>
      <c r="D6" s="199"/>
    </row>
    <row r="7" spans="1:11" x14ac:dyDescent="0.3">
      <c r="A7" s="192" t="s">
        <v>1077</v>
      </c>
      <c r="B7" s="198" t="s">
        <v>1101</v>
      </c>
      <c r="C7" s="197" t="s">
        <v>892</v>
      </c>
      <c r="D7" s="199"/>
    </row>
    <row r="8" spans="1:11" x14ac:dyDescent="0.3">
      <c r="A8" s="192" t="s">
        <v>1100</v>
      </c>
      <c r="B8" s="198" t="s">
        <v>1099</v>
      </c>
      <c r="C8" s="197" t="s">
        <v>991</v>
      </c>
      <c r="D8" s="199"/>
    </row>
    <row r="9" spans="1:11" x14ac:dyDescent="0.3">
      <c r="A9" s="192" t="s">
        <v>1077</v>
      </c>
      <c r="B9" s="198" t="s">
        <v>1098</v>
      </c>
      <c r="C9" s="197" t="s">
        <v>991</v>
      </c>
      <c r="D9" s="196">
        <v>348</v>
      </c>
      <c r="E9" s="189"/>
      <c r="F9" s="189"/>
      <c r="G9" s="189"/>
      <c r="H9" s="189"/>
      <c r="I9" s="189"/>
      <c r="J9" s="189"/>
      <c r="K9" s="189"/>
    </row>
    <row r="10" spans="1:11" x14ac:dyDescent="0.3">
      <c r="A10" s="193" t="s">
        <v>1097</v>
      </c>
      <c r="B10" s="193" t="s">
        <v>1096</v>
      </c>
      <c r="C10" s="190" t="s">
        <v>853</v>
      </c>
      <c r="D10" s="196">
        <v>36</v>
      </c>
      <c r="E10" s="189"/>
      <c r="F10" s="189"/>
      <c r="G10" s="189"/>
      <c r="H10" s="189"/>
      <c r="I10" s="189"/>
      <c r="J10" s="189"/>
      <c r="K10" s="189"/>
    </row>
    <row r="11" spans="1:11" ht="18" customHeight="1" x14ac:dyDescent="0.3">
      <c r="A11" s="192" t="s">
        <v>1093</v>
      </c>
      <c r="B11" s="191" t="s">
        <v>1095</v>
      </c>
      <c r="C11" s="190" t="s">
        <v>853</v>
      </c>
      <c r="D11" s="196">
        <v>70.599999999999994</v>
      </c>
      <c r="E11" s="189"/>
      <c r="F11" s="189"/>
      <c r="G11" s="189"/>
      <c r="H11" s="189"/>
      <c r="I11" s="189"/>
      <c r="J11" s="189"/>
      <c r="K11" s="189"/>
    </row>
    <row r="12" spans="1:11" x14ac:dyDescent="0.3">
      <c r="A12" s="192" t="s">
        <v>1077</v>
      </c>
      <c r="B12" s="191" t="s">
        <v>1094</v>
      </c>
      <c r="C12" s="190" t="s">
        <v>853</v>
      </c>
      <c r="D12" s="194"/>
      <c r="E12" s="189"/>
      <c r="F12" s="189"/>
      <c r="G12" s="189"/>
      <c r="H12" s="189"/>
      <c r="I12" s="189"/>
      <c r="J12" s="189"/>
      <c r="K12" s="189"/>
    </row>
    <row r="13" spans="1:11" x14ac:dyDescent="0.3">
      <c r="A13" s="192" t="s">
        <v>1093</v>
      </c>
      <c r="B13" s="191" t="s">
        <v>1092</v>
      </c>
      <c r="C13" s="190" t="s">
        <v>1090</v>
      </c>
      <c r="D13" s="194" t="s">
        <v>1085</v>
      </c>
      <c r="E13" s="189"/>
      <c r="F13" s="189"/>
      <c r="G13" s="189"/>
      <c r="H13" s="189"/>
      <c r="I13" s="189"/>
      <c r="J13" s="189"/>
      <c r="K13" s="189"/>
    </row>
    <row r="14" spans="1:11" ht="27" x14ac:dyDescent="0.3">
      <c r="A14" s="192" t="s">
        <v>1077</v>
      </c>
      <c r="B14" s="195" t="s">
        <v>1091</v>
      </c>
      <c r="C14" s="190" t="s">
        <v>1090</v>
      </c>
      <c r="D14" s="177"/>
      <c r="E14" s="189"/>
      <c r="F14" s="189"/>
      <c r="G14" s="189"/>
      <c r="H14" s="189"/>
      <c r="I14" s="189"/>
      <c r="J14" s="189"/>
      <c r="K14" s="189"/>
    </row>
    <row r="15" spans="1:11" x14ac:dyDescent="0.3">
      <c r="A15" s="192" t="s">
        <v>1077</v>
      </c>
      <c r="B15" s="192" t="s">
        <v>1089</v>
      </c>
      <c r="C15" s="190" t="s">
        <v>836</v>
      </c>
      <c r="D15" s="177"/>
      <c r="E15" s="189"/>
      <c r="F15" s="189"/>
      <c r="G15" s="189"/>
      <c r="H15" s="189"/>
      <c r="I15" s="189"/>
      <c r="J15" s="189"/>
      <c r="K15" s="189"/>
    </row>
    <row r="16" spans="1:11" x14ac:dyDescent="0.3">
      <c r="A16" s="192" t="s">
        <v>1077</v>
      </c>
      <c r="B16" s="192" t="s">
        <v>1088</v>
      </c>
      <c r="C16" s="190" t="s">
        <v>836</v>
      </c>
      <c r="D16" s="177"/>
      <c r="E16" s="189"/>
      <c r="F16" s="189"/>
      <c r="G16" s="189"/>
      <c r="H16" s="189"/>
      <c r="I16" s="189"/>
      <c r="J16" s="189"/>
      <c r="K16" s="189"/>
    </row>
    <row r="17" spans="1:11" x14ac:dyDescent="0.3">
      <c r="A17" s="192" t="s">
        <v>1077</v>
      </c>
      <c r="B17" s="191" t="s">
        <v>1087</v>
      </c>
      <c r="C17" s="190" t="s">
        <v>836</v>
      </c>
      <c r="D17" s="177"/>
      <c r="E17" s="183"/>
      <c r="F17" s="189"/>
      <c r="G17" s="189"/>
      <c r="H17" s="189"/>
      <c r="I17" s="189"/>
      <c r="J17" s="189"/>
      <c r="K17" s="189"/>
    </row>
    <row r="18" spans="1:11" ht="27" x14ac:dyDescent="0.3">
      <c r="A18" s="192" t="s">
        <v>1077</v>
      </c>
      <c r="B18" s="191" t="s">
        <v>1086</v>
      </c>
      <c r="C18" s="190" t="s">
        <v>836</v>
      </c>
      <c r="D18" s="194" t="s">
        <v>1085</v>
      </c>
      <c r="E18" s="183"/>
      <c r="F18" s="189"/>
      <c r="G18" s="189"/>
      <c r="H18" s="189"/>
      <c r="I18" s="189"/>
      <c r="J18" s="189"/>
      <c r="K18" s="189"/>
    </row>
    <row r="19" spans="1:11" x14ac:dyDescent="0.3">
      <c r="A19" s="192" t="s">
        <v>1084</v>
      </c>
      <c r="B19" s="191" t="s">
        <v>1083</v>
      </c>
      <c r="C19" s="190" t="s">
        <v>818</v>
      </c>
      <c r="D19" s="194" t="s">
        <v>1075</v>
      </c>
      <c r="E19" s="183"/>
      <c r="F19" s="189"/>
      <c r="G19" s="189"/>
      <c r="H19" s="189"/>
      <c r="I19" s="189"/>
      <c r="J19" s="189"/>
      <c r="K19" s="189"/>
    </row>
    <row r="20" spans="1:11" x14ac:dyDescent="0.3">
      <c r="A20" s="192" t="s">
        <v>1077</v>
      </c>
      <c r="B20" s="191" t="s">
        <v>1082</v>
      </c>
      <c r="C20" s="190" t="s">
        <v>818</v>
      </c>
      <c r="D20" s="194" t="s">
        <v>1075</v>
      </c>
      <c r="E20" s="183"/>
      <c r="F20" s="189"/>
      <c r="G20" s="189"/>
      <c r="H20" s="189"/>
      <c r="I20" s="189"/>
      <c r="J20" s="189"/>
      <c r="K20" s="189"/>
    </row>
    <row r="21" spans="1:11" x14ac:dyDescent="0.3">
      <c r="A21" s="193" t="s">
        <v>1081</v>
      </c>
      <c r="B21" s="193" t="s">
        <v>1080</v>
      </c>
      <c r="C21" s="190" t="s">
        <v>818</v>
      </c>
      <c r="D21" s="185" t="s">
        <v>1075</v>
      </c>
      <c r="E21" s="189"/>
      <c r="F21" s="189"/>
      <c r="G21" s="189"/>
      <c r="H21" s="189"/>
      <c r="I21" s="189"/>
      <c r="J21" s="189"/>
      <c r="K21" s="189"/>
    </row>
    <row r="22" spans="1:11" x14ac:dyDescent="0.3">
      <c r="A22" s="192" t="s">
        <v>1079</v>
      </c>
      <c r="B22" s="192" t="s">
        <v>1078</v>
      </c>
      <c r="C22" s="190" t="s">
        <v>818</v>
      </c>
      <c r="D22" s="185" t="s">
        <v>1075</v>
      </c>
      <c r="E22" s="189"/>
      <c r="F22" s="189"/>
      <c r="G22" s="189"/>
      <c r="H22" s="189"/>
      <c r="I22" s="189"/>
      <c r="J22" s="189"/>
      <c r="K22" s="189"/>
    </row>
    <row r="23" spans="1:11" ht="33" customHeight="1" x14ac:dyDescent="0.3">
      <c r="A23" s="192" t="s">
        <v>1077</v>
      </c>
      <c r="B23" s="191" t="s">
        <v>1076</v>
      </c>
      <c r="C23" s="190" t="s">
        <v>818</v>
      </c>
      <c r="D23" s="185" t="s">
        <v>1075</v>
      </c>
      <c r="E23" s="189"/>
      <c r="F23" s="189"/>
      <c r="G23" s="189"/>
      <c r="H23" s="189"/>
      <c r="I23" s="189"/>
      <c r="J23" s="189"/>
      <c r="K23" s="189"/>
    </row>
    <row r="24" spans="1:11" x14ac:dyDescent="0.3">
      <c r="A24" s="177"/>
      <c r="B24" s="177"/>
      <c r="C24" s="177"/>
      <c r="D24" s="185" t="s">
        <v>1075</v>
      </c>
      <c r="E24" s="189"/>
      <c r="F24" s="189"/>
      <c r="G24" s="189"/>
      <c r="H24" s="189"/>
      <c r="I24" s="189"/>
      <c r="J24" s="189"/>
      <c r="K24" s="189"/>
    </row>
    <row r="25" spans="1:11" x14ac:dyDescent="0.3">
      <c r="A25" s="177"/>
      <c r="B25" s="177"/>
      <c r="C25" s="177"/>
      <c r="D25" s="183"/>
      <c r="E25" s="189"/>
      <c r="F25" s="189"/>
      <c r="G25" s="189"/>
      <c r="H25" s="189"/>
      <c r="I25" s="189"/>
      <c r="J25" s="189"/>
      <c r="K25" s="189"/>
    </row>
    <row r="26" spans="1:11" ht="15" customHeight="1" x14ac:dyDescent="0.3">
      <c r="A26" s="177"/>
      <c r="B26" s="177"/>
      <c r="C26" s="177"/>
      <c r="E26" s="189"/>
      <c r="F26" s="189"/>
      <c r="G26" s="189"/>
      <c r="H26" s="189"/>
      <c r="I26" s="189"/>
      <c r="J26" s="189"/>
      <c r="K26" s="189"/>
    </row>
    <row r="27" spans="1:11" x14ac:dyDescent="0.3">
      <c r="A27" s="177"/>
      <c r="B27" s="177"/>
      <c r="C27" s="177"/>
      <c r="E27" s="189"/>
      <c r="F27" s="189"/>
      <c r="G27" s="189"/>
      <c r="H27" s="189"/>
      <c r="I27" s="189"/>
      <c r="J27" s="189"/>
      <c r="K27" s="189"/>
    </row>
    <row r="28" spans="1:11" x14ac:dyDescent="0.3">
      <c r="E28" s="189"/>
      <c r="F28" s="189"/>
      <c r="G28" s="189"/>
      <c r="H28" s="189"/>
      <c r="I28" s="189"/>
      <c r="J28" s="189"/>
      <c r="K28" s="189"/>
    </row>
    <row r="29" spans="1:11" x14ac:dyDescent="0.3">
      <c r="A29" s="185" t="s">
        <v>1074</v>
      </c>
      <c r="B29" s="185"/>
      <c r="C29" s="184"/>
      <c r="D29" s="183"/>
      <c r="E29" s="180"/>
      <c r="F29" s="180"/>
      <c r="G29" s="180"/>
      <c r="H29" s="180"/>
      <c r="I29" s="180"/>
      <c r="J29" s="180"/>
      <c r="K29" s="180"/>
    </row>
    <row r="30" spans="1:11" ht="66.599999999999994" x14ac:dyDescent="0.3">
      <c r="A30" s="188" t="s">
        <v>1073</v>
      </c>
      <c r="B30" s="188"/>
      <c r="C30" s="188"/>
      <c r="D30" s="188"/>
      <c r="E30" s="180"/>
      <c r="F30" s="180"/>
      <c r="G30" s="180"/>
      <c r="H30" s="180"/>
      <c r="I30" s="180"/>
      <c r="J30" s="180"/>
      <c r="K30" s="180"/>
    </row>
    <row r="31" spans="1:11" x14ac:dyDescent="0.3">
      <c r="A31" s="185" t="s">
        <v>1072</v>
      </c>
      <c r="B31" s="185"/>
      <c r="C31" s="184"/>
      <c r="D31" s="183"/>
      <c r="E31" s="180"/>
      <c r="F31" s="180"/>
      <c r="G31" s="180"/>
      <c r="H31" s="180"/>
      <c r="I31" s="180"/>
      <c r="J31" s="180"/>
      <c r="K31" s="180"/>
    </row>
    <row r="32" spans="1:11" x14ac:dyDescent="0.3">
      <c r="A32" s="187"/>
      <c r="B32" s="185"/>
      <c r="C32" s="184"/>
      <c r="D32" s="183"/>
      <c r="E32" s="180"/>
      <c r="F32" s="180"/>
      <c r="G32" s="180"/>
      <c r="H32" s="180"/>
      <c r="I32" s="180"/>
      <c r="J32" s="180"/>
      <c r="K32" s="180"/>
    </row>
    <row r="33" spans="1:11" x14ac:dyDescent="0.3">
      <c r="A33" s="186" t="s">
        <v>1071</v>
      </c>
      <c r="B33" s="185"/>
      <c r="C33" s="184"/>
      <c r="D33" s="183"/>
      <c r="E33" s="180"/>
      <c r="F33" s="180"/>
      <c r="G33" s="180"/>
      <c r="H33" s="180"/>
      <c r="I33" s="180"/>
      <c r="J33" s="180"/>
      <c r="K33" s="180"/>
    </row>
    <row r="34" spans="1:11" x14ac:dyDescent="0.3">
      <c r="A34" s="182"/>
      <c r="B34" s="182"/>
      <c r="C34" s="182"/>
      <c r="D34" s="181"/>
      <c r="E34" s="180"/>
      <c r="F34" s="180"/>
      <c r="G34" s="180"/>
      <c r="H34" s="180"/>
      <c r="I34" s="180"/>
      <c r="J34" s="180"/>
      <c r="K34" s="180"/>
    </row>
    <row r="35" spans="1:11" x14ac:dyDescent="0.3">
      <c r="A35" s="182"/>
      <c r="B35" s="182"/>
      <c r="C35" s="182"/>
      <c r="D35" s="181"/>
      <c r="E35" s="180"/>
      <c r="F35" s="180"/>
      <c r="G35" s="180"/>
      <c r="H35" s="180"/>
      <c r="I35" s="180"/>
      <c r="J35" s="180"/>
      <c r="K35" s="180"/>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pageSetUpPr fitToPage="1"/>
  </sheetPr>
  <dimension ref="A1:L38"/>
  <sheetViews>
    <sheetView zoomScale="70" zoomScaleNormal="70" workbookViewId="0">
      <selection activeCell="A4" sqref="A4:D14"/>
    </sheetView>
  </sheetViews>
  <sheetFormatPr defaultColWidth="9.109375" defaultRowHeight="14.4" x14ac:dyDescent="0.3"/>
  <cols>
    <col min="1" max="1" width="40" style="208" customWidth="1"/>
    <col min="2" max="2" width="16" style="208" customWidth="1"/>
    <col min="3" max="3" width="15.5546875" style="208" customWidth="1"/>
    <col min="4" max="4" width="14.6640625" style="208" customWidth="1"/>
    <col min="5" max="5" width="22.88671875" style="208" customWidth="1"/>
    <col min="6" max="6" width="13" style="208" customWidth="1"/>
    <col min="7" max="7" width="13.33203125" style="208" customWidth="1"/>
    <col min="8" max="8" width="24.6640625" style="208" customWidth="1"/>
    <col min="9" max="9" width="9.109375" style="208" customWidth="1"/>
    <col min="10" max="10" width="14.88671875" style="208" customWidth="1"/>
    <col min="11" max="16384" width="9.109375" style="208"/>
  </cols>
  <sheetData>
    <row r="1" spans="1:12" x14ac:dyDescent="0.3">
      <c r="A1" s="260" t="s">
        <v>1134</v>
      </c>
      <c r="B1" s="245"/>
      <c r="C1" s="245"/>
      <c r="D1" s="245"/>
      <c r="E1" s="245"/>
      <c r="F1" s="245"/>
      <c r="G1" s="245"/>
      <c r="H1" s="245"/>
      <c r="I1" s="245"/>
      <c r="J1" s="245"/>
    </row>
    <row r="2" spans="1:12" x14ac:dyDescent="0.3">
      <c r="A2" s="245"/>
      <c r="B2" s="259"/>
      <c r="C2" s="259"/>
      <c r="D2" s="259"/>
      <c r="E2" s="259"/>
      <c r="F2" s="259"/>
      <c r="G2" s="259"/>
      <c r="H2" s="258"/>
      <c r="I2" s="258"/>
      <c r="J2" s="245"/>
    </row>
    <row r="3" spans="1:12" x14ac:dyDescent="0.3">
      <c r="A3" s="257"/>
      <c r="B3" s="371">
        <v>2013</v>
      </c>
      <c r="C3" s="371"/>
      <c r="D3" s="371"/>
      <c r="F3" s="339">
        <v>2009</v>
      </c>
      <c r="G3" s="339"/>
      <c r="H3" s="339"/>
      <c r="I3" s="246"/>
      <c r="J3" s="246"/>
    </row>
    <row r="4" spans="1:12" ht="30" customHeight="1" x14ac:dyDescent="0.3">
      <c r="A4" s="256"/>
      <c r="B4" s="255" t="s">
        <v>1132</v>
      </c>
      <c r="C4" s="254" t="s">
        <v>1133</v>
      </c>
      <c r="D4" s="254" t="s">
        <v>25</v>
      </c>
      <c r="F4" s="246" t="s">
        <v>1132</v>
      </c>
      <c r="G4" s="253" t="s">
        <v>1131</v>
      </c>
      <c r="H4" s="253" t="s">
        <v>25</v>
      </c>
      <c r="I4" s="253" t="s">
        <v>1130</v>
      </c>
      <c r="J4" s="253" t="s">
        <v>1129</v>
      </c>
    </row>
    <row r="5" spans="1:12" x14ac:dyDescent="0.3">
      <c r="A5" s="340" t="s">
        <v>1116</v>
      </c>
      <c r="B5" s="341">
        <v>30401</v>
      </c>
      <c r="C5" s="342">
        <v>108221</v>
      </c>
      <c r="D5" s="343">
        <f t="shared" ref="D5:D13" si="0">C5/$C$14</f>
        <v>0.35174375142197811</v>
      </c>
      <c r="F5" s="251">
        <v>30404</v>
      </c>
      <c r="G5" s="250">
        <v>105446</v>
      </c>
      <c r="H5" s="252">
        <f t="shared" ref="H5:H14" si="1">G5/$G$14</f>
        <v>0.35083644977974154</v>
      </c>
      <c r="I5" s="248">
        <f t="shared" ref="I5:I14" si="2">B5/F5-1</f>
        <v>-9.8671227470092937E-5</v>
      </c>
      <c r="J5" s="248">
        <f t="shared" ref="J5:J14" si="3">C5/G5-1</f>
        <v>2.6316787739696146E-2</v>
      </c>
    </row>
    <row r="6" spans="1:12" x14ac:dyDescent="0.3">
      <c r="A6" s="340" t="s">
        <v>1115</v>
      </c>
      <c r="B6" s="341">
        <v>20835</v>
      </c>
      <c r="C6" s="342">
        <v>37888</v>
      </c>
      <c r="D6" s="343">
        <f t="shared" si="0"/>
        <v>0.12314492800728052</v>
      </c>
      <c r="F6" s="251">
        <v>20792</v>
      </c>
      <c r="G6" s="250">
        <v>37379</v>
      </c>
      <c r="H6" s="252">
        <f t="shared" si="1"/>
        <v>0.12436617468957532</v>
      </c>
      <c r="I6" s="248">
        <f t="shared" si="2"/>
        <v>2.0681031165832309E-3</v>
      </c>
      <c r="J6" s="248">
        <f t="shared" si="3"/>
        <v>1.3617271730115732E-2</v>
      </c>
    </row>
    <row r="7" spans="1:12" x14ac:dyDescent="0.3">
      <c r="A7" s="340" t="s">
        <v>1114</v>
      </c>
      <c r="B7" s="341">
        <v>9316</v>
      </c>
      <c r="C7" s="342">
        <v>21307</v>
      </c>
      <c r="D7" s="343">
        <f t="shared" si="0"/>
        <v>6.925277082588488E-2</v>
      </c>
      <c r="F7" s="251">
        <v>9197</v>
      </c>
      <c r="G7" s="250">
        <v>21195</v>
      </c>
      <c r="H7" s="252">
        <f t="shared" si="1"/>
        <v>7.0519304222840334E-2</v>
      </c>
      <c r="I7" s="248">
        <f t="shared" si="2"/>
        <v>1.2939001848428777E-2</v>
      </c>
      <c r="J7" s="248">
        <f t="shared" si="3"/>
        <v>5.284265156876522E-3</v>
      </c>
    </row>
    <row r="8" spans="1:12" ht="16.2" x14ac:dyDescent="0.3">
      <c r="A8" s="340" t="s">
        <v>1128</v>
      </c>
      <c r="B8" s="341">
        <v>381</v>
      </c>
      <c r="C8" s="342">
        <v>52605</v>
      </c>
      <c r="D8" s="343">
        <f t="shared" si="0"/>
        <v>0.17097864595183151</v>
      </c>
      <c r="F8" s="251">
        <v>281</v>
      </c>
      <c r="G8" s="250">
        <v>51500</v>
      </c>
      <c r="H8" s="252">
        <f t="shared" si="1"/>
        <v>0.17134909966861417</v>
      </c>
      <c r="I8" s="248">
        <f t="shared" si="2"/>
        <v>0.35587188612099641</v>
      </c>
      <c r="J8" s="248">
        <f t="shared" si="3"/>
        <v>2.1456310679611734E-2</v>
      </c>
    </row>
    <row r="9" spans="1:12" x14ac:dyDescent="0.3">
      <c r="A9" s="340" t="s">
        <v>101</v>
      </c>
      <c r="B9" s="341">
        <v>8881</v>
      </c>
      <c r="C9" s="342">
        <v>31967</v>
      </c>
      <c r="D9" s="343">
        <f t="shared" si="0"/>
        <v>0.10390028277050087</v>
      </c>
      <c r="F9" s="251">
        <v>8737</v>
      </c>
      <c r="G9" s="250">
        <v>31766</v>
      </c>
      <c r="H9" s="252">
        <f t="shared" si="1"/>
        <v>0.1056907864091883</v>
      </c>
      <c r="I9" s="248">
        <f t="shared" si="2"/>
        <v>1.6481629850062962E-2</v>
      </c>
      <c r="J9" s="248">
        <f t="shared" si="3"/>
        <v>6.3275199899264223E-3</v>
      </c>
    </row>
    <row r="10" spans="1:12" x14ac:dyDescent="0.3">
      <c r="A10" s="340" t="s">
        <v>1112</v>
      </c>
      <c r="B10" s="341">
        <v>108439</v>
      </c>
      <c r="C10" s="342">
        <v>36291</v>
      </c>
      <c r="D10" s="343">
        <f t="shared" si="0"/>
        <v>0.11795430168687229</v>
      </c>
      <c r="F10" s="251">
        <v>105411</v>
      </c>
      <c r="G10" s="250">
        <v>34771</v>
      </c>
      <c r="H10" s="252">
        <f t="shared" si="1"/>
        <v>0.11568892319567735</v>
      </c>
      <c r="I10" s="248">
        <f t="shared" si="2"/>
        <v>2.872565481780831E-2</v>
      </c>
      <c r="J10" s="248">
        <f t="shared" si="3"/>
        <v>4.3714589744327181E-2</v>
      </c>
    </row>
    <row r="11" spans="1:12" x14ac:dyDescent="0.3">
      <c r="A11" s="340" t="s">
        <v>1111</v>
      </c>
      <c r="B11" s="341">
        <v>6102</v>
      </c>
      <c r="C11" s="342">
        <v>17286</v>
      </c>
      <c r="D11" s="343">
        <f t="shared" si="0"/>
        <v>5.6183573309064906E-2</v>
      </c>
      <c r="F11" s="251">
        <v>6095</v>
      </c>
      <c r="G11" s="250">
        <v>16400</v>
      </c>
      <c r="H11" s="252">
        <f t="shared" si="1"/>
        <v>5.4565538535248009E-2</v>
      </c>
      <c r="I11" s="248">
        <f t="shared" si="2"/>
        <v>1.1484823625922402E-3</v>
      </c>
      <c r="J11" s="248">
        <f t="shared" si="3"/>
        <v>5.4024390243902376E-2</v>
      </c>
    </row>
    <row r="12" spans="1:12" x14ac:dyDescent="0.3">
      <c r="A12" s="340" t="s">
        <v>1127</v>
      </c>
      <c r="B12" s="341">
        <v>1608</v>
      </c>
      <c r="C12" s="342">
        <v>1121</v>
      </c>
      <c r="D12" s="343">
        <f t="shared" si="0"/>
        <v>3.6435141547762214E-3</v>
      </c>
      <c r="F12" s="251">
        <v>1613</v>
      </c>
      <c r="G12" s="250">
        <v>1109</v>
      </c>
      <c r="H12" s="252">
        <f t="shared" si="1"/>
        <v>3.6898281850969539E-3</v>
      </c>
      <c r="I12" s="248">
        <f t="shared" si="2"/>
        <v>-3.0998140111593298E-3</v>
      </c>
      <c r="J12" s="248">
        <f t="shared" si="3"/>
        <v>1.0820559062218127E-2</v>
      </c>
    </row>
    <row r="13" spans="1:12" x14ac:dyDescent="0.3">
      <c r="A13" s="340" t="s">
        <v>1126</v>
      </c>
      <c r="B13" s="344">
        <v>11086</v>
      </c>
      <c r="C13" s="345">
        <v>983</v>
      </c>
      <c r="D13" s="346">
        <f t="shared" si="0"/>
        <v>3.1949816361686221E-3</v>
      </c>
      <c r="F13" s="251">
        <v>12550</v>
      </c>
      <c r="G13" s="250">
        <v>990</v>
      </c>
      <c r="H13" s="252">
        <f t="shared" si="1"/>
        <v>3.2938953140180197E-3</v>
      </c>
      <c r="I13" s="248">
        <f t="shared" si="2"/>
        <v>-0.11665338645418322</v>
      </c>
      <c r="J13" s="248">
        <f t="shared" si="3"/>
        <v>-7.0707070707071162E-3</v>
      </c>
    </row>
    <row r="14" spans="1:12" x14ac:dyDescent="0.3">
      <c r="A14" s="340" t="s">
        <v>1125</v>
      </c>
      <c r="B14" s="341">
        <f>SUM(B5:B13)</f>
        <v>197049</v>
      </c>
      <c r="C14" s="342">
        <v>307670</v>
      </c>
      <c r="D14" s="347">
        <v>1</v>
      </c>
      <c r="F14" s="251">
        <f>SUM(F5:F13)</f>
        <v>195080</v>
      </c>
      <c r="G14" s="250">
        <v>300556</v>
      </c>
      <c r="H14" s="249">
        <f t="shared" si="1"/>
        <v>1</v>
      </c>
      <c r="I14" s="248">
        <f t="shared" si="2"/>
        <v>1.009329505843759E-2</v>
      </c>
      <c r="J14" s="248">
        <f t="shared" si="3"/>
        <v>2.3669465923155775E-2</v>
      </c>
    </row>
    <row r="15" spans="1:12" x14ac:dyDescent="0.3">
      <c r="A15" s="244"/>
      <c r="B15" s="246"/>
      <c r="C15" s="247"/>
      <c r="D15" s="246"/>
      <c r="E15" s="246"/>
      <c r="F15" s="247"/>
      <c r="G15" s="246"/>
      <c r="H15" s="246"/>
      <c r="I15" s="246"/>
      <c r="J15" s="245"/>
      <c r="L15" s="241"/>
    </row>
    <row r="16" spans="1:12" x14ac:dyDescent="0.3">
      <c r="A16" s="244" t="s">
        <v>1124</v>
      </c>
      <c r="B16" s="209"/>
      <c r="C16" s="243"/>
      <c r="D16" s="242"/>
      <c r="E16" s="242"/>
      <c r="F16" s="212"/>
      <c r="G16" s="226"/>
      <c r="H16" s="212"/>
      <c r="I16" s="212"/>
      <c r="J16" s="233"/>
      <c r="L16" s="241"/>
    </row>
    <row r="17" spans="1:10" ht="35.25" customHeight="1" x14ac:dyDescent="0.3">
      <c r="A17" s="240" t="s">
        <v>1123</v>
      </c>
      <c r="B17" s="239" t="s">
        <v>1122</v>
      </c>
      <c r="C17" s="239" t="s">
        <v>1121</v>
      </c>
      <c r="D17" s="239" t="s">
        <v>1120</v>
      </c>
      <c r="E17" s="239" t="s">
        <v>1119</v>
      </c>
      <c r="F17" s="238" t="s">
        <v>1118</v>
      </c>
      <c r="G17" s="237" t="s">
        <v>1117</v>
      </c>
      <c r="H17" s="212"/>
      <c r="I17" s="212"/>
      <c r="J17" s="233"/>
    </row>
    <row r="18" spans="1:10" x14ac:dyDescent="0.3">
      <c r="A18" s="225" t="s">
        <v>1116</v>
      </c>
      <c r="B18" s="229">
        <f t="shared" ref="B18:B24" si="4">+D5</f>
        <v>0.35174375142197811</v>
      </c>
      <c r="C18" s="229">
        <f t="shared" ref="C18:C24" si="5">+H5</f>
        <v>0.35083644977974154</v>
      </c>
      <c r="D18" s="229">
        <f t="shared" ref="D18:D24" si="6">+B18-C18</f>
        <v>9.0730164223656873E-4</v>
      </c>
      <c r="E18" s="228">
        <f t="shared" ref="E18:E24" si="7">+C5-G5</f>
        <v>2775</v>
      </c>
      <c r="F18" s="235"/>
      <c r="G18" s="228">
        <f>+E18</f>
        <v>2775</v>
      </c>
      <c r="H18" s="212"/>
      <c r="I18" s="212"/>
      <c r="J18" s="233"/>
    </row>
    <row r="19" spans="1:10" x14ac:dyDescent="0.3">
      <c r="A19" s="225" t="s">
        <v>1115</v>
      </c>
      <c r="B19" s="229">
        <f t="shared" si="4"/>
        <v>0.12314492800728052</v>
      </c>
      <c r="C19" s="229">
        <f t="shared" si="5"/>
        <v>0.12436617468957532</v>
      </c>
      <c r="D19" s="229">
        <f t="shared" si="6"/>
        <v>-1.2212466822947993E-3</v>
      </c>
      <c r="E19" s="228">
        <f t="shared" si="7"/>
        <v>509</v>
      </c>
      <c r="F19" s="228">
        <f>+E19</f>
        <v>509</v>
      </c>
      <c r="G19" s="236"/>
      <c r="H19" s="212"/>
      <c r="I19" s="212"/>
      <c r="J19" s="233"/>
    </row>
    <row r="20" spans="1:10" x14ac:dyDescent="0.3">
      <c r="A20" s="225" t="s">
        <v>1114</v>
      </c>
      <c r="B20" s="229">
        <f t="shared" si="4"/>
        <v>6.925277082588488E-2</v>
      </c>
      <c r="C20" s="229">
        <f t="shared" si="5"/>
        <v>7.0519304222840334E-2</v>
      </c>
      <c r="D20" s="229">
        <f t="shared" si="6"/>
        <v>-1.2665333969554549E-3</v>
      </c>
      <c r="E20" s="228">
        <f t="shared" si="7"/>
        <v>112</v>
      </c>
      <c r="F20" s="228">
        <f>+E20</f>
        <v>112</v>
      </c>
      <c r="G20" s="234"/>
      <c r="H20" s="212"/>
      <c r="I20" s="212"/>
      <c r="J20" s="233"/>
    </row>
    <row r="21" spans="1:10" ht="16.2" x14ac:dyDescent="0.3">
      <c r="A21" s="225" t="s">
        <v>1113</v>
      </c>
      <c r="B21" s="229">
        <f t="shared" si="4"/>
        <v>0.17097864595183151</v>
      </c>
      <c r="C21" s="229">
        <f t="shared" si="5"/>
        <v>0.17134909966861417</v>
      </c>
      <c r="D21" s="229">
        <f t="shared" si="6"/>
        <v>-3.7045371678265382E-4</v>
      </c>
      <c r="E21" s="228">
        <f t="shared" si="7"/>
        <v>1105</v>
      </c>
      <c r="F21" s="235"/>
      <c r="G21" s="228">
        <f>+E21</f>
        <v>1105</v>
      </c>
      <c r="H21" s="212"/>
      <c r="I21" s="212"/>
      <c r="J21" s="233"/>
    </row>
    <row r="22" spans="1:10" x14ac:dyDescent="0.3">
      <c r="A22" s="225" t="s">
        <v>101</v>
      </c>
      <c r="B22" s="229">
        <f t="shared" si="4"/>
        <v>0.10390028277050087</v>
      </c>
      <c r="C22" s="229">
        <f t="shared" si="5"/>
        <v>0.1056907864091883</v>
      </c>
      <c r="D22" s="229">
        <f t="shared" si="6"/>
        <v>-1.7905036386874351E-3</v>
      </c>
      <c r="E22" s="228">
        <f t="shared" si="7"/>
        <v>201</v>
      </c>
      <c r="F22" s="228">
        <f>+E22</f>
        <v>201</v>
      </c>
      <c r="G22" s="234"/>
      <c r="H22" s="212"/>
      <c r="I22" s="212"/>
      <c r="J22" s="233"/>
    </row>
    <row r="23" spans="1:10" x14ac:dyDescent="0.3">
      <c r="A23" s="225" t="s">
        <v>1112</v>
      </c>
      <c r="B23" s="229">
        <f t="shared" si="4"/>
        <v>0.11795430168687229</v>
      </c>
      <c r="C23" s="229">
        <f t="shared" si="5"/>
        <v>0.11568892319567735</v>
      </c>
      <c r="D23" s="229">
        <f t="shared" si="6"/>
        <v>2.2653784911949443E-3</v>
      </c>
      <c r="E23" s="228">
        <f t="shared" si="7"/>
        <v>1520</v>
      </c>
      <c r="F23" s="228">
        <f>+E23</f>
        <v>1520</v>
      </c>
      <c r="G23" s="228"/>
      <c r="H23" s="212"/>
      <c r="I23" s="212"/>
      <c r="J23" s="233"/>
    </row>
    <row r="24" spans="1:10" x14ac:dyDescent="0.3">
      <c r="A24" s="225" t="s">
        <v>1111</v>
      </c>
      <c r="B24" s="229">
        <f t="shared" si="4"/>
        <v>5.6183573309064906E-2</v>
      </c>
      <c r="C24" s="229">
        <f t="shared" si="5"/>
        <v>5.4565538535248009E-2</v>
      </c>
      <c r="D24" s="229">
        <f t="shared" si="6"/>
        <v>1.6180347738168968E-3</v>
      </c>
      <c r="E24" s="228">
        <f t="shared" si="7"/>
        <v>886</v>
      </c>
      <c r="F24" s="228">
        <f>+E24</f>
        <v>886</v>
      </c>
      <c r="G24" s="234"/>
      <c r="H24" s="212"/>
      <c r="I24" s="212"/>
      <c r="J24" s="233"/>
    </row>
    <row r="25" spans="1:10" x14ac:dyDescent="0.3">
      <c r="A25" s="225"/>
      <c r="B25" s="229"/>
      <c r="C25" s="229"/>
      <c r="D25" s="229"/>
      <c r="E25" s="228"/>
      <c r="F25" s="232">
        <f>+SUM(F18:F24)</f>
        <v>3228</v>
      </c>
      <c r="G25" s="232">
        <f>+SUM(G18:G24)</f>
        <v>3880</v>
      </c>
      <c r="H25" s="212"/>
      <c r="I25" s="212"/>
      <c r="J25" s="226"/>
    </row>
    <row r="26" spans="1:10" ht="14.25" customHeight="1" x14ac:dyDescent="0.3">
      <c r="A26" s="231" t="s">
        <v>1110</v>
      </c>
      <c r="B26" s="229"/>
      <c r="C26" s="229"/>
      <c r="D26" s="229"/>
      <c r="E26" s="228"/>
      <c r="F26" s="230"/>
      <c r="G26" s="230"/>
      <c r="H26" s="212"/>
      <c r="I26" s="212"/>
      <c r="J26" s="226"/>
    </row>
    <row r="27" spans="1:10" x14ac:dyDescent="0.3">
      <c r="A27" s="225" t="s">
        <v>1109</v>
      </c>
      <c r="B27" s="229"/>
      <c r="C27" s="229"/>
      <c r="D27" s="229"/>
      <c r="E27" s="228"/>
      <c r="F27" s="222"/>
      <c r="G27" s="227"/>
      <c r="H27" s="212"/>
      <c r="I27" s="212"/>
      <c r="J27" s="226"/>
    </row>
    <row r="28" spans="1:10" x14ac:dyDescent="0.3">
      <c r="A28" s="225" t="s">
        <v>1108</v>
      </c>
      <c r="B28" s="224"/>
      <c r="C28" s="224"/>
      <c r="D28" s="223"/>
      <c r="E28" s="223"/>
      <c r="F28" s="222"/>
      <c r="G28" s="221"/>
      <c r="H28" s="212"/>
      <c r="I28" s="212"/>
      <c r="J28" s="211"/>
    </row>
    <row r="29" spans="1:10" x14ac:dyDescent="0.3">
      <c r="A29" s="220"/>
      <c r="B29" s="220"/>
      <c r="C29" s="220"/>
      <c r="D29" s="219"/>
      <c r="E29" s="219"/>
      <c r="F29" s="218"/>
      <c r="G29" s="217"/>
      <c r="H29" s="212"/>
      <c r="I29" s="212"/>
      <c r="J29" s="211"/>
    </row>
    <row r="30" spans="1:10" x14ac:dyDescent="0.3">
      <c r="A30" s="220"/>
      <c r="B30" s="220"/>
      <c r="C30" s="220"/>
      <c r="D30" s="219"/>
      <c r="E30" s="219"/>
      <c r="F30" s="218"/>
      <c r="G30" s="217"/>
      <c r="H30" s="212"/>
      <c r="I30" s="212"/>
      <c r="J30" s="211"/>
    </row>
    <row r="31" spans="1:10" x14ac:dyDescent="0.3">
      <c r="A31" s="209"/>
      <c r="B31" s="210"/>
      <c r="C31" s="210"/>
      <c r="D31" s="216"/>
      <c r="E31" s="216"/>
      <c r="F31" s="215"/>
      <c r="G31" s="214"/>
      <c r="H31" s="215"/>
      <c r="I31" s="215"/>
      <c r="J31" s="214"/>
    </row>
    <row r="32" spans="1:10" x14ac:dyDescent="0.3">
      <c r="A32" s="209"/>
      <c r="B32" s="209"/>
      <c r="C32" s="209"/>
      <c r="D32" s="213"/>
      <c r="E32" s="213"/>
      <c r="F32" s="212"/>
      <c r="G32" s="211"/>
      <c r="H32" s="212"/>
      <c r="I32" s="212"/>
      <c r="J32" s="211"/>
    </row>
    <row r="33" spans="1:10" x14ac:dyDescent="0.3">
      <c r="A33" s="209"/>
      <c r="B33" s="209"/>
      <c r="C33" s="209"/>
      <c r="D33" s="213"/>
      <c r="E33" s="213"/>
      <c r="F33" s="212"/>
      <c r="G33" s="211"/>
      <c r="H33" s="212"/>
      <c r="I33" s="212"/>
      <c r="J33" s="211"/>
    </row>
    <row r="34" spans="1:10" x14ac:dyDescent="0.3">
      <c r="A34" s="209"/>
    </row>
    <row r="35" spans="1:10" x14ac:dyDescent="0.3">
      <c r="A35" s="209"/>
    </row>
    <row r="36" spans="1:10" x14ac:dyDescent="0.3">
      <c r="A36" s="210"/>
    </row>
    <row r="37" spans="1:10" x14ac:dyDescent="0.3">
      <c r="A37" s="209"/>
    </row>
    <row r="38" spans="1:10" x14ac:dyDescent="0.3">
      <c r="A38" s="209"/>
    </row>
  </sheetData>
  <mergeCells count="1">
    <mergeCell ref="B3:D3"/>
  </mergeCells>
  <printOptions gridLines="1"/>
  <pageMargins left="0.7" right="0.3" top="0.75" bottom="0.75" header="0.3" footer="0.3"/>
  <pageSetup fitToWidth="0" orientation="landscape"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2:I240"/>
  <sheetViews>
    <sheetView showGridLines="0" topLeftCell="A19" zoomScale="55" zoomScaleNormal="55" workbookViewId="0">
      <selection activeCell="C19" sqref="C19:H54"/>
    </sheetView>
  </sheetViews>
  <sheetFormatPr defaultRowHeight="14.4" outlineLevelRow="1" x14ac:dyDescent="0.3"/>
  <cols>
    <col min="1" max="1" width="43.6640625" customWidth="1"/>
    <col min="2" max="2" width="41.33203125" customWidth="1"/>
    <col min="3" max="3" width="9.6640625" bestFit="1" customWidth="1"/>
    <col min="4" max="4" width="39.88671875" customWidth="1"/>
    <col min="5" max="5" width="32.5546875" bestFit="1" customWidth="1"/>
    <col min="6" max="6" width="18.44140625" customWidth="1"/>
    <col min="7" max="8" width="16" customWidth="1"/>
    <col min="9" max="9" width="59.33203125" bestFit="1" customWidth="1"/>
  </cols>
  <sheetData>
    <row r="2" spans="1:8" x14ac:dyDescent="0.3">
      <c r="A2" s="47" t="s">
        <v>169</v>
      </c>
      <c r="B2" s="47"/>
      <c r="C2" s="47"/>
      <c r="D2" s="47"/>
      <c r="E2" s="47"/>
      <c r="F2" s="47"/>
      <c r="G2" s="47"/>
      <c r="H2" s="47"/>
    </row>
    <row r="3" spans="1:8" x14ac:dyDescent="0.3">
      <c r="A3" s="47"/>
      <c r="B3" s="47"/>
      <c r="C3" s="47"/>
      <c r="D3" s="47"/>
      <c r="E3" s="47"/>
      <c r="F3" s="47"/>
      <c r="G3" s="47"/>
      <c r="H3" s="47"/>
    </row>
    <row r="4" spans="1:8" x14ac:dyDescent="0.3">
      <c r="A4" s="306" t="s">
        <v>23</v>
      </c>
      <c r="B4" s="306" t="s">
        <v>161</v>
      </c>
      <c r="C4" s="47"/>
      <c r="D4" s="47"/>
      <c r="E4" s="47"/>
      <c r="F4" s="47"/>
      <c r="G4" s="47"/>
      <c r="H4" s="47"/>
    </row>
    <row r="5" spans="1:8" x14ac:dyDescent="0.3">
      <c r="A5" s="63" t="s">
        <v>168</v>
      </c>
      <c r="B5" s="63" t="s">
        <v>177</v>
      </c>
      <c r="C5" s="47"/>
      <c r="D5" s="47"/>
      <c r="E5" s="47"/>
      <c r="F5" s="47"/>
      <c r="G5" s="47"/>
      <c r="H5" s="47"/>
    </row>
    <row r="6" spans="1:8" x14ac:dyDescent="0.3">
      <c r="A6" s="63" t="s">
        <v>162</v>
      </c>
      <c r="B6" s="63" t="s">
        <v>178</v>
      </c>
      <c r="C6" s="47"/>
      <c r="D6" s="47"/>
      <c r="E6" s="47"/>
      <c r="F6" s="47"/>
      <c r="G6" s="47"/>
      <c r="H6" s="47"/>
    </row>
    <row r="7" spans="1:8" x14ac:dyDescent="0.3">
      <c r="A7" s="63" t="s">
        <v>163</v>
      </c>
      <c r="B7" s="63" t="s">
        <v>179</v>
      </c>
      <c r="C7" s="47"/>
      <c r="D7" s="47"/>
      <c r="E7" s="47"/>
      <c r="F7" s="47"/>
      <c r="G7" s="47"/>
      <c r="H7" s="47"/>
    </row>
    <row r="8" spans="1:8" x14ac:dyDescent="0.3">
      <c r="A8" s="63" t="s">
        <v>154</v>
      </c>
      <c r="B8" s="63" t="s">
        <v>180</v>
      </c>
      <c r="C8" s="47"/>
      <c r="D8" s="47"/>
      <c r="E8" s="47"/>
      <c r="F8" s="47"/>
      <c r="G8" s="47"/>
      <c r="H8" s="47"/>
    </row>
    <row r="9" spans="1:8" x14ac:dyDescent="0.3">
      <c r="A9" s="63" t="s">
        <v>164</v>
      </c>
      <c r="B9" s="63" t="s">
        <v>181</v>
      </c>
      <c r="C9" s="47"/>
      <c r="D9" s="47"/>
      <c r="E9" s="47"/>
      <c r="F9" s="47"/>
      <c r="G9" s="47"/>
      <c r="H9" s="47"/>
    </row>
    <row r="10" spans="1:8" x14ac:dyDescent="0.3">
      <c r="A10" s="63" t="s">
        <v>165</v>
      </c>
      <c r="B10" s="63" t="s">
        <v>182</v>
      </c>
      <c r="C10" s="47"/>
      <c r="D10" s="47"/>
      <c r="E10" s="47"/>
      <c r="F10" s="47"/>
      <c r="G10" s="47"/>
      <c r="H10" s="47"/>
    </row>
    <row r="11" spans="1:8" ht="15.9" customHeight="1" x14ac:dyDescent="0.3">
      <c r="A11" s="63" t="s">
        <v>203</v>
      </c>
      <c r="B11" s="63" t="s">
        <v>183</v>
      </c>
      <c r="C11" s="47"/>
      <c r="D11" s="47"/>
      <c r="E11" s="47"/>
      <c r="F11" s="47"/>
      <c r="G11" s="47"/>
      <c r="H11" s="47"/>
    </row>
    <row r="12" spans="1:8" ht="15.9" customHeight="1" x14ac:dyDescent="0.3">
      <c r="A12" s="63" t="s">
        <v>167</v>
      </c>
      <c r="B12" s="63" t="s">
        <v>184</v>
      </c>
      <c r="C12" s="47"/>
      <c r="D12" s="47"/>
      <c r="E12" s="47"/>
      <c r="F12" s="47"/>
      <c r="G12" s="47"/>
      <c r="H12" s="47"/>
    </row>
    <row r="13" spans="1:8" ht="15.9" customHeight="1" x14ac:dyDescent="0.3">
      <c r="A13" s="47"/>
      <c r="B13" s="47"/>
      <c r="C13" s="47"/>
      <c r="D13" s="47"/>
      <c r="E13" s="47"/>
      <c r="F13" s="47"/>
      <c r="G13" s="47"/>
      <c r="H13" s="47"/>
    </row>
    <row r="14" spans="1:8" ht="15.9" customHeight="1" x14ac:dyDescent="0.3">
      <c r="A14" s="47"/>
      <c r="B14" s="47"/>
      <c r="C14" s="47"/>
      <c r="D14" s="47"/>
      <c r="E14" s="47"/>
      <c r="F14" s="47"/>
      <c r="G14" s="47"/>
      <c r="H14" s="47"/>
    </row>
    <row r="15" spans="1:8" ht="15.9" customHeight="1" x14ac:dyDescent="0.3">
      <c r="A15" s="47"/>
      <c r="B15" s="47"/>
      <c r="C15" s="47"/>
    </row>
    <row r="16" spans="1:8" ht="15.9" customHeight="1" x14ac:dyDescent="0.3">
      <c r="A16" s="47"/>
      <c r="B16" s="47"/>
      <c r="C16" s="47"/>
      <c r="D16" s="47"/>
      <c r="E16" s="47"/>
      <c r="F16" s="47"/>
      <c r="G16" s="47"/>
      <c r="H16" s="47"/>
    </row>
    <row r="17" spans="1:9" ht="15.9" customHeight="1" x14ac:dyDescent="0.3">
      <c r="A17" s="47"/>
      <c r="B17" s="47"/>
      <c r="C17" s="47"/>
      <c r="D17" s="47" t="s">
        <v>170</v>
      </c>
      <c r="E17" s="47"/>
      <c r="F17" s="47"/>
      <c r="G17" s="47"/>
      <c r="H17" s="47"/>
    </row>
    <row r="18" spans="1:9" ht="15.9" customHeight="1" x14ac:dyDescent="0.3">
      <c r="A18" s="47"/>
      <c r="B18" s="47"/>
      <c r="C18" s="63"/>
      <c r="D18" s="47"/>
      <c r="E18" s="47"/>
      <c r="F18" s="47"/>
      <c r="G18" s="47"/>
      <c r="H18" s="47"/>
    </row>
    <row r="19" spans="1:9" ht="15.9" customHeight="1" x14ac:dyDescent="0.3">
      <c r="A19" s="47"/>
      <c r="B19" s="47"/>
      <c r="D19" s="306" t="s">
        <v>171</v>
      </c>
      <c r="E19" s="306" t="s">
        <v>172</v>
      </c>
      <c r="F19" s="306" t="s">
        <v>175</v>
      </c>
      <c r="G19" s="306" t="s">
        <v>173</v>
      </c>
      <c r="H19" s="306" t="s">
        <v>174</v>
      </c>
      <c r="I19" s="306" t="s">
        <v>185</v>
      </c>
    </row>
    <row r="20" spans="1:9" ht="11.25" customHeight="1" x14ac:dyDescent="0.3">
      <c r="A20" s="47"/>
      <c r="B20" s="47"/>
      <c r="C20" s="297"/>
      <c r="F20" s="297"/>
      <c r="G20" s="297"/>
      <c r="H20" s="297"/>
      <c r="I20" s="297"/>
    </row>
    <row r="21" spans="1:9" ht="15.9" customHeight="1" x14ac:dyDescent="0.3">
      <c r="A21" s="47"/>
      <c r="B21" s="47"/>
      <c r="C21" s="295">
        <v>42415</v>
      </c>
      <c r="D21" s="296" t="s">
        <v>1550</v>
      </c>
      <c r="E21" s="296" t="s">
        <v>8</v>
      </c>
      <c r="F21" s="299"/>
      <c r="G21" s="303"/>
      <c r="H21" s="305"/>
      <c r="I21" s="358"/>
    </row>
    <row r="22" spans="1:9" x14ac:dyDescent="0.3">
      <c r="A22" s="47"/>
      <c r="B22" s="47">
        <v>1</v>
      </c>
      <c r="C22" s="295">
        <v>42231</v>
      </c>
      <c r="D22" s="296" t="s">
        <v>1217</v>
      </c>
      <c r="E22" s="296" t="s">
        <v>1218</v>
      </c>
      <c r="F22" s="299">
        <v>11282</v>
      </c>
      <c r="G22" s="303" t="s">
        <v>1219</v>
      </c>
      <c r="H22" s="302" t="s">
        <v>1215</v>
      </c>
      <c r="I22" s="296" t="s">
        <v>1233</v>
      </c>
    </row>
    <row r="23" spans="1:9" ht="15.9" customHeight="1" x14ac:dyDescent="0.3">
      <c r="A23" s="47"/>
      <c r="B23" s="47">
        <v>2</v>
      </c>
      <c r="C23" s="295">
        <v>42170</v>
      </c>
      <c r="D23" s="298" t="s">
        <v>1209</v>
      </c>
      <c r="E23" s="298" t="s">
        <v>1210</v>
      </c>
      <c r="F23" s="300">
        <v>83.4</v>
      </c>
      <c r="G23" s="304" t="s">
        <v>1212</v>
      </c>
      <c r="H23" s="305" t="s">
        <v>1213</v>
      </c>
      <c r="I23" s="298" t="s">
        <v>1228</v>
      </c>
    </row>
    <row r="24" spans="1:9" ht="15.9" customHeight="1" x14ac:dyDescent="0.3">
      <c r="A24" s="47"/>
      <c r="B24" s="47">
        <v>3</v>
      </c>
      <c r="C24" s="295">
        <v>42109</v>
      </c>
      <c r="D24" s="298" t="s">
        <v>1214</v>
      </c>
      <c r="E24" s="298" t="s">
        <v>1210</v>
      </c>
      <c r="F24" s="300">
        <v>347.1</v>
      </c>
      <c r="G24" s="304"/>
      <c r="H24" s="305" t="s">
        <v>1215</v>
      </c>
      <c r="I24" s="298" t="s">
        <v>1229</v>
      </c>
    </row>
    <row r="25" spans="1:9" ht="15.9" customHeight="1" x14ac:dyDescent="0.3">
      <c r="A25" s="47"/>
      <c r="B25" s="47">
        <v>4</v>
      </c>
      <c r="C25" s="295">
        <v>42109</v>
      </c>
      <c r="D25" s="298" t="s">
        <v>1224</v>
      </c>
      <c r="E25" s="298" t="s">
        <v>1225</v>
      </c>
      <c r="F25" s="300"/>
      <c r="G25" s="304"/>
      <c r="H25" s="305"/>
      <c r="I25" s="298" t="s">
        <v>1226</v>
      </c>
    </row>
    <row r="26" spans="1:9" ht="15.9" customHeight="1" x14ac:dyDescent="0.3">
      <c r="A26" s="47"/>
      <c r="B26" s="47">
        <v>5</v>
      </c>
      <c r="C26" s="295">
        <v>42078</v>
      </c>
      <c r="D26" s="298" t="s">
        <v>1203</v>
      </c>
      <c r="E26" s="298" t="s">
        <v>1211</v>
      </c>
      <c r="F26" s="300">
        <v>13175.1</v>
      </c>
      <c r="G26" s="304" t="s">
        <v>1204</v>
      </c>
      <c r="H26" s="305" t="s">
        <v>1205</v>
      </c>
      <c r="I26" s="298" t="s">
        <v>1208</v>
      </c>
    </row>
    <row r="27" spans="1:9" ht="15.9" customHeight="1" x14ac:dyDescent="0.3">
      <c r="A27" s="47"/>
      <c r="B27" s="47">
        <v>6</v>
      </c>
      <c r="C27" s="295">
        <v>42019</v>
      </c>
      <c r="D27" s="298" t="s">
        <v>1206</v>
      </c>
      <c r="E27" s="298" t="s">
        <v>1207</v>
      </c>
      <c r="F27" s="300">
        <v>260</v>
      </c>
      <c r="G27" s="304"/>
      <c r="H27" s="305"/>
      <c r="I27" s="298" t="s">
        <v>1227</v>
      </c>
    </row>
    <row r="28" spans="1:9" ht="15.9" customHeight="1" x14ac:dyDescent="0.3">
      <c r="A28" s="47"/>
      <c r="B28" s="47">
        <v>7</v>
      </c>
      <c r="C28" s="295">
        <v>42018</v>
      </c>
      <c r="D28" s="298" t="s">
        <v>1220</v>
      </c>
      <c r="E28" s="298" t="s">
        <v>1218</v>
      </c>
      <c r="F28" s="300">
        <v>2100</v>
      </c>
      <c r="G28" s="304"/>
      <c r="H28" s="305"/>
      <c r="I28" s="301" t="s">
        <v>1231</v>
      </c>
    </row>
    <row r="29" spans="1:9" ht="15.9" customHeight="1" x14ac:dyDescent="0.3">
      <c r="A29" s="47"/>
      <c r="B29" s="47">
        <v>8</v>
      </c>
      <c r="C29" s="295">
        <v>41834</v>
      </c>
      <c r="D29" s="298" t="s">
        <v>1216</v>
      </c>
      <c r="E29" s="298" t="s">
        <v>1210</v>
      </c>
      <c r="F29" s="300">
        <v>75.8</v>
      </c>
      <c r="G29" s="304"/>
      <c r="H29" s="305"/>
      <c r="I29" s="298" t="s">
        <v>1230</v>
      </c>
    </row>
    <row r="30" spans="1:9" ht="15.9" customHeight="1" x14ac:dyDescent="0.3">
      <c r="A30" s="47"/>
      <c r="B30" s="47">
        <v>9</v>
      </c>
      <c r="C30" s="294">
        <v>41122</v>
      </c>
      <c r="D30" s="65" t="s">
        <v>166</v>
      </c>
      <c r="E30" s="65" t="s">
        <v>204</v>
      </c>
      <c r="F30" s="59" t="s">
        <v>205</v>
      </c>
      <c r="G30" s="58" t="s">
        <v>205</v>
      </c>
      <c r="H30" s="58" t="s">
        <v>205</v>
      </c>
      <c r="I30" s="69" t="s">
        <v>206</v>
      </c>
    </row>
    <row r="31" spans="1:9" ht="15.9" customHeight="1" x14ac:dyDescent="0.3">
      <c r="A31" s="47"/>
      <c r="B31" s="47">
        <v>10</v>
      </c>
      <c r="C31" s="295">
        <v>41041</v>
      </c>
      <c r="D31" s="65" t="s">
        <v>176</v>
      </c>
      <c r="E31" s="65" t="s">
        <v>24</v>
      </c>
      <c r="F31" s="59">
        <v>241</v>
      </c>
      <c r="G31" s="54" t="s">
        <v>205</v>
      </c>
      <c r="H31" s="54" t="s">
        <v>205</v>
      </c>
      <c r="I31" s="70" t="s">
        <v>186</v>
      </c>
    </row>
    <row r="32" spans="1:9" ht="15.9" customHeight="1" x14ac:dyDescent="0.3">
      <c r="A32" s="47"/>
      <c r="B32" s="47">
        <v>11</v>
      </c>
      <c r="C32" s="295">
        <v>41011</v>
      </c>
      <c r="D32" s="298" t="s">
        <v>1221</v>
      </c>
      <c r="E32" s="298" t="s">
        <v>29</v>
      </c>
      <c r="F32" s="300">
        <v>32902.9</v>
      </c>
      <c r="G32" s="304" t="s">
        <v>1222</v>
      </c>
      <c r="H32" s="305" t="s">
        <v>1223</v>
      </c>
      <c r="I32" s="301" t="s">
        <v>1232</v>
      </c>
    </row>
    <row r="33" spans="1:9" ht="15.9" customHeight="1" x14ac:dyDescent="0.3">
      <c r="A33" s="47"/>
      <c r="B33" s="47">
        <v>12</v>
      </c>
      <c r="C33" s="66">
        <v>40546</v>
      </c>
      <c r="D33" s="67" t="s">
        <v>198</v>
      </c>
      <c r="E33" s="67" t="s">
        <v>187</v>
      </c>
      <c r="F33" s="60">
        <v>50</v>
      </c>
      <c r="G33" s="55" t="s">
        <v>205</v>
      </c>
      <c r="H33" s="55" t="s">
        <v>205</v>
      </c>
      <c r="I33" s="71" t="s">
        <v>188</v>
      </c>
    </row>
    <row r="34" spans="1:9" ht="15.9" customHeight="1" x14ac:dyDescent="0.3">
      <c r="A34" s="47"/>
      <c r="B34" s="47">
        <v>13</v>
      </c>
      <c r="C34" s="66">
        <v>40513</v>
      </c>
      <c r="D34" s="67" t="s">
        <v>189</v>
      </c>
      <c r="E34" s="67" t="s">
        <v>8</v>
      </c>
      <c r="F34" s="60">
        <v>2200</v>
      </c>
      <c r="G34" s="55">
        <v>8.5</v>
      </c>
      <c r="H34" s="55">
        <v>0.5</v>
      </c>
      <c r="I34" s="71" t="s">
        <v>190</v>
      </c>
    </row>
    <row r="35" spans="1:9" ht="15.9" customHeight="1" x14ac:dyDescent="0.3">
      <c r="A35" s="47"/>
      <c r="B35" s="47">
        <v>14</v>
      </c>
      <c r="C35" s="66">
        <v>40360</v>
      </c>
      <c r="D35" s="67" t="s">
        <v>192</v>
      </c>
      <c r="E35" s="67" t="s">
        <v>13</v>
      </c>
      <c r="F35" s="60">
        <v>667</v>
      </c>
      <c r="G35" s="55" t="s">
        <v>205</v>
      </c>
      <c r="H35" s="55" t="s">
        <v>205</v>
      </c>
      <c r="I35" s="71" t="s">
        <v>191</v>
      </c>
    </row>
    <row r="36" spans="1:9" ht="15.9" customHeight="1" x14ac:dyDescent="0.3">
      <c r="A36" s="47"/>
      <c r="B36" s="47">
        <v>15</v>
      </c>
      <c r="C36" s="66">
        <v>40179</v>
      </c>
      <c r="D36" s="67" t="s">
        <v>194</v>
      </c>
      <c r="E36" s="67" t="s">
        <v>187</v>
      </c>
      <c r="F36" s="60">
        <v>41.3</v>
      </c>
      <c r="G36" s="55">
        <v>10.199999999999999</v>
      </c>
      <c r="H36" s="55">
        <v>0.9</v>
      </c>
      <c r="I36" s="71" t="s">
        <v>193</v>
      </c>
    </row>
    <row r="37" spans="1:9" ht="15.9" customHeight="1" x14ac:dyDescent="0.3">
      <c r="A37" s="47"/>
      <c r="B37" s="47">
        <v>16</v>
      </c>
      <c r="C37" s="66">
        <v>40087</v>
      </c>
      <c r="D37" s="68" t="s">
        <v>196</v>
      </c>
      <c r="E37" s="68" t="s">
        <v>197</v>
      </c>
      <c r="F37" s="61">
        <v>278</v>
      </c>
      <c r="G37" s="57">
        <v>7</v>
      </c>
      <c r="H37" s="57">
        <v>0.6</v>
      </c>
      <c r="I37" s="72" t="s">
        <v>195</v>
      </c>
    </row>
    <row r="38" spans="1:9" ht="15.9" customHeight="1" x14ac:dyDescent="0.3">
      <c r="A38" s="47"/>
      <c r="B38" s="47">
        <v>17</v>
      </c>
      <c r="C38" s="64">
        <v>39630</v>
      </c>
      <c r="D38" s="67" t="s">
        <v>199</v>
      </c>
      <c r="E38" s="67" t="s">
        <v>200</v>
      </c>
      <c r="F38" s="60" t="s">
        <v>205</v>
      </c>
      <c r="G38" s="55" t="s">
        <v>205</v>
      </c>
      <c r="H38" s="55" t="s">
        <v>205</v>
      </c>
      <c r="I38" s="71" t="s">
        <v>201</v>
      </c>
    </row>
    <row r="39" spans="1:9" ht="15.9" hidden="1" customHeight="1" outlineLevel="1" x14ac:dyDescent="0.3">
      <c r="A39" s="47"/>
      <c r="B39" s="47">
        <v>18</v>
      </c>
      <c r="C39" s="64">
        <v>39508</v>
      </c>
      <c r="D39" s="67" t="s">
        <v>202</v>
      </c>
      <c r="E39" s="67" t="s">
        <v>196</v>
      </c>
      <c r="F39" s="60">
        <v>117.7</v>
      </c>
      <c r="G39" s="55" t="s">
        <v>205</v>
      </c>
      <c r="H39" s="55">
        <v>4.5999999999999996</v>
      </c>
      <c r="I39" s="71" t="s">
        <v>207</v>
      </c>
    </row>
    <row r="40" spans="1:9" ht="15.9" hidden="1" customHeight="1" outlineLevel="1" x14ac:dyDescent="0.3">
      <c r="A40" s="47"/>
      <c r="B40" s="47">
        <v>19</v>
      </c>
      <c r="C40" s="64">
        <v>39417</v>
      </c>
      <c r="D40" s="67" t="s">
        <v>208</v>
      </c>
      <c r="E40" s="67" t="s">
        <v>209</v>
      </c>
      <c r="F40" s="60">
        <v>350</v>
      </c>
      <c r="G40" s="55">
        <v>37</v>
      </c>
      <c r="H40" s="55">
        <v>0.8</v>
      </c>
      <c r="I40" s="71" t="s">
        <v>210</v>
      </c>
    </row>
    <row r="41" spans="1:9" ht="15.9" hidden="1" customHeight="1" outlineLevel="1" x14ac:dyDescent="0.3">
      <c r="A41" s="47"/>
      <c r="B41" s="47">
        <v>20</v>
      </c>
      <c r="C41" s="64">
        <v>39264</v>
      </c>
      <c r="D41" s="67" t="s">
        <v>211</v>
      </c>
      <c r="E41" s="67" t="s">
        <v>154</v>
      </c>
      <c r="F41" s="56" t="s">
        <v>205</v>
      </c>
      <c r="G41" s="55" t="s">
        <v>205</v>
      </c>
      <c r="H41" s="55" t="s">
        <v>205</v>
      </c>
      <c r="I41" s="71" t="s">
        <v>212</v>
      </c>
    </row>
    <row r="42" spans="1:9" ht="15.9" hidden="1" customHeight="1" outlineLevel="1" x14ac:dyDescent="0.3">
      <c r="A42" s="47"/>
      <c r="B42" s="47">
        <v>21</v>
      </c>
      <c r="C42" s="64">
        <v>39326</v>
      </c>
      <c r="D42" s="67" t="s">
        <v>213</v>
      </c>
      <c r="E42" s="67" t="s">
        <v>24</v>
      </c>
      <c r="F42" s="60">
        <v>850</v>
      </c>
      <c r="G42" s="55">
        <v>16</v>
      </c>
      <c r="H42" s="55">
        <v>1</v>
      </c>
      <c r="I42" s="71" t="s">
        <v>214</v>
      </c>
    </row>
    <row r="43" spans="1:9" ht="15.9" customHeight="1" collapsed="1" x14ac:dyDescent="0.3">
      <c r="A43" s="47"/>
      <c r="B43" s="47">
        <v>22</v>
      </c>
      <c r="C43" s="64">
        <v>39022</v>
      </c>
      <c r="D43" s="67" t="s">
        <v>215</v>
      </c>
      <c r="E43" s="67" t="s">
        <v>48</v>
      </c>
      <c r="F43" s="60">
        <v>15.3</v>
      </c>
      <c r="G43" s="55" t="s">
        <v>205</v>
      </c>
      <c r="H43" s="55" t="s">
        <v>205</v>
      </c>
      <c r="I43" s="75" t="s">
        <v>216</v>
      </c>
    </row>
    <row r="44" spans="1:9" ht="15.9" customHeight="1" x14ac:dyDescent="0.3">
      <c r="A44" s="47"/>
      <c r="B44" s="47">
        <v>23</v>
      </c>
      <c r="C44" s="64">
        <v>38777</v>
      </c>
      <c r="D44" s="67" t="s">
        <v>217</v>
      </c>
      <c r="E44" s="67" t="s">
        <v>196</v>
      </c>
      <c r="F44" s="60">
        <v>20</v>
      </c>
      <c r="G44" s="55" t="s">
        <v>205</v>
      </c>
      <c r="H44" s="55" t="s">
        <v>205</v>
      </c>
      <c r="I44" s="71" t="s">
        <v>218</v>
      </c>
    </row>
    <row r="45" spans="1:9" ht="15.9" customHeight="1" x14ac:dyDescent="0.3">
      <c r="A45" s="47"/>
      <c r="B45" s="47">
        <v>24</v>
      </c>
      <c r="C45" s="64">
        <v>38661</v>
      </c>
      <c r="D45" s="67" t="s">
        <v>231</v>
      </c>
      <c r="E45" s="67" t="s">
        <v>229</v>
      </c>
      <c r="F45" s="60">
        <v>72</v>
      </c>
      <c r="G45" s="55" t="s">
        <v>205</v>
      </c>
      <c r="H45" s="55" t="s">
        <v>205</v>
      </c>
      <c r="I45" s="71" t="s">
        <v>232</v>
      </c>
    </row>
    <row r="46" spans="1:9" ht="15.9" customHeight="1" x14ac:dyDescent="0.3">
      <c r="A46" s="47"/>
      <c r="B46" s="47">
        <v>25</v>
      </c>
      <c r="C46" s="64">
        <v>38626</v>
      </c>
      <c r="D46" s="67" t="s">
        <v>219</v>
      </c>
      <c r="E46" s="67" t="s">
        <v>220</v>
      </c>
      <c r="F46" s="60">
        <v>1229.8</v>
      </c>
      <c r="G46" s="55" t="s">
        <v>205</v>
      </c>
      <c r="H46" s="55">
        <v>0.7</v>
      </c>
      <c r="I46" s="71" t="s">
        <v>221</v>
      </c>
    </row>
    <row r="47" spans="1:9" ht="15.9" customHeight="1" x14ac:dyDescent="0.3">
      <c r="A47" s="47"/>
      <c r="B47" s="47">
        <v>26</v>
      </c>
      <c r="C47" s="64">
        <v>38565</v>
      </c>
      <c r="D47" s="67" t="s">
        <v>222</v>
      </c>
      <c r="E47" s="67" t="s">
        <v>196</v>
      </c>
      <c r="F47" s="60" t="s">
        <v>205</v>
      </c>
      <c r="G47" s="55" t="s">
        <v>205</v>
      </c>
      <c r="H47" s="55" t="s">
        <v>205</v>
      </c>
      <c r="I47" s="71" t="s">
        <v>223</v>
      </c>
    </row>
    <row r="48" spans="1:9" ht="15.9" customHeight="1" x14ac:dyDescent="0.3">
      <c r="A48" s="47"/>
      <c r="B48" s="47">
        <v>27</v>
      </c>
      <c r="C48" s="64">
        <v>38565</v>
      </c>
      <c r="D48" s="67" t="s">
        <v>224</v>
      </c>
      <c r="E48" s="67" t="s">
        <v>200</v>
      </c>
      <c r="F48" s="60">
        <v>268.8</v>
      </c>
      <c r="G48" s="55" t="s">
        <v>205</v>
      </c>
      <c r="H48" s="55" t="s">
        <v>205</v>
      </c>
      <c r="I48" s="71" t="s">
        <v>225</v>
      </c>
    </row>
    <row r="49" spans="1:9" ht="15.9" customHeight="1" x14ac:dyDescent="0.3">
      <c r="A49" s="47"/>
      <c r="B49" s="47">
        <v>28</v>
      </c>
      <c r="C49" s="64">
        <v>38565</v>
      </c>
      <c r="D49" s="67" t="s">
        <v>226</v>
      </c>
      <c r="E49" s="67" t="s">
        <v>200</v>
      </c>
      <c r="F49" s="60">
        <v>235</v>
      </c>
      <c r="G49" s="55" t="s">
        <v>205</v>
      </c>
      <c r="H49" s="55" t="s">
        <v>205</v>
      </c>
      <c r="I49" s="71" t="s">
        <v>227</v>
      </c>
    </row>
    <row r="50" spans="1:9" ht="15.9" customHeight="1" x14ac:dyDescent="0.3">
      <c r="A50" s="47"/>
      <c r="B50" s="47">
        <v>29</v>
      </c>
      <c r="C50" s="64">
        <v>38565</v>
      </c>
      <c r="D50" s="67" t="s">
        <v>228</v>
      </c>
      <c r="E50" s="67" t="s">
        <v>229</v>
      </c>
      <c r="F50" s="60">
        <v>2429</v>
      </c>
      <c r="G50" s="55">
        <v>1.4</v>
      </c>
      <c r="H50" s="55">
        <v>13.5</v>
      </c>
      <c r="I50" s="71" t="s">
        <v>230</v>
      </c>
    </row>
    <row r="51" spans="1:9" ht="15.9" customHeight="1" x14ac:dyDescent="0.3">
      <c r="A51" s="47"/>
      <c r="B51" s="47">
        <v>30</v>
      </c>
      <c r="C51" s="64">
        <v>37987</v>
      </c>
      <c r="D51" s="67" t="s">
        <v>233</v>
      </c>
      <c r="E51" s="67" t="s">
        <v>220</v>
      </c>
      <c r="F51" s="60">
        <v>355</v>
      </c>
      <c r="G51" s="55" t="s">
        <v>205</v>
      </c>
      <c r="H51" s="55" t="s">
        <v>205</v>
      </c>
      <c r="I51" s="71" t="s">
        <v>235</v>
      </c>
    </row>
    <row r="52" spans="1:9" ht="15.9" customHeight="1" x14ac:dyDescent="0.3">
      <c r="A52" s="47"/>
      <c r="B52" s="47"/>
      <c r="C52" s="63"/>
      <c r="D52" s="63"/>
      <c r="E52" s="63"/>
      <c r="F52" s="74"/>
      <c r="G52" s="62"/>
      <c r="H52" s="62"/>
      <c r="I52" s="73"/>
    </row>
    <row r="53" spans="1:9" ht="15.9" customHeight="1" x14ac:dyDescent="0.3">
      <c r="A53" s="47"/>
      <c r="B53" s="47"/>
      <c r="C53" s="42"/>
      <c r="D53" s="7"/>
      <c r="E53" s="307" t="s">
        <v>20</v>
      </c>
      <c r="F53" s="308">
        <f>+SUM(F30:F51)</f>
        <v>42322.80000000001</v>
      </c>
      <c r="G53" s="76"/>
      <c r="H53" s="76"/>
      <c r="I53" s="73"/>
    </row>
    <row r="54" spans="1:9" ht="15.9" customHeight="1" x14ac:dyDescent="0.3">
      <c r="A54" s="47"/>
      <c r="B54" s="47"/>
      <c r="C54" s="42"/>
      <c r="D54" s="7"/>
      <c r="E54" s="77"/>
      <c r="F54" s="309" t="s">
        <v>234</v>
      </c>
      <c r="G54" s="310">
        <f>MEDIAN(G34,G36,G37,G40,G42,G50)</f>
        <v>9.35</v>
      </c>
      <c r="H54" s="310">
        <f>MEDIAN(H34,H36,H37,H39,H40,H42,H46,H50)</f>
        <v>0.85000000000000009</v>
      </c>
      <c r="I54" s="73"/>
    </row>
    <row r="55" spans="1:9" x14ac:dyDescent="0.3">
      <c r="A55" s="47"/>
      <c r="B55" s="47"/>
      <c r="C55" s="42"/>
      <c r="D55" s="42"/>
      <c r="E55" s="42"/>
      <c r="F55" s="42"/>
      <c r="G55" s="53"/>
      <c r="H55" s="53"/>
      <c r="I55" s="52"/>
    </row>
    <row r="56" spans="1:9" x14ac:dyDescent="0.3">
      <c r="A56" s="47"/>
      <c r="B56" s="47"/>
      <c r="C56" s="42"/>
      <c r="D56" s="42"/>
      <c r="E56" s="42"/>
      <c r="F56" s="42"/>
      <c r="G56" s="53"/>
      <c r="H56" s="53"/>
      <c r="I56" s="52"/>
    </row>
    <row r="57" spans="1:9" x14ac:dyDescent="0.3">
      <c r="A57" s="47"/>
      <c r="B57" s="47"/>
      <c r="C57" s="42"/>
      <c r="D57" s="42"/>
      <c r="E57" s="42"/>
      <c r="F57" s="42"/>
      <c r="G57" s="53"/>
      <c r="H57" s="53"/>
      <c r="I57" s="52"/>
    </row>
    <row r="58" spans="1:9" x14ac:dyDescent="0.3">
      <c r="A58" s="47"/>
      <c r="B58" s="47"/>
      <c r="C58" s="42"/>
      <c r="D58" s="42"/>
      <c r="E58" s="42"/>
      <c r="F58" s="42"/>
      <c r="G58" s="53"/>
      <c r="H58" s="53"/>
      <c r="I58" s="52"/>
    </row>
    <row r="59" spans="1:9" x14ac:dyDescent="0.3">
      <c r="A59" s="47"/>
      <c r="B59" s="47"/>
      <c r="C59" s="42"/>
      <c r="D59" s="42"/>
      <c r="E59" s="42"/>
      <c r="F59" s="42"/>
      <c r="G59" s="53"/>
      <c r="H59" s="53"/>
      <c r="I59" s="52"/>
    </row>
    <row r="60" spans="1:9" x14ac:dyDescent="0.3">
      <c r="A60" s="47"/>
      <c r="B60" s="47"/>
      <c r="C60" s="42"/>
      <c r="D60" s="42"/>
      <c r="E60" s="42"/>
      <c r="F60" s="42"/>
      <c r="G60" s="53"/>
      <c r="H60" s="53"/>
      <c r="I60" s="52"/>
    </row>
    <row r="61" spans="1:9" x14ac:dyDescent="0.3">
      <c r="A61" s="47"/>
      <c r="B61" s="47"/>
      <c r="C61" s="42"/>
      <c r="D61" s="42"/>
      <c r="E61" s="42"/>
      <c r="F61" s="42"/>
      <c r="G61" s="53"/>
      <c r="H61" s="53"/>
      <c r="I61" s="52"/>
    </row>
    <row r="62" spans="1:9" x14ac:dyDescent="0.3">
      <c r="A62" s="47"/>
      <c r="B62" s="47"/>
      <c r="C62" s="42"/>
      <c r="D62" s="42"/>
      <c r="E62" s="42"/>
      <c r="F62" s="42"/>
      <c r="G62" s="53"/>
      <c r="H62" s="53"/>
      <c r="I62" s="52"/>
    </row>
    <row r="63" spans="1:9" x14ac:dyDescent="0.3">
      <c r="A63" s="47"/>
      <c r="B63" s="47"/>
      <c r="C63" s="42"/>
      <c r="D63" s="42"/>
      <c r="E63" s="42"/>
      <c r="F63" s="42"/>
      <c r="G63" s="53"/>
      <c r="H63" s="53"/>
      <c r="I63" s="52"/>
    </row>
    <row r="64" spans="1:9" x14ac:dyDescent="0.3">
      <c r="A64" s="47"/>
      <c r="B64" s="47"/>
      <c r="C64" s="42"/>
      <c r="D64" s="42"/>
      <c r="E64" s="42"/>
      <c r="F64" s="42"/>
      <c r="G64" s="53"/>
      <c r="H64" s="53"/>
      <c r="I64" s="52"/>
    </row>
    <row r="65" spans="1:9" x14ac:dyDescent="0.3">
      <c r="A65" s="47"/>
      <c r="B65" s="47"/>
      <c r="C65" s="42"/>
      <c r="D65" s="42"/>
      <c r="E65" s="42"/>
      <c r="F65" s="42"/>
      <c r="G65" s="53"/>
      <c r="H65" s="53"/>
      <c r="I65" s="52"/>
    </row>
    <row r="66" spans="1:9" x14ac:dyDescent="0.3">
      <c r="A66" s="47"/>
      <c r="B66" s="47"/>
      <c r="C66" s="42"/>
      <c r="D66" s="42"/>
      <c r="E66" s="42"/>
      <c r="F66" s="42"/>
      <c r="G66" s="53"/>
      <c r="H66" s="53"/>
      <c r="I66" s="7"/>
    </row>
    <row r="67" spans="1:9" x14ac:dyDescent="0.3">
      <c r="A67" s="47"/>
      <c r="B67" s="47"/>
      <c r="C67" s="42"/>
      <c r="D67" s="42"/>
      <c r="E67" s="42"/>
      <c r="F67" s="42"/>
      <c r="G67" s="42"/>
      <c r="H67" s="42"/>
      <c r="I67" s="7"/>
    </row>
    <row r="68" spans="1:9" x14ac:dyDescent="0.3">
      <c r="A68" s="47"/>
      <c r="B68" s="47"/>
      <c r="C68" s="47"/>
      <c r="D68" s="47"/>
      <c r="E68" s="47"/>
      <c r="F68" s="47"/>
      <c r="G68" s="47"/>
      <c r="H68" s="47"/>
    </row>
    <row r="69" spans="1:9" x14ac:dyDescent="0.3">
      <c r="A69" s="47"/>
      <c r="B69" s="47"/>
      <c r="C69" s="47"/>
      <c r="D69" s="47"/>
      <c r="E69" s="47"/>
      <c r="F69" s="47"/>
      <c r="G69" s="47"/>
      <c r="H69" s="47"/>
    </row>
    <row r="70" spans="1:9" x14ac:dyDescent="0.3">
      <c r="A70" s="47"/>
      <c r="B70" s="47"/>
      <c r="C70" s="47"/>
      <c r="D70" s="47"/>
      <c r="E70" s="47"/>
      <c r="F70" s="47"/>
      <c r="G70" s="47"/>
      <c r="H70" s="47"/>
    </row>
    <row r="71" spans="1:9" x14ac:dyDescent="0.3">
      <c r="A71" s="47"/>
      <c r="B71" s="47"/>
      <c r="C71" s="47"/>
      <c r="D71" s="47"/>
      <c r="E71" s="47"/>
      <c r="F71" s="47"/>
      <c r="G71" s="47"/>
      <c r="H71" s="47"/>
    </row>
    <row r="72" spans="1:9" x14ac:dyDescent="0.3">
      <c r="A72" s="47"/>
      <c r="B72" s="47"/>
      <c r="C72" s="47"/>
      <c r="D72" s="47"/>
      <c r="E72" s="47"/>
      <c r="F72" s="47"/>
      <c r="G72" s="47"/>
      <c r="H72" s="47"/>
    </row>
    <row r="73" spans="1:9" x14ac:dyDescent="0.3">
      <c r="A73" s="47"/>
      <c r="B73" s="47"/>
      <c r="C73" s="47"/>
      <c r="D73" s="47"/>
      <c r="E73" s="47"/>
      <c r="F73" s="47"/>
      <c r="G73" s="47"/>
      <c r="H73" s="47"/>
    </row>
    <row r="74" spans="1:9" x14ac:dyDescent="0.3">
      <c r="A74" s="47"/>
      <c r="B74" s="47"/>
      <c r="C74" s="47"/>
      <c r="D74" s="47"/>
      <c r="E74" s="47"/>
      <c r="F74" s="47"/>
      <c r="G74" s="47"/>
      <c r="H74" s="47"/>
    </row>
    <row r="75" spans="1:9" x14ac:dyDescent="0.3">
      <c r="A75" s="47"/>
      <c r="B75" s="47"/>
      <c r="C75" s="47"/>
      <c r="D75" s="47"/>
      <c r="E75" s="47"/>
      <c r="F75" s="47"/>
      <c r="G75" s="47"/>
      <c r="H75" s="47"/>
    </row>
    <row r="76" spans="1:9" x14ac:dyDescent="0.3">
      <c r="A76" s="47"/>
      <c r="B76" s="47"/>
      <c r="C76" s="47"/>
      <c r="D76" s="47"/>
      <c r="E76" s="47"/>
      <c r="F76" s="47"/>
      <c r="G76" s="47"/>
      <c r="H76" s="47"/>
    </row>
    <row r="77" spans="1:9" x14ac:dyDescent="0.3">
      <c r="A77" s="47"/>
      <c r="B77" s="47"/>
      <c r="C77" s="47"/>
      <c r="D77" s="47"/>
      <c r="E77" s="47"/>
      <c r="F77" s="47"/>
      <c r="G77" s="47"/>
      <c r="H77" s="47"/>
    </row>
    <row r="78" spans="1:9" x14ac:dyDescent="0.3">
      <c r="A78" s="47"/>
      <c r="B78" s="47"/>
      <c r="C78" s="47"/>
      <c r="D78" s="47"/>
      <c r="E78" s="47"/>
      <c r="F78" s="47"/>
      <c r="G78" s="47"/>
      <c r="H78" s="47"/>
    </row>
    <row r="79" spans="1:9" x14ac:dyDescent="0.3">
      <c r="A79" s="47"/>
      <c r="B79" s="47"/>
      <c r="C79" s="47"/>
      <c r="D79" s="47"/>
      <c r="E79" s="47"/>
      <c r="F79" s="47"/>
      <c r="G79" s="47"/>
      <c r="H79" s="47"/>
    </row>
    <row r="80" spans="1:9" x14ac:dyDescent="0.3">
      <c r="A80" s="47"/>
      <c r="B80" s="47"/>
      <c r="C80" s="47"/>
      <c r="D80" s="47"/>
      <c r="E80" s="47"/>
      <c r="F80" s="47"/>
      <c r="G80" s="47"/>
      <c r="H80" s="47"/>
    </row>
    <row r="81" spans="1:8" x14ac:dyDescent="0.3">
      <c r="A81" s="47"/>
      <c r="B81" s="47"/>
      <c r="C81" s="47"/>
      <c r="D81" s="47"/>
      <c r="E81" s="47"/>
      <c r="F81" s="47"/>
      <c r="G81" s="47"/>
      <c r="H81" s="47"/>
    </row>
    <row r="82" spans="1:8" x14ac:dyDescent="0.3">
      <c r="A82" s="47"/>
      <c r="B82" s="47"/>
      <c r="C82" s="47"/>
      <c r="D82" s="47"/>
      <c r="E82" s="47"/>
      <c r="F82" s="47"/>
      <c r="G82" s="47"/>
      <c r="H82" s="47"/>
    </row>
    <row r="83" spans="1:8" x14ac:dyDescent="0.3">
      <c r="A83" s="47"/>
      <c r="B83" s="47"/>
      <c r="C83" s="47"/>
      <c r="D83" s="47"/>
      <c r="E83" s="47"/>
      <c r="F83" s="47"/>
      <c r="G83" s="47"/>
      <c r="H83" s="47"/>
    </row>
    <row r="84" spans="1:8" x14ac:dyDescent="0.3">
      <c r="A84" s="47"/>
      <c r="B84" s="47"/>
      <c r="C84" s="47"/>
      <c r="D84" s="47"/>
      <c r="E84" s="47"/>
      <c r="F84" s="47"/>
      <c r="G84" s="47"/>
      <c r="H84" s="47"/>
    </row>
    <row r="85" spans="1:8" x14ac:dyDescent="0.3">
      <c r="A85" s="47"/>
      <c r="B85" s="47"/>
      <c r="C85" s="47"/>
      <c r="D85" s="47"/>
      <c r="E85" s="47"/>
      <c r="F85" s="47"/>
      <c r="G85" s="47"/>
      <c r="H85" s="47"/>
    </row>
    <row r="86" spans="1:8" x14ac:dyDescent="0.3">
      <c r="A86" s="47"/>
      <c r="B86" s="47"/>
      <c r="C86" s="47"/>
      <c r="D86" s="47"/>
      <c r="E86" s="47"/>
      <c r="F86" s="47"/>
      <c r="G86" s="47"/>
      <c r="H86" s="47"/>
    </row>
    <row r="87" spans="1:8" x14ac:dyDescent="0.3">
      <c r="A87" s="47"/>
      <c r="B87" s="47"/>
      <c r="C87" s="47"/>
      <c r="D87" s="47"/>
      <c r="E87" s="47"/>
      <c r="F87" s="47"/>
      <c r="G87" s="47"/>
      <c r="H87" s="47"/>
    </row>
    <row r="88" spans="1:8" x14ac:dyDescent="0.3">
      <c r="A88" s="47"/>
      <c r="B88" s="47"/>
      <c r="C88" s="47"/>
      <c r="D88" s="47"/>
      <c r="E88" s="47"/>
      <c r="F88" s="47"/>
      <c r="G88" s="47"/>
      <c r="H88" s="47"/>
    </row>
    <row r="89" spans="1:8" x14ac:dyDescent="0.3">
      <c r="A89" s="47"/>
      <c r="B89" s="47"/>
      <c r="C89" s="47"/>
      <c r="D89" s="47"/>
      <c r="E89" s="47"/>
      <c r="F89" s="47"/>
      <c r="G89" s="47"/>
      <c r="H89" s="47"/>
    </row>
    <row r="90" spans="1:8" x14ac:dyDescent="0.3">
      <c r="A90" s="47"/>
      <c r="B90" s="47"/>
      <c r="C90" s="47"/>
      <c r="D90" s="47"/>
      <c r="E90" s="47"/>
      <c r="F90" s="47"/>
      <c r="G90" s="47"/>
      <c r="H90" s="47"/>
    </row>
    <row r="91" spans="1:8" x14ac:dyDescent="0.3">
      <c r="A91" s="47"/>
      <c r="B91" s="47"/>
      <c r="C91" s="47"/>
      <c r="D91" s="47"/>
      <c r="E91" s="47"/>
      <c r="F91" s="47"/>
      <c r="G91" s="47"/>
      <c r="H91" s="47"/>
    </row>
    <row r="92" spans="1:8" x14ac:dyDescent="0.3">
      <c r="A92" s="47"/>
      <c r="B92" s="47"/>
      <c r="C92" s="47"/>
      <c r="D92" s="47"/>
      <c r="E92" s="47"/>
      <c r="F92" s="47"/>
      <c r="G92" s="47"/>
      <c r="H92" s="47"/>
    </row>
    <row r="93" spans="1:8" x14ac:dyDescent="0.3">
      <c r="A93" s="47"/>
      <c r="B93" s="47"/>
      <c r="C93" s="47"/>
      <c r="D93" s="47"/>
      <c r="E93" s="47"/>
      <c r="F93" s="47"/>
      <c r="G93" s="47"/>
      <c r="H93" s="47"/>
    </row>
    <row r="94" spans="1:8" x14ac:dyDescent="0.3">
      <c r="A94" s="47"/>
      <c r="B94" s="47"/>
      <c r="C94" s="47"/>
      <c r="D94" s="47"/>
      <c r="E94" s="47"/>
      <c r="F94" s="47"/>
      <c r="G94" s="47"/>
      <c r="H94" s="47"/>
    </row>
    <row r="95" spans="1:8" x14ac:dyDescent="0.3">
      <c r="A95" s="47"/>
      <c r="B95" s="47"/>
      <c r="C95" s="47"/>
      <c r="D95" s="47"/>
      <c r="E95" s="47"/>
      <c r="F95" s="47"/>
      <c r="G95" s="47"/>
      <c r="H95" s="47"/>
    </row>
    <row r="96" spans="1:8" x14ac:dyDescent="0.3">
      <c r="A96" s="47"/>
      <c r="B96" s="47"/>
      <c r="C96" s="47"/>
      <c r="D96" s="47"/>
      <c r="E96" s="47"/>
      <c r="F96" s="47"/>
      <c r="G96" s="47"/>
      <c r="H96" s="47"/>
    </row>
    <row r="97" spans="1:8" x14ac:dyDescent="0.3">
      <c r="A97" s="47"/>
      <c r="B97" s="47"/>
      <c r="C97" s="47"/>
      <c r="D97" s="47"/>
      <c r="E97" s="47"/>
      <c r="F97" s="47"/>
      <c r="G97" s="47"/>
      <c r="H97" s="47"/>
    </row>
    <row r="98" spans="1:8" x14ac:dyDescent="0.3">
      <c r="A98" s="47"/>
      <c r="B98" s="47"/>
      <c r="C98" s="47"/>
      <c r="D98" s="47"/>
      <c r="E98" s="47"/>
      <c r="F98" s="47"/>
      <c r="G98" s="47"/>
      <c r="H98" s="47"/>
    </row>
    <row r="99" spans="1:8" x14ac:dyDescent="0.3">
      <c r="A99" s="47"/>
      <c r="B99" s="47"/>
      <c r="C99" s="47"/>
      <c r="D99" s="47"/>
      <c r="E99" s="47"/>
      <c r="F99" s="47"/>
      <c r="G99" s="47"/>
      <c r="H99" s="47"/>
    </row>
    <row r="100" spans="1:8" x14ac:dyDescent="0.3">
      <c r="A100" s="47"/>
      <c r="B100" s="47"/>
      <c r="C100" s="47"/>
      <c r="D100" s="47"/>
      <c r="E100" s="47"/>
      <c r="F100" s="47"/>
      <c r="G100" s="47"/>
      <c r="H100" s="47"/>
    </row>
    <row r="101" spans="1:8" x14ac:dyDescent="0.3">
      <c r="A101" s="47"/>
      <c r="B101" s="47"/>
      <c r="C101" s="47"/>
      <c r="D101" s="47"/>
      <c r="E101" s="47"/>
      <c r="F101" s="47"/>
      <c r="G101" s="47"/>
      <c r="H101" s="47"/>
    </row>
    <row r="102" spans="1:8" x14ac:dyDescent="0.3">
      <c r="A102" s="47"/>
      <c r="B102" s="47"/>
      <c r="C102" s="47"/>
      <c r="D102" s="47"/>
      <c r="E102" s="47"/>
      <c r="F102" s="47"/>
      <c r="G102" s="47"/>
      <c r="H102" s="47"/>
    </row>
    <row r="103" spans="1:8" x14ac:dyDescent="0.3">
      <c r="A103" s="47"/>
      <c r="B103" s="47"/>
      <c r="C103" s="47"/>
      <c r="D103" s="47"/>
      <c r="E103" s="47"/>
      <c r="F103" s="47"/>
      <c r="G103" s="47"/>
      <c r="H103" s="47"/>
    </row>
    <row r="104" spans="1:8" x14ac:dyDescent="0.3">
      <c r="A104" s="47"/>
      <c r="B104" s="47"/>
      <c r="C104" s="47"/>
      <c r="D104" s="47"/>
      <c r="E104" s="47"/>
      <c r="F104" s="47"/>
      <c r="G104" s="47"/>
      <c r="H104" s="47"/>
    </row>
    <row r="105" spans="1:8" x14ac:dyDescent="0.3">
      <c r="A105" s="47"/>
      <c r="B105" s="47"/>
      <c r="C105" s="47"/>
      <c r="D105" s="47"/>
      <c r="E105" s="47"/>
      <c r="F105" s="47"/>
      <c r="G105" s="47"/>
      <c r="H105" s="47"/>
    </row>
    <row r="106" spans="1:8" x14ac:dyDescent="0.3">
      <c r="A106" s="47"/>
      <c r="B106" s="47"/>
      <c r="C106" s="47"/>
      <c r="D106" s="47"/>
      <c r="E106" s="47"/>
      <c r="F106" s="47"/>
      <c r="G106" s="47"/>
      <c r="H106" s="47"/>
    </row>
    <row r="107" spans="1:8" x14ac:dyDescent="0.3">
      <c r="A107" s="47"/>
      <c r="B107" s="47"/>
      <c r="C107" s="47"/>
      <c r="D107" s="47"/>
      <c r="E107" s="47"/>
      <c r="F107" s="47"/>
      <c r="G107" s="47"/>
      <c r="H107" s="47"/>
    </row>
    <row r="108" spans="1:8" x14ac:dyDescent="0.3">
      <c r="A108" s="47"/>
      <c r="B108" s="47"/>
      <c r="C108" s="47"/>
      <c r="D108" s="47"/>
      <c r="E108" s="47"/>
      <c r="F108" s="47"/>
      <c r="G108" s="47"/>
      <c r="H108" s="47"/>
    </row>
    <row r="109" spans="1:8" x14ac:dyDescent="0.3">
      <c r="A109" s="47"/>
      <c r="B109" s="47"/>
      <c r="C109" s="47"/>
      <c r="D109" s="47"/>
      <c r="E109" s="47"/>
      <c r="F109" s="47"/>
      <c r="G109" s="47"/>
      <c r="H109" s="47"/>
    </row>
    <row r="110" spans="1:8" x14ac:dyDescent="0.3">
      <c r="A110" s="47"/>
      <c r="B110" s="47"/>
      <c r="C110" s="47"/>
      <c r="D110" s="47"/>
      <c r="E110" s="47"/>
      <c r="F110" s="47"/>
      <c r="G110" s="47"/>
      <c r="H110" s="47"/>
    </row>
    <row r="111" spans="1:8" x14ac:dyDescent="0.3">
      <c r="A111" s="47"/>
      <c r="B111" s="47"/>
      <c r="C111" s="47"/>
      <c r="D111" s="47"/>
      <c r="E111" s="47"/>
      <c r="F111" s="47"/>
      <c r="G111" s="47"/>
      <c r="H111" s="47"/>
    </row>
    <row r="112" spans="1:8" x14ac:dyDescent="0.3">
      <c r="A112" s="47"/>
      <c r="B112" s="47"/>
      <c r="C112" s="47"/>
      <c r="D112" s="47"/>
      <c r="E112" s="47"/>
      <c r="F112" s="47"/>
      <c r="G112" s="47"/>
      <c r="H112" s="47"/>
    </row>
    <row r="113" spans="1:8" x14ac:dyDescent="0.3">
      <c r="A113" s="47"/>
      <c r="B113" s="47"/>
      <c r="C113" s="47"/>
      <c r="D113" s="47"/>
      <c r="E113" s="47"/>
      <c r="F113" s="47"/>
      <c r="G113" s="47"/>
      <c r="H113" s="47"/>
    </row>
    <row r="114" spans="1:8" x14ac:dyDescent="0.3">
      <c r="A114" s="47"/>
      <c r="B114" s="47"/>
      <c r="C114" s="47"/>
      <c r="D114" s="47"/>
      <c r="E114" s="47"/>
      <c r="F114" s="47"/>
      <c r="G114" s="47"/>
      <c r="H114" s="47"/>
    </row>
    <row r="115" spans="1:8" x14ac:dyDescent="0.3">
      <c r="A115" s="47"/>
      <c r="B115" s="47"/>
      <c r="C115" s="47"/>
      <c r="D115" s="47"/>
      <c r="E115" s="47"/>
      <c r="F115" s="47"/>
      <c r="G115" s="47"/>
      <c r="H115" s="47"/>
    </row>
    <row r="116" spans="1:8" x14ac:dyDescent="0.3">
      <c r="A116" s="47"/>
      <c r="B116" s="47"/>
      <c r="C116" s="47"/>
      <c r="D116" s="47"/>
      <c r="E116" s="47"/>
      <c r="F116" s="47"/>
      <c r="G116" s="47"/>
      <c r="H116" s="47"/>
    </row>
    <row r="117" spans="1:8" x14ac:dyDescent="0.3">
      <c r="A117" s="47"/>
      <c r="B117" s="47"/>
      <c r="C117" s="47"/>
      <c r="D117" s="47"/>
      <c r="E117" s="47"/>
      <c r="F117" s="47"/>
      <c r="G117" s="47"/>
      <c r="H117" s="47"/>
    </row>
    <row r="118" spans="1:8" x14ac:dyDescent="0.3">
      <c r="A118" s="47"/>
      <c r="B118" s="47"/>
      <c r="C118" s="47"/>
      <c r="D118" s="47"/>
      <c r="E118" s="47"/>
      <c r="F118" s="47"/>
      <c r="G118" s="47"/>
      <c r="H118" s="47"/>
    </row>
    <row r="119" spans="1:8" x14ac:dyDescent="0.3">
      <c r="A119" s="47"/>
      <c r="B119" s="47"/>
      <c r="C119" s="47"/>
      <c r="D119" s="47"/>
      <c r="E119" s="47"/>
      <c r="F119" s="47"/>
      <c r="G119" s="47"/>
      <c r="H119" s="47"/>
    </row>
    <row r="120" spans="1:8" x14ac:dyDescent="0.3">
      <c r="A120" s="47"/>
      <c r="B120" s="47"/>
      <c r="C120" s="47"/>
      <c r="D120" s="47"/>
      <c r="E120" s="47"/>
      <c r="F120" s="47"/>
      <c r="G120" s="47"/>
      <c r="H120" s="47"/>
    </row>
    <row r="121" spans="1:8" x14ac:dyDescent="0.3">
      <c r="A121" s="47"/>
      <c r="B121" s="47"/>
      <c r="C121" s="47"/>
      <c r="D121" s="47"/>
      <c r="E121" s="47"/>
      <c r="F121" s="47"/>
      <c r="G121" s="47"/>
      <c r="H121" s="47"/>
    </row>
    <row r="122" spans="1:8" x14ac:dyDescent="0.3">
      <c r="A122" s="47"/>
      <c r="B122" s="47"/>
      <c r="C122" s="47"/>
      <c r="D122" s="47"/>
      <c r="E122" s="47"/>
      <c r="F122" s="47"/>
      <c r="G122" s="47"/>
      <c r="H122" s="47"/>
    </row>
    <row r="123" spans="1:8" x14ac:dyDescent="0.3">
      <c r="A123" s="47"/>
      <c r="B123" s="47"/>
      <c r="C123" s="47"/>
      <c r="D123" s="47"/>
      <c r="E123" s="47"/>
      <c r="F123" s="47"/>
      <c r="G123" s="47"/>
      <c r="H123" s="47"/>
    </row>
    <row r="124" spans="1:8" x14ac:dyDescent="0.3">
      <c r="A124" s="47"/>
      <c r="B124" s="47"/>
      <c r="C124" s="47"/>
      <c r="D124" s="47"/>
      <c r="E124" s="47"/>
      <c r="F124" s="47"/>
      <c r="G124" s="47"/>
      <c r="H124" s="47"/>
    </row>
    <row r="125" spans="1:8" x14ac:dyDescent="0.3">
      <c r="A125" s="47"/>
      <c r="B125" s="47"/>
      <c r="C125" s="47"/>
      <c r="D125" s="47"/>
      <c r="E125" s="47"/>
      <c r="F125" s="47"/>
      <c r="G125" s="47"/>
      <c r="H125" s="47"/>
    </row>
    <row r="126" spans="1:8" x14ac:dyDescent="0.3">
      <c r="A126" s="47"/>
      <c r="B126" s="47"/>
      <c r="C126" s="47"/>
      <c r="D126" s="47"/>
      <c r="E126" s="47"/>
      <c r="F126" s="47"/>
      <c r="G126" s="47"/>
      <c r="H126" s="47"/>
    </row>
    <row r="127" spans="1:8" x14ac:dyDescent="0.3">
      <c r="A127" s="47"/>
      <c r="B127" s="47"/>
      <c r="C127" s="47"/>
      <c r="D127" s="47"/>
      <c r="E127" s="47"/>
      <c r="F127" s="47"/>
      <c r="G127" s="47"/>
      <c r="H127" s="47"/>
    </row>
    <row r="128" spans="1:8" x14ac:dyDescent="0.3">
      <c r="A128" s="47"/>
      <c r="B128" s="47"/>
      <c r="C128" s="47"/>
      <c r="D128" s="47"/>
      <c r="E128" s="47"/>
      <c r="F128" s="47"/>
      <c r="G128" s="47"/>
      <c r="H128" s="47"/>
    </row>
    <row r="129" spans="1:8" x14ac:dyDescent="0.3">
      <c r="A129" s="47"/>
      <c r="B129" s="47"/>
      <c r="C129" s="47"/>
      <c r="D129" s="47"/>
      <c r="E129" s="47"/>
      <c r="F129" s="47"/>
      <c r="G129" s="47"/>
      <c r="H129" s="47"/>
    </row>
    <row r="130" spans="1:8" x14ac:dyDescent="0.3">
      <c r="A130" s="47"/>
      <c r="B130" s="47"/>
      <c r="C130" s="47"/>
      <c r="D130" s="47"/>
      <c r="E130" s="47"/>
      <c r="F130" s="47"/>
      <c r="G130" s="47"/>
      <c r="H130" s="47"/>
    </row>
    <row r="131" spans="1:8" x14ac:dyDescent="0.3">
      <c r="A131" s="47"/>
      <c r="B131" s="47"/>
      <c r="C131" s="47"/>
      <c r="D131" s="47"/>
      <c r="E131" s="47"/>
      <c r="F131" s="47"/>
      <c r="G131" s="47"/>
      <c r="H131" s="47"/>
    </row>
    <row r="132" spans="1:8" x14ac:dyDescent="0.3">
      <c r="A132" s="47"/>
      <c r="B132" s="47"/>
      <c r="C132" s="47"/>
      <c r="D132" s="47"/>
      <c r="E132" s="47"/>
      <c r="F132" s="47"/>
      <c r="G132" s="47"/>
      <c r="H132" s="47"/>
    </row>
    <row r="133" spans="1:8" x14ac:dyDescent="0.3">
      <c r="A133" s="47"/>
      <c r="B133" s="47"/>
      <c r="C133" s="47"/>
      <c r="D133" s="47"/>
      <c r="E133" s="47"/>
      <c r="F133" s="47"/>
      <c r="G133" s="47"/>
      <c r="H133" s="47"/>
    </row>
    <row r="134" spans="1:8" x14ac:dyDescent="0.3">
      <c r="A134" s="47"/>
      <c r="B134" s="47"/>
      <c r="C134" s="47"/>
      <c r="D134" s="47"/>
      <c r="E134" s="47"/>
      <c r="F134" s="47"/>
      <c r="G134" s="47"/>
      <c r="H134" s="47"/>
    </row>
    <row r="135" spans="1:8" x14ac:dyDescent="0.3">
      <c r="A135" s="47"/>
      <c r="B135" s="47"/>
      <c r="C135" s="47"/>
      <c r="D135" s="47"/>
      <c r="E135" s="47"/>
      <c r="F135" s="47"/>
      <c r="G135" s="47"/>
      <c r="H135" s="47"/>
    </row>
    <row r="136" spans="1:8" x14ac:dyDescent="0.3">
      <c r="A136" s="47"/>
      <c r="B136" s="47"/>
      <c r="C136" s="47"/>
      <c r="D136" s="47"/>
      <c r="E136" s="47"/>
      <c r="F136" s="47"/>
      <c r="G136" s="47"/>
      <c r="H136" s="47"/>
    </row>
    <row r="137" spans="1:8" x14ac:dyDescent="0.3">
      <c r="A137" s="47"/>
      <c r="B137" s="47"/>
      <c r="C137" s="47"/>
      <c r="D137" s="47"/>
      <c r="E137" s="47"/>
      <c r="F137" s="47"/>
      <c r="G137" s="47"/>
      <c r="H137" s="47"/>
    </row>
    <row r="138" spans="1:8" x14ac:dyDescent="0.3">
      <c r="A138" s="47"/>
      <c r="B138" s="47"/>
      <c r="C138" s="47"/>
      <c r="D138" s="47"/>
      <c r="E138" s="47"/>
      <c r="F138" s="47"/>
      <c r="G138" s="47"/>
      <c r="H138" s="47"/>
    </row>
    <row r="139" spans="1:8" x14ac:dyDescent="0.3">
      <c r="A139" s="47"/>
      <c r="B139" s="47"/>
      <c r="C139" s="47"/>
      <c r="D139" s="47"/>
      <c r="E139" s="47"/>
      <c r="F139" s="47"/>
      <c r="G139" s="47"/>
      <c r="H139" s="47"/>
    </row>
    <row r="140" spans="1:8" x14ac:dyDescent="0.3">
      <c r="A140" s="47"/>
      <c r="B140" s="47"/>
      <c r="C140" s="47"/>
      <c r="D140" s="47"/>
      <c r="E140" s="47"/>
      <c r="F140" s="47"/>
      <c r="G140" s="47"/>
      <c r="H140" s="47"/>
    </row>
    <row r="141" spans="1:8" x14ac:dyDescent="0.3">
      <c r="A141" s="47"/>
      <c r="B141" s="47"/>
      <c r="C141" s="47"/>
      <c r="D141" s="47"/>
      <c r="E141" s="47"/>
      <c r="F141" s="47"/>
      <c r="G141" s="47"/>
      <c r="H141" s="47"/>
    </row>
    <row r="142" spans="1:8" x14ac:dyDescent="0.3">
      <c r="A142" s="47"/>
      <c r="B142" s="47"/>
      <c r="C142" s="47"/>
      <c r="D142" s="47"/>
      <c r="E142" s="47"/>
      <c r="F142" s="47"/>
      <c r="G142" s="47"/>
      <c r="H142" s="47"/>
    </row>
    <row r="143" spans="1:8" x14ac:dyDescent="0.3">
      <c r="A143" s="47"/>
      <c r="B143" s="47"/>
      <c r="C143" s="47"/>
      <c r="D143" s="47"/>
      <c r="E143" s="47"/>
      <c r="F143" s="47"/>
      <c r="G143" s="47"/>
      <c r="H143" s="47"/>
    </row>
    <row r="144" spans="1:8" x14ac:dyDescent="0.3">
      <c r="A144" s="47"/>
      <c r="B144" s="47"/>
      <c r="C144" s="47"/>
      <c r="D144" s="47"/>
      <c r="E144" s="47"/>
      <c r="F144" s="47"/>
      <c r="G144" s="47"/>
      <c r="H144" s="47"/>
    </row>
    <row r="145" spans="1:8" x14ac:dyDescent="0.3">
      <c r="A145" s="47"/>
      <c r="B145" s="47"/>
      <c r="C145" s="47"/>
      <c r="D145" s="47"/>
      <c r="E145" s="47"/>
      <c r="F145" s="47"/>
      <c r="G145" s="47"/>
      <c r="H145" s="47"/>
    </row>
    <row r="146" spans="1:8" x14ac:dyDescent="0.3">
      <c r="A146" s="47"/>
      <c r="B146" s="47"/>
      <c r="C146" s="47"/>
      <c r="D146" s="47"/>
      <c r="E146" s="47"/>
      <c r="F146" s="47"/>
      <c r="G146" s="47"/>
      <c r="H146" s="47"/>
    </row>
    <row r="147" spans="1:8" x14ac:dyDescent="0.3">
      <c r="A147" s="47"/>
      <c r="B147" s="47"/>
      <c r="C147" s="47"/>
      <c r="D147" s="47"/>
      <c r="E147" s="47"/>
      <c r="F147" s="47"/>
      <c r="G147" s="47"/>
      <c r="H147" s="47"/>
    </row>
    <row r="148" spans="1:8" x14ac:dyDescent="0.3">
      <c r="A148" s="47"/>
      <c r="B148" s="47"/>
      <c r="C148" s="47"/>
      <c r="D148" s="47"/>
      <c r="E148" s="47"/>
      <c r="F148" s="47"/>
      <c r="G148" s="47"/>
      <c r="H148" s="47"/>
    </row>
    <row r="149" spans="1:8" x14ac:dyDescent="0.3">
      <c r="A149" s="47"/>
      <c r="B149" s="47"/>
      <c r="C149" s="47"/>
      <c r="D149" s="47"/>
      <c r="E149" s="47"/>
      <c r="F149" s="47"/>
      <c r="G149" s="47"/>
      <c r="H149" s="47"/>
    </row>
    <row r="150" spans="1:8" x14ac:dyDescent="0.3">
      <c r="A150" s="47"/>
      <c r="B150" s="47"/>
      <c r="C150" s="47"/>
      <c r="D150" s="47"/>
      <c r="E150" s="47"/>
      <c r="F150" s="47"/>
      <c r="G150" s="47"/>
      <c r="H150" s="47"/>
    </row>
    <row r="151" spans="1:8" x14ac:dyDescent="0.3">
      <c r="A151" s="47"/>
      <c r="B151" s="47"/>
      <c r="C151" s="47"/>
      <c r="D151" s="47"/>
      <c r="E151" s="47"/>
      <c r="F151" s="47"/>
      <c r="G151" s="47"/>
      <c r="H151" s="47"/>
    </row>
    <row r="152" spans="1:8" x14ac:dyDescent="0.3">
      <c r="A152" s="47"/>
      <c r="B152" s="47"/>
      <c r="C152" s="47"/>
      <c r="D152" s="47"/>
      <c r="E152" s="47"/>
      <c r="F152" s="47"/>
      <c r="G152" s="47"/>
      <c r="H152" s="47"/>
    </row>
    <row r="153" spans="1:8" x14ac:dyDescent="0.3">
      <c r="A153" s="47"/>
      <c r="B153" s="47"/>
      <c r="C153" s="47"/>
      <c r="D153" s="47"/>
      <c r="E153" s="47"/>
      <c r="F153" s="47"/>
      <c r="G153" s="47"/>
      <c r="H153" s="47"/>
    </row>
    <row r="154" spans="1:8" x14ac:dyDescent="0.3">
      <c r="A154" s="47"/>
      <c r="B154" s="47"/>
      <c r="C154" s="47"/>
      <c r="D154" s="47"/>
      <c r="E154" s="47"/>
      <c r="F154" s="47"/>
      <c r="G154" s="47"/>
      <c r="H154" s="47"/>
    </row>
    <row r="155" spans="1:8" x14ac:dyDescent="0.3">
      <c r="A155" s="47"/>
      <c r="B155" s="47"/>
      <c r="C155" s="47"/>
      <c r="D155" s="47"/>
      <c r="E155" s="47"/>
      <c r="F155" s="47"/>
      <c r="G155" s="47"/>
      <c r="H155" s="47"/>
    </row>
    <row r="156" spans="1:8" x14ac:dyDescent="0.3">
      <c r="A156" s="47"/>
      <c r="B156" s="47"/>
      <c r="C156" s="47"/>
      <c r="D156" s="47"/>
      <c r="E156" s="47"/>
      <c r="F156" s="47"/>
      <c r="G156" s="47"/>
      <c r="H156" s="47"/>
    </row>
    <row r="157" spans="1:8" x14ac:dyDescent="0.3">
      <c r="A157" s="47"/>
      <c r="B157" s="47"/>
      <c r="C157" s="47"/>
      <c r="D157" s="47"/>
      <c r="E157" s="47"/>
      <c r="F157" s="47"/>
      <c r="G157" s="47"/>
      <c r="H157" s="47"/>
    </row>
    <row r="158" spans="1:8" x14ac:dyDescent="0.3">
      <c r="A158" s="47"/>
      <c r="B158" s="47"/>
      <c r="C158" s="47"/>
      <c r="D158" s="47"/>
      <c r="E158" s="47"/>
      <c r="F158" s="47"/>
      <c r="G158" s="47"/>
      <c r="H158" s="47"/>
    </row>
    <row r="159" spans="1:8" x14ac:dyDescent="0.3">
      <c r="A159" s="47"/>
      <c r="B159" s="47"/>
      <c r="C159" s="47"/>
      <c r="D159" s="47"/>
      <c r="E159" s="47"/>
      <c r="F159" s="47"/>
      <c r="G159" s="47"/>
      <c r="H159" s="47"/>
    </row>
    <row r="160" spans="1:8" x14ac:dyDescent="0.3">
      <c r="A160" s="47"/>
      <c r="B160" s="47"/>
      <c r="C160" s="47"/>
      <c r="D160" s="47"/>
      <c r="E160" s="47"/>
      <c r="F160" s="47"/>
      <c r="G160" s="47"/>
      <c r="H160" s="47"/>
    </row>
    <row r="161" spans="1:8" x14ac:dyDescent="0.3">
      <c r="A161" s="47"/>
      <c r="B161" s="47"/>
      <c r="C161" s="47"/>
      <c r="D161" s="47"/>
      <c r="E161" s="47"/>
      <c r="F161" s="47"/>
      <c r="G161" s="47"/>
      <c r="H161" s="47"/>
    </row>
    <row r="162" spans="1:8" x14ac:dyDescent="0.3">
      <c r="A162" s="47"/>
      <c r="B162" s="47"/>
      <c r="C162" s="47"/>
      <c r="D162" s="47"/>
      <c r="E162" s="47"/>
      <c r="F162" s="47"/>
      <c r="G162" s="47"/>
      <c r="H162" s="47"/>
    </row>
    <row r="163" spans="1:8" x14ac:dyDescent="0.3">
      <c r="A163" s="47"/>
      <c r="B163" s="47"/>
      <c r="C163" s="47"/>
      <c r="D163" s="47"/>
      <c r="E163" s="47"/>
      <c r="F163" s="47"/>
      <c r="G163" s="47"/>
      <c r="H163" s="47"/>
    </row>
    <row r="164" spans="1:8" x14ac:dyDescent="0.3">
      <c r="A164" s="47"/>
      <c r="B164" s="47"/>
      <c r="C164" s="47"/>
      <c r="D164" s="47"/>
      <c r="E164" s="47"/>
      <c r="F164" s="47"/>
      <c r="G164" s="47"/>
      <c r="H164" s="47"/>
    </row>
    <row r="165" spans="1:8" x14ac:dyDescent="0.3">
      <c r="A165" s="47"/>
      <c r="B165" s="47"/>
      <c r="C165" s="47"/>
      <c r="D165" s="47"/>
      <c r="E165" s="47"/>
      <c r="F165" s="47"/>
      <c r="G165" s="47"/>
      <c r="H165" s="47"/>
    </row>
    <row r="166" spans="1:8" x14ac:dyDescent="0.3">
      <c r="A166" s="47"/>
      <c r="B166" s="47"/>
      <c r="C166" s="47"/>
      <c r="D166" s="47"/>
      <c r="E166" s="47"/>
      <c r="F166" s="47"/>
      <c r="G166" s="47"/>
      <c r="H166" s="47"/>
    </row>
    <row r="167" spans="1:8" x14ac:dyDescent="0.3">
      <c r="A167" s="47"/>
      <c r="B167" s="47"/>
      <c r="C167" s="47"/>
      <c r="D167" s="47"/>
      <c r="E167" s="47"/>
      <c r="F167" s="47"/>
      <c r="G167" s="47"/>
      <c r="H167" s="47"/>
    </row>
    <row r="168" spans="1:8" x14ac:dyDescent="0.3">
      <c r="A168" s="47"/>
      <c r="B168" s="47"/>
      <c r="C168" s="47"/>
      <c r="D168" s="47"/>
      <c r="E168" s="47"/>
      <c r="F168" s="47"/>
      <c r="G168" s="47"/>
      <c r="H168" s="47"/>
    </row>
    <row r="169" spans="1:8" x14ac:dyDescent="0.3">
      <c r="A169" s="47"/>
      <c r="B169" s="47"/>
      <c r="C169" s="47"/>
      <c r="D169" s="47"/>
      <c r="E169" s="47"/>
      <c r="F169" s="47"/>
      <c r="G169" s="47"/>
      <c r="H169" s="47"/>
    </row>
    <row r="170" spans="1:8" x14ac:dyDescent="0.3">
      <c r="A170" s="47"/>
      <c r="B170" s="47"/>
      <c r="C170" s="47"/>
      <c r="D170" s="47"/>
      <c r="E170" s="47"/>
      <c r="F170" s="47"/>
      <c r="G170" s="47"/>
      <c r="H170" s="47"/>
    </row>
    <row r="171" spans="1:8" x14ac:dyDescent="0.3">
      <c r="A171" s="47"/>
      <c r="B171" s="47"/>
      <c r="C171" s="47"/>
      <c r="D171" s="47"/>
      <c r="E171" s="47"/>
      <c r="F171" s="47"/>
      <c r="G171" s="47"/>
      <c r="H171" s="47"/>
    </row>
    <row r="172" spans="1:8" x14ac:dyDescent="0.3">
      <c r="A172" s="47"/>
      <c r="B172" s="47"/>
      <c r="C172" s="47"/>
      <c r="D172" s="47"/>
      <c r="E172" s="47"/>
      <c r="F172" s="47"/>
      <c r="G172" s="47"/>
      <c r="H172" s="47"/>
    </row>
    <row r="173" spans="1:8" x14ac:dyDescent="0.3">
      <c r="A173" s="47"/>
      <c r="B173" s="47"/>
      <c r="C173" s="47"/>
      <c r="D173" s="47"/>
      <c r="E173" s="47"/>
      <c r="F173" s="47"/>
      <c r="G173" s="47"/>
      <c r="H173" s="47"/>
    </row>
    <row r="174" spans="1:8" x14ac:dyDescent="0.3">
      <c r="A174" s="47"/>
      <c r="B174" s="47"/>
      <c r="C174" s="47"/>
      <c r="D174" s="47"/>
      <c r="E174" s="47"/>
      <c r="F174" s="47"/>
      <c r="G174" s="47"/>
      <c r="H174" s="47"/>
    </row>
    <row r="175" spans="1:8" x14ac:dyDescent="0.3">
      <c r="A175" s="47"/>
      <c r="B175" s="47"/>
      <c r="C175" s="47"/>
      <c r="D175" s="47"/>
      <c r="E175" s="47"/>
      <c r="F175" s="47"/>
      <c r="G175" s="47"/>
      <c r="H175" s="47"/>
    </row>
    <row r="176" spans="1:8" x14ac:dyDescent="0.3">
      <c r="A176" s="47"/>
      <c r="B176" s="47"/>
      <c r="C176" s="47"/>
      <c r="D176" s="47"/>
      <c r="E176" s="47"/>
      <c r="F176" s="47"/>
      <c r="G176" s="47"/>
      <c r="H176" s="47"/>
    </row>
    <row r="177" spans="1:8" x14ac:dyDescent="0.3">
      <c r="A177" s="47"/>
      <c r="B177" s="47"/>
      <c r="C177" s="47"/>
      <c r="D177" s="47"/>
      <c r="E177" s="47"/>
      <c r="F177" s="47"/>
      <c r="G177" s="47"/>
      <c r="H177" s="47"/>
    </row>
    <row r="178" spans="1:8" x14ac:dyDescent="0.3">
      <c r="A178" s="47"/>
      <c r="B178" s="47"/>
      <c r="C178" s="47"/>
      <c r="D178" s="47"/>
      <c r="E178" s="47"/>
      <c r="F178" s="47"/>
      <c r="G178" s="47"/>
      <c r="H178" s="47"/>
    </row>
    <row r="179" spans="1:8" x14ac:dyDescent="0.3">
      <c r="A179" s="47"/>
      <c r="B179" s="47"/>
      <c r="C179" s="47"/>
      <c r="D179" s="47"/>
      <c r="E179" s="47"/>
      <c r="F179" s="47"/>
      <c r="G179" s="47"/>
      <c r="H179" s="47"/>
    </row>
    <row r="180" spans="1:8" x14ac:dyDescent="0.3">
      <c r="A180" s="47"/>
      <c r="B180" s="47"/>
      <c r="C180" s="47"/>
      <c r="D180" s="47"/>
      <c r="E180" s="47"/>
      <c r="F180" s="47"/>
      <c r="G180" s="47"/>
      <c r="H180" s="47"/>
    </row>
    <row r="181" spans="1:8" x14ac:dyDescent="0.3">
      <c r="A181" s="47"/>
      <c r="B181" s="47"/>
      <c r="C181" s="47"/>
      <c r="D181" s="47"/>
      <c r="E181" s="47"/>
      <c r="F181" s="47"/>
      <c r="G181" s="47"/>
      <c r="H181" s="47"/>
    </row>
    <row r="182" spans="1:8" x14ac:dyDescent="0.3">
      <c r="A182" s="47"/>
      <c r="B182" s="47"/>
      <c r="C182" s="47"/>
      <c r="D182" s="47"/>
      <c r="E182" s="47"/>
      <c r="F182" s="47"/>
      <c r="G182" s="47"/>
      <c r="H182" s="47"/>
    </row>
    <row r="183" spans="1:8" x14ac:dyDescent="0.3">
      <c r="A183" s="47"/>
      <c r="B183" s="47"/>
      <c r="C183" s="47"/>
      <c r="D183" s="47"/>
      <c r="E183" s="47"/>
      <c r="F183" s="47"/>
      <c r="G183" s="47"/>
      <c r="H183" s="47"/>
    </row>
    <row r="184" spans="1:8" x14ac:dyDescent="0.3">
      <c r="A184" s="47"/>
      <c r="B184" s="47"/>
      <c r="C184" s="47"/>
      <c r="D184" s="47"/>
      <c r="E184" s="47"/>
      <c r="F184" s="47"/>
      <c r="G184" s="47"/>
      <c r="H184" s="47"/>
    </row>
    <row r="185" spans="1:8" x14ac:dyDescent="0.3">
      <c r="A185" s="47"/>
      <c r="B185" s="47"/>
      <c r="C185" s="47"/>
      <c r="D185" s="47"/>
      <c r="E185" s="47"/>
      <c r="F185" s="47"/>
      <c r="G185" s="47"/>
      <c r="H185" s="47"/>
    </row>
    <row r="186" spans="1:8" x14ac:dyDescent="0.3">
      <c r="A186" s="47"/>
      <c r="B186" s="47"/>
      <c r="C186" s="47"/>
      <c r="D186" s="47"/>
      <c r="E186" s="47"/>
      <c r="F186" s="47"/>
      <c r="G186" s="47"/>
      <c r="H186" s="47"/>
    </row>
    <row r="187" spans="1:8" x14ac:dyDescent="0.3">
      <c r="A187" s="47"/>
      <c r="B187" s="47"/>
      <c r="C187" s="47"/>
      <c r="D187" s="47"/>
      <c r="E187" s="47"/>
      <c r="F187" s="47"/>
      <c r="G187" s="47"/>
      <c r="H187" s="47"/>
    </row>
    <row r="188" spans="1:8" x14ac:dyDescent="0.3">
      <c r="A188" s="47"/>
      <c r="B188" s="47"/>
      <c r="C188" s="47"/>
      <c r="D188" s="47"/>
      <c r="E188" s="47"/>
      <c r="F188" s="47"/>
      <c r="G188" s="47"/>
      <c r="H188" s="47"/>
    </row>
    <row r="189" spans="1:8" x14ac:dyDescent="0.3">
      <c r="A189" s="47"/>
      <c r="B189" s="47"/>
      <c r="C189" s="47"/>
      <c r="D189" s="47"/>
      <c r="E189" s="47"/>
      <c r="F189" s="47"/>
      <c r="G189" s="47"/>
      <c r="H189" s="47"/>
    </row>
    <row r="190" spans="1:8" x14ac:dyDescent="0.3">
      <c r="A190" s="47"/>
      <c r="B190" s="47"/>
      <c r="C190" s="47"/>
      <c r="D190" s="47"/>
      <c r="E190" s="47"/>
      <c r="F190" s="47"/>
      <c r="G190" s="47"/>
      <c r="H190" s="47"/>
    </row>
    <row r="191" spans="1:8" x14ac:dyDescent="0.3">
      <c r="A191" s="47"/>
      <c r="B191" s="47"/>
      <c r="C191" s="47"/>
      <c r="D191" s="47"/>
      <c r="E191" s="47"/>
      <c r="F191" s="47"/>
      <c r="G191" s="47"/>
      <c r="H191" s="47"/>
    </row>
    <row r="192" spans="1:8" x14ac:dyDescent="0.3">
      <c r="A192" s="47"/>
      <c r="B192" s="47"/>
      <c r="C192" s="47"/>
      <c r="D192" s="47"/>
      <c r="E192" s="47"/>
      <c r="F192" s="47"/>
      <c r="G192" s="47"/>
      <c r="H192" s="47"/>
    </row>
    <row r="193" spans="1:8" x14ac:dyDescent="0.3">
      <c r="A193" s="47"/>
      <c r="B193" s="47"/>
      <c r="C193" s="47"/>
      <c r="D193" s="47"/>
      <c r="E193" s="47"/>
      <c r="F193" s="47"/>
      <c r="G193" s="47"/>
      <c r="H193" s="47"/>
    </row>
    <row r="194" spans="1:8" x14ac:dyDescent="0.3">
      <c r="A194" s="47"/>
      <c r="B194" s="47"/>
      <c r="C194" s="47"/>
      <c r="D194" s="47"/>
      <c r="E194" s="47"/>
      <c r="F194" s="47"/>
      <c r="G194" s="47"/>
      <c r="H194" s="47"/>
    </row>
    <row r="195" spans="1:8" x14ac:dyDescent="0.3">
      <c r="A195" s="47"/>
      <c r="B195" s="47"/>
      <c r="C195" s="47"/>
      <c r="D195" s="47"/>
      <c r="E195" s="47"/>
      <c r="F195" s="47"/>
      <c r="G195" s="47"/>
      <c r="H195" s="47"/>
    </row>
    <row r="196" spans="1:8" x14ac:dyDescent="0.3">
      <c r="A196" s="47"/>
      <c r="B196" s="47"/>
      <c r="C196" s="47"/>
      <c r="D196" s="47"/>
      <c r="E196" s="47"/>
      <c r="F196" s="47"/>
      <c r="G196" s="47"/>
      <c r="H196" s="47"/>
    </row>
    <row r="197" spans="1:8" x14ac:dyDescent="0.3">
      <c r="A197" s="47"/>
      <c r="B197" s="47"/>
      <c r="C197" s="47"/>
      <c r="D197" s="47"/>
      <c r="E197" s="47"/>
      <c r="F197" s="47"/>
      <c r="G197" s="47"/>
      <c r="H197" s="47"/>
    </row>
    <row r="198" spans="1:8" x14ac:dyDescent="0.3">
      <c r="A198" s="47"/>
      <c r="B198" s="47"/>
      <c r="C198" s="47"/>
      <c r="D198" s="47"/>
      <c r="E198" s="47"/>
      <c r="F198" s="47"/>
      <c r="G198" s="47"/>
      <c r="H198" s="47"/>
    </row>
    <row r="199" spans="1:8" x14ac:dyDescent="0.3">
      <c r="A199" s="47"/>
      <c r="B199" s="47"/>
      <c r="C199" s="47"/>
      <c r="D199" s="47"/>
      <c r="E199" s="47"/>
      <c r="F199" s="47"/>
      <c r="G199" s="47"/>
      <c r="H199" s="47"/>
    </row>
    <row r="200" spans="1:8" x14ac:dyDescent="0.3">
      <c r="A200" s="47"/>
      <c r="B200" s="47"/>
      <c r="C200" s="47"/>
      <c r="D200" s="47"/>
      <c r="E200" s="47"/>
      <c r="F200" s="47"/>
      <c r="G200" s="47"/>
      <c r="H200" s="47"/>
    </row>
    <row r="201" spans="1:8" x14ac:dyDescent="0.3">
      <c r="A201" s="47"/>
      <c r="B201" s="47"/>
      <c r="C201" s="47"/>
      <c r="D201" s="47"/>
      <c r="E201" s="47"/>
      <c r="F201" s="47"/>
      <c r="G201" s="47"/>
      <c r="H201" s="47"/>
    </row>
    <row r="202" spans="1:8" x14ac:dyDescent="0.3">
      <c r="A202" s="47"/>
      <c r="B202" s="47"/>
      <c r="C202" s="47"/>
      <c r="D202" s="47"/>
      <c r="E202" s="47"/>
      <c r="F202" s="47"/>
      <c r="G202" s="47"/>
      <c r="H202" s="47"/>
    </row>
    <row r="203" spans="1:8" x14ac:dyDescent="0.3">
      <c r="A203" s="47"/>
      <c r="B203" s="47"/>
      <c r="C203" s="47"/>
      <c r="D203" s="47"/>
      <c r="E203" s="47"/>
      <c r="F203" s="47"/>
      <c r="G203" s="47"/>
      <c r="H203" s="47"/>
    </row>
    <row r="204" spans="1:8" x14ac:dyDescent="0.3">
      <c r="A204" s="47"/>
      <c r="B204" s="47"/>
      <c r="C204" s="47"/>
      <c r="D204" s="47"/>
      <c r="E204" s="47"/>
      <c r="F204" s="47"/>
      <c r="G204" s="47"/>
      <c r="H204" s="47"/>
    </row>
    <row r="205" spans="1:8" x14ac:dyDescent="0.3">
      <c r="A205" s="47"/>
      <c r="B205" s="47"/>
      <c r="C205" s="47"/>
      <c r="D205" s="47"/>
      <c r="E205" s="47"/>
      <c r="F205" s="47"/>
      <c r="G205" s="47"/>
      <c r="H205" s="47"/>
    </row>
    <row r="206" spans="1:8" x14ac:dyDescent="0.3">
      <c r="A206" s="47"/>
      <c r="B206" s="47"/>
      <c r="C206" s="47"/>
      <c r="D206" s="47"/>
      <c r="E206" s="47"/>
      <c r="F206" s="47"/>
      <c r="G206" s="47"/>
      <c r="H206" s="47"/>
    </row>
    <row r="207" spans="1:8" x14ac:dyDescent="0.3">
      <c r="A207" s="47"/>
      <c r="B207" s="47"/>
      <c r="C207" s="47"/>
      <c r="D207" s="47"/>
      <c r="E207" s="47"/>
      <c r="F207" s="47"/>
      <c r="G207" s="47"/>
      <c r="H207" s="47"/>
    </row>
    <row r="208" spans="1:8" x14ac:dyDescent="0.3">
      <c r="A208" s="47"/>
      <c r="B208" s="47"/>
      <c r="C208" s="47"/>
      <c r="D208" s="47"/>
      <c r="E208" s="47"/>
      <c r="F208" s="47"/>
      <c r="G208" s="47"/>
      <c r="H208" s="47"/>
    </row>
    <row r="209" spans="1:8" x14ac:dyDescent="0.3">
      <c r="A209" s="47"/>
      <c r="B209" s="47"/>
      <c r="C209" s="47"/>
      <c r="D209" s="47"/>
      <c r="E209" s="47"/>
      <c r="F209" s="47"/>
      <c r="G209" s="47"/>
      <c r="H209" s="47"/>
    </row>
    <row r="210" spans="1:8" x14ac:dyDescent="0.3">
      <c r="A210" s="47"/>
      <c r="B210" s="47"/>
      <c r="C210" s="47"/>
      <c r="D210" s="47"/>
      <c r="E210" s="47"/>
      <c r="F210" s="47"/>
      <c r="G210" s="47"/>
      <c r="H210" s="47"/>
    </row>
    <row r="211" spans="1:8" x14ac:dyDescent="0.3">
      <c r="A211" s="47"/>
      <c r="B211" s="47"/>
      <c r="C211" s="47"/>
      <c r="D211" s="47"/>
      <c r="E211" s="47"/>
      <c r="F211" s="47"/>
      <c r="G211" s="47"/>
      <c r="H211" s="47"/>
    </row>
    <row r="212" spans="1:8" x14ac:dyDescent="0.3">
      <c r="A212" s="47"/>
      <c r="B212" s="47"/>
      <c r="C212" s="47"/>
      <c r="D212" s="47"/>
      <c r="E212" s="47"/>
      <c r="F212" s="47"/>
      <c r="G212" s="47"/>
      <c r="H212" s="47"/>
    </row>
    <row r="213" spans="1:8" x14ac:dyDescent="0.3">
      <c r="A213" s="47"/>
      <c r="B213" s="47"/>
      <c r="C213" s="47"/>
      <c r="D213" s="47"/>
      <c r="E213" s="47"/>
      <c r="F213" s="47"/>
      <c r="G213" s="47"/>
      <c r="H213" s="47"/>
    </row>
    <row r="214" spans="1:8" x14ac:dyDescent="0.3">
      <c r="A214" s="47"/>
      <c r="B214" s="47"/>
      <c r="C214" s="47"/>
      <c r="D214" s="47"/>
      <c r="E214" s="47"/>
      <c r="F214" s="47"/>
      <c r="G214" s="47"/>
      <c r="H214" s="47"/>
    </row>
    <row r="215" spans="1:8" x14ac:dyDescent="0.3">
      <c r="A215" s="47"/>
      <c r="B215" s="47"/>
      <c r="C215" s="47"/>
      <c r="D215" s="47"/>
      <c r="E215" s="47"/>
      <c r="F215" s="47"/>
      <c r="G215" s="47"/>
      <c r="H215" s="47"/>
    </row>
    <row r="216" spans="1:8" x14ac:dyDescent="0.3">
      <c r="A216" s="47"/>
      <c r="B216" s="47"/>
      <c r="C216" s="47"/>
      <c r="D216" s="47"/>
      <c r="E216" s="47"/>
      <c r="F216" s="47"/>
      <c r="G216" s="47"/>
      <c r="H216" s="47"/>
    </row>
    <row r="217" spans="1:8" x14ac:dyDescent="0.3">
      <c r="A217" s="47"/>
      <c r="B217" s="47"/>
      <c r="C217" s="47"/>
      <c r="D217" s="47"/>
      <c r="E217" s="47"/>
      <c r="F217" s="47"/>
      <c r="G217" s="47"/>
      <c r="H217" s="47"/>
    </row>
    <row r="218" spans="1:8" x14ac:dyDescent="0.3">
      <c r="A218" s="47"/>
      <c r="B218" s="47"/>
      <c r="C218" s="47"/>
      <c r="D218" s="47"/>
      <c r="E218" s="47"/>
      <c r="F218" s="47"/>
      <c r="G218" s="47"/>
      <c r="H218" s="47"/>
    </row>
    <row r="219" spans="1:8" x14ac:dyDescent="0.3">
      <c r="A219" s="47"/>
      <c r="B219" s="47"/>
      <c r="C219" s="47"/>
      <c r="D219" s="47"/>
      <c r="E219" s="47"/>
      <c r="F219" s="47"/>
      <c r="G219" s="47"/>
      <c r="H219" s="47"/>
    </row>
    <row r="220" spans="1:8" x14ac:dyDescent="0.3">
      <c r="A220" s="47"/>
      <c r="B220" s="47"/>
      <c r="C220" s="47"/>
      <c r="D220" s="47"/>
      <c r="E220" s="47"/>
      <c r="F220" s="47"/>
      <c r="G220" s="47"/>
      <c r="H220" s="47"/>
    </row>
    <row r="221" spans="1:8" x14ac:dyDescent="0.3">
      <c r="A221" s="47"/>
      <c r="B221" s="47"/>
      <c r="C221" s="47"/>
      <c r="D221" s="47"/>
      <c r="E221" s="47"/>
      <c r="F221" s="47"/>
      <c r="G221" s="47"/>
      <c r="H221" s="47"/>
    </row>
    <row r="222" spans="1:8" x14ac:dyDescent="0.3">
      <c r="A222" s="47"/>
      <c r="B222" s="47"/>
      <c r="C222" s="47"/>
      <c r="D222" s="47"/>
      <c r="E222" s="47"/>
      <c r="F222" s="47"/>
      <c r="G222" s="47"/>
      <c r="H222" s="47"/>
    </row>
    <row r="223" spans="1:8" x14ac:dyDescent="0.3">
      <c r="A223" s="47"/>
      <c r="B223" s="47"/>
      <c r="C223" s="47"/>
      <c r="D223" s="47"/>
      <c r="E223" s="47"/>
      <c r="F223" s="47"/>
      <c r="G223" s="47"/>
      <c r="H223" s="47"/>
    </row>
    <row r="224" spans="1:8" x14ac:dyDescent="0.3">
      <c r="A224" s="47"/>
      <c r="B224" s="47"/>
      <c r="C224" s="47"/>
      <c r="D224" s="47"/>
      <c r="E224" s="47"/>
      <c r="F224" s="47"/>
      <c r="G224" s="47"/>
      <c r="H224" s="47"/>
    </row>
    <row r="225" spans="1:8" x14ac:dyDescent="0.3">
      <c r="A225" s="47"/>
      <c r="B225" s="47"/>
      <c r="C225" s="47"/>
      <c r="D225" s="47"/>
      <c r="E225" s="47"/>
      <c r="F225" s="47"/>
      <c r="G225" s="47"/>
      <c r="H225" s="47"/>
    </row>
    <row r="226" spans="1:8" x14ac:dyDescent="0.3">
      <c r="A226" s="47"/>
      <c r="B226" s="47"/>
      <c r="C226" s="47"/>
      <c r="D226" s="47"/>
      <c r="E226" s="47"/>
      <c r="F226" s="47"/>
      <c r="G226" s="47"/>
      <c r="H226" s="47"/>
    </row>
    <row r="227" spans="1:8" x14ac:dyDescent="0.3">
      <c r="A227" s="47"/>
      <c r="B227" s="47"/>
      <c r="C227" s="47"/>
      <c r="D227" s="47"/>
      <c r="E227" s="47"/>
      <c r="F227" s="47"/>
      <c r="G227" s="47"/>
      <c r="H227" s="47"/>
    </row>
    <row r="228" spans="1:8" x14ac:dyDescent="0.3">
      <c r="A228" s="47"/>
      <c r="B228" s="47"/>
      <c r="C228" s="47"/>
      <c r="D228" s="47"/>
      <c r="E228" s="47"/>
      <c r="F228" s="47"/>
      <c r="G228" s="47"/>
      <c r="H228" s="47"/>
    </row>
    <row r="229" spans="1:8" x14ac:dyDescent="0.3">
      <c r="A229" s="47"/>
      <c r="B229" s="47"/>
      <c r="C229" s="47"/>
      <c r="D229" s="47"/>
      <c r="E229" s="47"/>
      <c r="F229" s="47"/>
      <c r="G229" s="47"/>
      <c r="H229" s="47"/>
    </row>
    <row r="230" spans="1:8" x14ac:dyDescent="0.3">
      <c r="A230" s="47"/>
      <c r="B230" s="47"/>
      <c r="C230" s="47"/>
      <c r="D230" s="47"/>
      <c r="E230" s="47"/>
      <c r="F230" s="47"/>
      <c r="G230" s="47"/>
      <c r="H230" s="47"/>
    </row>
    <row r="231" spans="1:8" x14ac:dyDescent="0.3">
      <c r="A231" s="47"/>
      <c r="B231" s="47"/>
      <c r="C231" s="47"/>
      <c r="D231" s="47"/>
      <c r="E231" s="47"/>
      <c r="F231" s="47"/>
      <c r="G231" s="47"/>
      <c r="H231" s="47"/>
    </row>
    <row r="232" spans="1:8" x14ac:dyDescent="0.3">
      <c r="A232" s="47"/>
      <c r="B232" s="47"/>
      <c r="C232" s="47"/>
      <c r="D232" s="47"/>
      <c r="E232" s="47"/>
      <c r="F232" s="47"/>
      <c r="G232" s="47"/>
      <c r="H232" s="47"/>
    </row>
    <row r="233" spans="1:8" x14ac:dyDescent="0.3">
      <c r="A233" s="47"/>
      <c r="B233" s="47"/>
      <c r="C233" s="47"/>
      <c r="D233" s="47"/>
      <c r="E233" s="47"/>
      <c r="F233" s="47"/>
      <c r="G233" s="47"/>
      <c r="H233" s="47"/>
    </row>
    <row r="234" spans="1:8" x14ac:dyDescent="0.3">
      <c r="A234" s="47"/>
      <c r="B234" s="47"/>
      <c r="C234" s="47"/>
      <c r="D234" s="47"/>
      <c r="E234" s="47"/>
      <c r="F234" s="47"/>
      <c r="G234" s="47"/>
      <c r="H234" s="47"/>
    </row>
    <row r="235" spans="1:8" x14ac:dyDescent="0.3">
      <c r="A235" s="47"/>
      <c r="B235" s="47"/>
      <c r="C235" s="47"/>
      <c r="D235" s="47"/>
      <c r="E235" s="47"/>
      <c r="F235" s="47"/>
      <c r="G235" s="47"/>
      <c r="H235" s="47"/>
    </row>
    <row r="236" spans="1:8" x14ac:dyDescent="0.3">
      <c r="A236" s="47"/>
      <c r="B236" s="47"/>
      <c r="C236" s="47"/>
      <c r="D236" s="47"/>
      <c r="E236" s="47"/>
      <c r="F236" s="47"/>
      <c r="G236" s="47"/>
      <c r="H236" s="47"/>
    </row>
    <row r="237" spans="1:8" x14ac:dyDescent="0.3">
      <c r="A237" s="47"/>
      <c r="B237" s="47"/>
      <c r="C237" s="47"/>
      <c r="D237" s="47"/>
      <c r="E237" s="47"/>
      <c r="F237" s="47"/>
      <c r="G237" s="47"/>
      <c r="H237" s="47"/>
    </row>
    <row r="238" spans="1:8" x14ac:dyDescent="0.3">
      <c r="A238" s="47"/>
      <c r="B238" s="47"/>
      <c r="C238" s="47"/>
      <c r="D238" s="47"/>
      <c r="E238" s="47"/>
      <c r="F238" s="47"/>
      <c r="G238" s="47"/>
      <c r="H238" s="47"/>
    </row>
    <row r="239" spans="1:8" x14ac:dyDescent="0.3">
      <c r="A239" s="47"/>
      <c r="B239" s="47"/>
      <c r="C239" s="47"/>
      <c r="D239" s="47"/>
      <c r="E239" s="47"/>
      <c r="F239" s="47"/>
      <c r="G239" s="47"/>
      <c r="H239" s="47"/>
    </row>
    <row r="240" spans="1:8" x14ac:dyDescent="0.3">
      <c r="A240" s="47"/>
      <c r="B240" s="47"/>
      <c r="C240" s="47"/>
      <c r="D240" s="47"/>
      <c r="E240" s="47"/>
      <c r="F240" s="47"/>
      <c r="G240" s="47"/>
      <c r="H240" s="47"/>
    </row>
  </sheetData>
  <sortState xmlns:xlrd2="http://schemas.microsoft.com/office/spreadsheetml/2017/richdata2" ref="C21:I32">
    <sortCondition descending="1" ref="C21"/>
  </sortState>
  <hyperlinks>
    <hyperlink ref="I28" r:id="rId1" xr:uid="{00000000-0004-0000-1700-000000000000}"/>
    <hyperlink ref="I32" r:id="rId2" xr:uid="{00000000-0004-0000-1700-000001000000}"/>
  </hyperlinks>
  <pageMargins left="0.7" right="0.7" top="0.75" bottom="0.75" header="0.3" footer="0.3"/>
  <pageSetup orientation="portrait"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2:K279"/>
  <sheetViews>
    <sheetView topLeftCell="A23" zoomScale="40" zoomScaleNormal="40" workbookViewId="0">
      <selection activeCell="G23" sqref="G23"/>
    </sheetView>
  </sheetViews>
  <sheetFormatPr defaultColWidth="9.109375" defaultRowHeight="13.2" x14ac:dyDescent="0.25"/>
  <cols>
    <col min="1" max="1" width="9.109375" style="139"/>
    <col min="2" max="2" width="8.88671875" style="139" customWidth="1"/>
    <col min="3" max="3" width="23.33203125" style="139" customWidth="1"/>
    <col min="4" max="4" width="19.88671875" style="139" customWidth="1"/>
    <col min="5" max="5" width="39.5546875" style="139" customWidth="1"/>
    <col min="6" max="6" width="20.88671875" style="139" customWidth="1"/>
    <col min="7" max="7" width="17.88671875" style="139" customWidth="1"/>
    <col min="8" max="9" width="0" style="139" hidden="1" customWidth="1"/>
    <col min="10" max="10" width="10.109375" style="139" hidden="1" customWidth="1"/>
    <col min="11" max="16384" width="9.109375" style="139"/>
  </cols>
  <sheetData>
    <row r="2" spans="1:10" ht="26.4" x14ac:dyDescent="0.25">
      <c r="A2" s="125" t="s">
        <v>310</v>
      </c>
      <c r="B2" s="126" t="s">
        <v>311</v>
      </c>
      <c r="C2" s="126" t="s">
        <v>312</v>
      </c>
      <c r="D2" s="126" t="s">
        <v>337</v>
      </c>
      <c r="E2" s="133" t="s">
        <v>313</v>
      </c>
      <c r="F2" s="126" t="s">
        <v>314</v>
      </c>
      <c r="G2" s="127" t="s">
        <v>446</v>
      </c>
    </row>
    <row r="3" spans="1:10" x14ac:dyDescent="0.25">
      <c r="A3" s="129"/>
      <c r="B3" s="129"/>
      <c r="C3" s="129"/>
      <c r="D3" s="129"/>
      <c r="E3" s="131"/>
      <c r="F3" s="129"/>
      <c r="G3" s="128"/>
      <c r="I3" s="372" t="s">
        <v>891</v>
      </c>
      <c r="J3" s="372"/>
    </row>
    <row r="4" spans="1:10" x14ac:dyDescent="0.25">
      <c r="A4" s="135">
        <v>2003</v>
      </c>
      <c r="B4" s="129"/>
      <c r="C4" s="129"/>
      <c r="D4" s="129"/>
      <c r="E4" s="131"/>
      <c r="F4" s="129"/>
      <c r="G4" s="128"/>
    </row>
    <row r="5" spans="1:10" x14ac:dyDescent="0.25">
      <c r="B5" s="139" t="s">
        <v>438</v>
      </c>
      <c r="C5" s="139" t="s">
        <v>439</v>
      </c>
      <c r="D5" s="139" t="s">
        <v>441</v>
      </c>
      <c r="E5" s="139" t="s">
        <v>440</v>
      </c>
      <c r="F5" s="139" t="s">
        <v>442</v>
      </c>
      <c r="G5" s="143">
        <v>2847</v>
      </c>
      <c r="I5" s="143">
        <v>2847</v>
      </c>
    </row>
    <row r="6" spans="1:10" x14ac:dyDescent="0.25">
      <c r="B6" s="139" t="s">
        <v>438</v>
      </c>
      <c r="C6" s="139" t="s">
        <v>443</v>
      </c>
      <c r="D6" s="139" t="s">
        <v>444</v>
      </c>
      <c r="E6" s="139" t="s">
        <v>445</v>
      </c>
      <c r="F6" s="139" t="s">
        <v>763</v>
      </c>
      <c r="G6" s="143">
        <v>150</v>
      </c>
      <c r="I6" s="143">
        <v>150</v>
      </c>
    </row>
    <row r="7" spans="1:10" x14ac:dyDescent="0.25">
      <c r="B7" s="139" t="s">
        <v>438</v>
      </c>
      <c r="C7" s="139" t="s">
        <v>447</v>
      </c>
      <c r="D7" s="139" t="s">
        <v>449</v>
      </c>
      <c r="E7" s="139" t="s">
        <v>448</v>
      </c>
      <c r="F7" s="139" t="s">
        <v>450</v>
      </c>
      <c r="G7" s="143">
        <v>400</v>
      </c>
      <c r="I7" s="143">
        <v>400</v>
      </c>
    </row>
    <row r="8" spans="1:10" x14ac:dyDescent="0.25">
      <c r="B8" s="139" t="s">
        <v>438</v>
      </c>
      <c r="C8" s="139" t="s">
        <v>451</v>
      </c>
      <c r="D8" s="139" t="s">
        <v>452</v>
      </c>
      <c r="E8" s="139" t="s">
        <v>453</v>
      </c>
      <c r="F8" s="139" t="s">
        <v>454</v>
      </c>
      <c r="G8" s="143">
        <v>350</v>
      </c>
      <c r="I8" s="143">
        <v>350</v>
      </c>
    </row>
    <row r="9" spans="1:10" x14ac:dyDescent="0.25">
      <c r="B9" s="139" t="s">
        <v>438</v>
      </c>
      <c r="C9" s="139" t="s">
        <v>455</v>
      </c>
      <c r="D9" s="139" t="s">
        <v>457</v>
      </c>
      <c r="E9" s="139" t="s">
        <v>456</v>
      </c>
      <c r="F9" s="139" t="s">
        <v>454</v>
      </c>
      <c r="G9" s="143">
        <v>105</v>
      </c>
      <c r="I9" s="143">
        <v>105</v>
      </c>
    </row>
    <row r="10" spans="1:10" x14ac:dyDescent="0.25">
      <c r="B10" s="139" t="s">
        <v>438</v>
      </c>
      <c r="C10" s="139" t="s">
        <v>459</v>
      </c>
      <c r="D10" s="139" t="s">
        <v>460</v>
      </c>
      <c r="E10" s="139" t="s">
        <v>458</v>
      </c>
      <c r="F10" s="139" t="s">
        <v>461</v>
      </c>
      <c r="G10" s="143">
        <v>1424</v>
      </c>
      <c r="I10" s="143">
        <v>1424</v>
      </c>
    </row>
    <row r="11" spans="1:10" x14ac:dyDescent="0.25">
      <c r="B11" s="139" t="s">
        <v>438</v>
      </c>
      <c r="C11" s="139" t="s">
        <v>462</v>
      </c>
      <c r="D11" s="139" t="s">
        <v>460</v>
      </c>
      <c r="E11" s="139" t="s">
        <v>463</v>
      </c>
      <c r="F11" s="139" t="s">
        <v>461</v>
      </c>
      <c r="G11" s="143">
        <v>450</v>
      </c>
      <c r="I11" s="143">
        <v>450</v>
      </c>
    </row>
    <row r="12" spans="1:10" x14ac:dyDescent="0.25">
      <c r="B12" s="139" t="s">
        <v>464</v>
      </c>
      <c r="C12" s="139" t="s">
        <v>465</v>
      </c>
      <c r="D12" s="139" t="s">
        <v>466</v>
      </c>
      <c r="E12" s="139" t="s">
        <v>467</v>
      </c>
      <c r="F12" s="139" t="s">
        <v>468</v>
      </c>
      <c r="G12" s="143">
        <v>100</v>
      </c>
      <c r="I12" s="143">
        <v>100</v>
      </c>
    </row>
    <row r="13" spans="1:10" x14ac:dyDescent="0.25">
      <c r="B13" s="139" t="s">
        <v>464</v>
      </c>
      <c r="C13" s="139" t="s">
        <v>469</v>
      </c>
      <c r="D13" s="139" t="s">
        <v>471</v>
      </c>
      <c r="E13" s="139" t="s">
        <v>470</v>
      </c>
      <c r="F13" s="139" t="s">
        <v>472</v>
      </c>
      <c r="G13" s="143">
        <v>227</v>
      </c>
      <c r="I13" s="143">
        <v>227</v>
      </c>
    </row>
    <row r="14" spans="1:10" x14ac:dyDescent="0.25">
      <c r="B14" s="139" t="s">
        <v>464</v>
      </c>
      <c r="C14" s="139" t="s">
        <v>473</v>
      </c>
      <c r="D14" s="139" t="s">
        <v>474</v>
      </c>
      <c r="E14" s="139" t="s">
        <v>475</v>
      </c>
      <c r="F14" s="139" t="s">
        <v>476</v>
      </c>
      <c r="G14" s="143">
        <v>117</v>
      </c>
      <c r="I14" s="143">
        <v>117</v>
      </c>
    </row>
    <row r="15" spans="1:10" x14ac:dyDescent="0.25">
      <c r="B15" s="139" t="s">
        <v>464</v>
      </c>
      <c r="C15" s="139" t="s">
        <v>477</v>
      </c>
      <c r="D15" s="139" t="s">
        <v>479</v>
      </c>
      <c r="E15" s="139" t="s">
        <v>478</v>
      </c>
      <c r="F15" s="139" t="s">
        <v>560</v>
      </c>
      <c r="G15" s="143">
        <v>1007</v>
      </c>
      <c r="I15" s="143">
        <v>1007</v>
      </c>
    </row>
    <row r="16" spans="1:10" x14ac:dyDescent="0.25">
      <c r="B16" s="139" t="s">
        <v>481</v>
      </c>
      <c r="C16" s="139" t="s">
        <v>488</v>
      </c>
      <c r="D16" s="139" t="s">
        <v>457</v>
      </c>
      <c r="E16" s="139" t="s">
        <v>489</v>
      </c>
      <c r="F16" s="139" t="s">
        <v>450</v>
      </c>
      <c r="G16" s="143">
        <v>2357</v>
      </c>
      <c r="I16" s="143">
        <v>2357</v>
      </c>
    </row>
    <row r="17" spans="1:10" x14ac:dyDescent="0.25">
      <c r="B17" s="139" t="s">
        <v>481</v>
      </c>
      <c r="C17" s="139" t="s">
        <v>490</v>
      </c>
      <c r="D17" s="139" t="s">
        <v>492</v>
      </c>
      <c r="E17" s="139" t="s">
        <v>491</v>
      </c>
      <c r="F17" s="139" t="s">
        <v>450</v>
      </c>
      <c r="G17" s="143">
        <v>257</v>
      </c>
      <c r="I17" s="143">
        <v>257</v>
      </c>
    </row>
    <row r="18" spans="1:10" x14ac:dyDescent="0.25">
      <c r="B18" s="139" t="s">
        <v>482</v>
      </c>
      <c r="C18" s="139" t="s">
        <v>493</v>
      </c>
      <c r="D18" s="139" t="s">
        <v>495</v>
      </c>
      <c r="E18" s="139" t="s">
        <v>494</v>
      </c>
      <c r="F18" s="139" t="s">
        <v>513</v>
      </c>
      <c r="G18" s="143">
        <v>164</v>
      </c>
      <c r="H18" s="139">
        <v>0.25</v>
      </c>
      <c r="I18" s="139">
        <f>+G18*$H$18</f>
        <v>41</v>
      </c>
    </row>
    <row r="19" spans="1:10" x14ac:dyDescent="0.25">
      <c r="B19" s="139" t="s">
        <v>482</v>
      </c>
      <c r="C19" s="139" t="s">
        <v>496</v>
      </c>
      <c r="D19" s="139" t="s">
        <v>79</v>
      </c>
      <c r="E19" s="139" t="s">
        <v>497</v>
      </c>
      <c r="F19" s="139" t="s">
        <v>498</v>
      </c>
      <c r="G19" s="143">
        <v>300</v>
      </c>
      <c r="I19" s="139">
        <f>+G19*$H$18</f>
        <v>75</v>
      </c>
    </row>
    <row r="20" spans="1:10" x14ac:dyDescent="0.25">
      <c r="B20" s="139" t="s">
        <v>482</v>
      </c>
      <c r="C20" s="139" t="s">
        <v>499</v>
      </c>
      <c r="D20" s="139" t="s">
        <v>501</v>
      </c>
      <c r="E20" s="139" t="s">
        <v>500</v>
      </c>
      <c r="F20" s="139" t="s">
        <v>472</v>
      </c>
      <c r="G20" s="143">
        <v>300</v>
      </c>
      <c r="I20" s="139">
        <f>+G20*$H$18</f>
        <v>75</v>
      </c>
    </row>
    <row r="21" spans="1:10" x14ac:dyDescent="0.25">
      <c r="B21" s="139" t="s">
        <v>482</v>
      </c>
      <c r="C21" s="139" t="s">
        <v>502</v>
      </c>
      <c r="D21" s="139" t="s">
        <v>504</v>
      </c>
      <c r="E21" s="142" t="s">
        <v>503</v>
      </c>
      <c r="F21" s="139" t="s">
        <v>498</v>
      </c>
      <c r="G21" s="143">
        <v>443</v>
      </c>
      <c r="I21" s="139">
        <f>+G21*$H$18</f>
        <v>110.75</v>
      </c>
    </row>
    <row r="22" spans="1:10" x14ac:dyDescent="0.25">
      <c r="B22" s="139" t="s">
        <v>482</v>
      </c>
      <c r="C22" s="139" t="s">
        <v>398</v>
      </c>
      <c r="D22" s="139" t="s">
        <v>444</v>
      </c>
      <c r="E22" s="139" t="s">
        <v>505</v>
      </c>
      <c r="F22" s="139" t="s">
        <v>506</v>
      </c>
      <c r="G22" s="143">
        <v>700</v>
      </c>
      <c r="I22" s="139">
        <f>+G22*$H$18</f>
        <v>175</v>
      </c>
    </row>
    <row r="23" spans="1:10" x14ac:dyDescent="0.25">
      <c r="A23" s="144" t="s">
        <v>20</v>
      </c>
      <c r="C23" s="120"/>
      <c r="D23" s="120"/>
      <c r="E23" s="120"/>
      <c r="F23" s="120" t="s">
        <v>20</v>
      </c>
      <c r="G23" s="145">
        <f>SUM(G5:G22)</f>
        <v>11698</v>
      </c>
      <c r="I23" s="145">
        <f>SUM(I5:I22)</f>
        <v>10267.75</v>
      </c>
    </row>
    <row r="24" spans="1:10" x14ac:dyDescent="0.25">
      <c r="G24" s="143"/>
    </row>
    <row r="25" spans="1:10" x14ac:dyDescent="0.25">
      <c r="A25" s="146">
        <v>2004</v>
      </c>
      <c r="G25" s="143"/>
    </row>
    <row r="26" spans="1:10" x14ac:dyDescent="0.25">
      <c r="B26" s="139" t="s">
        <v>483</v>
      </c>
      <c r="C26" s="139" t="s">
        <v>507</v>
      </c>
      <c r="D26" s="139" t="s">
        <v>501</v>
      </c>
      <c r="E26" s="139" t="s">
        <v>534</v>
      </c>
      <c r="F26" s="139" t="s">
        <v>498</v>
      </c>
      <c r="G26" s="143">
        <v>446</v>
      </c>
      <c r="H26" s="139">
        <v>0.75</v>
      </c>
      <c r="I26" s="143">
        <f>+$H$26*G18</f>
        <v>123</v>
      </c>
      <c r="J26" s="143">
        <f>+G26</f>
        <v>446</v>
      </c>
    </row>
    <row r="27" spans="1:10" x14ac:dyDescent="0.25">
      <c r="B27" s="139" t="s">
        <v>483</v>
      </c>
      <c r="C27" s="139" t="s">
        <v>508</v>
      </c>
      <c r="D27" s="139" t="s">
        <v>509</v>
      </c>
      <c r="E27" s="139" t="s">
        <v>510</v>
      </c>
      <c r="F27" s="139" t="s">
        <v>472</v>
      </c>
      <c r="G27" s="143">
        <v>363</v>
      </c>
      <c r="I27" s="143">
        <f>+$H$26*G19</f>
        <v>225</v>
      </c>
      <c r="J27" s="143">
        <f t="shared" ref="J27:J35" si="0">+G27</f>
        <v>363</v>
      </c>
    </row>
    <row r="28" spans="1:10" x14ac:dyDescent="0.25">
      <c r="B28" s="139" t="s">
        <v>483</v>
      </c>
      <c r="C28" s="139" t="s">
        <v>511</v>
      </c>
      <c r="D28" s="139" t="s">
        <v>512</v>
      </c>
      <c r="E28" s="139" t="s">
        <v>533</v>
      </c>
      <c r="F28" s="139" t="s">
        <v>513</v>
      </c>
      <c r="G28" s="143">
        <v>161</v>
      </c>
      <c r="I28" s="143">
        <f>+$H$26*G20</f>
        <v>225</v>
      </c>
      <c r="J28" s="143">
        <f t="shared" si="0"/>
        <v>161</v>
      </c>
    </row>
    <row r="29" spans="1:10" x14ac:dyDescent="0.25">
      <c r="B29" s="139" t="s">
        <v>483</v>
      </c>
      <c r="C29" s="139" t="s">
        <v>514</v>
      </c>
      <c r="D29" s="139" t="s">
        <v>516</v>
      </c>
      <c r="E29" s="139" t="s">
        <v>515</v>
      </c>
      <c r="F29" s="139" t="s">
        <v>476</v>
      </c>
      <c r="G29" s="143">
        <v>595</v>
      </c>
      <c r="I29" s="143">
        <f>+$H$26*G21</f>
        <v>332.25</v>
      </c>
      <c r="J29" s="143">
        <f t="shared" si="0"/>
        <v>595</v>
      </c>
    </row>
    <row r="30" spans="1:10" x14ac:dyDescent="0.25">
      <c r="B30" s="139" t="s">
        <v>483</v>
      </c>
      <c r="C30" s="139" t="s">
        <v>517</v>
      </c>
      <c r="D30" s="139" t="s">
        <v>519</v>
      </c>
      <c r="E30" s="139" t="s">
        <v>518</v>
      </c>
      <c r="F30" s="139" t="s">
        <v>450</v>
      </c>
      <c r="G30" s="143">
        <v>1655</v>
      </c>
      <c r="I30" s="143">
        <f>+$H$26*G22</f>
        <v>525</v>
      </c>
      <c r="J30" s="143">
        <f t="shared" si="0"/>
        <v>1655</v>
      </c>
    </row>
    <row r="31" spans="1:10" x14ac:dyDescent="0.25">
      <c r="B31" s="139" t="s">
        <v>484</v>
      </c>
      <c r="C31" s="139" t="s">
        <v>520</v>
      </c>
      <c r="D31" s="142" t="s">
        <v>538</v>
      </c>
      <c r="E31" s="139" t="s">
        <v>531</v>
      </c>
      <c r="F31" s="139" t="s">
        <v>521</v>
      </c>
      <c r="G31" s="143">
        <v>441</v>
      </c>
      <c r="I31" s="143"/>
      <c r="J31" s="143">
        <f t="shared" si="0"/>
        <v>441</v>
      </c>
    </row>
    <row r="32" spans="1:10" x14ac:dyDescent="0.25">
      <c r="B32" s="139" t="s">
        <v>484</v>
      </c>
      <c r="C32" s="139" t="s">
        <v>522</v>
      </c>
      <c r="D32" s="139" t="s">
        <v>474</v>
      </c>
      <c r="E32" s="139" t="s">
        <v>532</v>
      </c>
      <c r="F32" s="139" t="s">
        <v>523</v>
      </c>
      <c r="G32" s="143">
        <v>550</v>
      </c>
      <c r="J32" s="143">
        <f t="shared" si="0"/>
        <v>550</v>
      </c>
    </row>
    <row r="33" spans="1:10" x14ac:dyDescent="0.25">
      <c r="B33" s="139" t="s">
        <v>484</v>
      </c>
      <c r="C33" s="139" t="s">
        <v>524</v>
      </c>
      <c r="D33" s="139" t="s">
        <v>526</v>
      </c>
      <c r="E33" s="139" t="s">
        <v>525</v>
      </c>
      <c r="F33" s="139" t="s">
        <v>523</v>
      </c>
      <c r="G33" s="143">
        <v>114</v>
      </c>
      <c r="J33" s="143">
        <f t="shared" si="0"/>
        <v>114</v>
      </c>
    </row>
    <row r="34" spans="1:10" x14ac:dyDescent="0.25">
      <c r="B34" s="139" t="s">
        <v>484</v>
      </c>
      <c r="C34" s="139" t="s">
        <v>527</v>
      </c>
      <c r="D34" s="139" t="s">
        <v>501</v>
      </c>
      <c r="E34" s="139" t="s">
        <v>528</v>
      </c>
      <c r="F34" s="139" t="s">
        <v>454</v>
      </c>
      <c r="G34" s="143">
        <v>870</v>
      </c>
      <c r="J34" s="143">
        <f t="shared" si="0"/>
        <v>870</v>
      </c>
    </row>
    <row r="35" spans="1:10" x14ac:dyDescent="0.25">
      <c r="B35" s="139" t="s">
        <v>485</v>
      </c>
      <c r="C35" s="139" t="s">
        <v>529</v>
      </c>
      <c r="D35" s="139" t="s">
        <v>79</v>
      </c>
      <c r="E35" s="139" t="s">
        <v>530</v>
      </c>
      <c r="F35" s="139" t="s">
        <v>560</v>
      </c>
      <c r="G35" s="143">
        <v>662</v>
      </c>
      <c r="J35" s="143">
        <f t="shared" si="0"/>
        <v>662</v>
      </c>
    </row>
    <row r="36" spans="1:10" x14ac:dyDescent="0.25">
      <c r="B36" s="139" t="s">
        <v>486</v>
      </c>
      <c r="C36" s="139" t="s">
        <v>535</v>
      </c>
      <c r="D36" s="139" t="s">
        <v>537</v>
      </c>
      <c r="E36" s="139" t="s">
        <v>536</v>
      </c>
      <c r="F36" s="139" t="s">
        <v>450</v>
      </c>
      <c r="G36" s="143">
        <v>850</v>
      </c>
      <c r="H36" s="139">
        <v>0.25</v>
      </c>
      <c r="I36" s="147">
        <f>+$H$36*G36</f>
        <v>212.5</v>
      </c>
      <c r="J36" s="143"/>
    </row>
    <row r="37" spans="1:10" x14ac:dyDescent="0.25">
      <c r="B37" s="139" t="s">
        <v>486</v>
      </c>
      <c r="C37" s="139" t="s">
        <v>539</v>
      </c>
      <c r="D37" s="139" t="s">
        <v>79</v>
      </c>
      <c r="E37" s="139" t="s">
        <v>540</v>
      </c>
      <c r="F37" s="139" t="s">
        <v>541</v>
      </c>
      <c r="G37" s="143">
        <v>2069</v>
      </c>
      <c r="I37" s="147">
        <f>+$H$36*G37</f>
        <v>517.25</v>
      </c>
    </row>
    <row r="38" spans="1:10" x14ac:dyDescent="0.25">
      <c r="B38" s="139" t="s">
        <v>486</v>
      </c>
      <c r="C38" s="139" t="s">
        <v>542</v>
      </c>
      <c r="D38" s="139" t="s">
        <v>441</v>
      </c>
      <c r="E38" s="139" t="s">
        <v>543</v>
      </c>
      <c r="F38" s="139" t="s">
        <v>472</v>
      </c>
      <c r="G38" s="143">
        <v>220</v>
      </c>
      <c r="I38" s="147">
        <f>+$H$36*G38</f>
        <v>55</v>
      </c>
    </row>
    <row r="39" spans="1:10" x14ac:dyDescent="0.25">
      <c r="A39" s="120" t="s">
        <v>20</v>
      </c>
      <c r="F39" s="120" t="s">
        <v>20</v>
      </c>
      <c r="G39" s="145">
        <f>SUM(G26:G38)</f>
        <v>8996</v>
      </c>
      <c r="I39" s="145">
        <f>+SUM(I26:J38)</f>
        <v>8072</v>
      </c>
    </row>
    <row r="40" spans="1:10" x14ac:dyDescent="0.25">
      <c r="G40" s="143"/>
    </row>
    <row r="41" spans="1:10" x14ac:dyDescent="0.25">
      <c r="A41" s="146">
        <v>2005</v>
      </c>
      <c r="G41" s="143"/>
    </row>
    <row r="42" spans="1:10" x14ac:dyDescent="0.25">
      <c r="B42" s="139" t="s">
        <v>487</v>
      </c>
      <c r="C42" s="139" t="s">
        <v>544</v>
      </c>
      <c r="D42" s="139" t="s">
        <v>79</v>
      </c>
      <c r="E42" s="139" t="s">
        <v>545</v>
      </c>
      <c r="F42" s="139" t="s">
        <v>472</v>
      </c>
      <c r="G42" s="143">
        <v>517</v>
      </c>
      <c r="H42" s="139">
        <v>0.75</v>
      </c>
      <c r="I42" s="143">
        <f>+$H$42*G36</f>
        <v>637.5</v>
      </c>
      <c r="J42" s="143">
        <f>+G42</f>
        <v>517</v>
      </c>
    </row>
    <row r="43" spans="1:10" x14ac:dyDescent="0.25">
      <c r="B43" s="139" t="s">
        <v>487</v>
      </c>
      <c r="C43" s="139" t="s">
        <v>546</v>
      </c>
      <c r="D43" s="139" t="s">
        <v>444</v>
      </c>
      <c r="E43" s="139" t="s">
        <v>548</v>
      </c>
      <c r="F43" s="139" t="s">
        <v>547</v>
      </c>
      <c r="G43" s="143">
        <v>132</v>
      </c>
      <c r="I43" s="143">
        <f>+$H$42*G37</f>
        <v>1551.75</v>
      </c>
      <c r="J43" s="143">
        <f t="shared" ref="J43:J54" si="1">+G43</f>
        <v>132</v>
      </c>
    </row>
    <row r="44" spans="1:10" x14ac:dyDescent="0.25">
      <c r="B44" s="139" t="s">
        <v>487</v>
      </c>
      <c r="C44" s="139" t="s">
        <v>549</v>
      </c>
      <c r="D44" s="139" t="s">
        <v>444</v>
      </c>
      <c r="E44" s="139" t="s">
        <v>550</v>
      </c>
      <c r="F44" s="139" t="s">
        <v>476</v>
      </c>
      <c r="G44" s="143">
        <v>1395</v>
      </c>
      <c r="I44" s="143">
        <f>+$H$42*G38</f>
        <v>165</v>
      </c>
      <c r="J44" s="143">
        <f t="shared" si="1"/>
        <v>1395</v>
      </c>
    </row>
    <row r="45" spans="1:10" x14ac:dyDescent="0.25">
      <c r="B45" s="139" t="s">
        <v>487</v>
      </c>
      <c r="C45" s="139" t="s">
        <v>551</v>
      </c>
      <c r="D45" s="139" t="s">
        <v>501</v>
      </c>
      <c r="E45" s="139" t="s">
        <v>552</v>
      </c>
      <c r="F45" s="139" t="s">
        <v>521</v>
      </c>
      <c r="G45" s="143">
        <v>128</v>
      </c>
      <c r="I45" s="147"/>
      <c r="J45" s="143">
        <f t="shared" si="1"/>
        <v>128</v>
      </c>
    </row>
    <row r="46" spans="1:10" x14ac:dyDescent="0.25">
      <c r="B46" s="139" t="s">
        <v>553</v>
      </c>
      <c r="C46" s="139" t="s">
        <v>554</v>
      </c>
      <c r="D46" s="139" t="s">
        <v>444</v>
      </c>
      <c r="E46" s="139" t="s">
        <v>555</v>
      </c>
      <c r="F46" s="139" t="s">
        <v>476</v>
      </c>
      <c r="G46" s="143">
        <v>331</v>
      </c>
      <c r="J46" s="143">
        <f t="shared" si="1"/>
        <v>331</v>
      </c>
    </row>
    <row r="47" spans="1:10" x14ac:dyDescent="0.25">
      <c r="B47" s="139" t="s">
        <v>553</v>
      </c>
      <c r="C47" s="139" t="s">
        <v>556</v>
      </c>
      <c r="D47" s="139" t="s">
        <v>474</v>
      </c>
      <c r="E47" s="139" t="s">
        <v>333</v>
      </c>
      <c r="F47" s="139" t="s">
        <v>557</v>
      </c>
      <c r="G47" s="143">
        <v>712</v>
      </c>
      <c r="J47" s="143">
        <f t="shared" si="1"/>
        <v>712</v>
      </c>
    </row>
    <row r="48" spans="1:10" x14ac:dyDescent="0.25">
      <c r="B48" s="139" t="s">
        <v>553</v>
      </c>
      <c r="C48" s="139" t="s">
        <v>558</v>
      </c>
      <c r="D48" s="139" t="s">
        <v>474</v>
      </c>
      <c r="E48" s="139" t="s">
        <v>559</v>
      </c>
      <c r="F48" s="139" t="s">
        <v>560</v>
      </c>
      <c r="G48" s="143">
        <v>198</v>
      </c>
      <c r="J48" s="143">
        <f t="shared" si="1"/>
        <v>198</v>
      </c>
    </row>
    <row r="49" spans="1:10" x14ac:dyDescent="0.25">
      <c r="B49" s="139" t="s">
        <v>553</v>
      </c>
      <c r="C49" s="139" t="s">
        <v>561</v>
      </c>
      <c r="D49" s="139" t="s">
        <v>474</v>
      </c>
      <c r="E49" s="139" t="s">
        <v>559</v>
      </c>
      <c r="F49" s="139" t="s">
        <v>560</v>
      </c>
      <c r="G49" s="143">
        <v>275</v>
      </c>
      <c r="J49" s="143">
        <f t="shared" si="1"/>
        <v>275</v>
      </c>
    </row>
    <row r="50" spans="1:10" x14ac:dyDescent="0.25">
      <c r="B50" s="139" t="s">
        <v>553</v>
      </c>
      <c r="C50" s="139" t="s">
        <v>562</v>
      </c>
      <c r="D50" s="139" t="s">
        <v>565</v>
      </c>
      <c r="E50" s="139" t="s">
        <v>563</v>
      </c>
      <c r="F50" s="139" t="s">
        <v>541</v>
      </c>
      <c r="G50" s="143">
        <v>847</v>
      </c>
      <c r="J50" s="143">
        <f t="shared" si="1"/>
        <v>847</v>
      </c>
    </row>
    <row r="51" spans="1:10" x14ac:dyDescent="0.25">
      <c r="B51" s="139" t="s">
        <v>553</v>
      </c>
      <c r="C51" s="139" t="s">
        <v>566</v>
      </c>
      <c r="D51" s="139" t="s">
        <v>567</v>
      </c>
      <c r="E51" s="139" t="s">
        <v>568</v>
      </c>
      <c r="F51" s="139" t="s">
        <v>476</v>
      </c>
      <c r="G51" s="143">
        <v>1330</v>
      </c>
      <c r="J51" s="143">
        <f t="shared" si="1"/>
        <v>1330</v>
      </c>
    </row>
    <row r="52" spans="1:10" x14ac:dyDescent="0.25">
      <c r="B52" s="139" t="s">
        <v>569</v>
      </c>
      <c r="C52" s="139" t="s">
        <v>570</v>
      </c>
      <c r="D52" s="139" t="s">
        <v>571</v>
      </c>
      <c r="E52" s="139" t="s">
        <v>572</v>
      </c>
      <c r="F52" s="139" t="s">
        <v>513</v>
      </c>
      <c r="G52" s="143">
        <v>800</v>
      </c>
      <c r="J52" s="143">
        <f t="shared" si="1"/>
        <v>800</v>
      </c>
    </row>
    <row r="53" spans="1:10" x14ac:dyDescent="0.25">
      <c r="B53" s="139" t="s">
        <v>569</v>
      </c>
      <c r="C53" s="139" t="s">
        <v>573</v>
      </c>
      <c r="D53" s="139" t="s">
        <v>575</v>
      </c>
      <c r="E53" s="139" t="s">
        <v>574</v>
      </c>
      <c r="F53" s="139" t="s">
        <v>576</v>
      </c>
      <c r="G53" s="143">
        <v>172</v>
      </c>
      <c r="J53" s="143">
        <f t="shared" si="1"/>
        <v>172</v>
      </c>
    </row>
    <row r="54" spans="1:10" x14ac:dyDescent="0.25">
      <c r="B54" s="139" t="s">
        <v>569</v>
      </c>
      <c r="C54" s="139" t="s">
        <v>577</v>
      </c>
      <c r="D54" s="139" t="s">
        <v>575</v>
      </c>
      <c r="E54" s="139" t="s">
        <v>578</v>
      </c>
      <c r="F54" s="139" t="s">
        <v>579</v>
      </c>
      <c r="G54" s="143">
        <v>175</v>
      </c>
      <c r="J54" s="143">
        <f t="shared" si="1"/>
        <v>175</v>
      </c>
    </row>
    <row r="55" spans="1:10" x14ac:dyDescent="0.25">
      <c r="B55" s="139" t="s">
        <v>569</v>
      </c>
      <c r="C55" s="139" t="s">
        <v>580</v>
      </c>
      <c r="D55" s="139" t="s">
        <v>575</v>
      </c>
      <c r="E55" s="139" t="s">
        <v>581</v>
      </c>
      <c r="F55" s="139" t="s">
        <v>461</v>
      </c>
      <c r="G55" s="143">
        <v>1454</v>
      </c>
      <c r="J55" s="143">
        <f>+G55</f>
        <v>1454</v>
      </c>
    </row>
    <row r="56" spans="1:10" x14ac:dyDescent="0.25">
      <c r="B56" s="139" t="s">
        <v>582</v>
      </c>
      <c r="C56" s="139" t="s">
        <v>583</v>
      </c>
      <c r="D56" s="139" t="s">
        <v>584</v>
      </c>
      <c r="E56" s="139" t="s">
        <v>585</v>
      </c>
      <c r="F56" s="139" t="s">
        <v>498</v>
      </c>
      <c r="G56" s="143">
        <v>276</v>
      </c>
      <c r="H56" s="139">
        <v>0.25</v>
      </c>
      <c r="I56" s="143">
        <f>+$H$56*G56</f>
        <v>69</v>
      </c>
      <c r="J56" s="143"/>
    </row>
    <row r="57" spans="1:10" x14ac:dyDescent="0.25">
      <c r="B57" s="139" t="s">
        <v>582</v>
      </c>
      <c r="C57" s="139" t="s">
        <v>586</v>
      </c>
      <c r="D57" s="139" t="s">
        <v>79</v>
      </c>
      <c r="E57" s="139" t="s">
        <v>587</v>
      </c>
      <c r="F57" s="139" t="s">
        <v>480</v>
      </c>
      <c r="G57" s="143">
        <v>1409</v>
      </c>
      <c r="I57" s="143">
        <f>+$H$56*G57</f>
        <v>352.25</v>
      </c>
    </row>
    <row r="58" spans="1:10" x14ac:dyDescent="0.25">
      <c r="B58" s="139" t="s">
        <v>582</v>
      </c>
      <c r="C58" s="139" t="s">
        <v>588</v>
      </c>
      <c r="D58" s="139" t="s">
        <v>501</v>
      </c>
      <c r="E58" s="139" t="s">
        <v>589</v>
      </c>
      <c r="F58" s="139" t="s">
        <v>590</v>
      </c>
      <c r="G58" s="143">
        <v>255</v>
      </c>
      <c r="I58" s="143">
        <f>+$H$56*G58</f>
        <v>63.75</v>
      </c>
    </row>
    <row r="59" spans="1:10" x14ac:dyDescent="0.25">
      <c r="B59" s="139" t="s">
        <v>582</v>
      </c>
      <c r="C59" s="139" t="s">
        <v>591</v>
      </c>
      <c r="D59" s="139" t="s">
        <v>76</v>
      </c>
      <c r="E59" s="139" t="s">
        <v>531</v>
      </c>
      <c r="F59" s="139" t="s">
        <v>596</v>
      </c>
      <c r="G59" s="143">
        <v>200</v>
      </c>
      <c r="I59" s="143">
        <f>+$H$56*G59</f>
        <v>50</v>
      </c>
    </row>
    <row r="60" spans="1:10" x14ac:dyDescent="0.25">
      <c r="B60" s="139" t="s">
        <v>582</v>
      </c>
      <c r="C60" s="139" t="s">
        <v>592</v>
      </c>
      <c r="D60" s="139" t="s">
        <v>594</v>
      </c>
      <c r="E60" s="139" t="s">
        <v>593</v>
      </c>
      <c r="F60" s="139" t="s">
        <v>595</v>
      </c>
      <c r="G60" s="143">
        <v>148</v>
      </c>
      <c r="I60" s="143">
        <f>+$H$56*G60</f>
        <v>37</v>
      </c>
    </row>
    <row r="61" spans="1:10" x14ac:dyDescent="0.25">
      <c r="A61" s="120" t="s">
        <v>20</v>
      </c>
      <c r="F61" s="120" t="s">
        <v>20</v>
      </c>
      <c r="G61" s="145">
        <f>SUM(G42:G60)</f>
        <v>10754</v>
      </c>
      <c r="I61" s="145">
        <f>+SUM(I42:J60)</f>
        <v>11392.25</v>
      </c>
    </row>
    <row r="62" spans="1:10" x14ac:dyDescent="0.25">
      <c r="G62" s="143"/>
    </row>
    <row r="63" spans="1:10" x14ac:dyDescent="0.25">
      <c r="A63" s="146">
        <v>2006</v>
      </c>
      <c r="G63" s="143"/>
    </row>
    <row r="64" spans="1:10" x14ac:dyDescent="0.25">
      <c r="B64" s="139" t="s">
        <v>597</v>
      </c>
      <c r="C64" s="139" t="s">
        <v>598</v>
      </c>
      <c r="D64" s="139" t="s">
        <v>600</v>
      </c>
      <c r="E64" s="139" t="s">
        <v>599</v>
      </c>
      <c r="F64" s="139" t="s">
        <v>764</v>
      </c>
      <c r="G64" s="143">
        <v>2659</v>
      </c>
      <c r="H64" s="139">
        <v>0.75</v>
      </c>
      <c r="I64" s="143">
        <f>+$H$64*G56</f>
        <v>207</v>
      </c>
      <c r="J64" s="143">
        <f>+G64</f>
        <v>2659</v>
      </c>
    </row>
    <row r="65" spans="1:10" x14ac:dyDescent="0.25">
      <c r="B65" s="139" t="s">
        <v>597</v>
      </c>
      <c r="C65" s="139" t="s">
        <v>601</v>
      </c>
      <c r="D65" s="139" t="s">
        <v>457</v>
      </c>
      <c r="E65" s="139" t="s">
        <v>602</v>
      </c>
      <c r="F65" s="139" t="s">
        <v>461</v>
      </c>
      <c r="G65" s="143">
        <v>1098</v>
      </c>
      <c r="I65" s="143">
        <f>+$H$64*G57</f>
        <v>1056.75</v>
      </c>
      <c r="J65" s="143">
        <f t="shared" ref="J65:J76" si="2">+G65</f>
        <v>1098</v>
      </c>
    </row>
    <row r="66" spans="1:10" x14ac:dyDescent="0.25">
      <c r="B66" s="139" t="s">
        <v>603</v>
      </c>
      <c r="C66" s="139" t="s">
        <v>607</v>
      </c>
      <c r="D66" s="139" t="s">
        <v>609</v>
      </c>
      <c r="E66" s="139" t="s">
        <v>608</v>
      </c>
      <c r="F66" s="139" t="s">
        <v>450</v>
      </c>
      <c r="G66" s="143">
        <v>143</v>
      </c>
      <c r="I66" s="143">
        <f>+$H$64*G58</f>
        <v>191.25</v>
      </c>
      <c r="J66" s="143">
        <f t="shared" si="2"/>
        <v>143</v>
      </c>
    </row>
    <row r="67" spans="1:10" x14ac:dyDescent="0.25">
      <c r="B67" s="139" t="s">
        <v>603</v>
      </c>
      <c r="C67" s="139" t="s">
        <v>610</v>
      </c>
      <c r="D67" s="139" t="s">
        <v>504</v>
      </c>
      <c r="E67" s="139" t="s">
        <v>611</v>
      </c>
      <c r="F67" s="139" t="s">
        <v>612</v>
      </c>
      <c r="G67" s="143">
        <v>1395</v>
      </c>
      <c r="I67" s="143">
        <f>+$H$64*G59</f>
        <v>150</v>
      </c>
      <c r="J67" s="143">
        <f t="shared" si="2"/>
        <v>1395</v>
      </c>
    </row>
    <row r="68" spans="1:10" x14ac:dyDescent="0.25">
      <c r="B68" s="139" t="s">
        <v>603</v>
      </c>
      <c r="C68" s="139" t="s">
        <v>613</v>
      </c>
      <c r="D68" s="139" t="s">
        <v>614</v>
      </c>
      <c r="E68" s="139" t="s">
        <v>331</v>
      </c>
      <c r="F68" s="139" t="s">
        <v>615</v>
      </c>
      <c r="G68" s="143">
        <v>247</v>
      </c>
      <c r="I68" s="143">
        <f>+$H$64*G60</f>
        <v>111</v>
      </c>
      <c r="J68" s="143">
        <f t="shared" si="2"/>
        <v>247</v>
      </c>
    </row>
    <row r="69" spans="1:10" x14ac:dyDescent="0.25">
      <c r="B69" s="139" t="s">
        <v>603</v>
      </c>
      <c r="C69" s="139" t="s">
        <v>616</v>
      </c>
      <c r="D69" s="139" t="s">
        <v>564</v>
      </c>
      <c r="E69" s="139" t="s">
        <v>563</v>
      </c>
      <c r="F69" s="139" t="s">
        <v>617</v>
      </c>
      <c r="G69" s="143">
        <v>1200</v>
      </c>
      <c r="I69" s="143"/>
      <c r="J69" s="143">
        <f t="shared" si="2"/>
        <v>1200</v>
      </c>
    </row>
    <row r="70" spans="1:10" x14ac:dyDescent="0.25">
      <c r="B70" s="139" t="s">
        <v>603</v>
      </c>
      <c r="C70" s="139" t="s">
        <v>620</v>
      </c>
      <c r="D70" s="139" t="s">
        <v>614</v>
      </c>
      <c r="E70" s="139" t="s">
        <v>618</v>
      </c>
      <c r="F70" s="139" t="s">
        <v>612</v>
      </c>
      <c r="G70" s="143">
        <v>3393</v>
      </c>
      <c r="I70" s="143"/>
      <c r="J70" s="143">
        <f t="shared" si="2"/>
        <v>3393</v>
      </c>
    </row>
    <row r="71" spans="1:10" x14ac:dyDescent="0.25">
      <c r="B71" s="139" t="s">
        <v>603</v>
      </c>
      <c r="C71" s="139" t="s">
        <v>619</v>
      </c>
      <c r="D71" s="139" t="s">
        <v>622</v>
      </c>
      <c r="E71" s="139" t="s">
        <v>621</v>
      </c>
      <c r="F71" s="139" t="s">
        <v>450</v>
      </c>
      <c r="G71" s="143">
        <v>2664</v>
      </c>
      <c r="I71" s="143"/>
      <c r="J71" s="143">
        <f t="shared" si="2"/>
        <v>2664</v>
      </c>
    </row>
    <row r="72" spans="1:10" x14ac:dyDescent="0.25">
      <c r="B72" s="139" t="s">
        <v>604</v>
      </c>
      <c r="C72" s="139" t="s">
        <v>623</v>
      </c>
      <c r="D72" s="139" t="s">
        <v>622</v>
      </c>
      <c r="E72" s="139" t="s">
        <v>624</v>
      </c>
      <c r="F72" s="139" t="s">
        <v>560</v>
      </c>
      <c r="G72" s="143">
        <v>368</v>
      </c>
      <c r="J72" s="143">
        <f t="shared" si="2"/>
        <v>368</v>
      </c>
    </row>
    <row r="73" spans="1:10" x14ac:dyDescent="0.25">
      <c r="B73" s="139" t="s">
        <v>604</v>
      </c>
      <c r="C73" s="139" t="s">
        <v>625</v>
      </c>
      <c r="D73" s="139" t="s">
        <v>627</v>
      </c>
      <c r="E73" s="139" t="s">
        <v>626</v>
      </c>
      <c r="F73" s="139" t="s">
        <v>628</v>
      </c>
      <c r="G73" s="143">
        <v>992</v>
      </c>
      <c r="J73" s="143">
        <f t="shared" si="2"/>
        <v>992</v>
      </c>
    </row>
    <row r="74" spans="1:10" x14ac:dyDescent="0.25">
      <c r="B74" s="139" t="s">
        <v>604</v>
      </c>
      <c r="C74" s="139" t="s">
        <v>629</v>
      </c>
      <c r="D74" s="139" t="s">
        <v>614</v>
      </c>
      <c r="E74" s="139" t="s">
        <v>630</v>
      </c>
      <c r="F74" s="139" t="s">
        <v>631</v>
      </c>
      <c r="G74" s="143">
        <v>126</v>
      </c>
      <c r="J74" s="143">
        <f t="shared" si="2"/>
        <v>126</v>
      </c>
    </row>
    <row r="75" spans="1:10" x14ac:dyDescent="0.25">
      <c r="B75" s="139" t="s">
        <v>604</v>
      </c>
      <c r="C75" s="139" t="s">
        <v>632</v>
      </c>
      <c r="D75" s="139" t="s">
        <v>452</v>
      </c>
      <c r="E75" s="139" t="s">
        <v>633</v>
      </c>
      <c r="F75" s="139" t="s">
        <v>634</v>
      </c>
      <c r="G75" s="143">
        <v>253</v>
      </c>
      <c r="J75" s="143">
        <f t="shared" si="2"/>
        <v>253</v>
      </c>
    </row>
    <row r="76" spans="1:10" x14ac:dyDescent="0.25">
      <c r="B76" s="139" t="s">
        <v>604</v>
      </c>
      <c r="C76" s="139" t="s">
        <v>635</v>
      </c>
      <c r="D76" s="139" t="s">
        <v>637</v>
      </c>
      <c r="E76" s="139" t="s">
        <v>636</v>
      </c>
      <c r="F76" s="139" t="s">
        <v>476</v>
      </c>
      <c r="G76" s="143">
        <v>479</v>
      </c>
      <c r="J76" s="143">
        <f t="shared" si="2"/>
        <v>479</v>
      </c>
    </row>
    <row r="77" spans="1:10" x14ac:dyDescent="0.25">
      <c r="B77" s="139" t="s">
        <v>605</v>
      </c>
      <c r="C77" s="139" t="s">
        <v>638</v>
      </c>
      <c r="D77" s="139" t="s">
        <v>444</v>
      </c>
      <c r="E77" s="139" t="s">
        <v>640</v>
      </c>
      <c r="F77" s="139" t="s">
        <v>639</v>
      </c>
      <c r="G77" s="143">
        <v>318</v>
      </c>
      <c r="H77" s="139">
        <v>0.25</v>
      </c>
      <c r="I77" s="147">
        <f>+$H$77*G77</f>
        <v>79.5</v>
      </c>
    </row>
    <row r="78" spans="1:10" x14ac:dyDescent="0.25">
      <c r="B78" s="139" t="s">
        <v>605</v>
      </c>
      <c r="C78" s="139" t="s">
        <v>641</v>
      </c>
      <c r="D78" s="139" t="s">
        <v>643</v>
      </c>
      <c r="E78" s="139" t="s">
        <v>642</v>
      </c>
      <c r="F78" s="139" t="s">
        <v>450</v>
      </c>
      <c r="G78" s="143">
        <v>1431</v>
      </c>
      <c r="I78" s="147">
        <f>+$H$77*G78</f>
        <v>357.75</v>
      </c>
    </row>
    <row r="79" spans="1:10" x14ac:dyDescent="0.25">
      <c r="B79" s="139" t="s">
        <v>605</v>
      </c>
      <c r="C79" s="139" t="s">
        <v>644</v>
      </c>
      <c r="D79" s="139" t="s">
        <v>457</v>
      </c>
      <c r="E79" s="139" t="s">
        <v>645</v>
      </c>
      <c r="F79" s="139" t="s">
        <v>646</v>
      </c>
      <c r="G79" s="143">
        <v>818</v>
      </c>
      <c r="I79" s="147">
        <f>+$H$77*G79</f>
        <v>204.5</v>
      </c>
    </row>
    <row r="80" spans="1:10" x14ac:dyDescent="0.25">
      <c r="A80" s="120" t="s">
        <v>20</v>
      </c>
      <c r="F80" s="120" t="s">
        <v>20</v>
      </c>
      <c r="G80" s="145">
        <f>SUM(G64:G79)</f>
        <v>17584</v>
      </c>
      <c r="I80" s="145">
        <f>SUM(I64:J79)</f>
        <v>17374.75</v>
      </c>
    </row>
    <row r="81" spans="1:10" x14ac:dyDescent="0.25">
      <c r="G81" s="143"/>
    </row>
    <row r="82" spans="1:10" x14ac:dyDescent="0.25">
      <c r="A82" s="146">
        <v>2007</v>
      </c>
      <c r="G82" s="143"/>
    </row>
    <row r="83" spans="1:10" x14ac:dyDescent="0.25">
      <c r="B83" s="139" t="s">
        <v>606</v>
      </c>
      <c r="C83" s="139" t="s">
        <v>647</v>
      </c>
      <c r="D83" s="139" t="s">
        <v>444</v>
      </c>
      <c r="E83" s="139" t="s">
        <v>648</v>
      </c>
      <c r="F83" s="139" t="s">
        <v>476</v>
      </c>
      <c r="G83" s="143">
        <v>427</v>
      </c>
      <c r="H83" s="139">
        <v>0.75</v>
      </c>
      <c r="I83" s="143">
        <f>+$H$83*G77</f>
        <v>238.5</v>
      </c>
      <c r="J83" s="143">
        <f>+G83</f>
        <v>427</v>
      </c>
    </row>
    <row r="84" spans="1:10" x14ac:dyDescent="0.25">
      <c r="B84" s="139" t="s">
        <v>606</v>
      </c>
      <c r="C84" s="139" t="s">
        <v>649</v>
      </c>
      <c r="D84" s="139" t="s">
        <v>650</v>
      </c>
      <c r="E84" s="139" t="s">
        <v>651</v>
      </c>
      <c r="F84" s="139" t="s">
        <v>472</v>
      </c>
      <c r="G84" s="143">
        <v>182</v>
      </c>
      <c r="I84" s="143">
        <f>+$H$83*G78</f>
        <v>1073.25</v>
      </c>
      <c r="J84" s="143">
        <f t="shared" ref="J84:J93" si="3">+G84</f>
        <v>182</v>
      </c>
    </row>
    <row r="85" spans="1:10" x14ac:dyDescent="0.25">
      <c r="B85" s="139" t="s">
        <v>606</v>
      </c>
      <c r="C85" s="139" t="s">
        <v>652</v>
      </c>
      <c r="D85" s="139" t="s">
        <v>622</v>
      </c>
      <c r="E85" s="139" t="s">
        <v>653</v>
      </c>
      <c r="F85" s="139" t="s">
        <v>472</v>
      </c>
      <c r="G85" s="143">
        <v>1895</v>
      </c>
      <c r="I85" s="143">
        <f>+$H$83*G79</f>
        <v>613.5</v>
      </c>
      <c r="J85" s="143">
        <f t="shared" si="3"/>
        <v>1895</v>
      </c>
    </row>
    <row r="86" spans="1:10" x14ac:dyDescent="0.25">
      <c r="B86" s="139" t="s">
        <v>654</v>
      </c>
      <c r="C86" s="139" t="s">
        <v>655</v>
      </c>
      <c r="D86" s="139" t="s">
        <v>78</v>
      </c>
      <c r="E86" s="139" t="s">
        <v>656</v>
      </c>
      <c r="F86" s="139" t="s">
        <v>657</v>
      </c>
      <c r="G86" s="143">
        <v>1496</v>
      </c>
      <c r="I86" s="143"/>
      <c r="J86" s="143">
        <f t="shared" si="3"/>
        <v>1496</v>
      </c>
    </row>
    <row r="87" spans="1:10" x14ac:dyDescent="0.25">
      <c r="B87" s="139" t="s">
        <v>654</v>
      </c>
      <c r="C87" s="139" t="s">
        <v>658</v>
      </c>
      <c r="D87" s="139" t="s">
        <v>663</v>
      </c>
      <c r="E87" s="139" t="s">
        <v>659</v>
      </c>
      <c r="F87" s="139" t="s">
        <v>660</v>
      </c>
      <c r="G87" s="143">
        <v>900</v>
      </c>
      <c r="J87" s="143">
        <f t="shared" si="3"/>
        <v>900</v>
      </c>
    </row>
    <row r="88" spans="1:10" x14ac:dyDescent="0.25">
      <c r="B88" s="139" t="s">
        <v>654</v>
      </c>
      <c r="C88" s="139" t="s">
        <v>661</v>
      </c>
      <c r="D88" s="139" t="s">
        <v>452</v>
      </c>
      <c r="E88" s="139" t="s">
        <v>662</v>
      </c>
      <c r="F88" s="139" t="s">
        <v>634</v>
      </c>
      <c r="G88" s="143">
        <v>1200</v>
      </c>
      <c r="J88" s="143">
        <f t="shared" si="3"/>
        <v>1200</v>
      </c>
    </row>
    <row r="89" spans="1:10" x14ac:dyDescent="0.25">
      <c r="B89" s="139" t="s">
        <v>654</v>
      </c>
      <c r="C89" s="139" t="s">
        <v>664</v>
      </c>
      <c r="D89" s="139" t="s">
        <v>666</v>
      </c>
      <c r="E89" s="139" t="s">
        <v>665</v>
      </c>
      <c r="F89" s="139" t="s">
        <v>472</v>
      </c>
      <c r="G89" s="143">
        <v>812</v>
      </c>
      <c r="J89" s="143">
        <f t="shared" si="3"/>
        <v>812</v>
      </c>
    </row>
    <row r="90" spans="1:10" x14ac:dyDescent="0.25">
      <c r="B90" s="139" t="s">
        <v>667</v>
      </c>
      <c r="C90" s="139" t="s">
        <v>668</v>
      </c>
      <c r="D90" s="139" t="s">
        <v>666</v>
      </c>
      <c r="E90" s="139" t="s">
        <v>669</v>
      </c>
      <c r="F90" s="139" t="s">
        <v>670</v>
      </c>
      <c r="G90" s="143">
        <v>802</v>
      </c>
      <c r="J90" s="143">
        <f t="shared" si="3"/>
        <v>802</v>
      </c>
    </row>
    <row r="91" spans="1:10" x14ac:dyDescent="0.25">
      <c r="B91" s="139" t="s">
        <v>667</v>
      </c>
      <c r="C91" s="139" t="s">
        <v>671</v>
      </c>
      <c r="D91" s="139" t="s">
        <v>673</v>
      </c>
      <c r="E91" s="139" t="s">
        <v>672</v>
      </c>
      <c r="F91" s="139" t="s">
        <v>674</v>
      </c>
      <c r="G91" s="143">
        <v>1410</v>
      </c>
      <c r="J91" s="143">
        <f t="shared" si="3"/>
        <v>1410</v>
      </c>
    </row>
    <row r="92" spans="1:10" x14ac:dyDescent="0.25">
      <c r="B92" s="139" t="s">
        <v>667</v>
      </c>
      <c r="C92" s="139" t="s">
        <v>675</v>
      </c>
      <c r="D92" s="139" t="s">
        <v>666</v>
      </c>
      <c r="E92" s="139" t="s">
        <v>676</v>
      </c>
      <c r="F92" s="139" t="s">
        <v>677</v>
      </c>
      <c r="G92" s="143">
        <v>186</v>
      </c>
      <c r="J92" s="143">
        <f t="shared" si="3"/>
        <v>186</v>
      </c>
    </row>
    <row r="93" spans="1:10" x14ac:dyDescent="0.25">
      <c r="B93" s="139" t="s">
        <v>667</v>
      </c>
      <c r="C93" s="139" t="s">
        <v>678</v>
      </c>
      <c r="D93" s="139" t="s">
        <v>519</v>
      </c>
      <c r="E93" s="139" t="s">
        <v>679</v>
      </c>
      <c r="F93" s="139" t="s">
        <v>680</v>
      </c>
      <c r="G93" s="143">
        <v>449</v>
      </c>
      <c r="J93" s="143">
        <f t="shared" si="3"/>
        <v>449</v>
      </c>
    </row>
    <row r="94" spans="1:10" x14ac:dyDescent="0.25">
      <c r="B94" s="139" t="s">
        <v>681</v>
      </c>
      <c r="C94" s="139" t="s">
        <v>682</v>
      </c>
      <c r="D94" s="139" t="s">
        <v>509</v>
      </c>
      <c r="E94" s="139" t="s">
        <v>683</v>
      </c>
      <c r="F94" s="139" t="s">
        <v>684</v>
      </c>
      <c r="G94" s="143">
        <v>601</v>
      </c>
      <c r="H94" s="139">
        <v>0.25</v>
      </c>
      <c r="I94" s="143">
        <f>+$H$94*G94</f>
        <v>150.25</v>
      </c>
    </row>
    <row r="95" spans="1:10" x14ac:dyDescent="0.25">
      <c r="A95" s="120" t="s">
        <v>20</v>
      </c>
      <c r="F95" s="120" t="s">
        <v>20</v>
      </c>
      <c r="G95" s="145">
        <f>SUM(G83:G94)</f>
        <v>10360</v>
      </c>
      <c r="I95" s="145">
        <f>+SUM(I83:J94)</f>
        <v>11834.5</v>
      </c>
    </row>
    <row r="96" spans="1:10" x14ac:dyDescent="0.25">
      <c r="G96" s="143"/>
    </row>
    <row r="97" spans="1:10" x14ac:dyDescent="0.25">
      <c r="A97" s="146">
        <v>2008</v>
      </c>
      <c r="G97" s="143"/>
    </row>
    <row r="98" spans="1:10" x14ac:dyDescent="0.25">
      <c r="B98" s="139" t="s">
        <v>685</v>
      </c>
      <c r="C98" s="139" t="s">
        <v>686</v>
      </c>
      <c r="D98" s="139" t="s">
        <v>688</v>
      </c>
      <c r="E98" s="139" t="s">
        <v>687</v>
      </c>
      <c r="F98" s="139" t="s">
        <v>689</v>
      </c>
      <c r="G98" s="143">
        <v>910</v>
      </c>
      <c r="H98" s="139">
        <v>0.75</v>
      </c>
      <c r="I98" s="143">
        <f>+$H$98*G94</f>
        <v>450.75</v>
      </c>
      <c r="J98" s="143">
        <f>+G98</f>
        <v>910</v>
      </c>
    </row>
    <row r="99" spans="1:10" x14ac:dyDescent="0.25">
      <c r="B99" s="139" t="s">
        <v>685</v>
      </c>
      <c r="C99" s="139" t="s">
        <v>690</v>
      </c>
      <c r="D99" s="139" t="s">
        <v>79</v>
      </c>
      <c r="E99" s="139" t="s">
        <v>691</v>
      </c>
      <c r="F99" s="139" t="s">
        <v>692</v>
      </c>
      <c r="G99" s="143">
        <v>540</v>
      </c>
      <c r="J99" s="143">
        <f t="shared" ref="J99:J116" si="4">+G99</f>
        <v>540</v>
      </c>
    </row>
    <row r="100" spans="1:10" x14ac:dyDescent="0.25">
      <c r="B100" s="139" t="s">
        <v>685</v>
      </c>
      <c r="C100" s="139" t="s">
        <v>693</v>
      </c>
      <c r="D100" s="139" t="s">
        <v>695</v>
      </c>
      <c r="E100" s="139" t="s">
        <v>694</v>
      </c>
      <c r="F100" s="139" t="s">
        <v>696</v>
      </c>
      <c r="G100" s="143">
        <v>1900</v>
      </c>
      <c r="J100" s="143">
        <f t="shared" si="4"/>
        <v>1900</v>
      </c>
    </row>
    <row r="101" spans="1:10" x14ac:dyDescent="0.25">
      <c r="B101" s="139" t="s">
        <v>685</v>
      </c>
      <c r="C101" s="139" t="s">
        <v>697</v>
      </c>
      <c r="D101" s="139" t="s">
        <v>519</v>
      </c>
      <c r="E101" s="139" t="s">
        <v>698</v>
      </c>
      <c r="F101" s="139" t="s">
        <v>699</v>
      </c>
      <c r="G101" s="143">
        <v>150</v>
      </c>
      <c r="J101" s="143">
        <f t="shared" si="4"/>
        <v>150</v>
      </c>
    </row>
    <row r="102" spans="1:10" x14ac:dyDescent="0.25">
      <c r="B102" s="139" t="s">
        <v>685</v>
      </c>
      <c r="C102" s="139" t="s">
        <v>700</v>
      </c>
      <c r="D102" s="139" t="s">
        <v>79</v>
      </c>
      <c r="E102" s="139" t="s">
        <v>701</v>
      </c>
      <c r="F102" s="139" t="s">
        <v>461</v>
      </c>
      <c r="G102" s="143">
        <v>155</v>
      </c>
      <c r="J102" s="143">
        <f t="shared" si="4"/>
        <v>155</v>
      </c>
    </row>
    <row r="103" spans="1:10" x14ac:dyDescent="0.25">
      <c r="B103" s="139" t="s">
        <v>685</v>
      </c>
      <c r="C103" s="139" t="s">
        <v>702</v>
      </c>
      <c r="D103" s="139" t="s">
        <v>622</v>
      </c>
      <c r="E103" s="139" t="s">
        <v>703</v>
      </c>
      <c r="F103" s="139" t="s">
        <v>704</v>
      </c>
      <c r="G103" s="143">
        <v>1368</v>
      </c>
      <c r="J103" s="143">
        <f t="shared" si="4"/>
        <v>1368</v>
      </c>
    </row>
    <row r="104" spans="1:10" x14ac:dyDescent="0.25">
      <c r="B104" s="139" t="s">
        <v>685</v>
      </c>
      <c r="C104" s="139" t="s">
        <v>700</v>
      </c>
      <c r="D104" s="139" t="s">
        <v>622</v>
      </c>
      <c r="E104" s="139" t="s">
        <v>705</v>
      </c>
      <c r="F104" s="139" t="s">
        <v>461</v>
      </c>
      <c r="G104" s="143">
        <v>173</v>
      </c>
      <c r="J104" s="143">
        <f t="shared" si="4"/>
        <v>173</v>
      </c>
    </row>
    <row r="105" spans="1:10" x14ac:dyDescent="0.25">
      <c r="B105" s="139" t="s">
        <v>707</v>
      </c>
      <c r="C105" s="139" t="s">
        <v>706</v>
      </c>
      <c r="D105" s="139" t="s">
        <v>709</v>
      </c>
      <c r="E105" s="139" t="s">
        <v>708</v>
      </c>
      <c r="F105" s="139" t="s">
        <v>710</v>
      </c>
      <c r="G105" s="143">
        <v>163</v>
      </c>
      <c r="J105" s="143">
        <f t="shared" si="4"/>
        <v>163</v>
      </c>
    </row>
    <row r="106" spans="1:10" x14ac:dyDescent="0.25">
      <c r="B106" s="139" t="s">
        <v>707</v>
      </c>
      <c r="C106" s="139" t="s">
        <v>711</v>
      </c>
      <c r="D106" s="139" t="s">
        <v>713</v>
      </c>
      <c r="E106" s="139" t="s">
        <v>712</v>
      </c>
      <c r="F106" s="139" t="s">
        <v>714</v>
      </c>
      <c r="G106" s="143">
        <v>158</v>
      </c>
      <c r="J106" s="143">
        <f t="shared" si="4"/>
        <v>158</v>
      </c>
    </row>
    <row r="107" spans="1:10" x14ac:dyDescent="0.25">
      <c r="B107" s="139" t="s">
        <v>707</v>
      </c>
      <c r="C107" s="139" t="s">
        <v>715</v>
      </c>
      <c r="D107" s="139" t="s">
        <v>457</v>
      </c>
      <c r="E107" s="139" t="s">
        <v>716</v>
      </c>
      <c r="F107" s="139" t="s">
        <v>450</v>
      </c>
      <c r="G107" s="143">
        <v>308</v>
      </c>
      <c r="J107" s="143">
        <f t="shared" si="4"/>
        <v>308</v>
      </c>
    </row>
    <row r="108" spans="1:10" x14ac:dyDescent="0.25">
      <c r="B108" s="139" t="s">
        <v>707</v>
      </c>
      <c r="C108" s="139" t="s">
        <v>717</v>
      </c>
      <c r="D108" s="139" t="s">
        <v>441</v>
      </c>
      <c r="E108" s="139" t="s">
        <v>440</v>
      </c>
      <c r="F108" s="139" t="s">
        <v>718</v>
      </c>
      <c r="G108" s="143">
        <v>168</v>
      </c>
      <c r="J108" s="143">
        <f t="shared" si="4"/>
        <v>168</v>
      </c>
    </row>
    <row r="109" spans="1:10" x14ac:dyDescent="0.25">
      <c r="B109" s="139" t="s">
        <v>707</v>
      </c>
      <c r="C109" s="139" t="s">
        <v>719</v>
      </c>
      <c r="D109" s="139" t="s">
        <v>519</v>
      </c>
      <c r="E109" s="139" t="s">
        <v>720</v>
      </c>
      <c r="F109" s="139" t="s">
        <v>721</v>
      </c>
      <c r="G109" s="143">
        <v>414</v>
      </c>
      <c r="J109" s="143">
        <f t="shared" si="4"/>
        <v>414</v>
      </c>
    </row>
    <row r="110" spans="1:10" x14ac:dyDescent="0.25">
      <c r="B110" s="139" t="s">
        <v>707</v>
      </c>
      <c r="C110" s="139" t="s">
        <v>722</v>
      </c>
      <c r="D110" s="139" t="s">
        <v>519</v>
      </c>
      <c r="E110" s="139" t="s">
        <v>642</v>
      </c>
      <c r="F110" s="139" t="s">
        <v>450</v>
      </c>
      <c r="G110" s="143">
        <v>1655</v>
      </c>
      <c r="J110" s="143">
        <f t="shared" si="4"/>
        <v>1655</v>
      </c>
    </row>
    <row r="111" spans="1:10" x14ac:dyDescent="0.25">
      <c r="B111" s="139" t="s">
        <v>707</v>
      </c>
      <c r="C111" s="139" t="s">
        <v>723</v>
      </c>
      <c r="D111" s="139" t="s">
        <v>725</v>
      </c>
      <c r="E111" s="139" t="s">
        <v>724</v>
      </c>
      <c r="F111" s="139" t="s">
        <v>506</v>
      </c>
      <c r="G111" s="143">
        <v>609</v>
      </c>
      <c r="J111" s="143">
        <f t="shared" si="4"/>
        <v>609</v>
      </c>
    </row>
    <row r="112" spans="1:10" x14ac:dyDescent="0.25">
      <c r="B112" s="139" t="s">
        <v>726</v>
      </c>
      <c r="C112" s="139" t="s">
        <v>727</v>
      </c>
      <c r="D112" s="139" t="s">
        <v>663</v>
      </c>
      <c r="E112" s="139" t="s">
        <v>729</v>
      </c>
      <c r="F112" s="139" t="s">
        <v>617</v>
      </c>
      <c r="G112" s="143">
        <v>1028</v>
      </c>
      <c r="J112" s="143">
        <f>+G112</f>
        <v>1028</v>
      </c>
    </row>
    <row r="113" spans="1:10" x14ac:dyDescent="0.25">
      <c r="B113" s="139" t="s">
        <v>726</v>
      </c>
      <c r="C113" s="139" t="s">
        <v>730</v>
      </c>
      <c r="D113" s="139" t="s">
        <v>474</v>
      </c>
      <c r="E113" s="139" t="s">
        <v>728</v>
      </c>
      <c r="F113" s="139" t="s">
        <v>541</v>
      </c>
      <c r="G113" s="143">
        <v>114</v>
      </c>
      <c r="J113" s="143">
        <f t="shared" si="4"/>
        <v>114</v>
      </c>
    </row>
    <row r="114" spans="1:10" x14ac:dyDescent="0.25">
      <c r="B114" s="139" t="s">
        <v>726</v>
      </c>
      <c r="C114" s="139" t="s">
        <v>616</v>
      </c>
      <c r="D114" s="139" t="s">
        <v>564</v>
      </c>
      <c r="E114" s="139" t="s">
        <v>563</v>
      </c>
      <c r="F114" s="139" t="s">
        <v>617</v>
      </c>
      <c r="G114" s="143">
        <v>1200</v>
      </c>
      <c r="J114" s="143">
        <f t="shared" si="4"/>
        <v>1200</v>
      </c>
    </row>
    <row r="115" spans="1:10" x14ac:dyDescent="0.25">
      <c r="B115" s="139" t="s">
        <v>726</v>
      </c>
      <c r="C115" s="139" t="s">
        <v>731</v>
      </c>
      <c r="D115" s="139" t="s">
        <v>732</v>
      </c>
      <c r="E115" s="139" t="s">
        <v>734</v>
      </c>
      <c r="F115" s="139" t="s">
        <v>733</v>
      </c>
      <c r="G115" s="143">
        <v>112</v>
      </c>
      <c r="J115" s="143">
        <f t="shared" si="4"/>
        <v>112</v>
      </c>
    </row>
    <row r="116" spans="1:10" x14ac:dyDescent="0.25">
      <c r="B116" s="139" t="s">
        <v>726</v>
      </c>
      <c r="C116" s="139" t="s">
        <v>735</v>
      </c>
      <c r="D116" s="139" t="s">
        <v>444</v>
      </c>
      <c r="E116" s="139" t="s">
        <v>736</v>
      </c>
      <c r="F116" s="139" t="s">
        <v>737</v>
      </c>
      <c r="G116" s="143">
        <v>2572</v>
      </c>
      <c r="J116" s="143">
        <f t="shared" si="4"/>
        <v>2572</v>
      </c>
    </row>
    <row r="117" spans="1:10" x14ac:dyDescent="0.25">
      <c r="B117" s="139" t="s">
        <v>741</v>
      </c>
      <c r="C117" s="139" t="s">
        <v>738</v>
      </c>
      <c r="D117" s="139" t="s">
        <v>457</v>
      </c>
      <c r="E117" s="139" t="s">
        <v>739</v>
      </c>
      <c r="F117" s="139" t="s">
        <v>740</v>
      </c>
      <c r="G117" s="143">
        <v>1269</v>
      </c>
      <c r="H117" s="139">
        <v>0.25</v>
      </c>
      <c r="I117" s="143">
        <f t="shared" ref="I117:I122" si="5">+$H$117*G117</f>
        <v>317.25</v>
      </c>
      <c r="J117" s="143"/>
    </row>
    <row r="118" spans="1:10" x14ac:dyDescent="0.25">
      <c r="B118" s="139" t="s">
        <v>741</v>
      </c>
      <c r="C118" s="139" t="s">
        <v>742</v>
      </c>
      <c r="D118" s="139" t="s">
        <v>744</v>
      </c>
      <c r="E118" s="139" t="s">
        <v>743</v>
      </c>
      <c r="F118" s="139" t="s">
        <v>745</v>
      </c>
      <c r="G118" s="143">
        <v>450</v>
      </c>
      <c r="I118" s="143">
        <f t="shared" si="5"/>
        <v>112.5</v>
      </c>
    </row>
    <row r="119" spans="1:10" x14ac:dyDescent="0.25">
      <c r="B119" s="139" t="s">
        <v>741</v>
      </c>
      <c r="C119" s="139" t="s">
        <v>746</v>
      </c>
      <c r="D119" s="139" t="s">
        <v>441</v>
      </c>
      <c r="E119" s="139" t="s">
        <v>747</v>
      </c>
      <c r="F119" s="139" t="s">
        <v>748</v>
      </c>
      <c r="G119" s="143">
        <v>895</v>
      </c>
      <c r="I119" s="143">
        <f t="shared" si="5"/>
        <v>223.75</v>
      </c>
    </row>
    <row r="120" spans="1:10" x14ac:dyDescent="0.25">
      <c r="B120" s="139" t="s">
        <v>741</v>
      </c>
      <c r="C120" s="139" t="s">
        <v>749</v>
      </c>
      <c r="D120" s="139" t="s">
        <v>751</v>
      </c>
      <c r="E120" s="139" t="s">
        <v>750</v>
      </c>
      <c r="F120" s="139" t="s">
        <v>752</v>
      </c>
      <c r="G120" s="143">
        <v>259</v>
      </c>
      <c r="I120" s="143">
        <f t="shared" si="5"/>
        <v>64.75</v>
      </c>
    </row>
    <row r="121" spans="1:10" x14ac:dyDescent="0.25">
      <c r="B121" s="139" t="s">
        <v>741</v>
      </c>
      <c r="C121" s="139" t="s">
        <v>753</v>
      </c>
      <c r="D121" s="139" t="s">
        <v>614</v>
      </c>
      <c r="E121" s="139" t="s">
        <v>754</v>
      </c>
      <c r="F121" s="139" t="s">
        <v>755</v>
      </c>
      <c r="G121" s="143">
        <v>155</v>
      </c>
      <c r="I121" s="143">
        <f t="shared" si="5"/>
        <v>38.75</v>
      </c>
    </row>
    <row r="122" spans="1:10" x14ac:dyDescent="0.25">
      <c r="B122" s="139" t="s">
        <v>741</v>
      </c>
      <c r="C122" s="139" t="s">
        <v>756</v>
      </c>
      <c r="D122" s="139" t="s">
        <v>758</v>
      </c>
      <c r="E122" s="139" t="s">
        <v>757</v>
      </c>
      <c r="F122" s="139" t="s">
        <v>759</v>
      </c>
      <c r="G122" s="143">
        <v>124</v>
      </c>
      <c r="I122" s="143">
        <f t="shared" si="5"/>
        <v>31</v>
      </c>
    </row>
    <row r="123" spans="1:10" x14ac:dyDescent="0.25">
      <c r="A123" s="120" t="s">
        <v>20</v>
      </c>
      <c r="F123" s="120" t="s">
        <v>20</v>
      </c>
      <c r="G123" s="145">
        <f>SUM(G98:G122)</f>
        <v>16849</v>
      </c>
      <c r="I123" s="145">
        <f>SUM(I98:J122)</f>
        <v>14935.75</v>
      </c>
    </row>
    <row r="125" spans="1:10" x14ac:dyDescent="0.25">
      <c r="A125" s="146">
        <v>2009</v>
      </c>
    </row>
    <row r="126" spans="1:10" x14ac:dyDescent="0.25">
      <c r="B126" s="139" t="s">
        <v>760</v>
      </c>
      <c r="C126" s="139" t="s">
        <v>819</v>
      </c>
      <c r="D126" s="139" t="s">
        <v>820</v>
      </c>
      <c r="E126" s="139" t="s">
        <v>821</v>
      </c>
      <c r="G126" s="143"/>
    </row>
    <row r="127" spans="1:10" x14ac:dyDescent="0.25">
      <c r="B127" s="139" t="s">
        <v>760</v>
      </c>
      <c r="C127" s="139" t="s">
        <v>761</v>
      </c>
      <c r="D127" s="139" t="s">
        <v>663</v>
      </c>
      <c r="E127" s="139" t="s">
        <v>762</v>
      </c>
      <c r="F127" s="139" t="s">
        <v>541</v>
      </c>
      <c r="G127" s="143">
        <v>895</v>
      </c>
      <c r="H127" s="139">
        <v>0.75</v>
      </c>
      <c r="I127" s="143">
        <f t="shared" ref="I127:I132" si="6">+$H$127*G117</f>
        <v>951.75</v>
      </c>
      <c r="J127" s="143">
        <f>+G127</f>
        <v>895</v>
      </c>
    </row>
    <row r="128" spans="1:10" x14ac:dyDescent="0.25">
      <c r="B128" s="139" t="s">
        <v>760</v>
      </c>
      <c r="C128" s="139" t="s">
        <v>765</v>
      </c>
      <c r="D128" s="139" t="s">
        <v>767</v>
      </c>
      <c r="E128" s="139" t="s">
        <v>766</v>
      </c>
      <c r="F128" s="139" t="s">
        <v>595</v>
      </c>
      <c r="G128" s="143">
        <v>104</v>
      </c>
      <c r="I128" s="143">
        <f t="shared" si="6"/>
        <v>337.5</v>
      </c>
      <c r="J128" s="143">
        <f t="shared" ref="J128:J143" si="7">+G128</f>
        <v>104</v>
      </c>
    </row>
    <row r="129" spans="2:10" x14ac:dyDescent="0.25">
      <c r="B129" s="139" t="s">
        <v>760</v>
      </c>
      <c r="C129" s="139" t="s">
        <v>768</v>
      </c>
      <c r="D129" s="139" t="s">
        <v>444</v>
      </c>
      <c r="E129" s="139" t="s">
        <v>769</v>
      </c>
      <c r="F129" s="139" t="s">
        <v>770</v>
      </c>
      <c r="G129" s="143">
        <v>108</v>
      </c>
      <c r="I129" s="143">
        <f t="shared" si="6"/>
        <v>671.25</v>
      </c>
      <c r="J129" s="143">
        <f t="shared" si="7"/>
        <v>108</v>
      </c>
    </row>
    <row r="130" spans="2:10" x14ac:dyDescent="0.25">
      <c r="B130" s="139" t="s">
        <v>760</v>
      </c>
      <c r="C130" s="139" t="s">
        <v>822</v>
      </c>
      <c r="D130" s="139" t="s">
        <v>823</v>
      </c>
      <c r="E130" s="139" t="s">
        <v>824</v>
      </c>
      <c r="F130" s="139" t="s">
        <v>787</v>
      </c>
      <c r="G130" s="143"/>
      <c r="I130" s="143">
        <f t="shared" si="6"/>
        <v>194.25</v>
      </c>
      <c r="J130" s="143">
        <f t="shared" si="7"/>
        <v>0</v>
      </c>
    </row>
    <row r="131" spans="2:10" x14ac:dyDescent="0.25">
      <c r="B131" s="139" t="s">
        <v>760</v>
      </c>
      <c r="C131" s="139" t="s">
        <v>771</v>
      </c>
      <c r="D131" s="139" t="s">
        <v>444</v>
      </c>
      <c r="E131" s="139" t="s">
        <v>772</v>
      </c>
      <c r="F131" s="139" t="s">
        <v>595</v>
      </c>
      <c r="G131" s="143">
        <v>2419</v>
      </c>
      <c r="I131" s="143">
        <f t="shared" si="6"/>
        <v>116.25</v>
      </c>
      <c r="J131" s="143">
        <f t="shared" si="7"/>
        <v>2419</v>
      </c>
    </row>
    <row r="132" spans="2:10" x14ac:dyDescent="0.25">
      <c r="B132" s="139" t="s">
        <v>760</v>
      </c>
      <c r="C132" s="139" t="s">
        <v>825</v>
      </c>
      <c r="D132" s="139" t="s">
        <v>479</v>
      </c>
      <c r="E132" s="139" t="s">
        <v>826</v>
      </c>
      <c r="F132" s="139" t="s">
        <v>827</v>
      </c>
      <c r="G132" s="143"/>
      <c r="I132" s="143">
        <f t="shared" si="6"/>
        <v>93</v>
      </c>
      <c r="J132" s="143">
        <f t="shared" si="7"/>
        <v>0</v>
      </c>
    </row>
    <row r="133" spans="2:10" x14ac:dyDescent="0.25">
      <c r="B133" s="139" t="s">
        <v>776</v>
      </c>
      <c r="C133" s="139" t="s">
        <v>773</v>
      </c>
      <c r="D133" s="139" t="s">
        <v>775</v>
      </c>
      <c r="E133" s="139" t="s">
        <v>774</v>
      </c>
      <c r="F133" s="139" t="s">
        <v>411</v>
      </c>
      <c r="G133" s="143">
        <v>1400</v>
      </c>
      <c r="I133" s="143"/>
      <c r="J133" s="143">
        <f t="shared" si="7"/>
        <v>1400</v>
      </c>
    </row>
    <row r="134" spans="2:10" x14ac:dyDescent="0.25">
      <c r="B134" s="139" t="s">
        <v>776</v>
      </c>
      <c r="C134" s="139" t="s">
        <v>777</v>
      </c>
      <c r="D134" s="139" t="s">
        <v>76</v>
      </c>
      <c r="E134" s="139" t="s">
        <v>778</v>
      </c>
      <c r="F134" s="139" t="s">
        <v>779</v>
      </c>
      <c r="G134" s="143">
        <v>1006</v>
      </c>
      <c r="I134" s="143"/>
      <c r="J134" s="143">
        <f t="shared" si="7"/>
        <v>1006</v>
      </c>
    </row>
    <row r="135" spans="2:10" x14ac:dyDescent="0.25">
      <c r="B135" s="139" t="s">
        <v>776</v>
      </c>
      <c r="C135" s="139" t="s">
        <v>780</v>
      </c>
      <c r="D135" s="139" t="s">
        <v>444</v>
      </c>
      <c r="E135" s="139" t="s">
        <v>505</v>
      </c>
      <c r="F135" s="139" t="s">
        <v>506</v>
      </c>
      <c r="G135" s="143">
        <v>390</v>
      </c>
      <c r="J135" s="143">
        <f t="shared" si="7"/>
        <v>390</v>
      </c>
    </row>
    <row r="136" spans="2:10" x14ac:dyDescent="0.25">
      <c r="B136" s="139" t="s">
        <v>776</v>
      </c>
      <c r="C136" s="139" t="s">
        <v>781</v>
      </c>
      <c r="D136" s="139" t="s">
        <v>666</v>
      </c>
      <c r="E136" s="139" t="s">
        <v>782</v>
      </c>
      <c r="F136" s="139" t="s">
        <v>595</v>
      </c>
      <c r="G136" s="143">
        <v>105</v>
      </c>
      <c r="J136" s="143">
        <f t="shared" si="7"/>
        <v>105</v>
      </c>
    </row>
    <row r="137" spans="2:10" x14ac:dyDescent="0.25">
      <c r="B137" s="139" t="s">
        <v>783</v>
      </c>
      <c r="C137" s="139" t="s">
        <v>784</v>
      </c>
      <c r="D137" s="139" t="s">
        <v>786</v>
      </c>
      <c r="E137" s="139" t="s">
        <v>785</v>
      </c>
      <c r="F137" s="139" t="s">
        <v>787</v>
      </c>
      <c r="G137" s="143">
        <v>222</v>
      </c>
      <c r="J137" s="143">
        <f t="shared" si="7"/>
        <v>222</v>
      </c>
    </row>
    <row r="138" spans="2:10" x14ac:dyDescent="0.25">
      <c r="B138" s="139" t="s">
        <v>783</v>
      </c>
      <c r="C138" s="139" t="s">
        <v>788</v>
      </c>
      <c r="D138" s="139" t="s">
        <v>441</v>
      </c>
      <c r="E138" s="139" t="s">
        <v>789</v>
      </c>
      <c r="F138" s="139" t="s">
        <v>454</v>
      </c>
      <c r="G138" s="143">
        <v>324</v>
      </c>
      <c r="J138" s="143">
        <f t="shared" si="7"/>
        <v>324</v>
      </c>
    </row>
    <row r="139" spans="2:10" x14ac:dyDescent="0.25">
      <c r="B139" s="139" t="s">
        <v>783</v>
      </c>
      <c r="C139" s="139" t="s">
        <v>790</v>
      </c>
      <c r="D139" s="139" t="s">
        <v>627</v>
      </c>
      <c r="E139" s="139" t="s">
        <v>791</v>
      </c>
      <c r="F139" s="139" t="s">
        <v>472</v>
      </c>
      <c r="G139" s="143">
        <v>289</v>
      </c>
      <c r="J139" s="143">
        <f t="shared" si="7"/>
        <v>289</v>
      </c>
    </row>
    <row r="140" spans="2:10" x14ac:dyDescent="0.25">
      <c r="B140" s="139" t="s">
        <v>783</v>
      </c>
      <c r="C140" s="139" t="s">
        <v>792</v>
      </c>
      <c r="D140" s="139" t="s">
        <v>794</v>
      </c>
      <c r="E140" s="139" t="s">
        <v>793</v>
      </c>
      <c r="F140" s="139" t="s">
        <v>795</v>
      </c>
      <c r="G140" s="143">
        <v>1414</v>
      </c>
      <c r="J140" s="143">
        <f t="shared" si="7"/>
        <v>1414</v>
      </c>
    </row>
    <row r="141" spans="2:10" x14ac:dyDescent="0.25">
      <c r="B141" s="139" t="s">
        <v>783</v>
      </c>
      <c r="C141" s="139" t="s">
        <v>796</v>
      </c>
      <c r="D141" s="139" t="s">
        <v>695</v>
      </c>
      <c r="E141" s="139" t="s">
        <v>797</v>
      </c>
      <c r="F141" s="139" t="s">
        <v>798</v>
      </c>
      <c r="G141" s="143">
        <v>298</v>
      </c>
      <c r="J141" s="143">
        <f t="shared" si="7"/>
        <v>298</v>
      </c>
    </row>
    <row r="142" spans="2:10" x14ac:dyDescent="0.25">
      <c r="B142" s="139" t="s">
        <v>783</v>
      </c>
      <c r="C142" s="139" t="s">
        <v>828</v>
      </c>
      <c r="D142" s="139" t="s">
        <v>78</v>
      </c>
      <c r="E142" s="139" t="s">
        <v>829</v>
      </c>
      <c r="F142" s="139" t="s">
        <v>830</v>
      </c>
      <c r="G142" s="148">
        <f>175*1.3</f>
        <v>227.5</v>
      </c>
      <c r="J142" s="143">
        <f t="shared" si="7"/>
        <v>227.5</v>
      </c>
    </row>
    <row r="143" spans="2:10" x14ac:dyDescent="0.25">
      <c r="B143" s="139" t="s">
        <v>783</v>
      </c>
      <c r="C143" s="139" t="s">
        <v>799</v>
      </c>
      <c r="D143" s="139" t="s">
        <v>801</v>
      </c>
      <c r="E143" s="139" t="s">
        <v>800</v>
      </c>
      <c r="F143" s="139" t="s">
        <v>802</v>
      </c>
      <c r="G143" s="143">
        <v>915</v>
      </c>
      <c r="J143" s="143">
        <f t="shared" si="7"/>
        <v>915</v>
      </c>
    </row>
    <row r="144" spans="2:10" x14ac:dyDescent="0.25">
      <c r="B144" s="139" t="s">
        <v>803</v>
      </c>
      <c r="C144" s="139" t="s">
        <v>809</v>
      </c>
      <c r="D144" s="139" t="s">
        <v>811</v>
      </c>
      <c r="E144" s="139" t="s">
        <v>810</v>
      </c>
      <c r="F144" s="139" t="s">
        <v>812</v>
      </c>
      <c r="G144" s="143">
        <v>112</v>
      </c>
      <c r="H144" s="139">
        <v>0.25</v>
      </c>
      <c r="I144" s="143">
        <f t="shared" ref="I144:I149" si="8">+$H$144*G144</f>
        <v>28</v>
      </c>
      <c r="J144" s="143"/>
    </row>
    <row r="145" spans="1:10" x14ac:dyDescent="0.25">
      <c r="B145" s="139" t="s">
        <v>803</v>
      </c>
      <c r="C145" s="139" t="s">
        <v>813</v>
      </c>
      <c r="D145" s="139" t="s">
        <v>794</v>
      </c>
      <c r="E145" s="139" t="s">
        <v>656</v>
      </c>
      <c r="F145" s="139" t="s">
        <v>657</v>
      </c>
      <c r="G145" s="143">
        <v>921</v>
      </c>
      <c r="I145" s="143">
        <f t="shared" si="8"/>
        <v>230.25</v>
      </c>
    </row>
    <row r="146" spans="1:10" x14ac:dyDescent="0.25">
      <c r="B146" s="139" t="s">
        <v>803</v>
      </c>
      <c r="C146" s="139" t="s">
        <v>814</v>
      </c>
      <c r="D146" s="139" t="s">
        <v>584</v>
      </c>
      <c r="E146" s="139" t="s">
        <v>815</v>
      </c>
      <c r="F146" s="139" t="s">
        <v>472</v>
      </c>
      <c r="G146" s="143">
        <v>115</v>
      </c>
      <c r="I146" s="143">
        <f t="shared" si="8"/>
        <v>28.75</v>
      </c>
    </row>
    <row r="147" spans="1:10" x14ac:dyDescent="0.25">
      <c r="B147" s="139" t="s">
        <v>803</v>
      </c>
      <c r="C147" s="139" t="s">
        <v>804</v>
      </c>
      <c r="D147" s="139" t="s">
        <v>474</v>
      </c>
      <c r="E147" s="139" t="s">
        <v>805</v>
      </c>
      <c r="F147" s="139" t="s">
        <v>674</v>
      </c>
      <c r="G147" s="143">
        <v>3087</v>
      </c>
      <c r="I147" s="143">
        <f t="shared" si="8"/>
        <v>771.75</v>
      </c>
    </row>
    <row r="148" spans="1:10" x14ac:dyDescent="0.25">
      <c r="B148" s="139" t="s">
        <v>803</v>
      </c>
      <c r="C148" s="139" t="s">
        <v>816</v>
      </c>
      <c r="D148" s="139" t="s">
        <v>695</v>
      </c>
      <c r="E148" s="139" t="s">
        <v>817</v>
      </c>
      <c r="F148" s="139" t="s">
        <v>513</v>
      </c>
      <c r="G148" s="143">
        <v>184</v>
      </c>
      <c r="I148" s="143">
        <f t="shared" si="8"/>
        <v>46</v>
      </c>
    </row>
    <row r="149" spans="1:10" x14ac:dyDescent="0.25">
      <c r="B149" s="139" t="s">
        <v>803</v>
      </c>
      <c r="C149" s="139" t="s">
        <v>806</v>
      </c>
      <c r="D149" s="139" t="s">
        <v>732</v>
      </c>
      <c r="E149" s="139" t="s">
        <v>807</v>
      </c>
      <c r="F149" s="139" t="s">
        <v>808</v>
      </c>
      <c r="G149" s="143">
        <v>245</v>
      </c>
      <c r="I149" s="143">
        <f t="shared" si="8"/>
        <v>61.25</v>
      </c>
    </row>
    <row r="150" spans="1:10" x14ac:dyDescent="0.25">
      <c r="F150" s="120" t="s">
        <v>20</v>
      </c>
      <c r="G150" s="145">
        <f>SUM(G126:G149)</f>
        <v>14780.5</v>
      </c>
      <c r="I150" s="145">
        <f>SUM(I127:J149)</f>
        <v>13646.5</v>
      </c>
    </row>
    <row r="151" spans="1:10" x14ac:dyDescent="0.25">
      <c r="A151" s="120" t="s">
        <v>20</v>
      </c>
    </row>
    <row r="153" spans="1:10" x14ac:dyDescent="0.25">
      <c r="A153" s="146">
        <v>2010</v>
      </c>
      <c r="G153" s="146" t="s">
        <v>831</v>
      </c>
    </row>
    <row r="154" spans="1:10" x14ac:dyDescent="0.25">
      <c r="B154" s="139" t="s">
        <v>818</v>
      </c>
      <c r="C154" s="139" t="s">
        <v>832</v>
      </c>
      <c r="D154" s="139" t="s">
        <v>833</v>
      </c>
      <c r="E154" s="139" t="s">
        <v>834</v>
      </c>
      <c r="F154" s="139" t="s">
        <v>835</v>
      </c>
      <c r="G154" s="148"/>
      <c r="H154" s="139">
        <v>0.75</v>
      </c>
      <c r="I154" s="143">
        <f t="shared" ref="I154:I159" si="9">+$H$154*G144</f>
        <v>84</v>
      </c>
      <c r="J154" s="149">
        <f>+G154</f>
        <v>0</v>
      </c>
    </row>
    <row r="155" spans="1:10" x14ac:dyDescent="0.25">
      <c r="B155" s="139" t="s">
        <v>818</v>
      </c>
      <c r="C155" s="139" t="s">
        <v>813</v>
      </c>
      <c r="D155" s="139" t="s">
        <v>78</v>
      </c>
      <c r="E155" s="139" t="s">
        <v>656</v>
      </c>
      <c r="F155" s="139" t="s">
        <v>657</v>
      </c>
      <c r="G155" s="148">
        <f>497*1.3</f>
        <v>646.1</v>
      </c>
      <c r="I155" s="143">
        <f t="shared" si="9"/>
        <v>690.75</v>
      </c>
      <c r="J155" s="149">
        <f t="shared" ref="J155:J162" si="10">+G155</f>
        <v>646.1</v>
      </c>
    </row>
    <row r="156" spans="1:10" x14ac:dyDescent="0.25">
      <c r="B156" s="139" t="s">
        <v>836</v>
      </c>
      <c r="C156" s="139" t="s">
        <v>837</v>
      </c>
      <c r="D156" s="139" t="s">
        <v>441</v>
      </c>
      <c r="E156" s="139" t="s">
        <v>838</v>
      </c>
      <c r="F156" s="139" t="s">
        <v>454</v>
      </c>
      <c r="G156" s="148">
        <v>878</v>
      </c>
      <c r="I156" s="143">
        <f t="shared" si="9"/>
        <v>86.25</v>
      </c>
      <c r="J156" s="149">
        <f t="shared" si="10"/>
        <v>878</v>
      </c>
    </row>
    <row r="157" spans="1:10" x14ac:dyDescent="0.25">
      <c r="B157" s="139" t="s">
        <v>836</v>
      </c>
      <c r="C157" s="139" t="s">
        <v>839</v>
      </c>
      <c r="D157" s="139" t="s">
        <v>695</v>
      </c>
      <c r="E157" s="139" t="s">
        <v>840</v>
      </c>
      <c r="F157" s="139" t="s">
        <v>472</v>
      </c>
      <c r="G157" s="148">
        <f>0.5*3560</f>
        <v>1780</v>
      </c>
      <c r="I157" s="143">
        <f t="shared" si="9"/>
        <v>2315.25</v>
      </c>
      <c r="J157" s="149">
        <f t="shared" si="10"/>
        <v>1780</v>
      </c>
    </row>
    <row r="158" spans="1:10" x14ac:dyDescent="0.25">
      <c r="B158" s="139" t="s">
        <v>836</v>
      </c>
      <c r="C158" s="139" t="s">
        <v>841</v>
      </c>
      <c r="D158" s="139" t="s">
        <v>79</v>
      </c>
      <c r="E158" s="139" t="s">
        <v>842</v>
      </c>
      <c r="F158" s="143" t="s">
        <v>450</v>
      </c>
      <c r="G158" s="148">
        <v>2000</v>
      </c>
      <c r="I158" s="143">
        <f t="shared" si="9"/>
        <v>138</v>
      </c>
      <c r="J158" s="149">
        <f t="shared" si="10"/>
        <v>2000</v>
      </c>
    </row>
    <row r="159" spans="1:10" x14ac:dyDescent="0.25">
      <c r="B159" s="139" t="s">
        <v>836</v>
      </c>
      <c r="C159" s="139" t="s">
        <v>843</v>
      </c>
      <c r="D159" s="139" t="s">
        <v>844</v>
      </c>
      <c r="E159" s="139" t="s">
        <v>845</v>
      </c>
      <c r="F159" s="139" t="s">
        <v>615</v>
      </c>
      <c r="G159" s="164">
        <v>2000</v>
      </c>
      <c r="I159" s="143">
        <f t="shared" si="9"/>
        <v>183.75</v>
      </c>
      <c r="J159" s="149">
        <f t="shared" si="10"/>
        <v>2000</v>
      </c>
    </row>
    <row r="160" spans="1:10" x14ac:dyDescent="0.25">
      <c r="B160" s="139" t="s">
        <v>836</v>
      </c>
      <c r="C160" s="139" t="s">
        <v>846</v>
      </c>
      <c r="D160" s="139" t="s">
        <v>441</v>
      </c>
      <c r="E160" s="139" t="s">
        <v>847</v>
      </c>
      <c r="F160" s="139" t="s">
        <v>513</v>
      </c>
      <c r="G160" s="148">
        <v>177</v>
      </c>
      <c r="I160" s="143"/>
      <c r="J160" s="149">
        <f t="shared" si="10"/>
        <v>177</v>
      </c>
    </row>
    <row r="161" spans="1:10" x14ac:dyDescent="0.25">
      <c r="B161" s="139" t="s">
        <v>836</v>
      </c>
      <c r="C161" s="139" t="s">
        <v>848</v>
      </c>
      <c r="D161" s="139" t="s">
        <v>81</v>
      </c>
      <c r="E161" s="139" t="s">
        <v>849</v>
      </c>
      <c r="F161" s="139" t="s">
        <v>850</v>
      </c>
      <c r="G161" s="148">
        <v>1469</v>
      </c>
      <c r="J161" s="149">
        <f t="shared" si="10"/>
        <v>1469</v>
      </c>
    </row>
    <row r="162" spans="1:10" x14ac:dyDescent="0.25">
      <c r="B162" s="139" t="s">
        <v>836</v>
      </c>
      <c r="C162" s="139" t="s">
        <v>851</v>
      </c>
      <c r="D162" s="139" t="s">
        <v>79</v>
      </c>
      <c r="E162" s="139" t="s">
        <v>852</v>
      </c>
      <c r="F162" s="139" t="s">
        <v>547</v>
      </c>
      <c r="G162" s="148">
        <v>250</v>
      </c>
      <c r="J162" s="149">
        <f t="shared" si="10"/>
        <v>250</v>
      </c>
    </row>
    <row r="163" spans="1:10" x14ac:dyDescent="0.25">
      <c r="B163" s="139" t="s">
        <v>853</v>
      </c>
      <c r="C163" s="139" t="s">
        <v>1019</v>
      </c>
      <c r="D163" s="139" t="s">
        <v>1023</v>
      </c>
      <c r="E163" s="139" t="s">
        <v>1020</v>
      </c>
      <c r="F163" s="139" t="s">
        <v>733</v>
      </c>
      <c r="G163" s="148">
        <v>1800</v>
      </c>
      <c r="I163" s="143"/>
      <c r="J163" s="149"/>
    </row>
    <row r="164" spans="1:10" x14ac:dyDescent="0.25">
      <c r="B164" s="139" t="s">
        <v>853</v>
      </c>
      <c r="C164" s="139" t="s">
        <v>854</v>
      </c>
      <c r="D164" s="139" t="s">
        <v>81</v>
      </c>
      <c r="E164" s="139" t="s">
        <v>855</v>
      </c>
      <c r="F164" s="139" t="s">
        <v>454</v>
      </c>
      <c r="G164" s="148">
        <v>156</v>
      </c>
      <c r="H164" s="139">
        <v>0.25</v>
      </c>
      <c r="I164" s="149">
        <f>+$H$164*G164</f>
        <v>39</v>
      </c>
    </row>
    <row r="165" spans="1:10" x14ac:dyDescent="0.25">
      <c r="B165" s="139" t="s">
        <v>853</v>
      </c>
      <c r="C165" s="139" t="s">
        <v>856</v>
      </c>
      <c r="D165" s="139" t="s">
        <v>79</v>
      </c>
      <c r="E165" s="139" t="s">
        <v>857</v>
      </c>
      <c r="F165" s="139" t="s">
        <v>858</v>
      </c>
      <c r="G165" s="148"/>
      <c r="I165" s="149">
        <f>+$H$164*G165</f>
        <v>0</v>
      </c>
    </row>
    <row r="166" spans="1:10" x14ac:dyDescent="0.25">
      <c r="F166" s="120" t="s">
        <v>20</v>
      </c>
      <c r="G166" s="150">
        <f>SUM(G154:G165)</f>
        <v>11156.1</v>
      </c>
      <c r="I166" s="145">
        <f>SUM(I154:J165)</f>
        <v>12737.1</v>
      </c>
    </row>
    <row r="168" spans="1:10" x14ac:dyDescent="0.25">
      <c r="A168" s="146">
        <v>2011</v>
      </c>
      <c r="G168" s="146" t="s">
        <v>859</v>
      </c>
    </row>
    <row r="169" spans="1:10" x14ac:dyDescent="0.25">
      <c r="B169" s="139" t="s">
        <v>860</v>
      </c>
      <c r="C169" s="139" t="s">
        <v>861</v>
      </c>
      <c r="D169" s="139" t="s">
        <v>637</v>
      </c>
      <c r="E169" s="139" t="s">
        <v>862</v>
      </c>
      <c r="F169" s="139" t="s">
        <v>863</v>
      </c>
      <c r="G169" s="148">
        <v>159.58500000000001</v>
      </c>
      <c r="H169" s="139">
        <v>0.75</v>
      </c>
      <c r="I169" s="149">
        <f>+$H$169*G164</f>
        <v>117</v>
      </c>
      <c r="J169" s="149">
        <f>+G169</f>
        <v>159.58500000000001</v>
      </c>
    </row>
    <row r="170" spans="1:10" x14ac:dyDescent="0.25">
      <c r="B170" s="139" t="s">
        <v>860</v>
      </c>
      <c r="C170" s="139" t="s">
        <v>864</v>
      </c>
      <c r="D170" s="139" t="s">
        <v>865</v>
      </c>
      <c r="E170" s="139" t="s">
        <v>866</v>
      </c>
      <c r="F170" s="139" t="s">
        <v>454</v>
      </c>
      <c r="G170" s="148">
        <v>723.3</v>
      </c>
      <c r="I170" s="149">
        <f>+$H$169*G165</f>
        <v>0</v>
      </c>
      <c r="J170" s="149">
        <f>+G170</f>
        <v>723.3</v>
      </c>
    </row>
    <row r="171" spans="1:10" x14ac:dyDescent="0.25">
      <c r="B171" s="139" t="s">
        <v>860</v>
      </c>
      <c r="C171" s="139" t="s">
        <v>867</v>
      </c>
      <c r="D171" s="139" t="s">
        <v>79</v>
      </c>
      <c r="E171" s="139" t="s">
        <v>868</v>
      </c>
      <c r="F171" s="139" t="s">
        <v>755</v>
      </c>
      <c r="G171" s="148">
        <v>626</v>
      </c>
      <c r="J171" s="149">
        <f>+G171</f>
        <v>626</v>
      </c>
    </row>
    <row r="172" spans="1:10" x14ac:dyDescent="0.25">
      <c r="B172" s="139" t="s">
        <v>869</v>
      </c>
      <c r="C172" s="139" t="s">
        <v>870</v>
      </c>
      <c r="D172" s="139" t="s">
        <v>666</v>
      </c>
      <c r="E172" s="139" t="s">
        <v>871</v>
      </c>
      <c r="F172" s="139" t="s">
        <v>872</v>
      </c>
      <c r="G172" s="148">
        <v>650</v>
      </c>
      <c r="J172" s="149">
        <f>+G172</f>
        <v>650</v>
      </c>
    </row>
    <row r="173" spans="1:10" x14ac:dyDescent="0.25">
      <c r="B173" s="139" t="s">
        <v>869</v>
      </c>
      <c r="C173" s="139" t="s">
        <v>873</v>
      </c>
      <c r="D173" s="139" t="s">
        <v>444</v>
      </c>
      <c r="E173" s="139" t="s">
        <v>874</v>
      </c>
      <c r="F173" s="139" t="s">
        <v>513</v>
      </c>
      <c r="G173" s="148">
        <v>1312</v>
      </c>
      <c r="J173" s="149">
        <f>+G173</f>
        <v>1312</v>
      </c>
    </row>
    <row r="174" spans="1:10" x14ac:dyDescent="0.25">
      <c r="B174" s="139" t="s">
        <v>875</v>
      </c>
      <c r="C174" s="139" t="s">
        <v>876</v>
      </c>
      <c r="D174" s="139" t="s">
        <v>79</v>
      </c>
      <c r="E174" s="139" t="s">
        <v>877</v>
      </c>
      <c r="F174" s="139" t="s">
        <v>878</v>
      </c>
      <c r="G174" s="148">
        <v>5329</v>
      </c>
      <c r="H174" s="139">
        <v>0.25</v>
      </c>
      <c r="I174" s="149">
        <f>+$H$174*G174</f>
        <v>1332.25</v>
      </c>
    </row>
    <row r="175" spans="1:10" x14ac:dyDescent="0.25">
      <c r="B175" s="139" t="s">
        <v>875</v>
      </c>
      <c r="C175" s="139" t="s">
        <v>879</v>
      </c>
      <c r="D175" s="139" t="s">
        <v>78</v>
      </c>
      <c r="E175" s="139" t="s">
        <v>880</v>
      </c>
      <c r="F175" s="139" t="s">
        <v>881</v>
      </c>
      <c r="G175" s="148">
        <f>1439*1.3</f>
        <v>1870.7</v>
      </c>
      <c r="I175" s="149">
        <f>+$H$174*G175</f>
        <v>467.67500000000001</v>
      </c>
    </row>
    <row r="176" spans="1:10" x14ac:dyDescent="0.25">
      <c r="B176" s="139" t="s">
        <v>875</v>
      </c>
      <c r="C176" s="139" t="s">
        <v>882</v>
      </c>
      <c r="D176" s="139" t="s">
        <v>474</v>
      </c>
      <c r="E176" s="139" t="s">
        <v>333</v>
      </c>
      <c r="F176" s="139" t="s">
        <v>878</v>
      </c>
      <c r="G176" s="148">
        <v>1355</v>
      </c>
      <c r="I176" s="149">
        <f>+$H$174*G176</f>
        <v>338.75</v>
      </c>
    </row>
    <row r="177" spans="1:10" x14ac:dyDescent="0.25">
      <c r="B177" s="139" t="s">
        <v>875</v>
      </c>
      <c r="C177" s="139" t="s">
        <v>883</v>
      </c>
      <c r="D177" s="139" t="s">
        <v>865</v>
      </c>
      <c r="E177" s="139" t="s">
        <v>884</v>
      </c>
      <c r="F177" s="139" t="s">
        <v>770</v>
      </c>
      <c r="G177" s="148">
        <v>2496</v>
      </c>
      <c r="I177" s="149">
        <f>+$H$174*G177</f>
        <v>624</v>
      </c>
    </row>
    <row r="178" spans="1:10" x14ac:dyDescent="0.25">
      <c r="F178" s="120" t="s">
        <v>20</v>
      </c>
      <c r="G178" s="150">
        <f>SUM(G169:G177)</f>
        <v>14521.585000000001</v>
      </c>
      <c r="I178" s="150">
        <f>SUM(I169:J177)</f>
        <v>6350.56</v>
      </c>
    </row>
    <row r="179" spans="1:10" x14ac:dyDescent="0.25">
      <c r="F179" s="120"/>
      <c r="G179" s="150"/>
      <c r="I179" s="150"/>
    </row>
    <row r="180" spans="1:10" x14ac:dyDescent="0.25">
      <c r="A180" s="146">
        <v>2012</v>
      </c>
      <c r="F180" s="120"/>
      <c r="G180" s="150"/>
      <c r="I180" s="150"/>
    </row>
    <row r="181" spans="1:10" x14ac:dyDescent="0.25">
      <c r="B181" s="139" t="s">
        <v>901</v>
      </c>
      <c r="C181" s="139" t="s">
        <v>982</v>
      </c>
      <c r="D181" s="139" t="s">
        <v>79</v>
      </c>
      <c r="E181" s="139" t="s">
        <v>986</v>
      </c>
      <c r="F181" s="139" t="s">
        <v>770</v>
      </c>
      <c r="G181" s="143">
        <v>859</v>
      </c>
      <c r="H181" s="139">
        <v>0.75</v>
      </c>
      <c r="I181" s="149">
        <f>+$H$181*G174</f>
        <v>3996.75</v>
      </c>
      <c r="J181" s="143">
        <f>+G181</f>
        <v>859</v>
      </c>
    </row>
    <row r="182" spans="1:10" x14ac:dyDescent="0.25">
      <c r="B182" s="139" t="s">
        <v>901</v>
      </c>
      <c r="C182" s="139" t="s">
        <v>998</v>
      </c>
      <c r="D182" s="139" t="s">
        <v>78</v>
      </c>
      <c r="E182" s="139" t="s">
        <v>999</v>
      </c>
      <c r="F182" s="139" t="s">
        <v>472</v>
      </c>
      <c r="G182" s="143">
        <f>374*1.3</f>
        <v>486.2</v>
      </c>
      <c r="I182" s="149"/>
      <c r="J182" s="143">
        <f t="shared" ref="J182:J194" si="11">+G182</f>
        <v>486.2</v>
      </c>
    </row>
    <row r="183" spans="1:10" x14ac:dyDescent="0.25">
      <c r="B183" s="139" t="s">
        <v>901</v>
      </c>
      <c r="C183" s="139" t="s">
        <v>983</v>
      </c>
      <c r="D183" s="139" t="s">
        <v>1008</v>
      </c>
      <c r="E183" s="139" t="s">
        <v>987</v>
      </c>
      <c r="F183" s="139" t="s">
        <v>450</v>
      </c>
      <c r="G183" s="143">
        <v>2395</v>
      </c>
      <c r="I183" s="149">
        <f>+$H$181*G175</f>
        <v>1403.0250000000001</v>
      </c>
      <c r="J183" s="143">
        <f t="shared" si="11"/>
        <v>2395</v>
      </c>
    </row>
    <row r="184" spans="1:10" x14ac:dyDescent="0.25">
      <c r="B184" s="139" t="s">
        <v>901</v>
      </c>
      <c r="C184" s="139" t="s">
        <v>981</v>
      </c>
      <c r="D184" s="139" t="s">
        <v>76</v>
      </c>
      <c r="E184" s="139" t="s">
        <v>985</v>
      </c>
      <c r="F184" s="139" t="s">
        <v>989</v>
      </c>
      <c r="G184" s="143">
        <f>313*1.1</f>
        <v>344.3</v>
      </c>
      <c r="I184" s="149">
        <f>+$H$181*G176</f>
        <v>1016.25</v>
      </c>
      <c r="J184" s="143">
        <f t="shared" si="11"/>
        <v>344.3</v>
      </c>
    </row>
    <row r="185" spans="1:10" x14ac:dyDescent="0.25">
      <c r="B185" s="139" t="s">
        <v>901</v>
      </c>
      <c r="C185" s="139" t="s">
        <v>984</v>
      </c>
      <c r="D185" s="139" t="s">
        <v>441</v>
      </c>
      <c r="E185" s="139" t="s">
        <v>988</v>
      </c>
      <c r="F185" s="139" t="s">
        <v>990</v>
      </c>
      <c r="G185" s="143">
        <v>3344</v>
      </c>
      <c r="I185" s="149">
        <f>+$H$181*G177</f>
        <v>1872</v>
      </c>
      <c r="J185" s="143">
        <f t="shared" si="11"/>
        <v>3344</v>
      </c>
    </row>
    <row r="186" spans="1:10" x14ac:dyDescent="0.25">
      <c r="B186" s="139" t="s">
        <v>991</v>
      </c>
      <c r="C186" s="139" t="s">
        <v>995</v>
      </c>
      <c r="D186" s="139" t="s">
        <v>666</v>
      </c>
      <c r="E186" s="139" t="s">
        <v>996</v>
      </c>
      <c r="F186" s="139" t="s">
        <v>997</v>
      </c>
      <c r="G186" s="143">
        <v>614</v>
      </c>
      <c r="I186" s="149"/>
      <c r="J186" s="143">
        <f t="shared" si="11"/>
        <v>614</v>
      </c>
    </row>
    <row r="187" spans="1:10" x14ac:dyDescent="0.25">
      <c r="B187" s="139" t="s">
        <v>991</v>
      </c>
      <c r="C187" s="139" t="s">
        <v>598</v>
      </c>
      <c r="D187" s="139" t="s">
        <v>78</v>
      </c>
      <c r="E187" s="139" t="s">
        <v>1000</v>
      </c>
      <c r="F187" s="139" t="s">
        <v>1001</v>
      </c>
      <c r="G187" s="143">
        <f>4758*1.3</f>
        <v>6185.4000000000005</v>
      </c>
      <c r="J187" s="143">
        <f t="shared" si="11"/>
        <v>6185.4000000000005</v>
      </c>
    </row>
    <row r="188" spans="1:10" x14ac:dyDescent="0.25">
      <c r="B188" s="139" t="s">
        <v>991</v>
      </c>
      <c r="C188" s="139" t="s">
        <v>1002</v>
      </c>
      <c r="D188" s="139" t="s">
        <v>1004</v>
      </c>
      <c r="E188" s="139" t="s">
        <v>1003</v>
      </c>
      <c r="F188" s="139" t="s">
        <v>513</v>
      </c>
      <c r="G188" s="143">
        <v>289</v>
      </c>
      <c r="J188" s="143">
        <f t="shared" si="11"/>
        <v>289</v>
      </c>
    </row>
    <row r="189" spans="1:10" x14ac:dyDescent="0.25">
      <c r="B189" s="139" t="s">
        <v>901</v>
      </c>
      <c r="C189" s="139" t="s">
        <v>1005</v>
      </c>
      <c r="D189" s="139" t="s">
        <v>695</v>
      </c>
      <c r="E189" s="139" t="s">
        <v>1006</v>
      </c>
      <c r="F189" s="139" t="s">
        <v>1007</v>
      </c>
      <c r="G189" s="143">
        <v>621</v>
      </c>
      <c r="J189" s="143">
        <f t="shared" si="11"/>
        <v>621</v>
      </c>
    </row>
    <row r="190" spans="1:10" x14ac:dyDescent="0.25">
      <c r="B190" s="139" t="s">
        <v>892</v>
      </c>
      <c r="C190" s="139" t="s">
        <v>992</v>
      </c>
      <c r="D190" s="139" t="s">
        <v>1009</v>
      </c>
      <c r="E190" s="139" t="s">
        <v>993</v>
      </c>
      <c r="F190" s="139" t="s">
        <v>994</v>
      </c>
      <c r="G190" s="143">
        <f>481.027+350</f>
        <v>831.02700000000004</v>
      </c>
      <c r="J190" s="143">
        <f t="shared" si="11"/>
        <v>831.02700000000004</v>
      </c>
    </row>
    <row r="191" spans="1:10" ht="26.4" x14ac:dyDescent="0.3">
      <c r="A191" s="7"/>
      <c r="B191" s="139" t="s">
        <v>892</v>
      </c>
      <c r="C191" s="131" t="s">
        <v>893</v>
      </c>
      <c r="D191" s="139" t="s">
        <v>695</v>
      </c>
      <c r="E191" s="131" t="s">
        <v>315</v>
      </c>
      <c r="F191" s="129" t="s">
        <v>316</v>
      </c>
      <c r="G191" s="143">
        <v>4420</v>
      </c>
      <c r="J191" s="143">
        <f t="shared" si="11"/>
        <v>4420</v>
      </c>
    </row>
    <row r="192" spans="1:10" x14ac:dyDescent="0.25">
      <c r="B192" s="139" t="s">
        <v>892</v>
      </c>
      <c r="C192" s="131" t="s">
        <v>894</v>
      </c>
      <c r="E192" s="131" t="s">
        <v>317</v>
      </c>
      <c r="F192" s="129" t="s">
        <v>318</v>
      </c>
      <c r="G192" s="143">
        <v>2830</v>
      </c>
      <c r="J192" s="143">
        <f t="shared" si="11"/>
        <v>2830</v>
      </c>
    </row>
    <row r="193" spans="1:10" ht="26.4" x14ac:dyDescent="0.25">
      <c r="B193" s="139" t="s">
        <v>892</v>
      </c>
      <c r="C193" s="131" t="s">
        <v>980</v>
      </c>
      <c r="E193" s="131" t="s">
        <v>319</v>
      </c>
      <c r="F193" s="129" t="s">
        <v>320</v>
      </c>
      <c r="G193" s="143">
        <v>455</v>
      </c>
      <c r="J193" s="143">
        <f t="shared" si="11"/>
        <v>455</v>
      </c>
    </row>
    <row r="194" spans="1:10" ht="26.4" x14ac:dyDescent="0.25">
      <c r="B194" s="139" t="s">
        <v>892</v>
      </c>
      <c r="C194" s="131" t="s">
        <v>895</v>
      </c>
      <c r="E194" s="131" t="s">
        <v>321</v>
      </c>
      <c r="F194" s="129" t="s">
        <v>322</v>
      </c>
      <c r="G194" s="143">
        <v>3174</v>
      </c>
      <c r="J194" s="143">
        <f t="shared" si="11"/>
        <v>3174</v>
      </c>
    </row>
    <row r="195" spans="1:10" x14ac:dyDescent="0.25">
      <c r="B195" s="139" t="s">
        <v>900</v>
      </c>
      <c r="C195" s="139" t="s">
        <v>1021</v>
      </c>
      <c r="D195" s="139" t="s">
        <v>444</v>
      </c>
      <c r="E195" s="139" t="s">
        <v>1022</v>
      </c>
      <c r="F195" s="143" t="s">
        <v>411</v>
      </c>
      <c r="G195" s="143">
        <v>822</v>
      </c>
      <c r="I195" s="143"/>
      <c r="J195" s="149">
        <f>+G195</f>
        <v>822</v>
      </c>
    </row>
    <row r="196" spans="1:10" ht="26.4" x14ac:dyDescent="0.25">
      <c r="B196" s="139" t="s">
        <v>900</v>
      </c>
      <c r="C196" s="131" t="s">
        <v>897</v>
      </c>
      <c r="E196" s="131" t="s">
        <v>326</v>
      </c>
      <c r="F196" s="129" t="s">
        <v>327</v>
      </c>
      <c r="G196" s="143">
        <v>1125</v>
      </c>
      <c r="H196" s="139">
        <v>0.25</v>
      </c>
      <c r="J196" s="143">
        <f>+$H$196*G196</f>
        <v>281.25</v>
      </c>
    </row>
    <row r="197" spans="1:10" ht="39.6" x14ac:dyDescent="0.25">
      <c r="B197" s="139" t="s">
        <v>900</v>
      </c>
      <c r="C197" s="131" t="s">
        <v>898</v>
      </c>
      <c r="E197" s="131" t="s">
        <v>328</v>
      </c>
      <c r="F197" s="129" t="s">
        <v>322</v>
      </c>
      <c r="G197" s="143">
        <v>141</v>
      </c>
      <c r="J197" s="143">
        <f>+$H$196*G197</f>
        <v>35.25</v>
      </c>
    </row>
    <row r="198" spans="1:10" x14ac:dyDescent="0.25">
      <c r="B198" s="139" t="s">
        <v>900</v>
      </c>
      <c r="C198" s="131" t="s">
        <v>899</v>
      </c>
      <c r="E198" s="131" t="s">
        <v>329</v>
      </c>
      <c r="F198" s="129" t="s">
        <v>318</v>
      </c>
      <c r="G198" s="143">
        <v>426</v>
      </c>
      <c r="J198" s="143">
        <f>+$H$196*G198</f>
        <v>106.5</v>
      </c>
    </row>
    <row r="199" spans="1:10" ht="26.4" x14ac:dyDescent="0.25">
      <c r="B199" s="139" t="s">
        <v>900</v>
      </c>
      <c r="C199" s="131" t="s">
        <v>896</v>
      </c>
      <c r="E199" s="131" t="s">
        <v>324</v>
      </c>
      <c r="F199" s="129" t="s">
        <v>325</v>
      </c>
      <c r="G199" s="143">
        <v>180</v>
      </c>
      <c r="J199" s="143">
        <f>+$H$196*G199</f>
        <v>45</v>
      </c>
    </row>
    <row r="200" spans="1:10" x14ac:dyDescent="0.25">
      <c r="C200" s="130"/>
      <c r="F200" s="120" t="s">
        <v>20</v>
      </c>
      <c r="G200" s="145">
        <f>SUM(G181:G199)</f>
        <v>29541.927000000003</v>
      </c>
      <c r="I200" s="150">
        <f>+SUM(I181:J199)</f>
        <v>36425.951999999997</v>
      </c>
    </row>
    <row r="201" spans="1:10" x14ac:dyDescent="0.25">
      <c r="C201" s="130"/>
      <c r="F201" s="120"/>
      <c r="G201" s="145"/>
    </row>
    <row r="202" spans="1:10" x14ac:dyDescent="0.25">
      <c r="A202" s="146">
        <v>2013</v>
      </c>
      <c r="C202" s="130"/>
      <c r="F202" s="120"/>
      <c r="G202" s="145"/>
    </row>
    <row r="203" spans="1:10" x14ac:dyDescent="0.25">
      <c r="B203" s="139" t="s">
        <v>903</v>
      </c>
      <c r="C203" s="131" t="s">
        <v>629</v>
      </c>
      <c r="E203" s="131" t="s">
        <v>331</v>
      </c>
      <c r="F203" s="129" t="s">
        <v>332</v>
      </c>
      <c r="G203" s="143">
        <v>142</v>
      </c>
      <c r="H203" s="139">
        <v>0.75</v>
      </c>
      <c r="I203" s="143">
        <f>+$H$203*G196</f>
        <v>843.75</v>
      </c>
      <c r="J203" s="143">
        <f t="shared" ref="J203:J208" si="12">+G203</f>
        <v>142</v>
      </c>
    </row>
    <row r="204" spans="1:10" x14ac:dyDescent="0.25">
      <c r="B204" s="139" t="s">
        <v>903</v>
      </c>
      <c r="C204" s="131" t="s">
        <v>882</v>
      </c>
      <c r="E204" s="131" t="s">
        <v>333</v>
      </c>
      <c r="F204" s="129" t="s">
        <v>334</v>
      </c>
      <c r="G204" s="143">
        <v>1111</v>
      </c>
      <c r="I204" s="143">
        <f>+$H$203*G197</f>
        <v>105.75</v>
      </c>
      <c r="J204" s="143">
        <f t="shared" si="12"/>
        <v>1111</v>
      </c>
    </row>
    <row r="205" spans="1:10" x14ac:dyDescent="0.25">
      <c r="B205" s="139" t="s">
        <v>903</v>
      </c>
      <c r="C205" s="131" t="s">
        <v>902</v>
      </c>
      <c r="E205" s="131" t="s">
        <v>335</v>
      </c>
      <c r="F205" s="129" t="s">
        <v>336</v>
      </c>
      <c r="G205" s="143">
        <v>224</v>
      </c>
      <c r="I205" s="143">
        <f>+$H$203*G198</f>
        <v>319.5</v>
      </c>
      <c r="J205" s="143">
        <f t="shared" si="12"/>
        <v>224</v>
      </c>
    </row>
    <row r="206" spans="1:10" x14ac:dyDescent="0.25">
      <c r="B206" s="139" t="s">
        <v>904</v>
      </c>
      <c r="C206" s="131" t="s">
        <v>907</v>
      </c>
      <c r="E206" s="131" t="s">
        <v>338</v>
      </c>
      <c r="F206" s="129" t="s">
        <v>330</v>
      </c>
      <c r="G206" s="143">
        <v>128</v>
      </c>
      <c r="I206" s="143">
        <f>+$H$203*G199</f>
        <v>135</v>
      </c>
      <c r="J206" s="143">
        <f t="shared" si="12"/>
        <v>128</v>
      </c>
    </row>
    <row r="207" spans="1:10" ht="26.4" x14ac:dyDescent="0.25">
      <c r="B207" s="139" t="s">
        <v>905</v>
      </c>
      <c r="C207" s="131" t="s">
        <v>908</v>
      </c>
      <c r="E207" s="131" t="s">
        <v>340</v>
      </c>
      <c r="F207" s="129" t="s">
        <v>341</v>
      </c>
      <c r="G207" s="143">
        <v>173</v>
      </c>
      <c r="J207" s="143">
        <f t="shared" si="12"/>
        <v>173</v>
      </c>
    </row>
    <row r="208" spans="1:10" ht="26.4" x14ac:dyDescent="0.25">
      <c r="B208" s="139" t="s">
        <v>905</v>
      </c>
      <c r="C208" s="131" t="s">
        <v>909</v>
      </c>
      <c r="E208" s="131" t="s">
        <v>342</v>
      </c>
      <c r="F208" s="129" t="s">
        <v>334</v>
      </c>
      <c r="G208" s="143">
        <v>954</v>
      </c>
      <c r="J208" s="143">
        <f t="shared" si="12"/>
        <v>954</v>
      </c>
    </row>
    <row r="209" spans="1:10" ht="26.4" x14ac:dyDescent="0.25">
      <c r="B209" s="139" t="s">
        <v>906</v>
      </c>
      <c r="C209" s="131" t="s">
        <v>910</v>
      </c>
      <c r="E209" s="131" t="s">
        <v>343</v>
      </c>
      <c r="F209" s="129" t="s">
        <v>344</v>
      </c>
      <c r="G209" s="143">
        <v>858</v>
      </c>
      <c r="H209" s="139">
        <v>0.25</v>
      </c>
      <c r="I209" s="143">
        <f>+$H$209*G209</f>
        <v>214.5</v>
      </c>
    </row>
    <row r="210" spans="1:10" ht="26.4" x14ac:dyDescent="0.25">
      <c r="B210" s="139" t="s">
        <v>906</v>
      </c>
      <c r="C210" s="131" t="s">
        <v>911</v>
      </c>
      <c r="E210" s="131" t="s">
        <v>345</v>
      </c>
      <c r="F210" s="129" t="s">
        <v>346</v>
      </c>
      <c r="G210" s="143">
        <v>233</v>
      </c>
      <c r="I210" s="143">
        <f>+$H$209*G210</f>
        <v>58.25</v>
      </c>
    </row>
    <row r="211" spans="1:10" ht="39.6" x14ac:dyDescent="0.25">
      <c r="B211" s="139" t="s">
        <v>906</v>
      </c>
      <c r="C211" s="131" t="s">
        <v>912</v>
      </c>
      <c r="E211" s="131" t="s">
        <v>347</v>
      </c>
      <c r="F211" s="129" t="s">
        <v>348</v>
      </c>
      <c r="G211" s="143">
        <v>3434</v>
      </c>
      <c r="I211" s="143">
        <f>+$H$209*G211</f>
        <v>858.5</v>
      </c>
    </row>
    <row r="212" spans="1:10" x14ac:dyDescent="0.25">
      <c r="C212" s="130"/>
      <c r="G212" s="143"/>
    </row>
    <row r="213" spans="1:10" x14ac:dyDescent="0.25">
      <c r="C213" s="130"/>
      <c r="F213" s="120" t="s">
        <v>20</v>
      </c>
      <c r="G213" s="145">
        <f>SUM(G203:G211)</f>
        <v>7257</v>
      </c>
      <c r="I213" s="145">
        <f>SUM(I203:J211)</f>
        <v>5267.25</v>
      </c>
    </row>
    <row r="214" spans="1:10" x14ac:dyDescent="0.25">
      <c r="C214" s="130"/>
      <c r="G214" s="143"/>
    </row>
    <row r="215" spans="1:10" x14ac:dyDescent="0.25">
      <c r="A215" s="146">
        <v>2014</v>
      </c>
      <c r="E215" s="140"/>
      <c r="F215" s="140"/>
      <c r="G215" s="143"/>
    </row>
    <row r="216" spans="1:10" x14ac:dyDescent="0.25">
      <c r="B216" s="139" t="s">
        <v>917</v>
      </c>
      <c r="C216" s="131" t="s">
        <v>913</v>
      </c>
      <c r="E216" s="131" t="s">
        <v>349</v>
      </c>
      <c r="F216" s="129" t="s">
        <v>334</v>
      </c>
      <c r="G216" s="143">
        <v>509</v>
      </c>
      <c r="H216" s="139">
        <v>0.75</v>
      </c>
      <c r="I216" s="157">
        <f>+$H$216*G209</f>
        <v>643.5</v>
      </c>
      <c r="J216" s="143">
        <f>+G216</f>
        <v>509</v>
      </c>
    </row>
    <row r="217" spans="1:10" ht="39.6" x14ac:dyDescent="0.25">
      <c r="B217" s="139" t="s">
        <v>917</v>
      </c>
      <c r="C217" s="131" t="s">
        <v>914</v>
      </c>
      <c r="E217" s="131" t="s">
        <v>350</v>
      </c>
      <c r="F217" s="129" t="s">
        <v>322</v>
      </c>
      <c r="G217" s="139">
        <v>462</v>
      </c>
      <c r="I217" s="157">
        <f>+$H$216*G210</f>
        <v>174.75</v>
      </c>
      <c r="J217" s="143">
        <f t="shared" ref="J217:J233" si="13">+G217</f>
        <v>462</v>
      </c>
    </row>
    <row r="218" spans="1:10" ht="26.4" x14ac:dyDescent="0.25">
      <c r="B218" s="139" t="s">
        <v>917</v>
      </c>
      <c r="C218" s="131" t="s">
        <v>915</v>
      </c>
      <c r="E218" s="131" t="s">
        <v>351</v>
      </c>
      <c r="F218" s="129" t="s">
        <v>352</v>
      </c>
      <c r="G218" s="139">
        <v>134</v>
      </c>
      <c r="I218" s="147"/>
      <c r="J218" s="143">
        <f t="shared" si="13"/>
        <v>134</v>
      </c>
    </row>
    <row r="219" spans="1:10" ht="26.4" x14ac:dyDescent="0.25">
      <c r="B219" s="139" t="s">
        <v>917</v>
      </c>
      <c r="C219" s="131" t="s">
        <v>916</v>
      </c>
      <c r="E219" s="131" t="s">
        <v>353</v>
      </c>
      <c r="F219" s="129" t="s">
        <v>354</v>
      </c>
      <c r="G219" s="139">
        <v>661</v>
      </c>
      <c r="J219" s="143">
        <f t="shared" si="13"/>
        <v>661</v>
      </c>
    </row>
    <row r="220" spans="1:10" x14ac:dyDescent="0.25">
      <c r="B220" s="139" t="s">
        <v>917</v>
      </c>
      <c r="C220" s="131" t="s">
        <v>923</v>
      </c>
      <c r="E220" s="131" t="s">
        <v>355</v>
      </c>
      <c r="F220" s="129" t="s">
        <v>356</v>
      </c>
      <c r="G220" s="139">
        <v>460</v>
      </c>
      <c r="J220" s="143">
        <f t="shared" si="13"/>
        <v>460</v>
      </c>
    </row>
    <row r="221" spans="1:10" x14ac:dyDescent="0.25">
      <c r="B221" s="139" t="s">
        <v>917</v>
      </c>
      <c r="C221" s="131" t="s">
        <v>924</v>
      </c>
      <c r="E221" s="131" t="s">
        <v>357</v>
      </c>
      <c r="F221" s="129" t="s">
        <v>358</v>
      </c>
      <c r="G221" s="139">
        <v>376</v>
      </c>
      <c r="J221" s="143">
        <f t="shared" si="13"/>
        <v>376</v>
      </c>
    </row>
    <row r="222" spans="1:10" ht="26.4" x14ac:dyDescent="0.25">
      <c r="B222" s="139" t="s">
        <v>917</v>
      </c>
      <c r="C222" s="131" t="s">
        <v>925</v>
      </c>
      <c r="E222" s="131" t="s">
        <v>359</v>
      </c>
      <c r="F222" s="129" t="s">
        <v>360</v>
      </c>
      <c r="G222" s="139">
        <v>539</v>
      </c>
      <c r="J222" s="143">
        <f t="shared" si="13"/>
        <v>539</v>
      </c>
    </row>
    <row r="223" spans="1:10" ht="26.4" x14ac:dyDescent="0.25">
      <c r="B223" s="139" t="s">
        <v>917</v>
      </c>
      <c r="C223" s="131" t="s">
        <v>926</v>
      </c>
      <c r="E223" s="131" t="s">
        <v>361</v>
      </c>
      <c r="F223" s="129" t="s">
        <v>356</v>
      </c>
      <c r="G223" s="139">
        <v>161</v>
      </c>
      <c r="J223" s="143">
        <f t="shared" si="13"/>
        <v>161</v>
      </c>
    </row>
    <row r="224" spans="1:10" x14ac:dyDescent="0.25">
      <c r="B224" s="139" t="s">
        <v>935</v>
      </c>
      <c r="C224" s="131" t="s">
        <v>918</v>
      </c>
      <c r="E224" s="131" t="s">
        <v>363</v>
      </c>
      <c r="F224" s="129" t="s">
        <v>364</v>
      </c>
      <c r="G224" s="139" t="s">
        <v>365</v>
      </c>
      <c r="J224" s="143" t="str">
        <f t="shared" si="13"/>
        <v>NA</v>
      </c>
    </row>
    <row r="225" spans="1:10" x14ac:dyDescent="0.25">
      <c r="B225" s="139" t="s">
        <v>935</v>
      </c>
      <c r="C225" s="131" t="s">
        <v>919</v>
      </c>
      <c r="E225" s="131" t="s">
        <v>366</v>
      </c>
      <c r="F225" s="129" t="s">
        <v>367</v>
      </c>
      <c r="G225" s="139">
        <v>5514</v>
      </c>
      <c r="J225" s="143">
        <f t="shared" si="13"/>
        <v>5514</v>
      </c>
    </row>
    <row r="226" spans="1:10" x14ac:dyDescent="0.25">
      <c r="B226" s="139" t="s">
        <v>935</v>
      </c>
      <c r="C226" s="131" t="s">
        <v>920</v>
      </c>
      <c r="E226" s="131" t="s">
        <v>368</v>
      </c>
      <c r="F226" s="129" t="s">
        <v>369</v>
      </c>
      <c r="G226" s="139">
        <v>851</v>
      </c>
      <c r="J226" s="143">
        <f t="shared" si="13"/>
        <v>851</v>
      </c>
    </row>
    <row r="227" spans="1:10" x14ac:dyDescent="0.25">
      <c r="B227" s="139" t="s">
        <v>935</v>
      </c>
      <c r="C227" s="131" t="s">
        <v>921</v>
      </c>
      <c r="E227" s="131" t="s">
        <v>370</v>
      </c>
      <c r="F227" s="129" t="s">
        <v>371</v>
      </c>
      <c r="G227" s="139">
        <v>1578</v>
      </c>
      <c r="J227" s="143">
        <f t="shared" si="13"/>
        <v>1578</v>
      </c>
    </row>
    <row r="228" spans="1:10" x14ac:dyDescent="0.25">
      <c r="B228" s="139" t="s">
        <v>935</v>
      </c>
      <c r="C228" s="131" t="s">
        <v>922</v>
      </c>
      <c r="E228" s="131" t="s">
        <v>372</v>
      </c>
      <c r="F228" s="129" t="s">
        <v>339</v>
      </c>
      <c r="G228" s="139">
        <v>497</v>
      </c>
      <c r="J228" s="143">
        <f t="shared" si="13"/>
        <v>497</v>
      </c>
    </row>
    <row r="229" spans="1:10" ht="26.4" x14ac:dyDescent="0.25">
      <c r="B229" s="139" t="s">
        <v>936</v>
      </c>
      <c r="C229" s="131" t="s">
        <v>927</v>
      </c>
      <c r="E229" s="131" t="s">
        <v>373</v>
      </c>
      <c r="F229" s="129" t="s">
        <v>374</v>
      </c>
      <c r="G229" s="139">
        <v>304</v>
      </c>
      <c r="J229" s="143">
        <f t="shared" si="13"/>
        <v>304</v>
      </c>
    </row>
    <row r="230" spans="1:10" ht="26.4" x14ac:dyDescent="0.25">
      <c r="B230" s="139" t="s">
        <v>936</v>
      </c>
      <c r="C230" s="131" t="s">
        <v>928</v>
      </c>
      <c r="E230" s="131" t="s">
        <v>375</v>
      </c>
      <c r="F230" s="129" t="s">
        <v>376</v>
      </c>
      <c r="G230" s="139">
        <v>1122</v>
      </c>
      <c r="J230" s="143">
        <f t="shared" si="13"/>
        <v>1122</v>
      </c>
    </row>
    <row r="231" spans="1:10" ht="26.4" x14ac:dyDescent="0.25">
      <c r="B231" s="139" t="s">
        <v>936</v>
      </c>
      <c r="C231" s="131" t="s">
        <v>929</v>
      </c>
      <c r="E231" s="131" t="s">
        <v>377</v>
      </c>
      <c r="F231" s="129" t="s">
        <v>378</v>
      </c>
      <c r="G231" s="139">
        <v>367</v>
      </c>
      <c r="J231" s="143">
        <f t="shared" si="13"/>
        <v>367</v>
      </c>
    </row>
    <row r="232" spans="1:10" ht="26.4" x14ac:dyDescent="0.25">
      <c r="B232" s="139" t="s">
        <v>936</v>
      </c>
      <c r="C232" s="131" t="s">
        <v>930</v>
      </c>
      <c r="E232" s="131" t="s">
        <v>379</v>
      </c>
      <c r="F232" s="129" t="s">
        <v>380</v>
      </c>
      <c r="G232" s="139">
        <v>141</v>
      </c>
      <c r="J232" s="143">
        <f t="shared" si="13"/>
        <v>141</v>
      </c>
    </row>
    <row r="233" spans="1:10" x14ac:dyDescent="0.25">
      <c r="B233" s="139" t="s">
        <v>936</v>
      </c>
      <c r="C233" s="131" t="s">
        <v>931</v>
      </c>
      <c r="E233" s="131" t="s">
        <v>381</v>
      </c>
      <c r="F233" s="129" t="s">
        <v>322</v>
      </c>
      <c r="G233" s="139">
        <v>320</v>
      </c>
      <c r="J233" s="143">
        <f t="shared" si="13"/>
        <v>320</v>
      </c>
    </row>
    <row r="234" spans="1:10" ht="26.4" x14ac:dyDescent="0.25">
      <c r="B234" s="139" t="s">
        <v>934</v>
      </c>
      <c r="C234" s="131" t="s">
        <v>932</v>
      </c>
      <c r="E234" s="131" t="s">
        <v>382</v>
      </c>
      <c r="F234" s="129" t="s">
        <v>437</v>
      </c>
      <c r="G234" s="139">
        <v>159</v>
      </c>
      <c r="H234" s="139">
        <v>0.25</v>
      </c>
      <c r="I234" s="158">
        <f>+$H$234*G234</f>
        <v>39.75</v>
      </c>
    </row>
    <row r="235" spans="1:10" x14ac:dyDescent="0.25">
      <c r="B235" s="139" t="s">
        <v>934</v>
      </c>
      <c r="C235" s="131" t="s">
        <v>933</v>
      </c>
      <c r="E235" s="131" t="s">
        <v>383</v>
      </c>
      <c r="F235" s="129" t="s">
        <v>384</v>
      </c>
      <c r="G235" s="139">
        <v>2800</v>
      </c>
      <c r="I235" s="139">
        <f>+$H$234*G235</f>
        <v>700</v>
      </c>
    </row>
    <row r="236" spans="1:10" x14ac:dyDescent="0.25">
      <c r="C236" s="140"/>
      <c r="E236" s="140"/>
      <c r="F236" s="120" t="s">
        <v>20</v>
      </c>
      <c r="G236" s="145">
        <f>SUM(G216:G235)</f>
        <v>16955</v>
      </c>
      <c r="I236" s="145">
        <f>+SUM(I216:J235)</f>
        <v>15554</v>
      </c>
    </row>
    <row r="238" spans="1:10" x14ac:dyDescent="0.25">
      <c r="A238" s="146">
        <v>2015</v>
      </c>
    </row>
    <row r="239" spans="1:10" x14ac:dyDescent="0.25">
      <c r="B239" s="139" t="s">
        <v>958</v>
      </c>
      <c r="C239" s="163" t="s">
        <v>1024</v>
      </c>
      <c r="E239" s="175" t="s">
        <v>1025</v>
      </c>
      <c r="F239" s="139" t="s">
        <v>748</v>
      </c>
      <c r="G239" s="155">
        <v>3985</v>
      </c>
    </row>
    <row r="240" spans="1:10" x14ac:dyDescent="0.25">
      <c r="B240" s="139" t="s">
        <v>958</v>
      </c>
      <c r="C240" s="151" t="s">
        <v>937</v>
      </c>
      <c r="E240" s="151" t="s">
        <v>385</v>
      </c>
      <c r="F240" s="153" t="s">
        <v>362</v>
      </c>
      <c r="G240" s="154">
        <v>422</v>
      </c>
      <c r="H240" s="139">
        <v>0.75</v>
      </c>
      <c r="I240" s="158">
        <f>+$H$240*G234</f>
        <v>119.25</v>
      </c>
      <c r="J240" s="141">
        <f>+G240</f>
        <v>422</v>
      </c>
    </row>
    <row r="241" spans="2:10" ht="39.6" x14ac:dyDescent="0.25">
      <c r="B241" s="139" t="s">
        <v>958</v>
      </c>
      <c r="C241" s="151" t="s">
        <v>938</v>
      </c>
      <c r="E241" s="151" t="s">
        <v>386</v>
      </c>
      <c r="F241" s="153" t="s">
        <v>387</v>
      </c>
      <c r="G241" s="154">
        <v>926</v>
      </c>
      <c r="I241" s="158">
        <f>+$H$240*G235</f>
        <v>2100</v>
      </c>
      <c r="J241" s="141">
        <f t="shared" ref="J241:J254" si="14">+G241</f>
        <v>926</v>
      </c>
    </row>
    <row r="242" spans="2:10" x14ac:dyDescent="0.25">
      <c r="B242" s="139" t="s">
        <v>958</v>
      </c>
      <c r="C242" s="151" t="s">
        <v>939</v>
      </c>
      <c r="E242" s="151" t="s">
        <v>388</v>
      </c>
      <c r="F242" s="153" t="s">
        <v>362</v>
      </c>
      <c r="G242" s="154">
        <v>141</v>
      </c>
      <c r="J242" s="141">
        <f t="shared" si="14"/>
        <v>141</v>
      </c>
    </row>
    <row r="243" spans="2:10" ht="26.4" x14ac:dyDescent="0.25">
      <c r="B243" s="139" t="s">
        <v>958</v>
      </c>
      <c r="C243" s="151" t="s">
        <v>940</v>
      </c>
      <c r="E243" s="151" t="s">
        <v>379</v>
      </c>
      <c r="F243" s="153" t="s">
        <v>380</v>
      </c>
      <c r="G243" s="154">
        <v>401</v>
      </c>
      <c r="J243" s="141">
        <f t="shared" si="14"/>
        <v>401</v>
      </c>
    </row>
    <row r="244" spans="2:10" ht="26.4" x14ac:dyDescent="0.25">
      <c r="B244" s="139" t="s">
        <v>958</v>
      </c>
      <c r="C244" s="151" t="s">
        <v>941</v>
      </c>
      <c r="E244" s="151" t="s">
        <v>389</v>
      </c>
      <c r="F244" s="153" t="s">
        <v>390</v>
      </c>
      <c r="G244" s="154">
        <v>897</v>
      </c>
      <c r="J244" s="141">
        <f t="shared" si="14"/>
        <v>897</v>
      </c>
    </row>
    <row r="245" spans="2:10" ht="39.6" x14ac:dyDescent="0.25">
      <c r="B245" s="139" t="s">
        <v>959</v>
      </c>
      <c r="C245" s="151" t="s">
        <v>942</v>
      </c>
      <c r="E245" s="151" t="s">
        <v>391</v>
      </c>
      <c r="F245" s="153" t="s">
        <v>392</v>
      </c>
      <c r="G245" s="155">
        <v>4789</v>
      </c>
      <c r="J245" s="141">
        <f t="shared" si="14"/>
        <v>4789</v>
      </c>
    </row>
    <row r="246" spans="2:10" x14ac:dyDescent="0.25">
      <c r="B246" s="139" t="s">
        <v>959</v>
      </c>
      <c r="C246" s="151" t="s">
        <v>943</v>
      </c>
      <c r="E246" s="151" t="s">
        <v>393</v>
      </c>
      <c r="F246" s="153" t="s">
        <v>358</v>
      </c>
      <c r="G246" s="154">
        <v>271</v>
      </c>
      <c r="J246" s="141">
        <f t="shared" si="14"/>
        <v>271</v>
      </c>
    </row>
    <row r="247" spans="2:10" ht="26.4" x14ac:dyDescent="0.25">
      <c r="B247" s="139" t="s">
        <v>959</v>
      </c>
      <c r="C247" s="151" t="s">
        <v>944</v>
      </c>
      <c r="E247" s="151" t="s">
        <v>394</v>
      </c>
      <c r="F247" s="153" t="s">
        <v>395</v>
      </c>
      <c r="G247" s="154">
        <v>458</v>
      </c>
      <c r="J247" s="141">
        <f t="shared" si="14"/>
        <v>458</v>
      </c>
    </row>
    <row r="248" spans="2:10" x14ac:dyDescent="0.25">
      <c r="B248" s="139" t="s">
        <v>959</v>
      </c>
      <c r="C248" s="151" t="s">
        <v>945</v>
      </c>
      <c r="E248" s="151" t="s">
        <v>396</v>
      </c>
      <c r="F248" s="153" t="s">
        <v>397</v>
      </c>
      <c r="G248" s="154">
        <v>179</v>
      </c>
      <c r="J248" s="141">
        <f t="shared" si="14"/>
        <v>179</v>
      </c>
    </row>
    <row r="249" spans="2:10" ht="26.4" x14ac:dyDescent="0.25">
      <c r="B249" s="139" t="s">
        <v>959</v>
      </c>
      <c r="C249" s="151" t="s">
        <v>946</v>
      </c>
      <c r="E249" s="151" t="s">
        <v>399</v>
      </c>
      <c r="F249" s="153" t="s">
        <v>400</v>
      </c>
      <c r="G249" s="154">
        <v>407</v>
      </c>
      <c r="J249" s="141">
        <f t="shared" si="14"/>
        <v>407</v>
      </c>
    </row>
    <row r="250" spans="2:10" x14ac:dyDescent="0.25">
      <c r="B250" s="139" t="s">
        <v>959</v>
      </c>
      <c r="C250" s="151" t="s">
        <v>947</v>
      </c>
      <c r="E250" s="151" t="s">
        <v>401</v>
      </c>
      <c r="F250" s="153" t="s">
        <v>334</v>
      </c>
      <c r="G250" s="154">
        <v>292</v>
      </c>
      <c r="J250" s="141">
        <f>+G250</f>
        <v>292</v>
      </c>
    </row>
    <row r="251" spans="2:10" ht="26.4" x14ac:dyDescent="0.25">
      <c r="B251" s="139" t="s">
        <v>960</v>
      </c>
      <c r="C251" s="151" t="s">
        <v>948</v>
      </c>
      <c r="E251" s="151" t="s">
        <v>402</v>
      </c>
      <c r="F251" s="153" t="s">
        <v>403</v>
      </c>
      <c r="G251" s="154">
        <v>331</v>
      </c>
      <c r="J251" s="141">
        <f t="shared" si="14"/>
        <v>331</v>
      </c>
    </row>
    <row r="252" spans="2:10" ht="52.8" x14ac:dyDescent="0.25">
      <c r="B252" s="139" t="s">
        <v>960</v>
      </c>
      <c r="C252" s="152" t="s">
        <v>949</v>
      </c>
      <c r="E252" s="152" t="s">
        <v>404</v>
      </c>
      <c r="F252" s="153" t="s">
        <v>405</v>
      </c>
      <c r="G252" s="156">
        <v>622</v>
      </c>
      <c r="J252" s="141">
        <f t="shared" si="14"/>
        <v>622</v>
      </c>
    </row>
    <row r="253" spans="2:10" ht="26.4" x14ac:dyDescent="0.25">
      <c r="B253" s="139" t="s">
        <v>960</v>
      </c>
      <c r="C253" s="151" t="s">
        <v>950</v>
      </c>
      <c r="E253" s="151" t="s">
        <v>406</v>
      </c>
      <c r="F253" s="153" t="s">
        <v>407</v>
      </c>
      <c r="G253" s="154">
        <v>182</v>
      </c>
      <c r="J253" s="141">
        <f t="shared" si="14"/>
        <v>182</v>
      </c>
    </row>
    <row r="254" spans="2:10" x14ac:dyDescent="0.25">
      <c r="B254" s="139" t="s">
        <v>960</v>
      </c>
      <c r="C254" s="151" t="s">
        <v>951</v>
      </c>
      <c r="E254" s="151" t="s">
        <v>408</v>
      </c>
      <c r="F254" s="153" t="s">
        <v>409</v>
      </c>
      <c r="G254" s="154">
        <v>961</v>
      </c>
      <c r="J254" s="141">
        <f t="shared" si="14"/>
        <v>961</v>
      </c>
    </row>
    <row r="255" spans="2:10" ht="26.4" x14ac:dyDescent="0.25">
      <c r="B255" s="139" t="s">
        <v>960</v>
      </c>
      <c r="C255" s="151" t="s">
        <v>952</v>
      </c>
      <c r="E255" s="151" t="s">
        <v>410</v>
      </c>
      <c r="F255" s="153" t="s">
        <v>411</v>
      </c>
      <c r="G255" s="154">
        <v>356</v>
      </c>
      <c r="J255" s="141">
        <f>+G255</f>
        <v>356</v>
      </c>
    </row>
    <row r="256" spans="2:10" ht="26.4" x14ac:dyDescent="0.25">
      <c r="B256" s="139" t="s">
        <v>961</v>
      </c>
      <c r="C256" s="151" t="s">
        <v>953</v>
      </c>
      <c r="E256" s="151" t="s">
        <v>412</v>
      </c>
      <c r="F256" s="153" t="s">
        <v>413</v>
      </c>
      <c r="G256" s="154">
        <v>303</v>
      </c>
      <c r="H256" s="139">
        <v>0.25</v>
      </c>
      <c r="I256" s="158">
        <f>+$H$256*G256</f>
        <v>75.75</v>
      </c>
      <c r="J256" s="141"/>
    </row>
    <row r="257" spans="1:11" ht="26.4" x14ac:dyDescent="0.25">
      <c r="B257" s="139" t="s">
        <v>961</v>
      </c>
      <c r="C257" s="151" t="s">
        <v>954</v>
      </c>
      <c r="E257" s="151" t="s">
        <v>412</v>
      </c>
      <c r="F257" s="153" t="s">
        <v>413</v>
      </c>
      <c r="G257" s="154">
        <v>267</v>
      </c>
      <c r="I257" s="158">
        <f>+$H$256*G257</f>
        <v>66.75</v>
      </c>
      <c r="J257" s="141"/>
    </row>
    <row r="258" spans="1:11" ht="26.4" x14ac:dyDescent="0.25">
      <c r="B258" s="139" t="s">
        <v>961</v>
      </c>
      <c r="C258" s="151" t="s">
        <v>955</v>
      </c>
      <c r="E258" s="151" t="s">
        <v>414</v>
      </c>
      <c r="F258" s="153" t="s">
        <v>322</v>
      </c>
      <c r="G258" s="154">
        <v>233</v>
      </c>
      <c r="I258" s="158">
        <f>+$H$256*G258</f>
        <v>58.25</v>
      </c>
      <c r="J258" s="141"/>
    </row>
    <row r="259" spans="1:11" ht="26.4" x14ac:dyDescent="0.25">
      <c r="B259" s="139" t="s">
        <v>961</v>
      </c>
      <c r="C259" s="151" t="s">
        <v>956</v>
      </c>
      <c r="E259" s="151" t="s">
        <v>415</v>
      </c>
      <c r="F259" s="153" t="s">
        <v>416</v>
      </c>
      <c r="G259" s="154">
        <v>889</v>
      </c>
      <c r="I259" s="158">
        <f>+$H$256*G259</f>
        <v>222.25</v>
      </c>
    </row>
    <row r="260" spans="1:11" ht="26.4" x14ac:dyDescent="0.25">
      <c r="B260" s="139" t="s">
        <v>961</v>
      </c>
      <c r="C260" s="151" t="s">
        <v>957</v>
      </c>
      <c r="E260" s="151" t="s">
        <v>417</v>
      </c>
      <c r="F260" s="153" t="s">
        <v>354</v>
      </c>
      <c r="G260" s="154">
        <v>436</v>
      </c>
      <c r="I260" s="158">
        <f>+$H$256*G260</f>
        <v>109</v>
      </c>
    </row>
    <row r="261" spans="1:11" x14ac:dyDescent="0.25">
      <c r="F261" s="120" t="s">
        <v>20</v>
      </c>
      <c r="G261" s="145">
        <f>SUM(G239:G260)</f>
        <v>17748</v>
      </c>
      <c r="I261" s="145">
        <f>+SUM(I240:J260)</f>
        <v>14386.25</v>
      </c>
    </row>
    <row r="262" spans="1:11" x14ac:dyDescent="0.25">
      <c r="A262" s="146">
        <v>2016</v>
      </c>
    </row>
    <row r="263" spans="1:11" ht="39.6" x14ac:dyDescent="0.25">
      <c r="B263" s="139" t="s">
        <v>976</v>
      </c>
      <c r="C263" s="151" t="s">
        <v>962</v>
      </c>
      <c r="E263" s="151" t="s">
        <v>418</v>
      </c>
      <c r="F263" s="153" t="s">
        <v>419</v>
      </c>
      <c r="G263" s="139" t="s">
        <v>365</v>
      </c>
      <c r="H263" s="139">
        <v>0.75</v>
      </c>
      <c r="I263" s="139">
        <f>+$H$263*G256</f>
        <v>227.25</v>
      </c>
      <c r="J263" s="139" t="str">
        <f>+G263</f>
        <v>NA</v>
      </c>
      <c r="K263" s="139">
        <v>1324</v>
      </c>
    </row>
    <row r="264" spans="1:11" ht="26.4" x14ac:dyDescent="0.25">
      <c r="B264" s="139" t="s">
        <v>976</v>
      </c>
      <c r="C264" s="151" t="s">
        <v>963</v>
      </c>
      <c r="E264" s="151" t="s">
        <v>420</v>
      </c>
      <c r="F264" s="153" t="s">
        <v>362</v>
      </c>
      <c r="G264" s="139">
        <v>384</v>
      </c>
      <c r="I264" s="139">
        <f>+$H$263*G257</f>
        <v>200.25</v>
      </c>
      <c r="J264" s="139">
        <f t="shared" ref="J264:J269" si="15">+G264</f>
        <v>384</v>
      </c>
    </row>
    <row r="265" spans="1:11" ht="26.4" x14ac:dyDescent="0.25">
      <c r="B265" s="139" t="s">
        <v>977</v>
      </c>
      <c r="C265" s="151" t="s">
        <v>964</v>
      </c>
      <c r="E265" s="151" t="s">
        <v>421</v>
      </c>
      <c r="F265" s="153" t="s">
        <v>354</v>
      </c>
      <c r="G265" s="139">
        <v>144</v>
      </c>
      <c r="I265" s="139">
        <f>+$H$263*G258</f>
        <v>174.75</v>
      </c>
      <c r="J265" s="139">
        <f t="shared" si="15"/>
        <v>144</v>
      </c>
    </row>
    <row r="266" spans="1:11" ht="26.4" x14ac:dyDescent="0.25">
      <c r="B266" s="139" t="s">
        <v>977</v>
      </c>
      <c r="C266" s="151" t="s">
        <v>965</v>
      </c>
      <c r="E266" s="151" t="s">
        <v>422</v>
      </c>
      <c r="F266" s="153" t="s">
        <v>411</v>
      </c>
      <c r="G266" s="139">
        <v>622</v>
      </c>
      <c r="I266" s="139">
        <f>+$H$263*G259</f>
        <v>666.75</v>
      </c>
      <c r="J266" s="139">
        <f t="shared" si="15"/>
        <v>622</v>
      </c>
    </row>
    <row r="267" spans="1:11" ht="66" x14ac:dyDescent="0.25">
      <c r="B267" s="139" t="s">
        <v>977</v>
      </c>
      <c r="C267" s="152" t="s">
        <v>966</v>
      </c>
      <c r="E267" s="152" t="s">
        <v>423</v>
      </c>
      <c r="F267" s="153" t="s">
        <v>424</v>
      </c>
      <c r="G267" s="139">
        <v>331</v>
      </c>
      <c r="I267" s="139">
        <f>+$H$263*G260</f>
        <v>327</v>
      </c>
      <c r="J267" s="139">
        <f t="shared" si="15"/>
        <v>331</v>
      </c>
    </row>
    <row r="268" spans="1:11" ht="26.4" x14ac:dyDescent="0.25">
      <c r="B268" s="139" t="s">
        <v>977</v>
      </c>
      <c r="C268" s="151" t="s">
        <v>967</v>
      </c>
      <c r="E268" s="151" t="s">
        <v>425</v>
      </c>
      <c r="F268" s="153" t="s">
        <v>323</v>
      </c>
      <c r="G268" s="139">
        <v>227</v>
      </c>
      <c r="J268" s="139">
        <f t="shared" si="15"/>
        <v>227</v>
      </c>
    </row>
    <row r="269" spans="1:11" x14ac:dyDescent="0.25">
      <c r="B269" s="139" t="s">
        <v>978</v>
      </c>
      <c r="C269" s="151" t="s">
        <v>968</v>
      </c>
      <c r="E269" s="151" t="s">
        <v>426</v>
      </c>
      <c r="F269" s="153" t="s">
        <v>334</v>
      </c>
      <c r="G269" s="139">
        <v>3927</v>
      </c>
      <c r="J269" s="139">
        <f t="shared" si="15"/>
        <v>3927</v>
      </c>
    </row>
    <row r="270" spans="1:11" x14ac:dyDescent="0.25">
      <c r="B270" s="139" t="s">
        <v>979</v>
      </c>
      <c r="C270" s="151" t="s">
        <v>969</v>
      </c>
      <c r="E270" s="151" t="s">
        <v>427</v>
      </c>
      <c r="F270" s="153" t="s">
        <v>322</v>
      </c>
      <c r="G270" s="139">
        <v>221</v>
      </c>
      <c r="H270" s="139">
        <v>0.25</v>
      </c>
      <c r="I270" s="139">
        <f>+$H$270*G270</f>
        <v>55.25</v>
      </c>
    </row>
    <row r="271" spans="1:11" ht="39.6" x14ac:dyDescent="0.25">
      <c r="B271" s="139" t="s">
        <v>979</v>
      </c>
      <c r="C271" s="151" t="s">
        <v>970</v>
      </c>
      <c r="E271" s="151" t="s">
        <v>428</v>
      </c>
      <c r="F271" s="153" t="s">
        <v>322</v>
      </c>
      <c r="G271" s="139">
        <v>1199</v>
      </c>
      <c r="I271" s="139">
        <f t="shared" ref="I271:I277" si="16">+$H$270*G271</f>
        <v>299.75</v>
      </c>
    </row>
    <row r="272" spans="1:11" ht="39.6" x14ac:dyDescent="0.25">
      <c r="B272" s="139" t="s">
        <v>979</v>
      </c>
      <c r="C272" s="151" t="s">
        <v>971</v>
      </c>
      <c r="E272" s="151" t="s">
        <v>429</v>
      </c>
      <c r="F272" s="153" t="s">
        <v>430</v>
      </c>
      <c r="G272" s="139">
        <v>1003</v>
      </c>
      <c r="I272" s="139">
        <f t="shared" si="16"/>
        <v>250.75</v>
      </c>
    </row>
    <row r="273" spans="2:11" x14ac:dyDescent="0.25">
      <c r="B273" s="139" t="s">
        <v>979</v>
      </c>
      <c r="C273" s="151" t="s">
        <v>972</v>
      </c>
      <c r="E273" s="151" t="s">
        <v>431</v>
      </c>
      <c r="F273" s="153" t="s">
        <v>334</v>
      </c>
      <c r="G273" s="139">
        <v>1097</v>
      </c>
      <c r="I273" s="139">
        <f t="shared" si="16"/>
        <v>274.25</v>
      </c>
    </row>
    <row r="274" spans="2:11" ht="26.4" x14ac:dyDescent="0.25">
      <c r="B274" s="139" t="s">
        <v>979</v>
      </c>
      <c r="C274" s="151" t="s">
        <v>973</v>
      </c>
      <c r="E274" s="151" t="s">
        <v>363</v>
      </c>
      <c r="F274" s="153" t="s">
        <v>432</v>
      </c>
      <c r="G274" s="139" t="s">
        <v>365</v>
      </c>
      <c r="I274" s="139" t="e">
        <f t="shared" si="16"/>
        <v>#VALUE!</v>
      </c>
      <c r="K274" s="139">
        <v>112</v>
      </c>
    </row>
    <row r="275" spans="2:11" x14ac:dyDescent="0.25">
      <c r="B275" s="139" t="s">
        <v>979</v>
      </c>
      <c r="C275" s="151" t="s">
        <v>974</v>
      </c>
      <c r="E275" s="151" t="s">
        <v>433</v>
      </c>
      <c r="F275" s="153" t="s">
        <v>362</v>
      </c>
      <c r="G275" s="139">
        <v>283</v>
      </c>
      <c r="I275" s="139">
        <f t="shared" si="16"/>
        <v>70.75</v>
      </c>
    </row>
    <row r="276" spans="2:11" x14ac:dyDescent="0.25">
      <c r="B276" s="139" t="s">
        <v>979</v>
      </c>
      <c r="C276" s="151" t="s">
        <v>937</v>
      </c>
      <c r="E276" s="151" t="s">
        <v>434</v>
      </c>
      <c r="F276" s="153" t="s">
        <v>362</v>
      </c>
      <c r="G276" s="139">
        <v>421</v>
      </c>
      <c r="I276" s="139">
        <f t="shared" si="16"/>
        <v>105.25</v>
      </c>
    </row>
    <row r="277" spans="2:11" ht="66" x14ac:dyDescent="0.25">
      <c r="B277" s="139" t="s">
        <v>979</v>
      </c>
      <c r="C277" s="152" t="s">
        <v>975</v>
      </c>
      <c r="E277" s="152" t="s">
        <v>435</v>
      </c>
      <c r="F277" s="153" t="s">
        <v>436</v>
      </c>
      <c r="G277" s="139" t="s">
        <v>365</v>
      </c>
      <c r="I277" s="139" t="e">
        <f t="shared" si="16"/>
        <v>#VALUE!</v>
      </c>
      <c r="K277" s="139">
        <v>1333</v>
      </c>
    </row>
    <row r="279" spans="2:11" x14ac:dyDescent="0.25">
      <c r="F279" s="120" t="s">
        <v>20</v>
      </c>
      <c r="G279" s="145">
        <f>SUM(G263:G277)</f>
        <v>9859</v>
      </c>
      <c r="I279" s="145" t="e">
        <f>SUM(I263:J277)</f>
        <v>#VALUE!</v>
      </c>
    </row>
  </sheetData>
  <mergeCells count="1">
    <mergeCell ref="I3:J3"/>
  </mergeCells>
  <pageMargins left="0.7" right="0.7" top="0.75" bottom="0.75" header="0.3" footer="0.3"/>
  <pageSetup scale="85" orientation="landscape" r:id="rId1"/>
  <legacy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6:AN231"/>
  <sheetViews>
    <sheetView zoomScale="25" zoomScaleNormal="25" workbookViewId="0">
      <selection activeCell="N86" sqref="N86"/>
    </sheetView>
  </sheetViews>
  <sheetFormatPr defaultRowHeight="14.4" x14ac:dyDescent="0.3"/>
  <cols>
    <col min="1" max="1" width="28.33203125" customWidth="1"/>
    <col min="2" max="3" width="10.33203125" bestFit="1" customWidth="1"/>
    <col min="4" max="4" width="13.33203125" customWidth="1"/>
    <col min="5" max="11" width="10.33203125" bestFit="1" customWidth="1"/>
    <col min="12" max="12" width="14.33203125" customWidth="1"/>
    <col min="13" max="13" width="10.33203125" bestFit="1" customWidth="1"/>
    <col min="28" max="28" width="10.5546875" bestFit="1" customWidth="1"/>
  </cols>
  <sheetData>
    <row r="6" spans="1:29" x14ac:dyDescent="0.3">
      <c r="B6" s="41">
        <v>2003</v>
      </c>
      <c r="C6" s="41">
        <v>2004</v>
      </c>
      <c r="D6" s="41">
        <v>2005</v>
      </c>
      <c r="E6" s="41">
        <v>2006</v>
      </c>
      <c r="F6" s="41">
        <v>2007</v>
      </c>
      <c r="G6" s="41">
        <v>2008</v>
      </c>
      <c r="H6" s="41">
        <v>2009</v>
      </c>
      <c r="I6" s="41">
        <v>2010</v>
      </c>
      <c r="J6" s="41">
        <v>2011</v>
      </c>
      <c r="K6" s="41">
        <v>2012</v>
      </c>
      <c r="L6" s="41">
        <v>2013</v>
      </c>
      <c r="M6" s="41">
        <v>2014</v>
      </c>
      <c r="N6" s="41">
        <v>2015</v>
      </c>
      <c r="O6" s="41" t="s">
        <v>1028</v>
      </c>
      <c r="P6" s="41" t="s">
        <v>1061</v>
      </c>
      <c r="Q6" s="41" t="s">
        <v>86</v>
      </c>
      <c r="R6" s="41" t="s">
        <v>1237</v>
      </c>
      <c r="S6" s="41" t="s">
        <v>1238</v>
      </c>
    </row>
    <row r="7" spans="1:29" x14ac:dyDescent="0.3">
      <c r="AB7" s="6"/>
      <c r="AC7" s="6"/>
    </row>
    <row r="8" spans="1:29" x14ac:dyDescent="0.3">
      <c r="A8" t="s">
        <v>885</v>
      </c>
      <c r="B8" s="132">
        <f>+'[9]2003-2016 Branded to Generic'!G23</f>
        <v>11698</v>
      </c>
      <c r="C8" s="132">
        <f>+'[9]2003-2016 Branded to Generic'!G39</f>
        <v>8996</v>
      </c>
      <c r="D8" s="132">
        <f>+'[9]2003-2016 Branded to Generic'!G61</f>
        <v>10754</v>
      </c>
      <c r="E8" s="132">
        <f>+'[9]2003-2016 Branded to Generic'!G80</f>
        <v>17584</v>
      </c>
      <c r="F8" s="132">
        <v>16000</v>
      </c>
      <c r="G8" s="132">
        <v>8700</v>
      </c>
      <c r="H8" s="132">
        <v>17700</v>
      </c>
      <c r="I8" s="132">
        <v>19000</v>
      </c>
      <c r="J8" s="132">
        <v>21000</v>
      </c>
      <c r="K8" s="132">
        <v>34500</v>
      </c>
      <c r="L8" s="132">
        <v>13200</v>
      </c>
      <c r="M8" s="132">
        <v>24183</v>
      </c>
      <c r="N8" s="132">
        <v>25214</v>
      </c>
      <c r="O8" s="132">
        <v>21050</v>
      </c>
      <c r="P8" s="132">
        <v>8517</v>
      </c>
      <c r="Q8" s="132">
        <v>10000</v>
      </c>
      <c r="R8" s="132">
        <v>4000</v>
      </c>
      <c r="S8" s="132">
        <v>7000</v>
      </c>
      <c r="AB8" s="6"/>
      <c r="AC8" s="6"/>
    </row>
    <row r="9" spans="1:29" s="5" customFormat="1" x14ac:dyDescent="0.3">
      <c r="A9" s="136" t="s">
        <v>886</v>
      </c>
      <c r="C9" s="5">
        <f>+C8/B8-1</f>
        <v>-0.23097965464181913</v>
      </c>
      <c r="D9" s="5">
        <f t="shared" ref="D9:P9" si="0">+D8/C8-1</f>
        <v>0.19542018674966655</v>
      </c>
      <c r="E9" s="5">
        <f t="shared" si="0"/>
        <v>0.63511251627301468</v>
      </c>
      <c r="F9" s="5">
        <f t="shared" si="0"/>
        <v>-9.0081892629663374E-2</v>
      </c>
      <c r="G9" s="5">
        <f t="shared" si="0"/>
        <v>-0.45625000000000004</v>
      </c>
      <c r="H9" s="5">
        <f t="shared" si="0"/>
        <v>1.0344827586206895</v>
      </c>
      <c r="I9" s="5">
        <f t="shared" si="0"/>
        <v>7.344632768361592E-2</v>
      </c>
      <c r="J9" s="5">
        <f t="shared" si="0"/>
        <v>0.10526315789473695</v>
      </c>
      <c r="K9" s="5">
        <f t="shared" si="0"/>
        <v>0.64285714285714279</v>
      </c>
      <c r="L9" s="5">
        <f t="shared" si="0"/>
        <v>-0.61739130434782608</v>
      </c>
      <c r="M9" s="5">
        <f t="shared" si="0"/>
        <v>0.83204545454545453</v>
      </c>
      <c r="N9" s="5">
        <f t="shared" si="0"/>
        <v>4.2633254765744422E-2</v>
      </c>
      <c r="O9" s="5">
        <f t="shared" si="0"/>
        <v>-0.16514634726739108</v>
      </c>
      <c r="P9" s="5">
        <f t="shared" si="0"/>
        <v>-0.59539192399049878</v>
      </c>
      <c r="Q9" s="5">
        <f t="shared" ref="Q9" si="1">+Q8/P8-1</f>
        <v>0.17412234354819778</v>
      </c>
      <c r="R9" s="5">
        <f t="shared" ref="R9" si="2">+R8/Q8-1</f>
        <v>-0.6</v>
      </c>
      <c r="S9" s="5">
        <f t="shared" ref="S9" si="3">+S8/R8-1</f>
        <v>0.75</v>
      </c>
      <c r="AB9" s="6"/>
      <c r="AC9" s="6"/>
    </row>
    <row r="10" spans="1:29" s="5" customFormat="1" x14ac:dyDescent="0.3">
      <c r="A10" s="136"/>
      <c r="AB10" s="6"/>
      <c r="AC10" s="6"/>
    </row>
    <row r="11" spans="1:29" x14ac:dyDescent="0.3">
      <c r="AB11" s="6"/>
      <c r="AC11" s="6"/>
    </row>
    <row r="12" spans="1:29" x14ac:dyDescent="0.3">
      <c r="AB12" s="6"/>
      <c r="AC12" s="6"/>
    </row>
    <row r="13" spans="1:29" ht="66" x14ac:dyDescent="0.3">
      <c r="A13" s="316" t="s">
        <v>1015</v>
      </c>
      <c r="B13" s="316" t="s">
        <v>1239</v>
      </c>
      <c r="C13" s="316" t="s">
        <v>1240</v>
      </c>
      <c r="D13" s="316" t="s">
        <v>1241</v>
      </c>
      <c r="E13" s="316" t="s">
        <v>1242</v>
      </c>
      <c r="U13" s="6"/>
      <c r="V13" s="6"/>
    </row>
    <row r="14" spans="1:29" x14ac:dyDescent="0.3">
      <c r="U14" s="6"/>
    </row>
    <row r="15" spans="1:29" x14ac:dyDescent="0.3">
      <c r="A15" s="312">
        <v>37256</v>
      </c>
      <c r="B15" s="313">
        <v>2649.29</v>
      </c>
      <c r="C15" s="313">
        <v>114.3</v>
      </c>
      <c r="D15" s="314"/>
      <c r="E15" s="314"/>
      <c r="U15" s="6"/>
    </row>
    <row r="16" spans="1:29" x14ac:dyDescent="0.3">
      <c r="A16" s="312">
        <v>37621</v>
      </c>
      <c r="B16" s="313">
        <v>2254</v>
      </c>
      <c r="C16" s="313">
        <v>88.23</v>
      </c>
      <c r="D16" s="315">
        <v>-0.14920601368668585</v>
      </c>
      <c r="E16" s="315">
        <v>-0.22808398950131226</v>
      </c>
      <c r="U16" s="6"/>
    </row>
    <row r="17" spans="1:28" x14ac:dyDescent="0.3">
      <c r="A17" s="312">
        <v>37986</v>
      </c>
      <c r="B17" s="313">
        <v>2406.02</v>
      </c>
      <c r="C17" s="313">
        <v>111.28</v>
      </c>
      <c r="D17" s="315">
        <v>6.744454303460512E-2</v>
      </c>
      <c r="E17" s="315">
        <v>0.26124900827382969</v>
      </c>
      <c r="U17" s="6"/>
    </row>
    <row r="18" spans="1:28" x14ac:dyDescent="0.3">
      <c r="A18" s="312">
        <v>38352</v>
      </c>
      <c r="B18" s="313">
        <v>2320.81</v>
      </c>
      <c r="C18" s="313">
        <v>120.87</v>
      </c>
      <c r="D18" s="315">
        <v>-3.541533320587531E-2</v>
      </c>
      <c r="E18" s="315">
        <v>8.6179007907979832E-2</v>
      </c>
      <c r="U18" s="6"/>
    </row>
    <row r="19" spans="1:28" x14ac:dyDescent="0.3">
      <c r="A19" s="312">
        <v>38716</v>
      </c>
      <c r="B19" s="313">
        <v>3166.61</v>
      </c>
      <c r="C19" s="313">
        <v>124.51</v>
      </c>
      <c r="D19" s="315">
        <v>0.36444172508736172</v>
      </c>
      <c r="E19" s="315">
        <v>3.0114999586332347E-2</v>
      </c>
      <c r="U19" s="6"/>
    </row>
    <row r="20" spans="1:28" x14ac:dyDescent="0.3">
      <c r="A20" s="312">
        <v>39080</v>
      </c>
      <c r="B20" s="313">
        <v>2938.12</v>
      </c>
      <c r="C20" s="313">
        <v>141.62</v>
      </c>
      <c r="D20" s="315">
        <v>-7.2156028055238908E-2</v>
      </c>
      <c r="E20" s="315">
        <v>0.13741868123042322</v>
      </c>
      <c r="U20" s="6"/>
    </row>
    <row r="21" spans="1:28" x14ac:dyDescent="0.3">
      <c r="A21" s="312">
        <v>39447</v>
      </c>
      <c r="B21" s="313">
        <v>2893.74</v>
      </c>
      <c r="C21" s="313">
        <v>146.21</v>
      </c>
      <c r="D21" s="315">
        <v>-1.5104897008971774E-2</v>
      </c>
      <c r="E21" s="315">
        <v>3.2410676458127341E-2</v>
      </c>
      <c r="U21" s="6"/>
    </row>
    <row r="22" spans="1:28" x14ac:dyDescent="0.3">
      <c r="A22" s="312">
        <v>39813</v>
      </c>
      <c r="B22" s="313">
        <v>1747.63</v>
      </c>
      <c r="C22" s="313">
        <v>90.24</v>
      </c>
      <c r="D22" s="315">
        <v>-0.39606529957770908</v>
      </c>
      <c r="E22" s="315">
        <v>-0.38280555365570079</v>
      </c>
      <c r="U22" s="6"/>
    </row>
    <row r="23" spans="1:28" x14ac:dyDescent="0.3">
      <c r="A23" s="312">
        <v>40178</v>
      </c>
      <c r="B23" s="313">
        <v>2501.91</v>
      </c>
      <c r="C23" s="313">
        <v>111.44</v>
      </c>
      <c r="D23" s="315">
        <v>0.43160165481251744</v>
      </c>
      <c r="E23" s="315">
        <v>0.23492907801418439</v>
      </c>
      <c r="U23" s="6"/>
    </row>
    <row r="24" spans="1:28" x14ac:dyDescent="0.3">
      <c r="A24" s="312">
        <v>40543</v>
      </c>
      <c r="B24" s="313">
        <v>2830.01</v>
      </c>
      <c r="C24" s="313">
        <v>125.75</v>
      </c>
      <c r="D24" s="315">
        <v>0.13113980918578227</v>
      </c>
      <c r="E24" s="315">
        <v>0.12840990667623831</v>
      </c>
      <c r="U24" s="6"/>
    </row>
    <row r="25" spans="1:28" x14ac:dyDescent="0.3">
      <c r="A25" s="312">
        <v>40907</v>
      </c>
      <c r="B25" s="313">
        <v>2983.25</v>
      </c>
      <c r="C25" s="313">
        <v>125.5</v>
      </c>
      <c r="D25" s="315">
        <v>5.4148218557531491E-2</v>
      </c>
      <c r="E25" s="315">
        <v>-1.9880715705765661E-3</v>
      </c>
      <c r="U25" s="6"/>
    </row>
    <row r="26" spans="1:28" x14ac:dyDescent="0.3">
      <c r="A26" s="312">
        <v>41274</v>
      </c>
      <c r="B26" s="313">
        <v>3281.5</v>
      </c>
      <c r="C26" s="313">
        <v>142.41</v>
      </c>
      <c r="D26" s="315">
        <v>9.9974859632950608E-2</v>
      </c>
      <c r="E26" s="315">
        <v>0.13474103585657371</v>
      </c>
      <c r="U26" s="6"/>
    </row>
    <row r="27" spans="1:28" x14ac:dyDescent="0.3">
      <c r="A27" s="312">
        <v>41639</v>
      </c>
      <c r="B27" s="313">
        <v>5312.84</v>
      </c>
      <c r="C27" s="313">
        <v>184.69</v>
      </c>
      <c r="D27" s="315">
        <v>0.61902788358982175</v>
      </c>
      <c r="E27" s="315">
        <v>0.29688926339442467</v>
      </c>
      <c r="U27" s="6"/>
    </row>
    <row r="28" spans="1:28" x14ac:dyDescent="0.3">
      <c r="A28" s="312">
        <v>42004</v>
      </c>
      <c r="B28" s="313">
        <v>6596.3</v>
      </c>
      <c r="C28" s="313">
        <v>205.54</v>
      </c>
      <c r="D28" s="315">
        <v>0.24157700965961704</v>
      </c>
      <c r="E28" s="315">
        <v>0.11289187286804903</v>
      </c>
      <c r="U28" s="6"/>
    </row>
    <row r="29" spans="1:28" x14ac:dyDescent="0.3">
      <c r="A29" s="312">
        <v>42369</v>
      </c>
      <c r="B29" s="313">
        <v>6701.53</v>
      </c>
      <c r="C29" s="313">
        <v>203.87</v>
      </c>
      <c r="D29" s="315">
        <v>1.5952882676651958E-2</v>
      </c>
      <c r="E29" s="315">
        <v>-8.124939184586899E-3</v>
      </c>
      <c r="U29" s="6"/>
    </row>
    <row r="30" spans="1:28" x14ac:dyDescent="0.3">
      <c r="U30" s="6"/>
    </row>
    <row r="31" spans="1:28" x14ac:dyDescent="0.3">
      <c r="AB31" s="6"/>
    </row>
    <row r="32" spans="1:28" x14ac:dyDescent="0.3">
      <c r="B32" s="41">
        <f>+B6</f>
        <v>2003</v>
      </c>
      <c r="C32" s="41">
        <f t="shared" ref="C32:N32" si="4">+C6</f>
        <v>2004</v>
      </c>
      <c r="D32" s="41">
        <f t="shared" si="4"/>
        <v>2005</v>
      </c>
      <c r="E32" s="41">
        <f t="shared" si="4"/>
        <v>2006</v>
      </c>
      <c r="F32" s="41">
        <f t="shared" si="4"/>
        <v>2007</v>
      </c>
      <c r="G32" s="41">
        <f t="shared" si="4"/>
        <v>2008</v>
      </c>
      <c r="H32" s="41">
        <f t="shared" si="4"/>
        <v>2009</v>
      </c>
      <c r="I32" s="41">
        <f t="shared" si="4"/>
        <v>2010</v>
      </c>
      <c r="J32" s="41">
        <f t="shared" si="4"/>
        <v>2011</v>
      </c>
      <c r="K32" s="41">
        <f t="shared" si="4"/>
        <v>2012</v>
      </c>
      <c r="L32" s="41">
        <f t="shared" si="4"/>
        <v>2013</v>
      </c>
      <c r="M32" s="41">
        <f t="shared" si="4"/>
        <v>2014</v>
      </c>
      <c r="N32" s="41">
        <f t="shared" si="4"/>
        <v>2015</v>
      </c>
      <c r="AB32" s="6"/>
    </row>
    <row r="33" spans="1:28" x14ac:dyDescent="0.3">
      <c r="A33" t="s">
        <v>888</v>
      </c>
      <c r="B33" s="327">
        <f>+D17-E17</f>
        <v>-0.19380446523922457</v>
      </c>
      <c r="C33" s="331">
        <f>+D18-E18</f>
        <v>-0.12159434111385514</v>
      </c>
      <c r="D33" s="333">
        <f>+D19-E19</f>
        <v>0.33432672550102938</v>
      </c>
      <c r="E33" s="329">
        <f>+D20-E20</f>
        <v>-0.20957470928566213</v>
      </c>
      <c r="F33" s="329">
        <f>+D21-E21</f>
        <v>-4.7515573467099115E-2</v>
      </c>
      <c r="G33" s="329">
        <f>+D22-E22</f>
        <v>-1.3259745922008292E-2</v>
      </c>
      <c r="H33" s="329">
        <f>+D23-E23</f>
        <v>0.19667257679833305</v>
      </c>
      <c r="I33" s="329">
        <f>+D24-E24</f>
        <v>2.7299025095439688E-3</v>
      </c>
      <c r="J33" s="329">
        <f>+D25-E25</f>
        <v>5.6136290128108057E-2</v>
      </c>
      <c r="K33" s="329">
        <f>+D26-E26</f>
        <v>-3.4766176223623102E-2</v>
      </c>
      <c r="L33" s="332">
        <f>+D27-E27</f>
        <v>0.32213862019539707</v>
      </c>
      <c r="M33" s="330">
        <f>+D28-E28</f>
        <v>0.12868513679156801</v>
      </c>
      <c r="N33" s="330">
        <f>+D29-E29</f>
        <v>2.4077821861238857E-2</v>
      </c>
      <c r="AB33" s="6"/>
    </row>
    <row r="34" spans="1:28" x14ac:dyDescent="0.3">
      <c r="A34" s="7" t="str">
        <f>A8</f>
        <v>Branded to Generic</v>
      </c>
      <c r="B34" s="7"/>
      <c r="C34" s="328">
        <v>-0.23097965464181913</v>
      </c>
      <c r="D34" s="322">
        <v>0.19542018674966655</v>
      </c>
      <c r="E34" s="328">
        <v>0.63511251627301468</v>
      </c>
      <c r="F34" s="328">
        <v>-9.0081892629663374E-2</v>
      </c>
      <c r="G34" s="328">
        <v>-0.45625000000000004</v>
      </c>
      <c r="H34" s="328">
        <v>1.0344827586206895</v>
      </c>
      <c r="I34" s="328">
        <v>7.344632768361592E-2</v>
      </c>
      <c r="J34" s="328">
        <v>0.10526315789473695</v>
      </c>
      <c r="K34" s="322">
        <v>0.64285714285714279</v>
      </c>
      <c r="L34" s="328">
        <v>-0.61739130434782608</v>
      </c>
      <c r="M34" s="328">
        <v>0.83204545454545453</v>
      </c>
      <c r="N34" s="328">
        <v>4.2633254765744422E-2</v>
      </c>
      <c r="O34" s="7"/>
      <c r="AB34" s="6"/>
    </row>
    <row r="35" spans="1:28" x14ac:dyDescent="0.3">
      <c r="A35" s="7"/>
      <c r="B35" s="7"/>
      <c r="C35" s="7"/>
      <c r="D35" s="7"/>
      <c r="E35" s="7"/>
      <c r="F35" s="7"/>
      <c r="G35" s="7"/>
      <c r="H35" s="7"/>
      <c r="I35" s="7"/>
      <c r="J35" s="7"/>
      <c r="K35" s="7"/>
      <c r="L35" s="7"/>
      <c r="M35" s="7"/>
      <c r="N35" s="7"/>
      <c r="O35" s="7"/>
      <c r="AB35" s="6"/>
    </row>
    <row r="36" spans="1:28" x14ac:dyDescent="0.3">
      <c r="A36" s="7"/>
      <c r="B36" s="7"/>
      <c r="C36" s="7"/>
      <c r="D36" s="7"/>
      <c r="E36" s="7"/>
      <c r="F36" s="7"/>
      <c r="G36" s="7"/>
      <c r="H36" s="7"/>
      <c r="I36" s="7"/>
      <c r="J36" s="7"/>
      <c r="K36" s="7"/>
      <c r="L36" s="7"/>
      <c r="M36" s="7"/>
      <c r="N36" s="7"/>
      <c r="O36" s="7"/>
    </row>
    <row r="37" spans="1:28" x14ac:dyDescent="0.3">
      <c r="A37" s="7"/>
      <c r="B37" s="7"/>
      <c r="C37" s="7"/>
      <c r="D37" s="7"/>
      <c r="E37" s="7"/>
      <c r="F37" s="7"/>
      <c r="G37" s="7"/>
      <c r="H37" s="7"/>
      <c r="I37" s="7"/>
      <c r="J37" s="7"/>
      <c r="K37" s="7"/>
      <c r="L37" s="7"/>
      <c r="M37" s="7"/>
      <c r="N37" s="7"/>
      <c r="O37" s="7"/>
    </row>
    <row r="38" spans="1:28" x14ac:dyDescent="0.3">
      <c r="A38" s="7"/>
      <c r="B38" s="7"/>
      <c r="C38" s="7"/>
      <c r="D38" s="7"/>
      <c r="E38" s="7"/>
      <c r="F38" s="7"/>
      <c r="G38" s="7"/>
      <c r="H38" s="7"/>
      <c r="I38" s="7"/>
      <c r="J38" s="7"/>
      <c r="K38" s="7"/>
      <c r="L38" s="7"/>
      <c r="M38" s="7"/>
      <c r="N38" s="7"/>
      <c r="O38" s="7"/>
    </row>
    <row r="39" spans="1:28" x14ac:dyDescent="0.3">
      <c r="A39" s="7"/>
      <c r="B39" s="7"/>
      <c r="C39" s="7"/>
      <c r="D39" s="7"/>
      <c r="E39" s="7"/>
      <c r="F39" s="7"/>
      <c r="G39" s="7"/>
      <c r="H39" s="7"/>
      <c r="I39" s="7"/>
      <c r="J39" s="7"/>
      <c r="K39" s="7"/>
      <c r="L39" s="7"/>
      <c r="M39" s="7"/>
      <c r="N39" s="7"/>
      <c r="O39" s="7"/>
    </row>
    <row r="40" spans="1:28" x14ac:dyDescent="0.3">
      <c r="A40" s="7"/>
      <c r="B40" s="7"/>
      <c r="C40" s="7"/>
      <c r="D40" s="7"/>
      <c r="E40" s="7"/>
      <c r="F40" s="7"/>
      <c r="G40" s="7"/>
      <c r="H40" s="7"/>
      <c r="I40" s="7"/>
      <c r="J40" s="7"/>
      <c r="K40" s="7"/>
      <c r="L40" s="7"/>
      <c r="M40" s="7"/>
      <c r="N40" s="7"/>
      <c r="O40" s="7"/>
    </row>
    <row r="41" spans="1:28" x14ac:dyDescent="0.3">
      <c r="A41" s="7"/>
      <c r="B41" s="7"/>
      <c r="C41" s="7"/>
      <c r="D41" s="7"/>
      <c r="E41" s="7"/>
      <c r="F41" s="7"/>
      <c r="G41" s="7"/>
      <c r="H41" s="7"/>
      <c r="I41" s="7"/>
      <c r="J41" s="7"/>
      <c r="K41" s="7"/>
      <c r="L41" s="7"/>
      <c r="M41" s="7"/>
      <c r="N41" s="7"/>
      <c r="O41" s="7"/>
    </row>
    <row r="42" spans="1:28" x14ac:dyDescent="0.3">
      <c r="A42" s="7"/>
      <c r="B42" s="7"/>
      <c r="C42" s="7"/>
      <c r="D42" s="7"/>
      <c r="E42" s="7"/>
      <c r="F42" s="7"/>
      <c r="G42" s="7"/>
      <c r="H42" s="7"/>
      <c r="I42" s="7"/>
      <c r="J42" s="7"/>
      <c r="K42" s="7"/>
      <c r="L42" s="7"/>
      <c r="M42" s="7"/>
      <c r="N42" s="7"/>
      <c r="O42" s="7"/>
    </row>
    <row r="43" spans="1:28" x14ac:dyDescent="0.3">
      <c r="A43" s="7"/>
      <c r="B43" s="7"/>
      <c r="C43" s="7"/>
      <c r="D43" s="7"/>
      <c r="E43" s="7"/>
      <c r="F43" s="7"/>
      <c r="G43" s="7"/>
      <c r="H43" s="7"/>
      <c r="I43" s="7"/>
      <c r="J43" s="7"/>
      <c r="K43" s="7"/>
      <c r="L43" s="7"/>
      <c r="M43" s="7"/>
      <c r="N43" s="7"/>
      <c r="O43" s="7"/>
    </row>
    <row r="44" spans="1:28" x14ac:dyDescent="0.3">
      <c r="A44" s="7"/>
      <c r="B44" s="7"/>
      <c r="C44" s="7"/>
      <c r="D44" s="7"/>
      <c r="E44" s="7"/>
      <c r="F44" s="7"/>
      <c r="G44" s="7"/>
      <c r="H44" s="7"/>
      <c r="I44" s="7"/>
      <c r="J44" s="7"/>
      <c r="K44" s="7"/>
      <c r="L44" s="7"/>
      <c r="M44" s="7"/>
      <c r="N44" s="7"/>
      <c r="O44" s="7"/>
    </row>
    <row r="45" spans="1:28" x14ac:dyDescent="0.3">
      <c r="A45" s="7"/>
      <c r="B45" s="7"/>
      <c r="C45" s="7"/>
      <c r="D45" s="7"/>
      <c r="E45" s="7"/>
      <c r="F45" s="7"/>
      <c r="G45" s="7"/>
      <c r="H45" s="7"/>
      <c r="I45" s="7"/>
      <c r="J45" s="7"/>
      <c r="K45" s="7"/>
      <c r="L45" s="7"/>
      <c r="M45" s="7"/>
      <c r="N45" s="7"/>
      <c r="O45" s="7"/>
    </row>
    <row r="46" spans="1:28" x14ac:dyDescent="0.3">
      <c r="A46" s="7"/>
      <c r="B46" s="7"/>
      <c r="C46" s="7"/>
      <c r="D46" s="7"/>
      <c r="E46" s="7"/>
      <c r="F46" s="7"/>
      <c r="G46" s="7"/>
      <c r="H46" s="7"/>
      <c r="I46" s="7"/>
      <c r="J46" s="7"/>
      <c r="K46" s="7"/>
      <c r="L46" s="7"/>
      <c r="M46" s="7"/>
      <c r="N46" s="7"/>
      <c r="O46" s="7"/>
    </row>
    <row r="47" spans="1:28" x14ac:dyDescent="0.3">
      <c r="A47" s="7"/>
      <c r="B47" s="7"/>
      <c r="C47" s="7"/>
      <c r="D47" s="7"/>
      <c r="E47" s="7"/>
      <c r="F47" s="7"/>
      <c r="G47" s="7"/>
      <c r="H47" s="7"/>
      <c r="I47" s="7"/>
      <c r="J47" s="7"/>
      <c r="K47" s="7"/>
      <c r="L47" s="7"/>
      <c r="M47" s="7"/>
      <c r="N47" s="7"/>
      <c r="O47" s="7"/>
    </row>
    <row r="48" spans="1:28" x14ac:dyDescent="0.3">
      <c r="A48" s="7"/>
      <c r="B48" s="7"/>
      <c r="C48" s="7"/>
      <c r="D48" s="7"/>
      <c r="E48" s="7"/>
      <c r="F48" s="7"/>
      <c r="G48" s="7"/>
      <c r="H48" s="7"/>
      <c r="I48" s="7"/>
      <c r="J48" s="7"/>
      <c r="K48" s="7"/>
      <c r="L48" s="7"/>
      <c r="M48" s="7"/>
      <c r="N48" s="7"/>
      <c r="O48" s="7"/>
    </row>
    <row r="49" spans="1:15" x14ac:dyDescent="0.3">
      <c r="A49" s="7"/>
      <c r="B49" s="7"/>
      <c r="C49" s="7"/>
      <c r="D49" s="7"/>
      <c r="E49" s="7"/>
      <c r="F49" s="7"/>
      <c r="G49" s="7"/>
      <c r="H49" s="7"/>
      <c r="I49" s="7"/>
      <c r="J49" s="7"/>
      <c r="K49" s="7"/>
      <c r="L49" s="7"/>
      <c r="M49" s="7"/>
      <c r="N49" s="7"/>
      <c r="O49" s="7"/>
    </row>
    <row r="50" spans="1:15" x14ac:dyDescent="0.3">
      <c r="A50" s="7"/>
      <c r="B50" s="7"/>
      <c r="C50" s="7"/>
      <c r="D50" s="7"/>
      <c r="E50" s="7"/>
      <c r="F50" s="7"/>
      <c r="G50" s="7"/>
      <c r="H50" s="7"/>
      <c r="I50" s="7"/>
      <c r="J50" s="7"/>
      <c r="K50" s="7"/>
      <c r="L50" s="7"/>
      <c r="M50" s="7"/>
      <c r="N50" s="7"/>
      <c r="O50" s="7"/>
    </row>
    <row r="51" spans="1:15" x14ac:dyDescent="0.3">
      <c r="A51" s="7"/>
      <c r="B51" s="7"/>
      <c r="C51" s="7"/>
      <c r="D51" s="7"/>
      <c r="E51" s="7"/>
      <c r="F51" s="7"/>
      <c r="G51" s="7"/>
      <c r="H51" s="7"/>
      <c r="I51" s="7"/>
      <c r="J51" s="7"/>
      <c r="K51" s="7"/>
      <c r="L51" s="7"/>
      <c r="M51" s="7"/>
      <c r="N51" s="7"/>
      <c r="O51" s="7"/>
    </row>
    <row r="52" spans="1:15" x14ac:dyDescent="0.3">
      <c r="A52" s="7"/>
      <c r="B52" s="7"/>
      <c r="C52" s="7"/>
      <c r="D52" s="7"/>
      <c r="E52" s="7"/>
      <c r="F52" s="7"/>
      <c r="G52" s="7"/>
      <c r="H52" s="7"/>
      <c r="I52" s="7"/>
      <c r="J52" s="7"/>
      <c r="K52" s="7"/>
      <c r="L52" s="7"/>
      <c r="M52" s="7"/>
      <c r="N52" s="7"/>
      <c r="O52" s="7"/>
    </row>
    <row r="53" spans="1:15" x14ac:dyDescent="0.3">
      <c r="A53" s="7"/>
      <c r="B53" s="7"/>
      <c r="C53" s="7"/>
      <c r="D53" s="7"/>
      <c r="E53" s="7"/>
      <c r="F53" s="7"/>
      <c r="G53" s="7"/>
      <c r="H53" s="7"/>
      <c r="I53" s="7"/>
      <c r="J53" s="7"/>
      <c r="K53" s="7"/>
      <c r="L53" s="7"/>
      <c r="M53" s="7"/>
      <c r="N53" s="7"/>
      <c r="O53" s="7"/>
    </row>
    <row r="54" spans="1:15" x14ac:dyDescent="0.3">
      <c r="A54" s="7"/>
      <c r="B54" s="7"/>
      <c r="C54" s="7"/>
      <c r="D54" s="7"/>
      <c r="E54" s="7"/>
      <c r="F54" s="7"/>
      <c r="G54" s="7"/>
      <c r="H54" s="7"/>
      <c r="I54" s="7"/>
      <c r="J54" s="7"/>
      <c r="K54" s="7"/>
      <c r="L54" s="7"/>
      <c r="M54" s="7"/>
      <c r="N54" s="7"/>
      <c r="O54" s="7"/>
    </row>
    <row r="55" spans="1:15" x14ac:dyDescent="0.3">
      <c r="A55" s="7"/>
      <c r="B55" s="7"/>
      <c r="C55" s="7"/>
      <c r="D55" s="7"/>
      <c r="E55" s="7"/>
      <c r="F55" s="7"/>
      <c r="G55" s="7"/>
      <c r="H55" s="7"/>
      <c r="I55" s="7"/>
      <c r="J55" s="7"/>
      <c r="K55" s="7"/>
      <c r="L55" s="7"/>
      <c r="M55" s="7"/>
      <c r="N55" s="7"/>
      <c r="O55" s="7"/>
    </row>
    <row r="56" spans="1:15" x14ac:dyDescent="0.3">
      <c r="A56" s="7"/>
      <c r="B56" s="7"/>
      <c r="C56" s="7"/>
      <c r="D56" s="7"/>
      <c r="E56" s="7"/>
      <c r="F56" s="7"/>
      <c r="G56" s="7"/>
      <c r="H56" s="7"/>
      <c r="I56" s="7"/>
      <c r="J56" s="7"/>
      <c r="K56" s="7"/>
      <c r="L56" s="7"/>
      <c r="M56" s="7"/>
      <c r="N56" s="7"/>
      <c r="O56" s="7"/>
    </row>
    <row r="57" spans="1:15" x14ac:dyDescent="0.3">
      <c r="A57" s="7"/>
      <c r="B57" s="7"/>
      <c r="C57" s="7"/>
      <c r="D57" s="7"/>
      <c r="E57" s="7"/>
      <c r="F57" s="7"/>
      <c r="G57" s="7"/>
      <c r="H57" s="7"/>
      <c r="I57" s="7"/>
      <c r="J57" s="7"/>
      <c r="K57" s="7"/>
      <c r="L57" s="7"/>
      <c r="M57" s="7"/>
      <c r="N57" s="7"/>
      <c r="O57" s="7"/>
    </row>
    <row r="58" spans="1:15" x14ac:dyDescent="0.3">
      <c r="A58" s="7"/>
      <c r="B58" s="7"/>
      <c r="C58" s="7"/>
      <c r="D58" s="7"/>
      <c r="E58" s="7"/>
      <c r="F58" s="7"/>
      <c r="G58" s="7"/>
      <c r="H58" s="7"/>
      <c r="I58" s="7"/>
      <c r="J58" s="7"/>
      <c r="K58" s="7"/>
      <c r="L58" s="7"/>
      <c r="M58" s="7"/>
      <c r="N58" s="7"/>
      <c r="O58" s="7"/>
    </row>
    <row r="59" spans="1:15" x14ac:dyDescent="0.3">
      <c r="A59" s="7"/>
      <c r="B59" s="7"/>
      <c r="C59" s="7"/>
      <c r="D59" s="7"/>
      <c r="E59" s="7"/>
      <c r="F59" s="7"/>
      <c r="G59" s="7"/>
      <c r="H59" s="7"/>
      <c r="I59" s="7"/>
      <c r="J59" s="7"/>
      <c r="K59" s="7"/>
      <c r="L59" s="7"/>
      <c r="M59" s="7"/>
      <c r="N59" s="7"/>
      <c r="O59" s="7"/>
    </row>
    <row r="60" spans="1:15" x14ac:dyDescent="0.3">
      <c r="A60" s="7"/>
      <c r="B60" s="7"/>
      <c r="C60" s="7"/>
      <c r="D60" s="7"/>
      <c r="E60" s="7"/>
      <c r="F60" s="7"/>
      <c r="G60" s="7"/>
      <c r="H60" s="7"/>
      <c r="I60" s="7"/>
      <c r="J60" s="7"/>
      <c r="K60" s="7"/>
      <c r="L60" s="7"/>
      <c r="M60" s="7"/>
      <c r="N60" s="7"/>
      <c r="O60" s="7"/>
    </row>
    <row r="62" spans="1:15" x14ac:dyDescent="0.3">
      <c r="C62" s="137" t="s">
        <v>109</v>
      </c>
      <c r="D62" s="137" t="s">
        <v>255</v>
      </c>
      <c r="E62" s="137" t="s">
        <v>110</v>
      </c>
      <c r="F62" s="137" t="s">
        <v>889</v>
      </c>
    </row>
    <row r="63" spans="1:15" x14ac:dyDescent="0.3">
      <c r="B63" s="134">
        <v>2002</v>
      </c>
      <c r="C63" s="87">
        <v>0.84</v>
      </c>
      <c r="D63" s="87">
        <v>2.0699999999999998</v>
      </c>
      <c r="E63" s="87">
        <v>1.84</v>
      </c>
      <c r="F63" s="138">
        <f>+E63+D63+C63</f>
        <v>4.75</v>
      </c>
    </row>
    <row r="64" spans="1:15" x14ac:dyDescent="0.3">
      <c r="B64" s="134">
        <f>B63+1</f>
        <v>2003</v>
      </c>
      <c r="C64" s="87">
        <v>0.97</v>
      </c>
      <c r="D64" s="87">
        <v>2.36</v>
      </c>
      <c r="E64" s="87">
        <v>2.13</v>
      </c>
      <c r="F64" s="138">
        <f t="shared" ref="F64:F72" si="5">+E64+D64+C64</f>
        <v>5.46</v>
      </c>
      <c r="G64" s="5">
        <f>+F64/F63-1</f>
        <v>0.1494736842105262</v>
      </c>
    </row>
    <row r="65" spans="2:13" x14ac:dyDescent="0.3">
      <c r="B65" s="134">
        <f t="shared" ref="B65:B72" si="6">B64+1</f>
        <v>2004</v>
      </c>
      <c r="C65" s="87">
        <v>0.94</v>
      </c>
      <c r="D65" s="87">
        <v>2.27</v>
      </c>
      <c r="E65" s="87">
        <v>2.19</v>
      </c>
      <c r="F65" s="138">
        <f t="shared" si="5"/>
        <v>5.4</v>
      </c>
      <c r="G65" s="5">
        <f t="shared" ref="G65:G76" si="7">+F65/F64-1</f>
        <v>-1.098901098901095E-2</v>
      </c>
    </row>
    <row r="66" spans="2:13" x14ac:dyDescent="0.3">
      <c r="B66" s="134">
        <f t="shared" si="6"/>
        <v>2005</v>
      </c>
      <c r="C66" s="87">
        <v>0.88</v>
      </c>
      <c r="D66" s="87">
        <v>2.2200000000000002</v>
      </c>
      <c r="E66" s="87">
        <v>2.38</v>
      </c>
      <c r="F66" s="138">
        <f t="shared" si="5"/>
        <v>5.4799999999999995</v>
      </c>
      <c r="G66" s="5">
        <f t="shared" si="7"/>
        <v>1.4814814814814614E-2</v>
      </c>
    </row>
    <row r="67" spans="2:13" x14ac:dyDescent="0.3">
      <c r="B67" s="134">
        <f t="shared" si="6"/>
        <v>2006</v>
      </c>
      <c r="C67" s="87">
        <v>1.1499999999999999</v>
      </c>
      <c r="D67" s="87">
        <v>2.42</v>
      </c>
      <c r="E67" s="87">
        <v>2.78</v>
      </c>
      <c r="F67" s="138">
        <f t="shared" si="5"/>
        <v>6.35</v>
      </c>
      <c r="G67" s="5">
        <f t="shared" si="7"/>
        <v>0.15875912408759119</v>
      </c>
    </row>
    <row r="68" spans="2:13" x14ac:dyDescent="0.3">
      <c r="B68" s="134">
        <f t="shared" si="6"/>
        <v>2007</v>
      </c>
      <c r="C68" s="87">
        <v>1.35</v>
      </c>
      <c r="D68" s="87">
        <v>2.59</v>
      </c>
      <c r="E68" s="87">
        <v>3.2</v>
      </c>
      <c r="F68" s="138">
        <f t="shared" si="5"/>
        <v>7.1400000000000006</v>
      </c>
      <c r="G68" s="5">
        <f t="shared" si="7"/>
        <v>0.12440944881889782</v>
      </c>
    </row>
    <row r="69" spans="2:13" x14ac:dyDescent="0.3">
      <c r="B69" s="323">
        <f t="shared" si="6"/>
        <v>2008</v>
      </c>
      <c r="C69" s="324">
        <v>1.48</v>
      </c>
      <c r="D69" s="324">
        <v>2.62</v>
      </c>
      <c r="E69" s="324">
        <v>3.89</v>
      </c>
      <c r="F69" s="324">
        <f t="shared" si="5"/>
        <v>7.99</v>
      </c>
      <c r="G69" s="325">
        <f t="shared" si="7"/>
        <v>0.11904761904761907</v>
      </c>
    </row>
    <row r="70" spans="2:13" x14ac:dyDescent="0.3">
      <c r="B70" s="323">
        <f t="shared" si="6"/>
        <v>2009</v>
      </c>
      <c r="C70" s="324">
        <v>1.85</v>
      </c>
      <c r="D70" s="324">
        <v>2.36</v>
      </c>
      <c r="E70" s="324">
        <v>4.45</v>
      </c>
      <c r="F70" s="324">
        <f t="shared" si="5"/>
        <v>8.66</v>
      </c>
      <c r="G70" s="325">
        <f t="shared" si="7"/>
        <v>8.3854818523154018E-2</v>
      </c>
    </row>
    <row r="71" spans="2:13" x14ac:dyDescent="0.3">
      <c r="B71" s="323">
        <f t="shared" si="6"/>
        <v>2010</v>
      </c>
      <c r="C71" s="324">
        <v>2.27</v>
      </c>
      <c r="D71" s="324">
        <v>2.5099999999999998</v>
      </c>
      <c r="E71" s="324">
        <v>4.79</v>
      </c>
      <c r="F71" s="324">
        <f t="shared" si="5"/>
        <v>9.57</v>
      </c>
      <c r="G71" s="325">
        <f t="shared" si="7"/>
        <v>0.10508083140877589</v>
      </c>
    </row>
    <row r="72" spans="2:13" x14ac:dyDescent="0.3">
      <c r="B72" s="323">
        <f t="shared" si="6"/>
        <v>2011</v>
      </c>
      <c r="C72" s="324">
        <v>2.57</v>
      </c>
      <c r="D72" s="324">
        <v>3</v>
      </c>
      <c r="E72" s="324">
        <v>5.99</v>
      </c>
      <c r="F72" s="324">
        <f t="shared" si="5"/>
        <v>11.56</v>
      </c>
      <c r="G72" s="325">
        <f t="shared" si="7"/>
        <v>0.20794148380355271</v>
      </c>
    </row>
    <row r="73" spans="2:13" x14ac:dyDescent="0.3">
      <c r="B73" s="326">
        <v>2012</v>
      </c>
      <c r="C73" s="324">
        <v>2.79</v>
      </c>
      <c r="D73" s="324">
        <v>3.39</v>
      </c>
      <c r="E73" s="324">
        <v>7.01</v>
      </c>
      <c r="F73" s="324">
        <f>+E73+D73+C73</f>
        <v>13.190000000000001</v>
      </c>
      <c r="G73" s="325">
        <f t="shared" si="7"/>
        <v>0.14100346020761245</v>
      </c>
    </row>
    <row r="74" spans="2:13" x14ac:dyDescent="0.3">
      <c r="B74" s="326">
        <v>2013</v>
      </c>
      <c r="C74" s="324">
        <v>2.73</v>
      </c>
      <c r="D74" s="324">
        <v>3.7</v>
      </c>
      <c r="E74" s="324">
        <v>8.07</v>
      </c>
      <c r="F74" s="324">
        <f>+E74+D74+C74</f>
        <v>14.5</v>
      </c>
      <c r="G74" s="325">
        <f t="shared" si="7"/>
        <v>9.9317664897649705E-2</v>
      </c>
    </row>
    <row r="75" spans="2:13" x14ac:dyDescent="0.3">
      <c r="B75" s="326">
        <v>2014</v>
      </c>
      <c r="C75" s="324">
        <v>4.29</v>
      </c>
      <c r="D75" s="324">
        <v>4.1100000000000003</v>
      </c>
      <c r="E75" s="324">
        <v>10.43</v>
      </c>
      <c r="F75" s="324">
        <f>+E75+D75+C75</f>
        <v>18.829999999999998</v>
      </c>
      <c r="G75" s="325">
        <f t="shared" si="7"/>
        <v>0.29862068965517219</v>
      </c>
    </row>
    <row r="76" spans="2:13" x14ac:dyDescent="0.3">
      <c r="B76" s="326">
        <v>2015</v>
      </c>
      <c r="C76" s="324">
        <v>5.09</v>
      </c>
      <c r="D76" s="324">
        <v>4.8600000000000003</v>
      </c>
      <c r="E76" s="324">
        <v>12.56</v>
      </c>
      <c r="F76" s="324">
        <f>+E76+D76+C76</f>
        <v>22.51</v>
      </c>
      <c r="G76" s="325">
        <f t="shared" si="7"/>
        <v>0.19543281996813611</v>
      </c>
    </row>
    <row r="77" spans="2:13" x14ac:dyDescent="0.3">
      <c r="B77" s="162"/>
      <c r="C77" s="87"/>
      <c r="D77" s="87"/>
      <c r="E77" s="87"/>
      <c r="F77" s="138"/>
      <c r="G77" s="5"/>
    </row>
    <row r="80" spans="2:13" x14ac:dyDescent="0.3">
      <c r="B80" s="159">
        <v>2004</v>
      </c>
      <c r="C80" s="159">
        <v>2005</v>
      </c>
      <c r="D80" s="159">
        <v>2006</v>
      </c>
      <c r="E80" s="159">
        <v>2007</v>
      </c>
      <c r="F80" s="159">
        <v>2008</v>
      </c>
      <c r="G80" s="159">
        <v>2009</v>
      </c>
      <c r="H80" s="159">
        <v>2010</v>
      </c>
      <c r="I80" s="159">
        <v>2011</v>
      </c>
      <c r="J80" s="159">
        <v>2012</v>
      </c>
      <c r="K80" s="159">
        <v>2013</v>
      </c>
      <c r="L80" s="159">
        <v>2014</v>
      </c>
      <c r="M80" s="159">
        <v>2015</v>
      </c>
    </row>
    <row r="81" spans="1:14" x14ac:dyDescent="0.3">
      <c r="A81" t="str">
        <f>+A8</f>
        <v>Branded to Generic</v>
      </c>
      <c r="B81" s="39">
        <f>+C9</f>
        <v>-0.23097965464181913</v>
      </c>
      <c r="C81" s="39">
        <f t="shared" ref="C81:I81" si="8">+D9</f>
        <v>0.19542018674966655</v>
      </c>
      <c r="D81" s="39">
        <f t="shared" si="8"/>
        <v>0.63511251627301468</v>
      </c>
      <c r="E81" s="39">
        <f t="shared" si="8"/>
        <v>-9.0081892629663374E-2</v>
      </c>
      <c r="F81" s="39">
        <f t="shared" si="8"/>
        <v>-0.45625000000000004</v>
      </c>
      <c r="G81" s="39">
        <f>+H9</f>
        <v>1.0344827586206895</v>
      </c>
      <c r="H81" s="39">
        <f t="shared" si="8"/>
        <v>7.344632768361592E-2</v>
      </c>
      <c r="I81" s="39">
        <f t="shared" si="8"/>
        <v>0.10526315789473695</v>
      </c>
      <c r="J81" s="39">
        <f>+K9</f>
        <v>0.64285714285714279</v>
      </c>
      <c r="K81" s="39">
        <f t="shared" ref="K81:M81" si="9">+L9</f>
        <v>-0.61739130434782608</v>
      </c>
      <c r="L81" s="39">
        <f t="shared" si="9"/>
        <v>0.83204545454545453</v>
      </c>
      <c r="M81" s="39">
        <f t="shared" si="9"/>
        <v>4.2633254765744422E-2</v>
      </c>
    </row>
    <row r="82" spans="1:14" x14ac:dyDescent="0.3">
      <c r="A82" t="s">
        <v>890</v>
      </c>
      <c r="B82" s="39">
        <f>+G65</f>
        <v>-1.098901098901095E-2</v>
      </c>
      <c r="C82" s="39">
        <f>+G66</f>
        <v>1.4814814814814614E-2</v>
      </c>
      <c r="D82" s="39">
        <f>+G67</f>
        <v>0.15875912408759119</v>
      </c>
      <c r="E82" s="39">
        <f>+G68</f>
        <v>0.12440944881889782</v>
      </c>
      <c r="F82" s="39">
        <f>+G69</f>
        <v>0.11904761904761907</v>
      </c>
      <c r="G82" s="39">
        <f>+G70</f>
        <v>8.3854818523154018E-2</v>
      </c>
      <c r="H82" s="39">
        <f>+G71</f>
        <v>0.10508083140877589</v>
      </c>
      <c r="I82" s="39">
        <f>+G72</f>
        <v>0.20794148380355271</v>
      </c>
      <c r="J82" s="39">
        <f>+G73</f>
        <v>0.14100346020761245</v>
      </c>
      <c r="K82" s="39">
        <f>+G74</f>
        <v>9.9317664897649705E-2</v>
      </c>
      <c r="L82" s="39">
        <f>+G75</f>
        <v>0.29862068965517219</v>
      </c>
      <c r="M82" s="39">
        <f>+G76</f>
        <v>0.19543281996813611</v>
      </c>
    </row>
    <row r="83" spans="1:14" x14ac:dyDescent="0.3">
      <c r="N83">
        <f>CORREL(B81:M81,B82:M82)</f>
        <v>0.35159542262612126</v>
      </c>
    </row>
    <row r="107" spans="1:40" s="317" customFormat="1" ht="21" x14ac:dyDescent="0.4">
      <c r="A107" s="319" t="s">
        <v>1475</v>
      </c>
      <c r="M107" s="318">
        <v>2014</v>
      </c>
    </row>
    <row r="108" spans="1:40" s="317" customFormat="1" ht="15" x14ac:dyDescent="0.3">
      <c r="A108" s="376" t="s">
        <v>79</v>
      </c>
      <c r="B108" s="376"/>
      <c r="C108" s="376"/>
      <c r="D108" s="376"/>
      <c r="E108" s="376"/>
      <c r="F108" s="376" t="s">
        <v>1243</v>
      </c>
      <c r="G108" s="376"/>
      <c r="H108" s="376"/>
      <c r="I108" s="376"/>
      <c r="J108" s="376"/>
      <c r="K108" s="376"/>
      <c r="L108" s="376"/>
      <c r="M108" s="377" t="s">
        <v>1244</v>
      </c>
      <c r="N108" s="377"/>
      <c r="O108" s="377"/>
      <c r="P108" s="377"/>
      <c r="Q108" s="377"/>
      <c r="R108" s="377"/>
      <c r="S108" s="377"/>
      <c r="T108" s="377"/>
      <c r="U108" s="377"/>
      <c r="V108" s="377"/>
      <c r="W108" s="377"/>
      <c r="X108" s="377"/>
      <c r="Y108" s="377"/>
      <c r="Z108" s="377"/>
      <c r="AA108" s="377"/>
      <c r="AB108" s="377"/>
      <c r="AC108" s="377"/>
      <c r="AD108" s="377"/>
      <c r="AE108" s="377"/>
      <c r="AF108" s="377"/>
      <c r="AG108" s="377"/>
      <c r="AH108" s="377"/>
      <c r="AI108" s="377"/>
      <c r="AJ108" s="377"/>
      <c r="AK108" s="378">
        <v>554</v>
      </c>
      <c r="AL108" s="378"/>
      <c r="AM108" s="378"/>
      <c r="AN108" s="378"/>
    </row>
    <row r="109" spans="1:40" s="317" customFormat="1" ht="15" x14ac:dyDescent="0.3">
      <c r="A109" s="373" t="s">
        <v>79</v>
      </c>
      <c r="B109" s="373"/>
      <c r="C109" s="373"/>
      <c r="D109" s="373"/>
      <c r="E109" s="373"/>
      <c r="F109" s="373" t="s">
        <v>915</v>
      </c>
      <c r="G109" s="373"/>
      <c r="H109" s="373"/>
      <c r="I109" s="373"/>
      <c r="J109" s="373"/>
      <c r="K109" s="373"/>
      <c r="L109" s="373"/>
      <c r="M109" s="374" t="s">
        <v>1245</v>
      </c>
      <c r="N109" s="374"/>
      <c r="O109" s="374"/>
      <c r="P109" s="374"/>
      <c r="Q109" s="374"/>
      <c r="R109" s="374"/>
      <c r="S109" s="374"/>
      <c r="T109" s="374"/>
      <c r="U109" s="374"/>
      <c r="V109" s="374"/>
      <c r="W109" s="374"/>
      <c r="X109" s="374"/>
      <c r="Y109" s="374"/>
      <c r="Z109" s="374"/>
      <c r="AA109" s="374"/>
      <c r="AB109" s="374"/>
      <c r="AC109" s="374"/>
      <c r="AD109" s="374"/>
      <c r="AE109" s="374"/>
      <c r="AF109" s="374"/>
      <c r="AG109" s="374"/>
      <c r="AH109" s="374"/>
      <c r="AI109" s="374"/>
      <c r="AJ109" s="374"/>
      <c r="AK109" s="375">
        <v>214</v>
      </c>
      <c r="AL109" s="375"/>
      <c r="AM109" s="375"/>
      <c r="AN109" s="375"/>
    </row>
    <row r="110" spans="1:40" s="317" customFormat="1" ht="15" x14ac:dyDescent="0.3">
      <c r="A110" s="373" t="s">
        <v>844</v>
      </c>
      <c r="B110" s="373"/>
      <c r="C110" s="373"/>
      <c r="D110" s="373"/>
      <c r="E110" s="373"/>
      <c r="F110" s="373" t="s">
        <v>1046</v>
      </c>
      <c r="G110" s="373"/>
      <c r="H110" s="373"/>
      <c r="I110" s="373"/>
      <c r="J110" s="373"/>
      <c r="K110" s="373"/>
      <c r="L110" s="373"/>
      <c r="M110" s="374" t="s">
        <v>1246</v>
      </c>
      <c r="N110" s="374"/>
      <c r="O110" s="374"/>
      <c r="P110" s="374"/>
      <c r="Q110" s="374"/>
      <c r="R110" s="374"/>
      <c r="S110" s="374"/>
      <c r="T110" s="374"/>
      <c r="U110" s="374"/>
      <c r="V110" s="374"/>
      <c r="W110" s="374"/>
      <c r="X110" s="374"/>
      <c r="Y110" s="374"/>
      <c r="Z110" s="374"/>
      <c r="AA110" s="374"/>
      <c r="AB110" s="374"/>
      <c r="AC110" s="374"/>
      <c r="AD110" s="374"/>
      <c r="AE110" s="374"/>
      <c r="AF110" s="374"/>
      <c r="AG110" s="374"/>
      <c r="AH110" s="374"/>
      <c r="AI110" s="374"/>
      <c r="AJ110" s="374"/>
      <c r="AK110" s="375">
        <v>266</v>
      </c>
      <c r="AL110" s="375"/>
      <c r="AM110" s="375"/>
      <c r="AN110" s="375"/>
    </row>
    <row r="111" spans="1:40" s="317" customFormat="1" ht="15" x14ac:dyDescent="0.3">
      <c r="A111" s="373" t="s">
        <v>844</v>
      </c>
      <c r="B111" s="373"/>
      <c r="C111" s="373"/>
      <c r="D111" s="373"/>
      <c r="E111" s="373"/>
      <c r="F111" s="373" t="s">
        <v>1053</v>
      </c>
      <c r="G111" s="373"/>
      <c r="H111" s="373"/>
      <c r="I111" s="373"/>
      <c r="J111" s="373"/>
      <c r="K111" s="373"/>
      <c r="L111" s="373"/>
      <c r="M111" s="374" t="s">
        <v>1247</v>
      </c>
      <c r="N111" s="374"/>
      <c r="O111" s="374"/>
      <c r="P111" s="374"/>
      <c r="Q111" s="374"/>
      <c r="R111" s="374"/>
      <c r="S111" s="374"/>
      <c r="T111" s="374"/>
      <c r="U111" s="374"/>
      <c r="V111" s="374"/>
      <c r="W111" s="374"/>
      <c r="X111" s="374"/>
      <c r="Y111" s="374"/>
      <c r="Z111" s="374"/>
      <c r="AA111" s="374"/>
      <c r="AB111" s="374"/>
      <c r="AC111" s="374"/>
      <c r="AD111" s="374"/>
      <c r="AE111" s="374"/>
      <c r="AF111" s="374"/>
      <c r="AG111" s="374"/>
      <c r="AH111" s="374"/>
      <c r="AI111" s="374"/>
      <c r="AJ111" s="374"/>
      <c r="AK111" s="375">
        <v>211</v>
      </c>
      <c r="AL111" s="375"/>
      <c r="AM111" s="375"/>
      <c r="AN111" s="375"/>
    </row>
    <row r="112" spans="1:40" s="317" customFormat="1" ht="15" x14ac:dyDescent="0.3">
      <c r="A112" s="373" t="s">
        <v>1248</v>
      </c>
      <c r="B112" s="373"/>
      <c r="C112" s="373"/>
      <c r="D112" s="373"/>
      <c r="E112" s="373"/>
      <c r="F112" s="373" t="s">
        <v>913</v>
      </c>
      <c r="G112" s="373"/>
      <c r="H112" s="373"/>
      <c r="I112" s="373"/>
      <c r="J112" s="373"/>
      <c r="K112" s="373"/>
      <c r="L112" s="373"/>
      <c r="M112" s="374" t="s">
        <v>1249</v>
      </c>
      <c r="N112" s="374"/>
      <c r="O112" s="374"/>
      <c r="P112" s="374"/>
      <c r="Q112" s="374"/>
      <c r="R112" s="374"/>
      <c r="S112" s="374"/>
      <c r="T112" s="374"/>
      <c r="U112" s="374"/>
      <c r="V112" s="374"/>
      <c r="W112" s="374"/>
      <c r="X112" s="374"/>
      <c r="Y112" s="374"/>
      <c r="Z112" s="374"/>
      <c r="AA112" s="374"/>
      <c r="AB112" s="374"/>
      <c r="AC112" s="374"/>
      <c r="AD112" s="374"/>
      <c r="AE112" s="374"/>
      <c r="AF112" s="374"/>
      <c r="AG112" s="374"/>
      <c r="AH112" s="374"/>
      <c r="AI112" s="374"/>
      <c r="AJ112" s="374"/>
      <c r="AK112" s="375">
        <v>325</v>
      </c>
      <c r="AL112" s="375"/>
      <c r="AM112" s="375"/>
      <c r="AN112" s="375"/>
    </row>
    <row r="113" spans="1:40" s="317" customFormat="1" ht="15" x14ac:dyDescent="0.3">
      <c r="A113" s="373" t="s">
        <v>1250</v>
      </c>
      <c r="B113" s="373"/>
      <c r="C113" s="373"/>
      <c r="D113" s="373"/>
      <c r="E113" s="373"/>
      <c r="F113" s="373" t="s">
        <v>1251</v>
      </c>
      <c r="G113" s="373"/>
      <c r="H113" s="373"/>
      <c r="I113" s="373"/>
      <c r="J113" s="373"/>
      <c r="K113" s="373"/>
      <c r="L113" s="373"/>
      <c r="M113" s="374" t="s">
        <v>1252</v>
      </c>
      <c r="N113" s="374"/>
      <c r="O113" s="374"/>
      <c r="P113" s="374"/>
      <c r="Q113" s="374"/>
      <c r="R113" s="374"/>
      <c r="S113" s="374"/>
      <c r="T113" s="374"/>
      <c r="U113" s="374"/>
      <c r="V113" s="374"/>
      <c r="W113" s="374"/>
      <c r="X113" s="374"/>
      <c r="Y113" s="374"/>
      <c r="Z113" s="374"/>
      <c r="AA113" s="374"/>
      <c r="AB113" s="374"/>
      <c r="AC113" s="374"/>
      <c r="AD113" s="374"/>
      <c r="AE113" s="374"/>
      <c r="AF113" s="374"/>
      <c r="AG113" s="374"/>
      <c r="AH113" s="374"/>
      <c r="AI113" s="374"/>
      <c r="AJ113" s="374"/>
      <c r="AK113" s="375">
        <v>299</v>
      </c>
      <c r="AL113" s="375"/>
      <c r="AM113" s="375"/>
      <c r="AN113" s="375"/>
    </row>
    <row r="114" spans="1:40" s="317" customFormat="1" ht="15" x14ac:dyDescent="0.3">
      <c r="A114" s="373" t="s">
        <v>1253</v>
      </c>
      <c r="B114" s="373"/>
      <c r="C114" s="373"/>
      <c r="D114" s="373"/>
      <c r="E114" s="373"/>
      <c r="F114" s="373" t="s">
        <v>1254</v>
      </c>
      <c r="G114" s="373"/>
      <c r="H114" s="373"/>
      <c r="I114" s="373"/>
      <c r="J114" s="373"/>
      <c r="K114" s="373"/>
      <c r="L114" s="373"/>
      <c r="M114" s="374" t="s">
        <v>1255</v>
      </c>
      <c r="N114" s="374"/>
      <c r="O114" s="374"/>
      <c r="P114" s="374"/>
      <c r="Q114" s="374"/>
      <c r="R114" s="374"/>
      <c r="S114" s="374"/>
      <c r="T114" s="374"/>
      <c r="U114" s="374"/>
      <c r="V114" s="374"/>
      <c r="W114" s="374"/>
      <c r="X114" s="374"/>
      <c r="Y114" s="374"/>
      <c r="Z114" s="374"/>
      <c r="AA114" s="374"/>
      <c r="AB114" s="374"/>
      <c r="AC114" s="374"/>
      <c r="AD114" s="374"/>
      <c r="AE114" s="374"/>
      <c r="AF114" s="374"/>
      <c r="AG114" s="374"/>
      <c r="AH114" s="374"/>
      <c r="AI114" s="374"/>
      <c r="AJ114" s="374"/>
      <c r="AK114" s="375">
        <v>233</v>
      </c>
      <c r="AL114" s="375"/>
      <c r="AM114" s="375"/>
      <c r="AN114" s="375"/>
    </row>
    <row r="115" spans="1:40" s="317" customFormat="1" ht="15" x14ac:dyDescent="0.3">
      <c r="A115" s="373" t="s">
        <v>84</v>
      </c>
      <c r="B115" s="373"/>
      <c r="C115" s="373"/>
      <c r="D115" s="373"/>
      <c r="E115" s="373"/>
      <c r="F115" s="373" t="s">
        <v>925</v>
      </c>
      <c r="G115" s="373"/>
      <c r="H115" s="373"/>
      <c r="I115" s="373"/>
      <c r="J115" s="373"/>
      <c r="K115" s="373"/>
      <c r="L115" s="373"/>
      <c r="M115" s="374" t="s">
        <v>1256</v>
      </c>
      <c r="N115" s="374"/>
      <c r="O115" s="374"/>
      <c r="P115" s="374"/>
      <c r="Q115" s="374"/>
      <c r="R115" s="374"/>
      <c r="S115" s="374"/>
      <c r="T115" s="374"/>
      <c r="U115" s="374"/>
      <c r="V115" s="374"/>
      <c r="W115" s="374"/>
      <c r="X115" s="374"/>
      <c r="Y115" s="374"/>
      <c r="Z115" s="374"/>
      <c r="AA115" s="374"/>
      <c r="AB115" s="374"/>
      <c r="AC115" s="374"/>
      <c r="AD115" s="374"/>
      <c r="AE115" s="374"/>
      <c r="AF115" s="374"/>
      <c r="AG115" s="374"/>
      <c r="AH115" s="374"/>
      <c r="AI115" s="374"/>
      <c r="AJ115" s="374"/>
      <c r="AK115" s="375">
        <v>830</v>
      </c>
      <c r="AL115" s="375"/>
      <c r="AM115" s="375"/>
      <c r="AN115" s="375"/>
    </row>
    <row r="116" spans="1:40" s="317" customFormat="1" ht="15" x14ac:dyDescent="0.3">
      <c r="A116" s="373" t="s">
        <v>1257</v>
      </c>
      <c r="B116" s="373"/>
      <c r="C116" s="373"/>
      <c r="D116" s="373"/>
      <c r="E116" s="373"/>
      <c r="F116" s="373" t="s">
        <v>924</v>
      </c>
      <c r="G116" s="373"/>
      <c r="H116" s="373"/>
      <c r="I116" s="373"/>
      <c r="J116" s="373"/>
      <c r="K116" s="373"/>
      <c r="L116" s="373"/>
      <c r="M116" s="374" t="s">
        <v>1258</v>
      </c>
      <c r="N116" s="374"/>
      <c r="O116" s="374"/>
      <c r="P116" s="374"/>
      <c r="Q116" s="374"/>
      <c r="R116" s="374"/>
      <c r="S116" s="374"/>
      <c r="T116" s="374"/>
      <c r="U116" s="374"/>
      <c r="V116" s="374"/>
      <c r="W116" s="374"/>
      <c r="X116" s="374"/>
      <c r="Y116" s="374"/>
      <c r="Z116" s="374"/>
      <c r="AA116" s="374"/>
      <c r="AB116" s="374"/>
      <c r="AC116" s="374"/>
      <c r="AD116" s="374"/>
      <c r="AE116" s="374"/>
      <c r="AF116" s="374"/>
      <c r="AG116" s="374"/>
      <c r="AH116" s="374"/>
      <c r="AI116" s="374"/>
      <c r="AJ116" s="374"/>
      <c r="AK116" s="375">
        <v>195</v>
      </c>
      <c r="AL116" s="375"/>
      <c r="AM116" s="375"/>
      <c r="AN116" s="375"/>
    </row>
    <row r="117" spans="1:40" s="317" customFormat="1" ht="15" x14ac:dyDescent="0.3">
      <c r="A117" s="373" t="s">
        <v>1253</v>
      </c>
      <c r="B117" s="373"/>
      <c r="C117" s="373"/>
      <c r="D117" s="373"/>
      <c r="E117" s="373"/>
      <c r="F117" s="373" t="s">
        <v>940</v>
      </c>
      <c r="G117" s="373"/>
      <c r="H117" s="373"/>
      <c r="I117" s="373"/>
      <c r="J117" s="373"/>
      <c r="K117" s="373"/>
      <c r="L117" s="373"/>
      <c r="M117" s="374" t="s">
        <v>1259</v>
      </c>
      <c r="N117" s="374"/>
      <c r="O117" s="374"/>
      <c r="P117" s="374"/>
      <c r="Q117" s="374"/>
      <c r="R117" s="374"/>
      <c r="S117" s="374"/>
      <c r="T117" s="374"/>
      <c r="U117" s="374"/>
      <c r="V117" s="374"/>
      <c r="W117" s="374"/>
      <c r="X117" s="374"/>
      <c r="Y117" s="374"/>
      <c r="Z117" s="374"/>
      <c r="AA117" s="374"/>
      <c r="AB117" s="374"/>
      <c r="AC117" s="374"/>
      <c r="AD117" s="374"/>
      <c r="AE117" s="374"/>
      <c r="AF117" s="374"/>
      <c r="AG117" s="374"/>
      <c r="AH117" s="374"/>
      <c r="AI117" s="374"/>
      <c r="AJ117" s="374"/>
      <c r="AK117" s="375">
        <v>961</v>
      </c>
      <c r="AL117" s="375"/>
      <c r="AM117" s="375"/>
      <c r="AN117" s="375"/>
    </row>
    <row r="118" spans="1:40" s="317" customFormat="1" ht="15" x14ac:dyDescent="0.3">
      <c r="A118" s="373" t="s">
        <v>1260</v>
      </c>
      <c r="B118" s="373"/>
      <c r="C118" s="373"/>
      <c r="D118" s="373"/>
      <c r="E118" s="373"/>
      <c r="F118" s="373" t="s">
        <v>941</v>
      </c>
      <c r="G118" s="373"/>
      <c r="H118" s="373"/>
      <c r="I118" s="373"/>
      <c r="J118" s="373"/>
      <c r="K118" s="373"/>
      <c r="L118" s="373"/>
      <c r="M118" s="374" t="s">
        <v>1261</v>
      </c>
      <c r="N118" s="374"/>
      <c r="O118" s="374"/>
      <c r="P118" s="374"/>
      <c r="Q118" s="374"/>
      <c r="R118" s="374"/>
      <c r="S118" s="374"/>
      <c r="T118" s="374"/>
      <c r="U118" s="374"/>
      <c r="V118" s="374"/>
      <c r="W118" s="374"/>
      <c r="X118" s="374"/>
      <c r="Y118" s="374"/>
      <c r="Z118" s="374"/>
      <c r="AA118" s="374"/>
      <c r="AB118" s="374"/>
      <c r="AC118" s="374"/>
      <c r="AD118" s="374"/>
      <c r="AE118" s="374"/>
      <c r="AF118" s="374"/>
      <c r="AG118" s="374"/>
      <c r="AH118" s="374"/>
      <c r="AI118" s="374"/>
      <c r="AJ118" s="374"/>
      <c r="AK118" s="379">
        <v>1075</v>
      </c>
      <c r="AL118" s="379"/>
      <c r="AM118" s="379"/>
      <c r="AN118" s="379"/>
    </row>
    <row r="119" spans="1:40" s="317" customFormat="1" ht="15" x14ac:dyDescent="0.3">
      <c r="A119" s="373" t="s">
        <v>820</v>
      </c>
      <c r="B119" s="373"/>
      <c r="C119" s="373"/>
      <c r="D119" s="373"/>
      <c r="E119" s="373"/>
      <c r="F119" s="373" t="s">
        <v>920</v>
      </c>
      <c r="G119" s="373"/>
      <c r="H119" s="373"/>
      <c r="I119" s="373"/>
      <c r="J119" s="373"/>
      <c r="K119" s="373"/>
      <c r="L119" s="373"/>
      <c r="M119" s="374" t="s">
        <v>1262</v>
      </c>
      <c r="N119" s="374"/>
      <c r="O119" s="374"/>
      <c r="P119" s="374"/>
      <c r="Q119" s="374"/>
      <c r="R119" s="374"/>
      <c r="S119" s="374"/>
      <c r="T119" s="374"/>
      <c r="U119" s="374"/>
      <c r="V119" s="374"/>
      <c r="W119" s="374"/>
      <c r="X119" s="374"/>
      <c r="Y119" s="374"/>
      <c r="Z119" s="374"/>
      <c r="AA119" s="374"/>
      <c r="AB119" s="374"/>
      <c r="AC119" s="374"/>
      <c r="AD119" s="374"/>
      <c r="AE119" s="374"/>
      <c r="AF119" s="374"/>
      <c r="AG119" s="374"/>
      <c r="AH119" s="374"/>
      <c r="AI119" s="374"/>
      <c r="AJ119" s="374"/>
      <c r="AK119" s="375">
        <v>867</v>
      </c>
      <c r="AL119" s="375"/>
      <c r="AM119" s="375"/>
      <c r="AN119" s="375"/>
    </row>
    <row r="120" spans="1:40" s="317" customFormat="1" ht="15" x14ac:dyDescent="0.3">
      <c r="A120" s="373" t="s">
        <v>1263</v>
      </c>
      <c r="B120" s="373"/>
      <c r="C120" s="373"/>
      <c r="D120" s="373"/>
      <c r="E120" s="373"/>
      <c r="F120" s="373" t="s">
        <v>964</v>
      </c>
      <c r="G120" s="373"/>
      <c r="H120" s="373"/>
      <c r="I120" s="373"/>
      <c r="J120" s="373"/>
      <c r="K120" s="373"/>
      <c r="L120" s="373"/>
      <c r="M120" s="374" t="s">
        <v>1264</v>
      </c>
      <c r="N120" s="374"/>
      <c r="O120" s="374"/>
      <c r="P120" s="374"/>
      <c r="Q120" s="374"/>
      <c r="R120" s="374"/>
      <c r="S120" s="374"/>
      <c r="T120" s="374"/>
      <c r="U120" s="374"/>
      <c r="V120" s="374"/>
      <c r="W120" s="374"/>
      <c r="X120" s="374"/>
      <c r="Y120" s="374"/>
      <c r="Z120" s="374"/>
      <c r="AA120" s="374"/>
      <c r="AB120" s="374"/>
      <c r="AC120" s="374"/>
      <c r="AD120" s="374"/>
      <c r="AE120" s="374"/>
      <c r="AF120" s="374"/>
      <c r="AG120" s="374"/>
      <c r="AH120" s="374"/>
      <c r="AI120" s="374"/>
      <c r="AJ120" s="374"/>
      <c r="AK120" s="375">
        <v>155</v>
      </c>
      <c r="AL120" s="375"/>
      <c r="AM120" s="375"/>
      <c r="AN120" s="375"/>
    </row>
    <row r="121" spans="1:40" s="317" customFormat="1" ht="15" x14ac:dyDescent="0.3">
      <c r="A121" s="373" t="s">
        <v>1250</v>
      </c>
      <c r="B121" s="373"/>
      <c r="C121" s="373"/>
      <c r="D121" s="373"/>
      <c r="E121" s="373"/>
      <c r="F121" s="373" t="s">
        <v>922</v>
      </c>
      <c r="G121" s="373"/>
      <c r="H121" s="373"/>
      <c r="I121" s="373"/>
      <c r="J121" s="373"/>
      <c r="K121" s="373"/>
      <c r="L121" s="373"/>
      <c r="M121" s="374" t="s">
        <v>1265</v>
      </c>
      <c r="N121" s="374"/>
      <c r="O121" s="374"/>
      <c r="P121" s="374"/>
      <c r="Q121" s="374"/>
      <c r="R121" s="374"/>
      <c r="S121" s="374"/>
      <c r="T121" s="374"/>
      <c r="U121" s="374"/>
      <c r="V121" s="374"/>
      <c r="W121" s="374"/>
      <c r="X121" s="374"/>
      <c r="Y121" s="374"/>
      <c r="Z121" s="374"/>
      <c r="AA121" s="374"/>
      <c r="AB121" s="374"/>
      <c r="AC121" s="374"/>
      <c r="AD121" s="374"/>
      <c r="AE121" s="374"/>
      <c r="AF121" s="374"/>
      <c r="AG121" s="374"/>
      <c r="AH121" s="374"/>
      <c r="AI121" s="374"/>
      <c r="AJ121" s="374"/>
      <c r="AK121" s="375">
        <v>330</v>
      </c>
      <c r="AL121" s="375"/>
      <c r="AM121" s="375"/>
      <c r="AN121" s="375"/>
    </row>
    <row r="122" spans="1:40" s="317" customFormat="1" ht="15" x14ac:dyDescent="0.3">
      <c r="A122" s="373" t="s">
        <v>666</v>
      </c>
      <c r="B122" s="373"/>
      <c r="C122" s="373"/>
      <c r="D122" s="373"/>
      <c r="E122" s="373"/>
      <c r="F122" s="373" t="s">
        <v>1032</v>
      </c>
      <c r="G122" s="373"/>
      <c r="H122" s="373"/>
      <c r="I122" s="373"/>
      <c r="J122" s="373"/>
      <c r="K122" s="373"/>
      <c r="L122" s="373"/>
      <c r="M122" s="374" t="s">
        <v>1266</v>
      </c>
      <c r="N122" s="374"/>
      <c r="O122" s="374"/>
      <c r="P122" s="374"/>
      <c r="Q122" s="374"/>
      <c r="R122" s="374"/>
      <c r="S122" s="374"/>
      <c r="T122" s="374"/>
      <c r="U122" s="374"/>
      <c r="V122" s="374"/>
      <c r="W122" s="374"/>
      <c r="X122" s="374"/>
      <c r="Y122" s="374"/>
      <c r="Z122" s="374"/>
      <c r="AA122" s="374"/>
      <c r="AB122" s="374"/>
      <c r="AC122" s="374"/>
      <c r="AD122" s="374"/>
      <c r="AE122" s="374"/>
      <c r="AF122" s="374"/>
      <c r="AG122" s="374"/>
      <c r="AH122" s="374"/>
      <c r="AI122" s="374"/>
      <c r="AJ122" s="374"/>
      <c r="AK122" s="379">
        <v>2171</v>
      </c>
      <c r="AL122" s="379"/>
      <c r="AM122" s="379"/>
      <c r="AN122" s="379"/>
    </row>
    <row r="123" spans="1:40" s="317" customFormat="1" ht="15" x14ac:dyDescent="0.3">
      <c r="A123" s="373" t="s">
        <v>1267</v>
      </c>
      <c r="B123" s="373"/>
      <c r="C123" s="373"/>
      <c r="D123" s="373"/>
      <c r="E123" s="373"/>
      <c r="F123" s="373" t="s">
        <v>1268</v>
      </c>
      <c r="G123" s="373"/>
      <c r="H123" s="373"/>
      <c r="I123" s="373"/>
      <c r="J123" s="373"/>
      <c r="K123" s="373"/>
      <c r="L123" s="373"/>
      <c r="M123" s="374" t="s">
        <v>1269</v>
      </c>
      <c r="N123" s="374"/>
      <c r="O123" s="374"/>
      <c r="P123" s="374"/>
      <c r="Q123" s="374"/>
      <c r="R123" s="374"/>
      <c r="S123" s="374"/>
      <c r="T123" s="374"/>
      <c r="U123" s="374"/>
      <c r="V123" s="374"/>
      <c r="W123" s="374"/>
      <c r="X123" s="374"/>
      <c r="Y123" s="374"/>
      <c r="Z123" s="374"/>
      <c r="AA123" s="374"/>
      <c r="AB123" s="374"/>
      <c r="AC123" s="374"/>
      <c r="AD123" s="374"/>
      <c r="AE123" s="374"/>
      <c r="AF123" s="374"/>
      <c r="AG123" s="374"/>
      <c r="AH123" s="374"/>
      <c r="AI123" s="374"/>
      <c r="AJ123" s="374"/>
      <c r="AK123" s="375">
        <v>225</v>
      </c>
      <c r="AL123" s="375"/>
      <c r="AM123" s="375"/>
      <c r="AN123" s="375"/>
    </row>
    <row r="124" spans="1:40" s="317" customFormat="1" ht="15" x14ac:dyDescent="0.3">
      <c r="A124" s="373" t="s">
        <v>811</v>
      </c>
      <c r="B124" s="373"/>
      <c r="C124" s="373"/>
      <c r="D124" s="373"/>
      <c r="E124" s="373"/>
      <c r="F124" s="373" t="s">
        <v>929</v>
      </c>
      <c r="G124" s="373"/>
      <c r="H124" s="373"/>
      <c r="I124" s="373"/>
      <c r="J124" s="373"/>
      <c r="K124" s="373"/>
      <c r="L124" s="373"/>
      <c r="M124" s="374" t="s">
        <v>1270</v>
      </c>
      <c r="N124" s="374"/>
      <c r="O124" s="374"/>
      <c r="P124" s="374"/>
      <c r="Q124" s="374"/>
      <c r="R124" s="374"/>
      <c r="S124" s="374"/>
      <c r="T124" s="374"/>
      <c r="U124" s="374"/>
      <c r="V124" s="374"/>
      <c r="W124" s="374"/>
      <c r="X124" s="374"/>
      <c r="Y124" s="374"/>
      <c r="Z124" s="374"/>
      <c r="AA124" s="374"/>
      <c r="AB124" s="374"/>
      <c r="AC124" s="374"/>
      <c r="AD124" s="374"/>
      <c r="AE124" s="374"/>
      <c r="AF124" s="374"/>
      <c r="AG124" s="374"/>
      <c r="AH124" s="374"/>
      <c r="AI124" s="374"/>
      <c r="AJ124" s="374"/>
      <c r="AK124" s="375">
        <v>492</v>
      </c>
      <c r="AL124" s="375"/>
      <c r="AM124" s="375"/>
      <c r="AN124" s="375"/>
    </row>
    <row r="125" spans="1:40" s="317" customFormat="1" ht="15" x14ac:dyDescent="0.3">
      <c r="A125" s="373" t="s">
        <v>1271</v>
      </c>
      <c r="B125" s="373"/>
      <c r="C125" s="373"/>
      <c r="D125" s="373"/>
      <c r="E125" s="373"/>
      <c r="F125" s="373" t="s">
        <v>928</v>
      </c>
      <c r="G125" s="373"/>
      <c r="H125" s="373"/>
      <c r="I125" s="373"/>
      <c r="J125" s="373"/>
      <c r="K125" s="373"/>
      <c r="L125" s="373"/>
      <c r="M125" s="374" t="s">
        <v>1272</v>
      </c>
      <c r="N125" s="374"/>
      <c r="O125" s="374"/>
      <c r="P125" s="374"/>
      <c r="Q125" s="374"/>
      <c r="R125" s="374"/>
      <c r="S125" s="374"/>
      <c r="T125" s="374"/>
      <c r="U125" s="374"/>
      <c r="V125" s="374"/>
      <c r="W125" s="374"/>
      <c r="X125" s="374"/>
      <c r="Y125" s="374"/>
      <c r="Z125" s="374"/>
      <c r="AA125" s="374"/>
      <c r="AB125" s="374"/>
      <c r="AC125" s="374"/>
      <c r="AD125" s="374"/>
      <c r="AE125" s="374"/>
      <c r="AF125" s="374"/>
      <c r="AG125" s="374"/>
      <c r="AH125" s="374"/>
      <c r="AI125" s="374"/>
      <c r="AJ125" s="374"/>
      <c r="AK125" s="379">
        <v>1156</v>
      </c>
      <c r="AL125" s="379"/>
      <c r="AM125" s="379"/>
      <c r="AN125" s="379"/>
    </row>
    <row r="126" spans="1:40" s="317" customFormat="1" ht="15" x14ac:dyDescent="0.3">
      <c r="A126" s="373" t="s">
        <v>1273</v>
      </c>
      <c r="B126" s="373"/>
      <c r="C126" s="373"/>
      <c r="D126" s="373"/>
      <c r="E126" s="373"/>
      <c r="F126" s="373" t="s">
        <v>902</v>
      </c>
      <c r="G126" s="373"/>
      <c r="H126" s="373"/>
      <c r="I126" s="373"/>
      <c r="J126" s="373"/>
      <c r="K126" s="373"/>
      <c r="L126" s="373"/>
      <c r="M126" s="374" t="s">
        <v>1274</v>
      </c>
      <c r="N126" s="374"/>
      <c r="O126" s="374"/>
      <c r="P126" s="374"/>
      <c r="Q126" s="374"/>
      <c r="R126" s="374"/>
      <c r="S126" s="374"/>
      <c r="T126" s="374"/>
      <c r="U126" s="374"/>
      <c r="V126" s="374"/>
      <c r="W126" s="374"/>
      <c r="X126" s="374"/>
      <c r="Y126" s="374"/>
      <c r="Z126" s="374"/>
      <c r="AA126" s="374"/>
      <c r="AB126" s="374"/>
      <c r="AC126" s="374"/>
      <c r="AD126" s="374"/>
      <c r="AE126" s="374"/>
      <c r="AF126" s="374"/>
      <c r="AG126" s="374"/>
      <c r="AH126" s="374"/>
      <c r="AI126" s="374"/>
      <c r="AJ126" s="374"/>
      <c r="AK126" s="375">
        <v>426</v>
      </c>
      <c r="AL126" s="375"/>
      <c r="AM126" s="375"/>
      <c r="AN126" s="375"/>
    </row>
    <row r="127" spans="1:40" s="317" customFormat="1" ht="15" x14ac:dyDescent="0.3">
      <c r="A127" s="373" t="s">
        <v>1275</v>
      </c>
      <c r="B127" s="373"/>
      <c r="C127" s="373"/>
      <c r="D127" s="373"/>
      <c r="E127" s="373"/>
      <c r="F127" s="373" t="s">
        <v>930</v>
      </c>
      <c r="G127" s="373"/>
      <c r="H127" s="373"/>
      <c r="I127" s="373"/>
      <c r="J127" s="373"/>
      <c r="K127" s="373"/>
      <c r="L127" s="373"/>
      <c r="M127" s="374" t="s">
        <v>1276</v>
      </c>
      <c r="N127" s="374"/>
      <c r="O127" s="374"/>
      <c r="P127" s="374"/>
      <c r="Q127" s="374"/>
      <c r="R127" s="374"/>
      <c r="S127" s="374"/>
      <c r="T127" s="374"/>
      <c r="U127" s="374"/>
      <c r="V127" s="374"/>
      <c r="W127" s="374"/>
      <c r="X127" s="374"/>
      <c r="Y127" s="374"/>
      <c r="Z127" s="374"/>
      <c r="AA127" s="374"/>
      <c r="AB127" s="374"/>
      <c r="AC127" s="374"/>
      <c r="AD127" s="374"/>
      <c r="AE127" s="374"/>
      <c r="AF127" s="374"/>
      <c r="AG127" s="374"/>
      <c r="AH127" s="374"/>
      <c r="AI127" s="374"/>
      <c r="AJ127" s="374"/>
      <c r="AK127" s="375">
        <v>138</v>
      </c>
      <c r="AL127" s="375"/>
      <c r="AM127" s="375"/>
      <c r="AN127" s="375"/>
    </row>
    <row r="128" spans="1:40" s="317" customFormat="1" ht="15" x14ac:dyDescent="0.3">
      <c r="A128" s="373" t="s">
        <v>1277</v>
      </c>
      <c r="B128" s="373"/>
      <c r="C128" s="373"/>
      <c r="D128" s="373"/>
      <c r="E128" s="373"/>
      <c r="F128" s="373" t="s">
        <v>1278</v>
      </c>
      <c r="G128" s="373"/>
      <c r="H128" s="373"/>
      <c r="I128" s="373"/>
      <c r="J128" s="373"/>
      <c r="K128" s="373"/>
      <c r="L128" s="373"/>
      <c r="M128" s="374" t="s">
        <v>1279</v>
      </c>
      <c r="N128" s="374"/>
      <c r="O128" s="374"/>
      <c r="P128" s="374"/>
      <c r="Q128" s="374"/>
      <c r="R128" s="374"/>
      <c r="S128" s="374"/>
      <c r="T128" s="374"/>
      <c r="U128" s="374"/>
      <c r="V128" s="374"/>
      <c r="W128" s="374"/>
      <c r="X128" s="374"/>
      <c r="Y128" s="374"/>
      <c r="Z128" s="374"/>
      <c r="AA128" s="374"/>
      <c r="AB128" s="374"/>
      <c r="AC128" s="374"/>
      <c r="AD128" s="374"/>
      <c r="AE128" s="374"/>
      <c r="AF128" s="374"/>
      <c r="AG128" s="374"/>
      <c r="AH128" s="374"/>
      <c r="AI128" s="374"/>
      <c r="AJ128" s="374"/>
      <c r="AK128" s="379">
        <v>2555</v>
      </c>
      <c r="AL128" s="379"/>
      <c r="AM128" s="379"/>
      <c r="AN128" s="379"/>
    </row>
    <row r="129" spans="1:40" s="317" customFormat="1" ht="15" x14ac:dyDescent="0.3">
      <c r="A129" s="373" t="s">
        <v>666</v>
      </c>
      <c r="B129" s="373"/>
      <c r="C129" s="373"/>
      <c r="D129" s="373"/>
      <c r="E129" s="373"/>
      <c r="F129" s="373" t="s">
        <v>931</v>
      </c>
      <c r="G129" s="373"/>
      <c r="H129" s="373"/>
      <c r="I129" s="373"/>
      <c r="J129" s="373"/>
      <c r="K129" s="373"/>
      <c r="L129" s="373"/>
      <c r="M129" s="374" t="s">
        <v>1280</v>
      </c>
      <c r="N129" s="374"/>
      <c r="O129" s="374"/>
      <c r="P129" s="374"/>
      <c r="Q129" s="374"/>
      <c r="R129" s="374"/>
      <c r="S129" s="374"/>
      <c r="T129" s="374"/>
      <c r="U129" s="374"/>
      <c r="V129" s="374"/>
      <c r="W129" s="374"/>
      <c r="X129" s="374"/>
      <c r="Y129" s="374"/>
      <c r="Z129" s="374"/>
      <c r="AA129" s="374"/>
      <c r="AB129" s="374"/>
      <c r="AC129" s="374"/>
      <c r="AD129" s="374"/>
      <c r="AE129" s="374"/>
      <c r="AF129" s="374"/>
      <c r="AG129" s="374"/>
      <c r="AH129" s="374"/>
      <c r="AI129" s="374"/>
      <c r="AJ129" s="374"/>
      <c r="AK129" s="375">
        <v>402</v>
      </c>
      <c r="AL129" s="375"/>
      <c r="AM129" s="375"/>
      <c r="AN129" s="375"/>
    </row>
    <row r="130" spans="1:40" s="317" customFormat="1" ht="15" x14ac:dyDescent="0.3">
      <c r="A130" s="373" t="s">
        <v>666</v>
      </c>
      <c r="B130" s="373"/>
      <c r="C130" s="373"/>
      <c r="D130" s="373"/>
      <c r="E130" s="373"/>
      <c r="F130" s="373" t="s">
        <v>1281</v>
      </c>
      <c r="G130" s="373"/>
      <c r="H130" s="373"/>
      <c r="I130" s="373"/>
      <c r="J130" s="373"/>
      <c r="K130" s="373"/>
      <c r="L130" s="373"/>
      <c r="M130" s="374" t="s">
        <v>1282</v>
      </c>
      <c r="N130" s="374"/>
      <c r="O130" s="374"/>
      <c r="P130" s="374"/>
      <c r="Q130" s="374"/>
      <c r="R130" s="374"/>
      <c r="S130" s="374"/>
      <c r="T130" s="374"/>
      <c r="U130" s="374"/>
      <c r="V130" s="374"/>
      <c r="W130" s="374"/>
      <c r="X130" s="374"/>
      <c r="Y130" s="374"/>
      <c r="Z130" s="374"/>
      <c r="AA130" s="374"/>
      <c r="AB130" s="374"/>
      <c r="AC130" s="374"/>
      <c r="AD130" s="374"/>
      <c r="AE130" s="374"/>
      <c r="AF130" s="374"/>
      <c r="AG130" s="374"/>
      <c r="AH130" s="374"/>
      <c r="AI130" s="374"/>
      <c r="AJ130" s="374"/>
      <c r="AK130" s="375">
        <v>143</v>
      </c>
      <c r="AL130" s="375"/>
      <c r="AM130" s="375"/>
      <c r="AN130" s="375"/>
    </row>
    <row r="131" spans="1:40" s="317" customFormat="1" ht="15" x14ac:dyDescent="0.3">
      <c r="A131" s="373" t="s">
        <v>82</v>
      </c>
      <c r="B131" s="373"/>
      <c r="C131" s="373"/>
      <c r="D131" s="373"/>
      <c r="E131" s="373"/>
      <c r="F131" s="373" t="s">
        <v>1283</v>
      </c>
      <c r="G131" s="373"/>
      <c r="H131" s="373"/>
      <c r="I131" s="373"/>
      <c r="J131" s="373"/>
      <c r="K131" s="373"/>
      <c r="L131" s="373"/>
      <c r="M131" s="374" t="s">
        <v>1284</v>
      </c>
      <c r="N131" s="374"/>
      <c r="O131" s="374"/>
      <c r="P131" s="374"/>
      <c r="Q131" s="374"/>
      <c r="R131" s="374"/>
      <c r="S131" s="374"/>
      <c r="T131" s="374"/>
      <c r="U131" s="374"/>
      <c r="V131" s="374"/>
      <c r="W131" s="374"/>
      <c r="X131" s="374"/>
      <c r="Y131" s="374"/>
      <c r="Z131" s="374"/>
      <c r="AA131" s="374"/>
      <c r="AB131" s="374"/>
      <c r="AC131" s="374"/>
      <c r="AD131" s="374"/>
      <c r="AE131" s="374"/>
      <c r="AF131" s="374"/>
      <c r="AG131" s="374"/>
      <c r="AH131" s="374"/>
      <c r="AI131" s="374"/>
      <c r="AJ131" s="374"/>
      <c r="AK131" s="375">
        <v>474</v>
      </c>
      <c r="AL131" s="375"/>
      <c r="AM131" s="375"/>
      <c r="AN131" s="375"/>
    </row>
    <row r="132" spans="1:40" s="317" customFormat="1" ht="15" x14ac:dyDescent="0.3">
      <c r="A132" s="373" t="s">
        <v>79</v>
      </c>
      <c r="B132" s="373"/>
      <c r="C132" s="373"/>
      <c r="D132" s="373"/>
      <c r="E132" s="373"/>
      <c r="F132" s="373" t="s">
        <v>921</v>
      </c>
      <c r="G132" s="373"/>
      <c r="H132" s="373"/>
      <c r="I132" s="373"/>
      <c r="J132" s="373"/>
      <c r="K132" s="373"/>
      <c r="L132" s="373"/>
      <c r="M132" s="374" t="s">
        <v>1285</v>
      </c>
      <c r="N132" s="374"/>
      <c r="O132" s="374"/>
      <c r="P132" s="374"/>
      <c r="Q132" s="374"/>
      <c r="R132" s="374"/>
      <c r="S132" s="374"/>
      <c r="T132" s="374"/>
      <c r="U132" s="374"/>
      <c r="V132" s="374"/>
      <c r="W132" s="374"/>
      <c r="X132" s="374"/>
      <c r="Y132" s="374"/>
      <c r="Z132" s="374"/>
      <c r="AA132" s="374"/>
      <c r="AB132" s="374"/>
      <c r="AC132" s="374"/>
      <c r="AD132" s="374"/>
      <c r="AE132" s="374"/>
      <c r="AF132" s="374"/>
      <c r="AG132" s="374"/>
      <c r="AH132" s="374"/>
      <c r="AI132" s="374"/>
      <c r="AJ132" s="374"/>
      <c r="AK132" s="379">
        <v>2270</v>
      </c>
      <c r="AL132" s="379"/>
      <c r="AM132" s="379"/>
      <c r="AN132" s="379"/>
    </row>
    <row r="133" spans="1:40" s="317" customFormat="1" ht="15" x14ac:dyDescent="0.3">
      <c r="A133" s="373" t="s">
        <v>1286</v>
      </c>
      <c r="B133" s="373"/>
      <c r="C133" s="373"/>
      <c r="D133" s="373"/>
      <c r="E133" s="373"/>
      <c r="F133" s="373" t="s">
        <v>952</v>
      </c>
      <c r="G133" s="373"/>
      <c r="H133" s="373"/>
      <c r="I133" s="373"/>
      <c r="J133" s="373"/>
      <c r="K133" s="373"/>
      <c r="L133" s="373"/>
      <c r="M133" s="374" t="s">
        <v>1287</v>
      </c>
      <c r="N133" s="374"/>
      <c r="O133" s="374"/>
      <c r="P133" s="374"/>
      <c r="Q133" s="374"/>
      <c r="R133" s="374"/>
      <c r="S133" s="374"/>
      <c r="T133" s="374"/>
      <c r="U133" s="374"/>
      <c r="V133" s="374"/>
      <c r="W133" s="374"/>
      <c r="X133" s="374"/>
      <c r="Y133" s="374"/>
      <c r="Z133" s="374"/>
      <c r="AA133" s="374"/>
      <c r="AB133" s="374"/>
      <c r="AC133" s="374"/>
      <c r="AD133" s="374"/>
      <c r="AE133" s="374"/>
      <c r="AF133" s="374"/>
      <c r="AG133" s="374"/>
      <c r="AH133" s="374"/>
      <c r="AI133" s="374"/>
      <c r="AJ133" s="374"/>
      <c r="AK133" s="375">
        <v>588</v>
      </c>
      <c r="AL133" s="375"/>
      <c r="AM133" s="375"/>
      <c r="AN133" s="375"/>
    </row>
    <row r="134" spans="1:40" s="317" customFormat="1" ht="15" x14ac:dyDescent="0.3">
      <c r="A134" s="373" t="s">
        <v>441</v>
      </c>
      <c r="B134" s="373"/>
      <c r="C134" s="373"/>
      <c r="D134" s="373"/>
      <c r="E134" s="373"/>
      <c r="F134" s="373" t="s">
        <v>919</v>
      </c>
      <c r="G134" s="373"/>
      <c r="H134" s="373"/>
      <c r="I134" s="373"/>
      <c r="J134" s="373"/>
      <c r="K134" s="373"/>
      <c r="L134" s="373"/>
      <c r="M134" s="374" t="s">
        <v>1288</v>
      </c>
      <c r="N134" s="374"/>
      <c r="O134" s="374"/>
      <c r="P134" s="374"/>
      <c r="Q134" s="374"/>
      <c r="R134" s="374"/>
      <c r="S134" s="374"/>
      <c r="T134" s="374"/>
      <c r="U134" s="374"/>
      <c r="V134" s="374"/>
      <c r="W134" s="374"/>
      <c r="X134" s="374"/>
      <c r="Y134" s="374"/>
      <c r="Z134" s="374"/>
      <c r="AA134" s="374"/>
      <c r="AB134" s="374"/>
      <c r="AC134" s="374"/>
      <c r="AD134" s="374"/>
      <c r="AE134" s="374"/>
      <c r="AF134" s="374"/>
      <c r="AG134" s="374"/>
      <c r="AH134" s="374"/>
      <c r="AI134" s="374"/>
      <c r="AJ134" s="374"/>
      <c r="AK134" s="379">
        <v>6183</v>
      </c>
      <c r="AL134" s="379"/>
      <c r="AM134" s="379"/>
      <c r="AN134" s="379"/>
    </row>
    <row r="135" spans="1:40" s="317" customFormat="1" ht="15" x14ac:dyDescent="0.3">
      <c r="A135" s="383" t="s">
        <v>666</v>
      </c>
      <c r="B135" s="383"/>
      <c r="C135" s="383"/>
      <c r="D135" s="383"/>
      <c r="E135" s="383"/>
      <c r="F135" s="383" t="s">
        <v>1289</v>
      </c>
      <c r="G135" s="383"/>
      <c r="H135" s="383"/>
      <c r="I135" s="383"/>
      <c r="J135" s="383"/>
      <c r="K135" s="383"/>
      <c r="L135" s="383"/>
      <c r="M135" s="384" t="s">
        <v>1290</v>
      </c>
      <c r="N135" s="384"/>
      <c r="O135" s="384"/>
      <c r="P135" s="384"/>
      <c r="Q135" s="384"/>
      <c r="R135" s="384"/>
      <c r="S135" s="384"/>
      <c r="T135" s="384"/>
      <c r="U135" s="384"/>
      <c r="V135" s="384"/>
      <c r="W135" s="384"/>
      <c r="X135" s="384"/>
      <c r="Y135" s="384"/>
      <c r="Z135" s="384"/>
      <c r="AA135" s="384"/>
      <c r="AB135" s="384"/>
      <c r="AC135" s="384"/>
      <c r="AD135" s="384"/>
      <c r="AE135" s="384"/>
      <c r="AF135" s="384"/>
      <c r="AG135" s="384"/>
      <c r="AH135" s="384"/>
      <c r="AI135" s="384"/>
      <c r="AJ135" s="384"/>
      <c r="AK135" s="385">
        <v>445</v>
      </c>
      <c r="AL135" s="385"/>
      <c r="AM135" s="385"/>
      <c r="AN135" s="385"/>
    </row>
    <row r="136" spans="1:40" s="317" customFormat="1" ht="15.6" x14ac:dyDescent="0.3">
      <c r="A136" s="380" t="s">
        <v>20</v>
      </c>
      <c r="B136" s="380"/>
      <c r="C136" s="380"/>
      <c r="D136" s="380"/>
      <c r="E136" s="380"/>
      <c r="F136" s="381"/>
      <c r="G136" s="381"/>
      <c r="H136" s="381"/>
      <c r="I136" s="381"/>
      <c r="J136" s="381"/>
      <c r="K136" s="381"/>
      <c r="L136" s="381"/>
      <c r="M136" s="381"/>
      <c r="N136" s="381"/>
      <c r="O136" s="381"/>
      <c r="P136" s="381"/>
      <c r="Q136" s="381"/>
      <c r="R136" s="381"/>
      <c r="S136" s="381"/>
      <c r="T136" s="381"/>
      <c r="U136" s="381"/>
      <c r="V136" s="381"/>
      <c r="W136" s="381"/>
      <c r="X136" s="381"/>
      <c r="Y136" s="381"/>
      <c r="Z136" s="381"/>
      <c r="AA136" s="381"/>
      <c r="AB136" s="381"/>
      <c r="AC136" s="381"/>
      <c r="AD136" s="381"/>
      <c r="AE136" s="381"/>
      <c r="AF136" s="381"/>
      <c r="AG136" s="381"/>
      <c r="AH136" s="381"/>
      <c r="AI136" s="381"/>
      <c r="AJ136" s="381"/>
      <c r="AK136" s="382">
        <v>24183</v>
      </c>
      <c r="AL136" s="382"/>
      <c r="AM136" s="382"/>
      <c r="AN136" s="382"/>
    </row>
    <row r="137" spans="1:40" s="317" customFormat="1" ht="15.6" x14ac:dyDescent="0.3">
      <c r="A137" s="386"/>
      <c r="B137" s="386"/>
      <c r="C137" s="386"/>
      <c r="D137" s="386"/>
      <c r="E137" s="386"/>
      <c r="F137" s="386"/>
      <c r="G137" s="386"/>
      <c r="H137" s="386"/>
      <c r="I137" s="386"/>
      <c r="J137" s="386"/>
      <c r="K137" s="386"/>
      <c r="L137" s="386"/>
      <c r="M137" s="320">
        <v>2015</v>
      </c>
      <c r="N137" s="320"/>
      <c r="O137" s="320"/>
      <c r="P137" s="320"/>
      <c r="Q137" s="320"/>
      <c r="R137" s="320"/>
      <c r="S137" s="320"/>
      <c r="T137" s="320"/>
      <c r="U137" s="320"/>
      <c r="V137" s="320"/>
      <c r="W137" s="320"/>
      <c r="X137" s="320"/>
      <c r="Y137" s="320"/>
      <c r="Z137" s="320"/>
      <c r="AA137" s="320"/>
      <c r="AB137" s="320"/>
      <c r="AC137" s="320"/>
      <c r="AD137" s="320"/>
      <c r="AE137" s="320"/>
      <c r="AF137" s="320"/>
      <c r="AG137" s="320"/>
      <c r="AH137" s="320"/>
      <c r="AI137" s="320"/>
      <c r="AJ137" s="320"/>
      <c r="AK137" s="386"/>
      <c r="AL137" s="386"/>
      <c r="AM137" s="386"/>
      <c r="AN137" s="386"/>
    </row>
    <row r="138" spans="1:40" s="317" customFormat="1" ht="15" x14ac:dyDescent="0.3">
      <c r="A138" s="376" t="s">
        <v>1291</v>
      </c>
      <c r="B138" s="376"/>
      <c r="C138" s="376"/>
      <c r="D138" s="376"/>
      <c r="E138" s="376"/>
      <c r="F138" s="376" t="s">
        <v>942</v>
      </c>
      <c r="G138" s="376"/>
      <c r="H138" s="376"/>
      <c r="I138" s="376"/>
      <c r="J138" s="376"/>
      <c r="K138" s="376"/>
      <c r="L138" s="376"/>
      <c r="M138" s="377" t="s">
        <v>1292</v>
      </c>
      <c r="N138" s="377"/>
      <c r="O138" s="377"/>
      <c r="P138" s="377"/>
      <c r="Q138" s="377"/>
      <c r="R138" s="377"/>
      <c r="S138" s="377"/>
      <c r="T138" s="377"/>
      <c r="U138" s="377"/>
      <c r="V138" s="377"/>
      <c r="W138" s="377"/>
      <c r="X138" s="377"/>
      <c r="Y138" s="377"/>
      <c r="Z138" s="377"/>
      <c r="AA138" s="377"/>
      <c r="AB138" s="377"/>
      <c r="AC138" s="377"/>
      <c r="AD138" s="377"/>
      <c r="AE138" s="377"/>
      <c r="AF138" s="377"/>
      <c r="AG138" s="377"/>
      <c r="AH138" s="377"/>
      <c r="AI138" s="377"/>
      <c r="AJ138" s="377"/>
      <c r="AK138" s="382">
        <v>6550</v>
      </c>
      <c r="AL138" s="382"/>
      <c r="AM138" s="382"/>
      <c r="AN138" s="382"/>
    </row>
    <row r="139" spans="1:40" s="317" customFormat="1" ht="15" x14ac:dyDescent="0.3">
      <c r="A139" s="373" t="s">
        <v>666</v>
      </c>
      <c r="B139" s="373"/>
      <c r="C139" s="373"/>
      <c r="D139" s="373"/>
      <c r="E139" s="373"/>
      <c r="F139" s="373" t="s">
        <v>953</v>
      </c>
      <c r="G139" s="373"/>
      <c r="H139" s="373"/>
      <c r="I139" s="373"/>
      <c r="J139" s="373"/>
      <c r="K139" s="373"/>
      <c r="L139" s="373"/>
      <c r="M139" s="374" t="s">
        <v>1293</v>
      </c>
      <c r="N139" s="374"/>
      <c r="O139" s="374"/>
      <c r="P139" s="374"/>
      <c r="Q139" s="374"/>
      <c r="R139" s="374"/>
      <c r="S139" s="374"/>
      <c r="T139" s="374"/>
      <c r="U139" s="374"/>
      <c r="V139" s="374"/>
      <c r="W139" s="374"/>
      <c r="X139" s="374"/>
      <c r="Y139" s="374"/>
      <c r="Z139" s="374"/>
      <c r="AA139" s="374"/>
      <c r="AB139" s="374"/>
      <c r="AC139" s="374"/>
      <c r="AD139" s="374"/>
      <c r="AE139" s="374"/>
      <c r="AF139" s="374"/>
      <c r="AG139" s="374"/>
      <c r="AH139" s="374"/>
      <c r="AI139" s="374"/>
      <c r="AJ139" s="374"/>
      <c r="AK139" s="375">
        <v>338</v>
      </c>
      <c r="AL139" s="375"/>
      <c r="AM139" s="375"/>
      <c r="AN139" s="375"/>
    </row>
    <row r="140" spans="1:40" s="317" customFormat="1" ht="15" x14ac:dyDescent="0.3">
      <c r="A140" s="373" t="s">
        <v>1294</v>
      </c>
      <c r="B140" s="373"/>
      <c r="C140" s="373"/>
      <c r="D140" s="373"/>
      <c r="E140" s="373"/>
      <c r="F140" s="373" t="s">
        <v>1295</v>
      </c>
      <c r="G140" s="373"/>
      <c r="H140" s="373"/>
      <c r="I140" s="373"/>
      <c r="J140" s="373"/>
      <c r="K140" s="373"/>
      <c r="L140" s="373"/>
      <c r="M140" s="374" t="s">
        <v>1296</v>
      </c>
      <c r="N140" s="374"/>
      <c r="O140" s="374"/>
      <c r="P140" s="374"/>
      <c r="Q140" s="374"/>
      <c r="R140" s="374"/>
      <c r="S140" s="374"/>
      <c r="T140" s="374"/>
      <c r="U140" s="374"/>
      <c r="V140" s="374"/>
      <c r="W140" s="374"/>
      <c r="X140" s="374"/>
      <c r="Y140" s="374"/>
      <c r="Z140" s="374"/>
      <c r="AA140" s="374"/>
      <c r="AB140" s="374"/>
      <c r="AC140" s="374"/>
      <c r="AD140" s="374"/>
      <c r="AE140" s="374"/>
      <c r="AF140" s="374"/>
      <c r="AG140" s="374"/>
      <c r="AH140" s="374"/>
      <c r="AI140" s="374"/>
      <c r="AJ140" s="374"/>
      <c r="AK140" s="375">
        <v>579</v>
      </c>
      <c r="AL140" s="375"/>
      <c r="AM140" s="375"/>
      <c r="AN140" s="375"/>
    </row>
    <row r="141" spans="1:40" s="317" customFormat="1" ht="15" x14ac:dyDescent="0.3">
      <c r="A141" s="373" t="s">
        <v>1297</v>
      </c>
      <c r="B141" s="373"/>
      <c r="C141" s="373"/>
      <c r="D141" s="373"/>
      <c r="E141" s="373"/>
      <c r="F141" s="373" t="s">
        <v>937</v>
      </c>
      <c r="G141" s="373"/>
      <c r="H141" s="373"/>
      <c r="I141" s="373"/>
      <c r="J141" s="373"/>
      <c r="K141" s="373"/>
      <c r="L141" s="373"/>
      <c r="M141" s="374" t="s">
        <v>1298</v>
      </c>
      <c r="N141" s="374"/>
      <c r="O141" s="374"/>
      <c r="P141" s="374"/>
      <c r="Q141" s="374"/>
      <c r="R141" s="374"/>
      <c r="S141" s="374"/>
      <c r="T141" s="374"/>
      <c r="U141" s="374"/>
      <c r="V141" s="374"/>
      <c r="W141" s="374"/>
      <c r="X141" s="374"/>
      <c r="Y141" s="374"/>
      <c r="Z141" s="374"/>
      <c r="AA141" s="374"/>
      <c r="AB141" s="374"/>
      <c r="AC141" s="374"/>
      <c r="AD141" s="374"/>
      <c r="AE141" s="374"/>
      <c r="AF141" s="374"/>
      <c r="AG141" s="374"/>
      <c r="AH141" s="374"/>
      <c r="AI141" s="374"/>
      <c r="AJ141" s="374"/>
      <c r="AK141" s="375">
        <v>489</v>
      </c>
      <c r="AL141" s="375"/>
      <c r="AM141" s="375"/>
      <c r="AN141" s="375"/>
    </row>
    <row r="142" spans="1:40" s="317" customFormat="1" ht="15" x14ac:dyDescent="0.3">
      <c r="A142" s="373" t="s">
        <v>1291</v>
      </c>
      <c r="B142" s="373"/>
      <c r="C142" s="373"/>
      <c r="D142" s="373"/>
      <c r="E142" s="373"/>
      <c r="F142" s="373" t="s">
        <v>1299</v>
      </c>
      <c r="G142" s="373"/>
      <c r="H142" s="373"/>
      <c r="I142" s="373"/>
      <c r="J142" s="373"/>
      <c r="K142" s="373"/>
      <c r="L142" s="373"/>
      <c r="M142" s="374" t="s">
        <v>1300</v>
      </c>
      <c r="N142" s="374"/>
      <c r="O142" s="374"/>
      <c r="P142" s="374"/>
      <c r="Q142" s="374"/>
      <c r="R142" s="374"/>
      <c r="S142" s="374"/>
      <c r="T142" s="374"/>
      <c r="U142" s="374"/>
      <c r="V142" s="374"/>
      <c r="W142" s="374"/>
      <c r="X142" s="374"/>
      <c r="Y142" s="374"/>
      <c r="Z142" s="374"/>
      <c r="AA142" s="374"/>
      <c r="AB142" s="374"/>
      <c r="AC142" s="374"/>
      <c r="AD142" s="374"/>
      <c r="AE142" s="374"/>
      <c r="AF142" s="374"/>
      <c r="AG142" s="374"/>
      <c r="AH142" s="374"/>
      <c r="AI142" s="374"/>
      <c r="AJ142" s="374"/>
      <c r="AK142" s="375">
        <v>309</v>
      </c>
      <c r="AL142" s="375"/>
      <c r="AM142" s="375"/>
      <c r="AN142" s="375"/>
    </row>
    <row r="143" spans="1:40" s="317" customFormat="1" ht="15" x14ac:dyDescent="0.3">
      <c r="A143" s="373" t="s">
        <v>1291</v>
      </c>
      <c r="B143" s="373"/>
      <c r="C143" s="373"/>
      <c r="D143" s="373"/>
      <c r="E143" s="373"/>
      <c r="F143" s="373" t="s">
        <v>939</v>
      </c>
      <c r="G143" s="373"/>
      <c r="H143" s="373"/>
      <c r="I143" s="373"/>
      <c r="J143" s="373"/>
      <c r="K143" s="373"/>
      <c r="L143" s="373"/>
      <c r="M143" s="374" t="s">
        <v>1301</v>
      </c>
      <c r="N143" s="374"/>
      <c r="O143" s="374"/>
      <c r="P143" s="374"/>
      <c r="Q143" s="374"/>
      <c r="R143" s="374"/>
      <c r="S143" s="374"/>
      <c r="T143" s="374"/>
      <c r="U143" s="374"/>
      <c r="V143" s="374"/>
      <c r="W143" s="374"/>
      <c r="X143" s="374"/>
      <c r="Y143" s="374"/>
      <c r="Z143" s="374"/>
      <c r="AA143" s="374"/>
      <c r="AB143" s="374"/>
      <c r="AC143" s="374"/>
      <c r="AD143" s="374"/>
      <c r="AE143" s="374"/>
      <c r="AF143" s="374"/>
      <c r="AG143" s="374"/>
      <c r="AH143" s="374"/>
      <c r="AI143" s="374"/>
      <c r="AJ143" s="374"/>
      <c r="AK143" s="375">
        <v>175</v>
      </c>
      <c r="AL143" s="375"/>
      <c r="AM143" s="375"/>
      <c r="AN143" s="375"/>
    </row>
    <row r="144" spans="1:40" ht="15" x14ac:dyDescent="0.3">
      <c r="A144" s="373" t="s">
        <v>695</v>
      </c>
      <c r="B144" s="373"/>
      <c r="C144" s="373"/>
      <c r="D144" s="373"/>
      <c r="E144" s="373"/>
      <c r="F144" s="373" t="s">
        <v>1302</v>
      </c>
      <c r="G144" s="373"/>
      <c r="H144" s="373"/>
      <c r="I144" s="373"/>
      <c r="J144" s="373"/>
      <c r="K144" s="373"/>
      <c r="L144" s="373"/>
      <c r="M144" s="374" t="s">
        <v>1303</v>
      </c>
      <c r="N144" s="374"/>
      <c r="O144" s="374"/>
      <c r="P144" s="374"/>
      <c r="Q144" s="374"/>
      <c r="R144" s="374"/>
      <c r="S144" s="374"/>
      <c r="T144" s="374"/>
      <c r="U144" s="374"/>
      <c r="V144" s="374"/>
      <c r="W144" s="374"/>
      <c r="X144" s="374"/>
      <c r="Y144" s="374"/>
      <c r="Z144" s="374"/>
      <c r="AA144" s="374"/>
      <c r="AB144" s="374"/>
      <c r="AC144" s="374"/>
      <c r="AD144" s="374"/>
      <c r="AE144" s="374"/>
      <c r="AF144" s="374"/>
      <c r="AG144" s="374"/>
      <c r="AH144" s="374"/>
      <c r="AI144" s="374"/>
      <c r="AJ144" s="374"/>
      <c r="AK144" s="375">
        <v>229</v>
      </c>
      <c r="AL144" s="375"/>
      <c r="AM144" s="375"/>
      <c r="AN144" s="375"/>
    </row>
    <row r="145" spans="1:40" ht="15" x14ac:dyDescent="0.3">
      <c r="A145" s="373" t="s">
        <v>1008</v>
      </c>
      <c r="B145" s="373"/>
      <c r="C145" s="373"/>
      <c r="D145" s="373"/>
      <c r="E145" s="373"/>
      <c r="F145" s="373" t="s">
        <v>938</v>
      </c>
      <c r="G145" s="373"/>
      <c r="H145" s="373"/>
      <c r="I145" s="373"/>
      <c r="J145" s="373"/>
      <c r="K145" s="373"/>
      <c r="L145" s="373"/>
      <c r="M145" s="374" t="s">
        <v>1304</v>
      </c>
      <c r="N145" s="374"/>
      <c r="O145" s="374"/>
      <c r="P145" s="374"/>
      <c r="Q145" s="374"/>
      <c r="R145" s="374"/>
      <c r="S145" s="374"/>
      <c r="T145" s="374"/>
      <c r="U145" s="374"/>
      <c r="V145" s="374"/>
      <c r="W145" s="374"/>
      <c r="X145" s="374"/>
      <c r="Y145" s="374"/>
      <c r="Z145" s="374"/>
      <c r="AA145" s="374"/>
      <c r="AB145" s="374"/>
      <c r="AC145" s="374"/>
      <c r="AD145" s="374"/>
      <c r="AE145" s="374"/>
      <c r="AF145" s="374"/>
      <c r="AG145" s="374"/>
      <c r="AH145" s="374"/>
      <c r="AI145" s="374"/>
      <c r="AJ145" s="374"/>
      <c r="AK145" s="379">
        <v>1870</v>
      </c>
      <c r="AL145" s="379"/>
      <c r="AM145" s="379"/>
      <c r="AN145" s="379"/>
    </row>
    <row r="146" spans="1:40" ht="15" x14ac:dyDescent="0.3">
      <c r="A146" s="373" t="s">
        <v>81</v>
      </c>
      <c r="B146" s="373"/>
      <c r="C146" s="373"/>
      <c r="D146" s="373"/>
      <c r="E146" s="373"/>
      <c r="F146" s="373" t="s">
        <v>1305</v>
      </c>
      <c r="G146" s="373"/>
      <c r="H146" s="373"/>
      <c r="I146" s="373"/>
      <c r="J146" s="373"/>
      <c r="K146" s="373"/>
      <c r="L146" s="373"/>
      <c r="M146" s="374" t="s">
        <v>1306</v>
      </c>
      <c r="N146" s="374"/>
      <c r="O146" s="374"/>
      <c r="P146" s="374"/>
      <c r="Q146" s="374"/>
      <c r="R146" s="374"/>
      <c r="S146" s="374"/>
      <c r="T146" s="374"/>
      <c r="U146" s="374"/>
      <c r="V146" s="374"/>
      <c r="W146" s="374"/>
      <c r="X146" s="374"/>
      <c r="Y146" s="374"/>
      <c r="Z146" s="374"/>
      <c r="AA146" s="374"/>
      <c r="AB146" s="374"/>
      <c r="AC146" s="374"/>
      <c r="AD146" s="374"/>
      <c r="AE146" s="374"/>
      <c r="AF146" s="374"/>
      <c r="AG146" s="374"/>
      <c r="AH146" s="374"/>
      <c r="AI146" s="374"/>
      <c r="AJ146" s="374"/>
      <c r="AK146" s="375">
        <v>414</v>
      </c>
      <c r="AL146" s="375"/>
      <c r="AM146" s="375"/>
      <c r="AN146" s="375"/>
    </row>
    <row r="147" spans="1:40" ht="15" x14ac:dyDescent="0.3">
      <c r="A147" s="373" t="s">
        <v>79</v>
      </c>
      <c r="B147" s="373"/>
      <c r="C147" s="373"/>
      <c r="D147" s="373"/>
      <c r="E147" s="373"/>
      <c r="F147" s="373" t="s">
        <v>943</v>
      </c>
      <c r="G147" s="373"/>
      <c r="H147" s="373"/>
      <c r="I147" s="373"/>
      <c r="J147" s="373"/>
      <c r="K147" s="373"/>
      <c r="L147" s="373"/>
      <c r="M147" s="374" t="s">
        <v>1307</v>
      </c>
      <c r="N147" s="374"/>
      <c r="O147" s="374"/>
      <c r="P147" s="374"/>
      <c r="Q147" s="374"/>
      <c r="R147" s="374"/>
      <c r="S147" s="374"/>
      <c r="T147" s="374"/>
      <c r="U147" s="374"/>
      <c r="V147" s="374"/>
      <c r="W147" s="374"/>
      <c r="X147" s="374"/>
      <c r="Y147" s="374"/>
      <c r="Z147" s="374"/>
      <c r="AA147" s="374"/>
      <c r="AB147" s="374"/>
      <c r="AC147" s="374"/>
      <c r="AD147" s="374"/>
      <c r="AE147" s="374"/>
      <c r="AF147" s="374"/>
      <c r="AG147" s="374"/>
      <c r="AH147" s="374"/>
      <c r="AI147" s="374"/>
      <c r="AJ147" s="374"/>
      <c r="AK147" s="375">
        <v>729</v>
      </c>
      <c r="AL147" s="375"/>
      <c r="AM147" s="375"/>
      <c r="AN147" s="375"/>
    </row>
    <row r="148" spans="1:40" ht="15" x14ac:dyDescent="0.3">
      <c r="A148" s="373" t="s">
        <v>1308</v>
      </c>
      <c r="B148" s="373"/>
      <c r="C148" s="373"/>
      <c r="D148" s="373"/>
      <c r="E148" s="373"/>
      <c r="F148" s="373" t="s">
        <v>1309</v>
      </c>
      <c r="G148" s="373"/>
      <c r="H148" s="373"/>
      <c r="I148" s="373"/>
      <c r="J148" s="373"/>
      <c r="K148" s="373"/>
      <c r="L148" s="373"/>
      <c r="M148" s="374" t="s">
        <v>1310</v>
      </c>
      <c r="N148" s="374"/>
      <c r="O148" s="374"/>
      <c r="P148" s="374"/>
      <c r="Q148" s="374"/>
      <c r="R148" s="374"/>
      <c r="S148" s="374"/>
      <c r="T148" s="374"/>
      <c r="U148" s="374"/>
      <c r="V148" s="374"/>
      <c r="W148" s="374"/>
      <c r="X148" s="374"/>
      <c r="Y148" s="374"/>
      <c r="Z148" s="374"/>
      <c r="AA148" s="374"/>
      <c r="AB148" s="374"/>
      <c r="AC148" s="374"/>
      <c r="AD148" s="374"/>
      <c r="AE148" s="374"/>
      <c r="AF148" s="374"/>
      <c r="AG148" s="374"/>
      <c r="AH148" s="374"/>
      <c r="AI148" s="374"/>
      <c r="AJ148" s="374"/>
      <c r="AK148" s="375">
        <v>174</v>
      </c>
      <c r="AL148" s="375"/>
      <c r="AM148" s="375"/>
      <c r="AN148" s="375"/>
    </row>
    <row r="149" spans="1:40" ht="15" x14ac:dyDescent="0.3">
      <c r="A149" s="373" t="s">
        <v>844</v>
      </c>
      <c r="B149" s="373"/>
      <c r="C149" s="373"/>
      <c r="D149" s="373"/>
      <c r="E149" s="373"/>
      <c r="F149" s="373" t="s">
        <v>956</v>
      </c>
      <c r="G149" s="373"/>
      <c r="H149" s="373"/>
      <c r="I149" s="373"/>
      <c r="J149" s="373"/>
      <c r="K149" s="373"/>
      <c r="L149" s="373"/>
      <c r="M149" s="374" t="s">
        <v>1311</v>
      </c>
      <c r="N149" s="374"/>
      <c r="O149" s="374"/>
      <c r="P149" s="374"/>
      <c r="Q149" s="374"/>
      <c r="R149" s="374"/>
      <c r="S149" s="374"/>
      <c r="T149" s="374"/>
      <c r="U149" s="374"/>
      <c r="V149" s="374"/>
      <c r="W149" s="374"/>
      <c r="X149" s="374"/>
      <c r="Y149" s="374"/>
      <c r="Z149" s="374"/>
      <c r="AA149" s="374"/>
      <c r="AB149" s="374"/>
      <c r="AC149" s="374"/>
      <c r="AD149" s="374"/>
      <c r="AE149" s="374"/>
      <c r="AF149" s="374"/>
      <c r="AG149" s="374"/>
      <c r="AH149" s="374"/>
      <c r="AI149" s="374"/>
      <c r="AJ149" s="374"/>
      <c r="AK149" s="375">
        <v>390</v>
      </c>
      <c r="AL149" s="375"/>
      <c r="AM149" s="375"/>
      <c r="AN149" s="375"/>
    </row>
    <row r="150" spans="1:40" ht="15" x14ac:dyDescent="0.3">
      <c r="A150" s="373" t="s">
        <v>844</v>
      </c>
      <c r="B150" s="373"/>
      <c r="C150" s="373"/>
      <c r="D150" s="373"/>
      <c r="E150" s="373"/>
      <c r="F150" s="373" t="s">
        <v>948</v>
      </c>
      <c r="G150" s="373"/>
      <c r="H150" s="373"/>
      <c r="I150" s="373"/>
      <c r="J150" s="373"/>
      <c r="K150" s="373"/>
      <c r="L150" s="373"/>
      <c r="M150" s="374" t="s">
        <v>1312</v>
      </c>
      <c r="N150" s="374"/>
      <c r="O150" s="374"/>
      <c r="P150" s="374"/>
      <c r="Q150" s="374"/>
      <c r="R150" s="374"/>
      <c r="S150" s="374"/>
      <c r="T150" s="374"/>
      <c r="U150" s="374"/>
      <c r="V150" s="374"/>
      <c r="W150" s="374"/>
      <c r="X150" s="374"/>
      <c r="Y150" s="374"/>
      <c r="Z150" s="374"/>
      <c r="AA150" s="374"/>
      <c r="AB150" s="374"/>
      <c r="AC150" s="374"/>
      <c r="AD150" s="374"/>
      <c r="AE150" s="374"/>
      <c r="AF150" s="374"/>
      <c r="AG150" s="374"/>
      <c r="AH150" s="374"/>
      <c r="AI150" s="374"/>
      <c r="AJ150" s="374"/>
      <c r="AK150" s="375">
        <v>439</v>
      </c>
      <c r="AL150" s="375"/>
      <c r="AM150" s="375"/>
      <c r="AN150" s="375"/>
    </row>
    <row r="151" spans="1:40" ht="15" x14ac:dyDescent="0.3">
      <c r="A151" s="373" t="s">
        <v>1248</v>
      </c>
      <c r="B151" s="373"/>
      <c r="C151" s="373"/>
      <c r="D151" s="373"/>
      <c r="E151" s="373"/>
      <c r="F151" s="373" t="s">
        <v>1313</v>
      </c>
      <c r="G151" s="373"/>
      <c r="H151" s="373"/>
      <c r="I151" s="373"/>
      <c r="J151" s="373"/>
      <c r="K151" s="373"/>
      <c r="L151" s="373"/>
      <c r="M151" s="374" t="s">
        <v>1314</v>
      </c>
      <c r="N151" s="374"/>
      <c r="O151" s="374"/>
      <c r="P151" s="374"/>
      <c r="Q151" s="374"/>
      <c r="R151" s="374"/>
      <c r="S151" s="374"/>
      <c r="T151" s="374"/>
      <c r="U151" s="374"/>
      <c r="V151" s="374"/>
      <c r="W151" s="374"/>
      <c r="X151" s="374"/>
      <c r="Y151" s="374"/>
      <c r="Z151" s="374"/>
      <c r="AA151" s="374"/>
      <c r="AB151" s="374"/>
      <c r="AC151" s="374"/>
      <c r="AD151" s="374"/>
      <c r="AE151" s="374"/>
      <c r="AF151" s="374"/>
      <c r="AG151" s="374"/>
      <c r="AH151" s="374"/>
      <c r="AI151" s="374"/>
      <c r="AJ151" s="374"/>
      <c r="AK151" s="379">
        <v>1434</v>
      </c>
      <c r="AL151" s="379"/>
      <c r="AM151" s="379"/>
      <c r="AN151" s="379"/>
    </row>
    <row r="152" spans="1:40" ht="15" x14ac:dyDescent="0.3">
      <c r="A152" s="373" t="s">
        <v>1315</v>
      </c>
      <c r="B152" s="373"/>
      <c r="C152" s="373"/>
      <c r="D152" s="373"/>
      <c r="E152" s="373"/>
      <c r="F152" s="373" t="s">
        <v>933</v>
      </c>
      <c r="G152" s="373"/>
      <c r="H152" s="373"/>
      <c r="I152" s="373"/>
      <c r="J152" s="373"/>
      <c r="K152" s="373"/>
      <c r="L152" s="373"/>
      <c r="M152" s="374" t="s">
        <v>1316</v>
      </c>
      <c r="N152" s="374"/>
      <c r="O152" s="374"/>
      <c r="P152" s="374"/>
      <c r="Q152" s="374"/>
      <c r="R152" s="374"/>
      <c r="S152" s="374"/>
      <c r="T152" s="374"/>
      <c r="U152" s="374"/>
      <c r="V152" s="374"/>
      <c r="W152" s="374"/>
      <c r="X152" s="374"/>
      <c r="Y152" s="374"/>
      <c r="Z152" s="374"/>
      <c r="AA152" s="374"/>
      <c r="AB152" s="374"/>
      <c r="AC152" s="374"/>
      <c r="AD152" s="374"/>
      <c r="AE152" s="374"/>
      <c r="AF152" s="374"/>
      <c r="AG152" s="374"/>
      <c r="AH152" s="374"/>
      <c r="AI152" s="374"/>
      <c r="AJ152" s="374"/>
      <c r="AK152" s="379">
        <v>3711</v>
      </c>
      <c r="AL152" s="379"/>
      <c r="AM152" s="379"/>
      <c r="AN152" s="379"/>
    </row>
    <row r="153" spans="1:40" ht="15" x14ac:dyDescent="0.3">
      <c r="A153" s="373" t="s">
        <v>81</v>
      </c>
      <c r="B153" s="373"/>
      <c r="C153" s="373"/>
      <c r="D153" s="373"/>
      <c r="E153" s="373"/>
      <c r="F153" s="373" t="s">
        <v>944</v>
      </c>
      <c r="G153" s="373"/>
      <c r="H153" s="373"/>
      <c r="I153" s="373"/>
      <c r="J153" s="373"/>
      <c r="K153" s="373"/>
      <c r="L153" s="373"/>
      <c r="M153" s="374" t="s">
        <v>1317</v>
      </c>
      <c r="N153" s="374"/>
      <c r="O153" s="374"/>
      <c r="P153" s="374"/>
      <c r="Q153" s="374"/>
      <c r="R153" s="374"/>
      <c r="S153" s="374"/>
      <c r="T153" s="374"/>
      <c r="U153" s="374"/>
      <c r="V153" s="374"/>
      <c r="W153" s="374"/>
      <c r="X153" s="374"/>
      <c r="Y153" s="374"/>
      <c r="Z153" s="374"/>
      <c r="AA153" s="374"/>
      <c r="AB153" s="374"/>
      <c r="AC153" s="374"/>
      <c r="AD153" s="374"/>
      <c r="AE153" s="374"/>
      <c r="AF153" s="374"/>
      <c r="AG153" s="374"/>
      <c r="AH153" s="374"/>
      <c r="AI153" s="374"/>
      <c r="AJ153" s="374"/>
      <c r="AK153" s="375">
        <v>499</v>
      </c>
      <c r="AL153" s="375"/>
      <c r="AM153" s="375"/>
      <c r="AN153" s="375"/>
    </row>
    <row r="154" spans="1:40" ht="15" x14ac:dyDescent="0.3">
      <c r="A154" s="373" t="s">
        <v>666</v>
      </c>
      <c r="B154" s="373"/>
      <c r="C154" s="373"/>
      <c r="D154" s="373"/>
      <c r="E154" s="373"/>
      <c r="F154" s="373" t="s">
        <v>954</v>
      </c>
      <c r="G154" s="373"/>
      <c r="H154" s="373"/>
      <c r="I154" s="373"/>
      <c r="J154" s="373"/>
      <c r="K154" s="373"/>
      <c r="L154" s="373"/>
      <c r="M154" s="374" t="s">
        <v>1318</v>
      </c>
      <c r="N154" s="374"/>
      <c r="O154" s="374"/>
      <c r="P154" s="374"/>
      <c r="Q154" s="374"/>
      <c r="R154" s="374"/>
      <c r="S154" s="374"/>
      <c r="T154" s="374"/>
      <c r="U154" s="374"/>
      <c r="V154" s="374"/>
      <c r="W154" s="374"/>
      <c r="X154" s="374"/>
      <c r="Y154" s="374"/>
      <c r="Z154" s="374"/>
      <c r="AA154" s="374"/>
      <c r="AB154" s="374"/>
      <c r="AC154" s="374"/>
      <c r="AD154" s="374"/>
      <c r="AE154" s="374"/>
      <c r="AF154" s="374"/>
      <c r="AG154" s="374"/>
      <c r="AH154" s="374"/>
      <c r="AI154" s="374"/>
      <c r="AJ154" s="374"/>
      <c r="AK154" s="375">
        <v>188</v>
      </c>
      <c r="AL154" s="375"/>
      <c r="AM154" s="375"/>
      <c r="AN154" s="375"/>
    </row>
    <row r="155" spans="1:40" ht="15" x14ac:dyDescent="0.3">
      <c r="A155" s="383" t="s">
        <v>1319</v>
      </c>
      <c r="B155" s="383"/>
      <c r="C155" s="383"/>
      <c r="D155" s="383"/>
      <c r="E155" s="383"/>
      <c r="F155" s="383" t="s">
        <v>1320</v>
      </c>
      <c r="G155" s="383"/>
      <c r="H155" s="383"/>
      <c r="I155" s="383"/>
      <c r="J155" s="383"/>
      <c r="K155" s="383"/>
      <c r="L155" s="383"/>
      <c r="M155" s="384" t="s">
        <v>1321</v>
      </c>
      <c r="N155" s="384"/>
      <c r="O155" s="384"/>
      <c r="P155" s="384"/>
      <c r="Q155" s="384"/>
      <c r="R155" s="384"/>
      <c r="S155" s="384"/>
      <c r="T155" s="384"/>
      <c r="U155" s="384"/>
      <c r="V155" s="384"/>
      <c r="W155" s="384"/>
      <c r="X155" s="384"/>
      <c r="Y155" s="384"/>
      <c r="Z155" s="384"/>
      <c r="AA155" s="384"/>
      <c r="AB155" s="384"/>
      <c r="AC155" s="384"/>
      <c r="AD155" s="384"/>
      <c r="AE155" s="384"/>
      <c r="AF155" s="384"/>
      <c r="AG155" s="384"/>
      <c r="AH155" s="384"/>
      <c r="AI155" s="384"/>
      <c r="AJ155" s="384"/>
      <c r="AK155" s="385">
        <v>30</v>
      </c>
      <c r="AL155" s="385"/>
      <c r="AM155" s="385"/>
      <c r="AN155" s="385"/>
    </row>
    <row r="156" spans="1:40" ht="15.6" x14ac:dyDescent="0.3">
      <c r="A156" s="380" t="s">
        <v>20</v>
      </c>
      <c r="B156" s="380"/>
      <c r="C156" s="380"/>
      <c r="D156" s="380"/>
      <c r="E156" s="380"/>
      <c r="F156" s="381"/>
      <c r="G156" s="381"/>
      <c r="H156" s="381"/>
      <c r="I156" s="381"/>
      <c r="J156" s="381"/>
      <c r="K156" s="381"/>
      <c r="L156" s="381"/>
      <c r="M156" s="381"/>
      <c r="N156" s="381"/>
      <c r="O156" s="381"/>
      <c r="P156" s="381"/>
      <c r="Q156" s="381"/>
      <c r="R156" s="381"/>
      <c r="S156" s="381"/>
      <c r="T156" s="381"/>
      <c r="U156" s="381"/>
      <c r="V156" s="381"/>
      <c r="W156" s="381"/>
      <c r="X156" s="381"/>
      <c r="Y156" s="381"/>
      <c r="Z156" s="381"/>
      <c r="AA156" s="381"/>
      <c r="AB156" s="381"/>
      <c r="AC156" s="381"/>
      <c r="AD156" s="381"/>
      <c r="AE156" s="381"/>
      <c r="AF156" s="381"/>
      <c r="AG156" s="381"/>
      <c r="AH156" s="381"/>
      <c r="AI156" s="381"/>
      <c r="AJ156" s="381"/>
      <c r="AK156" s="382">
        <v>18548</v>
      </c>
      <c r="AL156" s="382"/>
      <c r="AM156" s="382"/>
      <c r="AN156" s="382"/>
    </row>
    <row r="157" spans="1:40" ht="15.6" x14ac:dyDescent="0.3">
      <c r="A157" s="386"/>
      <c r="B157" s="386"/>
      <c r="C157" s="386"/>
      <c r="D157" s="386"/>
      <c r="E157" s="386"/>
      <c r="F157" s="386"/>
      <c r="G157" s="386"/>
      <c r="H157" s="386"/>
      <c r="I157" s="386"/>
      <c r="J157" s="386"/>
      <c r="K157" s="386"/>
      <c r="L157" s="386"/>
      <c r="M157" s="320">
        <v>2016</v>
      </c>
      <c r="N157" s="320"/>
      <c r="O157" s="320"/>
      <c r="P157" s="320"/>
      <c r="Q157" s="320"/>
      <c r="R157" s="320"/>
      <c r="S157" s="320"/>
      <c r="T157" s="320"/>
      <c r="U157" s="320"/>
      <c r="V157" s="320"/>
      <c r="W157" s="320"/>
      <c r="X157" s="320"/>
      <c r="Y157" s="320"/>
      <c r="Z157" s="320"/>
      <c r="AA157" s="320"/>
      <c r="AB157" s="320"/>
      <c r="AC157" s="320"/>
      <c r="AD157" s="320"/>
      <c r="AE157" s="320"/>
      <c r="AF157" s="320"/>
      <c r="AG157" s="320"/>
      <c r="AH157" s="320"/>
      <c r="AI157" s="320"/>
      <c r="AJ157" s="320"/>
      <c r="AK157" s="386"/>
      <c r="AL157" s="386"/>
      <c r="AM157" s="386"/>
      <c r="AN157" s="386"/>
    </row>
    <row r="158" spans="1:40" ht="15" x14ac:dyDescent="0.3">
      <c r="A158" s="376" t="s">
        <v>441</v>
      </c>
      <c r="B158" s="376"/>
      <c r="C158" s="376"/>
      <c r="D158" s="376"/>
      <c r="E158" s="376"/>
      <c r="F158" s="376" t="s">
        <v>1322</v>
      </c>
      <c r="G158" s="376"/>
      <c r="H158" s="376"/>
      <c r="I158" s="376"/>
      <c r="J158" s="376"/>
      <c r="K158" s="376"/>
      <c r="L158" s="376"/>
      <c r="M158" s="377" t="s">
        <v>1323</v>
      </c>
      <c r="N158" s="377"/>
      <c r="O158" s="377"/>
      <c r="P158" s="377"/>
      <c r="Q158" s="377"/>
      <c r="R158" s="377"/>
      <c r="S158" s="377"/>
      <c r="T158" s="377"/>
      <c r="U158" s="377"/>
      <c r="V158" s="377"/>
      <c r="W158" s="377"/>
      <c r="X158" s="377"/>
      <c r="Y158" s="377"/>
      <c r="Z158" s="377"/>
      <c r="AA158" s="377"/>
      <c r="AB158" s="377"/>
      <c r="AC158" s="377"/>
      <c r="AD158" s="377"/>
      <c r="AE158" s="377"/>
      <c r="AF158" s="377"/>
      <c r="AG158" s="377"/>
      <c r="AH158" s="377"/>
      <c r="AI158" s="377"/>
      <c r="AJ158" s="377"/>
      <c r="AK158" s="382">
        <v>1300</v>
      </c>
      <c r="AL158" s="382"/>
      <c r="AM158" s="382"/>
      <c r="AN158" s="382"/>
    </row>
    <row r="159" spans="1:40" ht="15" x14ac:dyDescent="0.3">
      <c r="A159" s="373" t="s">
        <v>666</v>
      </c>
      <c r="B159" s="373"/>
      <c r="C159" s="373"/>
      <c r="D159" s="373"/>
      <c r="E159" s="373"/>
      <c r="F159" s="373" t="s">
        <v>949</v>
      </c>
      <c r="G159" s="373"/>
      <c r="H159" s="373"/>
      <c r="I159" s="373"/>
      <c r="J159" s="373"/>
      <c r="K159" s="373"/>
      <c r="L159" s="373"/>
      <c r="M159" s="374" t="s">
        <v>1324</v>
      </c>
      <c r="N159" s="374"/>
      <c r="O159" s="374"/>
      <c r="P159" s="374"/>
      <c r="Q159" s="374"/>
      <c r="R159" s="374"/>
      <c r="S159" s="374"/>
      <c r="T159" s="374"/>
      <c r="U159" s="374"/>
      <c r="V159" s="374"/>
      <c r="W159" s="374"/>
      <c r="X159" s="374"/>
      <c r="Y159" s="374"/>
      <c r="Z159" s="374"/>
      <c r="AA159" s="374"/>
      <c r="AB159" s="374"/>
      <c r="AC159" s="374"/>
      <c r="AD159" s="374"/>
      <c r="AE159" s="374"/>
      <c r="AF159" s="374"/>
      <c r="AG159" s="374"/>
      <c r="AH159" s="374"/>
      <c r="AI159" s="374"/>
      <c r="AJ159" s="374"/>
      <c r="AK159" s="379">
        <v>1900</v>
      </c>
      <c r="AL159" s="379"/>
      <c r="AM159" s="379"/>
      <c r="AN159" s="379"/>
    </row>
    <row r="160" spans="1:40" ht="15" x14ac:dyDescent="0.3">
      <c r="A160" s="373" t="s">
        <v>1250</v>
      </c>
      <c r="B160" s="373"/>
      <c r="C160" s="373"/>
      <c r="D160" s="373"/>
      <c r="E160" s="373"/>
      <c r="F160" s="373" t="s">
        <v>967</v>
      </c>
      <c r="G160" s="373"/>
      <c r="H160" s="373"/>
      <c r="I160" s="373"/>
      <c r="J160" s="373"/>
      <c r="K160" s="373"/>
      <c r="L160" s="373"/>
      <c r="M160" s="374" t="s">
        <v>1325</v>
      </c>
      <c r="N160" s="374"/>
      <c r="O160" s="374"/>
      <c r="P160" s="374"/>
      <c r="Q160" s="374"/>
      <c r="R160" s="374"/>
      <c r="S160" s="374"/>
      <c r="T160" s="374"/>
      <c r="U160" s="374"/>
      <c r="V160" s="374"/>
      <c r="W160" s="374"/>
      <c r="X160" s="374"/>
      <c r="Y160" s="374"/>
      <c r="Z160" s="374"/>
      <c r="AA160" s="374"/>
      <c r="AB160" s="374"/>
      <c r="AC160" s="374"/>
      <c r="AD160" s="374"/>
      <c r="AE160" s="374"/>
      <c r="AF160" s="374"/>
      <c r="AG160" s="374"/>
      <c r="AH160" s="374"/>
      <c r="AI160" s="374"/>
      <c r="AJ160" s="374"/>
      <c r="AK160" s="375">
        <v>151</v>
      </c>
      <c r="AL160" s="375"/>
      <c r="AM160" s="375"/>
      <c r="AN160" s="375"/>
    </row>
    <row r="161" spans="1:40" ht="15" x14ac:dyDescent="0.3">
      <c r="A161" s="373" t="s">
        <v>81</v>
      </c>
      <c r="B161" s="373"/>
      <c r="C161" s="373"/>
      <c r="D161" s="373"/>
      <c r="E161" s="373"/>
      <c r="F161" s="373" t="s">
        <v>1063</v>
      </c>
      <c r="G161" s="373"/>
      <c r="H161" s="373"/>
      <c r="I161" s="373"/>
      <c r="J161" s="373"/>
      <c r="K161" s="373"/>
      <c r="L161" s="373"/>
      <c r="M161" s="374" t="s">
        <v>1326</v>
      </c>
      <c r="N161" s="374"/>
      <c r="O161" s="374"/>
      <c r="P161" s="374"/>
      <c r="Q161" s="374"/>
      <c r="R161" s="374"/>
      <c r="S161" s="374"/>
      <c r="T161" s="374"/>
      <c r="U161" s="374"/>
      <c r="V161" s="374"/>
      <c r="W161" s="374"/>
      <c r="X161" s="374"/>
      <c r="Y161" s="374"/>
      <c r="Z161" s="374"/>
      <c r="AA161" s="374"/>
      <c r="AB161" s="374"/>
      <c r="AC161" s="374"/>
      <c r="AD161" s="374"/>
      <c r="AE161" s="374"/>
      <c r="AF161" s="374"/>
      <c r="AG161" s="374"/>
      <c r="AH161" s="374"/>
      <c r="AI161" s="374"/>
      <c r="AJ161" s="374"/>
      <c r="AK161" s="375">
        <v>540</v>
      </c>
      <c r="AL161" s="375"/>
      <c r="AM161" s="375"/>
      <c r="AN161" s="375"/>
    </row>
    <row r="162" spans="1:40" ht="15" x14ac:dyDescent="0.3">
      <c r="A162" s="373" t="s">
        <v>81</v>
      </c>
      <c r="B162" s="373"/>
      <c r="C162" s="373"/>
      <c r="D162" s="373"/>
      <c r="E162" s="373"/>
      <c r="F162" s="373" t="s">
        <v>955</v>
      </c>
      <c r="G162" s="373"/>
      <c r="H162" s="373"/>
      <c r="I162" s="373"/>
      <c r="J162" s="373"/>
      <c r="K162" s="373"/>
      <c r="L162" s="373"/>
      <c r="M162" s="374" t="s">
        <v>1327</v>
      </c>
      <c r="N162" s="374"/>
      <c r="O162" s="374"/>
      <c r="P162" s="374"/>
      <c r="Q162" s="374"/>
      <c r="R162" s="374"/>
      <c r="S162" s="374"/>
      <c r="T162" s="374"/>
      <c r="U162" s="374"/>
      <c r="V162" s="374"/>
      <c r="W162" s="374"/>
      <c r="X162" s="374"/>
      <c r="Y162" s="374"/>
      <c r="Z162" s="374"/>
      <c r="AA162" s="374"/>
      <c r="AB162" s="374"/>
      <c r="AC162" s="374"/>
      <c r="AD162" s="374"/>
      <c r="AE162" s="374"/>
      <c r="AF162" s="374"/>
      <c r="AG162" s="374"/>
      <c r="AH162" s="374"/>
      <c r="AI162" s="374"/>
      <c r="AJ162" s="374"/>
      <c r="AK162" s="375">
        <v>227</v>
      </c>
      <c r="AL162" s="375"/>
      <c r="AM162" s="375"/>
      <c r="AN162" s="375"/>
    </row>
    <row r="163" spans="1:40" ht="15" x14ac:dyDescent="0.3">
      <c r="A163" s="373" t="s">
        <v>786</v>
      </c>
      <c r="B163" s="373"/>
      <c r="C163" s="373"/>
      <c r="D163" s="373"/>
      <c r="E163" s="373"/>
      <c r="F163" s="373" t="s">
        <v>1328</v>
      </c>
      <c r="G163" s="373"/>
      <c r="H163" s="373"/>
      <c r="I163" s="373"/>
      <c r="J163" s="373"/>
      <c r="K163" s="373"/>
      <c r="L163" s="373"/>
      <c r="M163" s="374" t="s">
        <v>1329</v>
      </c>
      <c r="N163" s="374"/>
      <c r="O163" s="374"/>
      <c r="P163" s="374"/>
      <c r="Q163" s="374"/>
      <c r="R163" s="374"/>
      <c r="S163" s="374"/>
      <c r="T163" s="374"/>
      <c r="U163" s="374"/>
      <c r="V163" s="374"/>
      <c r="W163" s="374"/>
      <c r="X163" s="374"/>
      <c r="Y163" s="374"/>
      <c r="Z163" s="374"/>
      <c r="AA163" s="374"/>
      <c r="AB163" s="374"/>
      <c r="AC163" s="374"/>
      <c r="AD163" s="374"/>
      <c r="AE163" s="374"/>
      <c r="AF163" s="374"/>
      <c r="AG163" s="374"/>
      <c r="AH163" s="374"/>
      <c r="AI163" s="374"/>
      <c r="AJ163" s="374"/>
      <c r="AK163" s="379">
        <v>2589</v>
      </c>
      <c r="AL163" s="379"/>
      <c r="AM163" s="379"/>
      <c r="AN163" s="379"/>
    </row>
    <row r="164" spans="1:40" ht="15" x14ac:dyDescent="0.3">
      <c r="A164" s="373" t="s">
        <v>1330</v>
      </c>
      <c r="B164" s="373"/>
      <c r="C164" s="373"/>
      <c r="D164" s="373"/>
      <c r="E164" s="373"/>
      <c r="F164" s="373" t="s">
        <v>966</v>
      </c>
      <c r="G164" s="373"/>
      <c r="H164" s="373"/>
      <c r="I164" s="373"/>
      <c r="J164" s="373"/>
      <c r="K164" s="373"/>
      <c r="L164" s="373"/>
      <c r="M164" s="374" t="s">
        <v>1331</v>
      </c>
      <c r="N164" s="374"/>
      <c r="O164" s="374"/>
      <c r="P164" s="374"/>
      <c r="Q164" s="374"/>
      <c r="R164" s="374"/>
      <c r="S164" s="374"/>
      <c r="T164" s="374"/>
      <c r="U164" s="374"/>
      <c r="V164" s="374"/>
      <c r="W164" s="374"/>
      <c r="X164" s="374"/>
      <c r="Y164" s="374"/>
      <c r="Z164" s="374"/>
      <c r="AA164" s="374"/>
      <c r="AB164" s="374"/>
      <c r="AC164" s="374"/>
      <c r="AD164" s="374"/>
      <c r="AE164" s="374"/>
      <c r="AF164" s="374"/>
      <c r="AG164" s="374"/>
      <c r="AH164" s="374"/>
      <c r="AI164" s="374"/>
      <c r="AJ164" s="374"/>
      <c r="AK164" s="375">
        <v>429</v>
      </c>
      <c r="AL164" s="375"/>
      <c r="AM164" s="375"/>
      <c r="AN164" s="375"/>
    </row>
    <row r="165" spans="1:40" ht="15" x14ac:dyDescent="0.3">
      <c r="A165" s="373" t="s">
        <v>1297</v>
      </c>
      <c r="B165" s="373"/>
      <c r="C165" s="373"/>
      <c r="D165" s="373"/>
      <c r="E165" s="373"/>
      <c r="F165" s="373" t="s">
        <v>974</v>
      </c>
      <c r="G165" s="373"/>
      <c r="H165" s="373"/>
      <c r="I165" s="373"/>
      <c r="J165" s="373"/>
      <c r="K165" s="373"/>
      <c r="L165" s="373"/>
      <c r="M165" s="374" t="s">
        <v>1332</v>
      </c>
      <c r="N165" s="374"/>
      <c r="O165" s="374"/>
      <c r="P165" s="374"/>
      <c r="Q165" s="374"/>
      <c r="R165" s="374"/>
      <c r="S165" s="374"/>
      <c r="T165" s="374"/>
      <c r="U165" s="374"/>
      <c r="V165" s="374"/>
      <c r="W165" s="374"/>
      <c r="X165" s="374"/>
      <c r="Y165" s="374"/>
      <c r="Z165" s="374"/>
      <c r="AA165" s="374"/>
      <c r="AB165" s="374"/>
      <c r="AC165" s="374"/>
      <c r="AD165" s="374"/>
      <c r="AE165" s="374"/>
      <c r="AF165" s="374"/>
      <c r="AG165" s="374"/>
      <c r="AH165" s="374"/>
      <c r="AI165" s="374"/>
      <c r="AJ165" s="374"/>
      <c r="AK165" s="375">
        <v>280</v>
      </c>
      <c r="AL165" s="375"/>
      <c r="AM165" s="375"/>
      <c r="AN165" s="375"/>
    </row>
    <row r="166" spans="1:40" ht="15" x14ac:dyDescent="0.3">
      <c r="A166" s="373" t="s">
        <v>1250</v>
      </c>
      <c r="B166" s="373"/>
      <c r="C166" s="373"/>
      <c r="D166" s="373"/>
      <c r="E166" s="373"/>
      <c r="F166" s="373" t="s">
        <v>1045</v>
      </c>
      <c r="G166" s="373"/>
      <c r="H166" s="373"/>
      <c r="I166" s="373"/>
      <c r="J166" s="373"/>
      <c r="K166" s="373"/>
      <c r="L166" s="373"/>
      <c r="M166" s="374" t="s">
        <v>1333</v>
      </c>
      <c r="N166" s="374"/>
      <c r="O166" s="374"/>
      <c r="P166" s="374"/>
      <c r="Q166" s="374"/>
      <c r="R166" s="374"/>
      <c r="S166" s="374"/>
      <c r="T166" s="374"/>
      <c r="U166" s="374"/>
      <c r="V166" s="374"/>
      <c r="W166" s="374"/>
      <c r="X166" s="374"/>
      <c r="Y166" s="374"/>
      <c r="Z166" s="374"/>
      <c r="AA166" s="374"/>
      <c r="AB166" s="374"/>
      <c r="AC166" s="374"/>
      <c r="AD166" s="374"/>
      <c r="AE166" s="374"/>
      <c r="AF166" s="374"/>
      <c r="AG166" s="374"/>
      <c r="AH166" s="374"/>
      <c r="AI166" s="374"/>
      <c r="AJ166" s="374"/>
      <c r="AK166" s="375">
        <v>397</v>
      </c>
      <c r="AL166" s="375"/>
      <c r="AM166" s="375"/>
      <c r="AN166" s="375"/>
    </row>
    <row r="167" spans="1:40" ht="15" x14ac:dyDescent="0.3">
      <c r="A167" s="373" t="s">
        <v>1334</v>
      </c>
      <c r="B167" s="373"/>
      <c r="C167" s="373"/>
      <c r="D167" s="373"/>
      <c r="E167" s="373"/>
      <c r="F167" s="373" t="s">
        <v>968</v>
      </c>
      <c r="G167" s="373"/>
      <c r="H167" s="373"/>
      <c r="I167" s="373"/>
      <c r="J167" s="373"/>
      <c r="K167" s="373"/>
      <c r="L167" s="373"/>
      <c r="M167" s="374" t="s">
        <v>1335</v>
      </c>
      <c r="N167" s="374"/>
      <c r="O167" s="374"/>
      <c r="P167" s="374"/>
      <c r="Q167" s="374"/>
      <c r="R167" s="374"/>
      <c r="S167" s="374"/>
      <c r="T167" s="374"/>
      <c r="U167" s="374"/>
      <c r="V167" s="374"/>
      <c r="W167" s="374"/>
      <c r="X167" s="374"/>
      <c r="Y167" s="374"/>
      <c r="Z167" s="374"/>
      <c r="AA167" s="374"/>
      <c r="AB167" s="374"/>
      <c r="AC167" s="374"/>
      <c r="AD167" s="374"/>
      <c r="AE167" s="374"/>
      <c r="AF167" s="374"/>
      <c r="AG167" s="374"/>
      <c r="AH167" s="374"/>
      <c r="AI167" s="374"/>
      <c r="AJ167" s="374"/>
      <c r="AK167" s="379">
        <v>5373</v>
      </c>
      <c r="AL167" s="379"/>
      <c r="AM167" s="379"/>
      <c r="AN167" s="379"/>
    </row>
    <row r="168" spans="1:40" ht="15" x14ac:dyDescent="0.3">
      <c r="A168" s="373" t="s">
        <v>786</v>
      </c>
      <c r="B168" s="373"/>
      <c r="C168" s="373"/>
      <c r="D168" s="373"/>
      <c r="E168" s="373"/>
      <c r="F168" s="373" t="s">
        <v>1336</v>
      </c>
      <c r="G168" s="373"/>
      <c r="H168" s="373"/>
      <c r="I168" s="373"/>
      <c r="J168" s="373"/>
      <c r="K168" s="373"/>
      <c r="L168" s="373"/>
      <c r="M168" s="374" t="s">
        <v>1337</v>
      </c>
      <c r="N168" s="374"/>
      <c r="O168" s="374"/>
      <c r="P168" s="374"/>
      <c r="Q168" s="374"/>
      <c r="R168" s="374"/>
      <c r="S168" s="374"/>
      <c r="T168" s="374"/>
      <c r="U168" s="374"/>
      <c r="V168" s="374"/>
      <c r="W168" s="374"/>
      <c r="X168" s="374"/>
      <c r="Y168" s="374"/>
      <c r="Z168" s="374"/>
      <c r="AA168" s="374"/>
      <c r="AB168" s="374"/>
      <c r="AC168" s="374"/>
      <c r="AD168" s="374"/>
      <c r="AE168" s="374"/>
      <c r="AF168" s="374"/>
      <c r="AG168" s="374"/>
      <c r="AH168" s="374"/>
      <c r="AI168" s="374"/>
      <c r="AJ168" s="374"/>
      <c r="AK168" s="375">
        <v>322</v>
      </c>
      <c r="AL168" s="375"/>
      <c r="AM168" s="375"/>
      <c r="AN168" s="375"/>
    </row>
    <row r="169" spans="1:40" ht="15" x14ac:dyDescent="0.3">
      <c r="A169" s="373" t="s">
        <v>81</v>
      </c>
      <c r="B169" s="373"/>
      <c r="C169" s="373"/>
      <c r="D169" s="373"/>
      <c r="E169" s="373"/>
      <c r="F169" s="373" t="s">
        <v>1024</v>
      </c>
      <c r="G169" s="373"/>
      <c r="H169" s="373"/>
      <c r="I169" s="373"/>
      <c r="J169" s="373"/>
      <c r="K169" s="373"/>
      <c r="L169" s="373"/>
      <c r="M169" s="374" t="s">
        <v>1338</v>
      </c>
      <c r="N169" s="374"/>
      <c r="O169" s="374"/>
      <c r="P169" s="374"/>
      <c r="Q169" s="374"/>
      <c r="R169" s="374"/>
      <c r="S169" s="374"/>
      <c r="T169" s="374"/>
      <c r="U169" s="374"/>
      <c r="V169" s="374"/>
      <c r="W169" s="374"/>
      <c r="X169" s="374"/>
      <c r="Y169" s="374"/>
      <c r="Z169" s="374"/>
      <c r="AA169" s="374"/>
      <c r="AB169" s="374"/>
      <c r="AC169" s="374"/>
      <c r="AD169" s="374"/>
      <c r="AE169" s="374"/>
      <c r="AF169" s="374"/>
      <c r="AG169" s="374"/>
      <c r="AH169" s="374"/>
      <c r="AI169" s="374"/>
      <c r="AJ169" s="374"/>
      <c r="AK169" s="379">
        <v>1586</v>
      </c>
      <c r="AL169" s="379"/>
      <c r="AM169" s="379"/>
      <c r="AN169" s="379"/>
    </row>
    <row r="170" spans="1:40" ht="15" x14ac:dyDescent="0.3">
      <c r="A170" s="373" t="s">
        <v>1294</v>
      </c>
      <c r="B170" s="373"/>
      <c r="C170" s="373"/>
      <c r="D170" s="373"/>
      <c r="E170" s="373"/>
      <c r="F170" s="373" t="s">
        <v>969</v>
      </c>
      <c r="G170" s="373"/>
      <c r="H170" s="373"/>
      <c r="I170" s="373"/>
      <c r="J170" s="373"/>
      <c r="K170" s="373"/>
      <c r="L170" s="373"/>
      <c r="M170" s="374" t="s">
        <v>1339</v>
      </c>
      <c r="N170" s="374"/>
      <c r="O170" s="374"/>
      <c r="P170" s="374"/>
      <c r="Q170" s="374"/>
      <c r="R170" s="374"/>
      <c r="S170" s="374"/>
      <c r="T170" s="374"/>
      <c r="U170" s="374"/>
      <c r="V170" s="374"/>
      <c r="W170" s="374"/>
      <c r="X170" s="374"/>
      <c r="Y170" s="374"/>
      <c r="Z170" s="374"/>
      <c r="AA170" s="374"/>
      <c r="AB170" s="374"/>
      <c r="AC170" s="374"/>
      <c r="AD170" s="374"/>
      <c r="AE170" s="374"/>
      <c r="AF170" s="374"/>
      <c r="AG170" s="374"/>
      <c r="AH170" s="374"/>
      <c r="AI170" s="374"/>
      <c r="AJ170" s="374"/>
      <c r="AK170" s="375">
        <v>293</v>
      </c>
      <c r="AL170" s="375"/>
      <c r="AM170" s="375"/>
      <c r="AN170" s="375"/>
    </row>
    <row r="171" spans="1:40" ht="15" x14ac:dyDescent="0.3">
      <c r="A171" s="373" t="s">
        <v>1008</v>
      </c>
      <c r="B171" s="373"/>
      <c r="C171" s="373"/>
      <c r="D171" s="373"/>
      <c r="E171" s="373"/>
      <c r="F171" s="373" t="s">
        <v>1340</v>
      </c>
      <c r="G171" s="373"/>
      <c r="H171" s="373"/>
      <c r="I171" s="373"/>
      <c r="J171" s="373"/>
      <c r="K171" s="373"/>
      <c r="L171" s="373"/>
      <c r="M171" s="374" t="s">
        <v>1341</v>
      </c>
      <c r="N171" s="374"/>
      <c r="O171" s="374"/>
      <c r="P171" s="374"/>
      <c r="Q171" s="374"/>
      <c r="R171" s="374"/>
      <c r="S171" s="374"/>
      <c r="T171" s="374"/>
      <c r="U171" s="374"/>
      <c r="V171" s="374"/>
      <c r="W171" s="374"/>
      <c r="X171" s="374"/>
      <c r="Y171" s="374"/>
      <c r="Z171" s="374"/>
      <c r="AA171" s="374"/>
      <c r="AB171" s="374"/>
      <c r="AC171" s="374"/>
      <c r="AD171" s="374"/>
      <c r="AE171" s="374"/>
      <c r="AF171" s="374"/>
      <c r="AG171" s="374"/>
      <c r="AH171" s="374"/>
      <c r="AI171" s="374"/>
      <c r="AJ171" s="374"/>
      <c r="AK171" s="379">
        <v>1530</v>
      </c>
      <c r="AL171" s="379"/>
      <c r="AM171" s="379"/>
      <c r="AN171" s="379"/>
    </row>
    <row r="172" spans="1:40" ht="15" x14ac:dyDescent="0.3">
      <c r="A172" s="373" t="s">
        <v>441</v>
      </c>
      <c r="B172" s="373"/>
      <c r="C172" s="373"/>
      <c r="D172" s="373"/>
      <c r="E172" s="373"/>
      <c r="F172" s="373" t="s">
        <v>971</v>
      </c>
      <c r="G172" s="373"/>
      <c r="H172" s="373"/>
      <c r="I172" s="373"/>
      <c r="J172" s="373"/>
      <c r="K172" s="373"/>
      <c r="L172" s="373"/>
      <c r="M172" s="374" t="s">
        <v>1342</v>
      </c>
      <c r="N172" s="374"/>
      <c r="O172" s="374"/>
      <c r="P172" s="374"/>
      <c r="Q172" s="374"/>
      <c r="R172" s="374"/>
      <c r="S172" s="374"/>
      <c r="T172" s="374"/>
      <c r="U172" s="374"/>
      <c r="V172" s="374"/>
      <c r="W172" s="374"/>
      <c r="X172" s="374"/>
      <c r="Y172" s="374"/>
      <c r="Z172" s="374"/>
      <c r="AA172" s="374"/>
      <c r="AB172" s="374"/>
      <c r="AC172" s="374"/>
      <c r="AD172" s="374"/>
      <c r="AE172" s="374"/>
      <c r="AF172" s="374"/>
      <c r="AG172" s="374"/>
      <c r="AH172" s="374"/>
      <c r="AI172" s="374"/>
      <c r="AJ172" s="374"/>
      <c r="AK172" s="379">
        <v>1240</v>
      </c>
      <c r="AL172" s="379"/>
      <c r="AM172" s="379"/>
      <c r="AN172" s="379"/>
    </row>
    <row r="173" spans="1:40" ht="15" x14ac:dyDescent="0.3">
      <c r="A173" s="373" t="s">
        <v>1308</v>
      </c>
      <c r="B173" s="373"/>
      <c r="C173" s="373"/>
      <c r="D173" s="373"/>
      <c r="E173" s="373"/>
      <c r="F173" s="373" t="s">
        <v>972</v>
      </c>
      <c r="G173" s="373"/>
      <c r="H173" s="373"/>
      <c r="I173" s="373"/>
      <c r="J173" s="373"/>
      <c r="K173" s="373"/>
      <c r="L173" s="373"/>
      <c r="M173" s="374" t="s">
        <v>1343</v>
      </c>
      <c r="N173" s="374"/>
      <c r="O173" s="374"/>
      <c r="P173" s="374"/>
      <c r="Q173" s="374"/>
      <c r="R173" s="374"/>
      <c r="S173" s="374"/>
      <c r="T173" s="374"/>
      <c r="U173" s="374"/>
      <c r="V173" s="374"/>
      <c r="W173" s="374"/>
      <c r="X173" s="374"/>
      <c r="Y173" s="374"/>
      <c r="Z173" s="374"/>
      <c r="AA173" s="374"/>
      <c r="AB173" s="374"/>
      <c r="AC173" s="374"/>
      <c r="AD173" s="374"/>
      <c r="AE173" s="374"/>
      <c r="AF173" s="374"/>
      <c r="AG173" s="374"/>
      <c r="AH173" s="374"/>
      <c r="AI173" s="374"/>
      <c r="AJ173" s="374"/>
      <c r="AK173" s="379">
        <v>1728</v>
      </c>
      <c r="AL173" s="379"/>
      <c r="AM173" s="379"/>
      <c r="AN173" s="379"/>
    </row>
    <row r="174" spans="1:40" ht="15" x14ac:dyDescent="0.3">
      <c r="A174" s="383" t="s">
        <v>1330</v>
      </c>
      <c r="B174" s="383"/>
      <c r="C174" s="383"/>
      <c r="D174" s="383"/>
      <c r="E174" s="383"/>
      <c r="F174" s="383" t="s">
        <v>1344</v>
      </c>
      <c r="G174" s="383"/>
      <c r="H174" s="383"/>
      <c r="I174" s="383"/>
      <c r="J174" s="383"/>
      <c r="K174" s="383"/>
      <c r="L174" s="383"/>
      <c r="M174" s="384" t="s">
        <v>1345</v>
      </c>
      <c r="N174" s="384"/>
      <c r="O174" s="384"/>
      <c r="P174" s="384"/>
      <c r="Q174" s="384"/>
      <c r="R174" s="384"/>
      <c r="S174" s="384"/>
      <c r="T174" s="384"/>
      <c r="U174" s="384"/>
      <c r="V174" s="384"/>
      <c r="W174" s="384"/>
      <c r="X174" s="384"/>
      <c r="Y174" s="384"/>
      <c r="Z174" s="384"/>
      <c r="AA174" s="384"/>
      <c r="AB174" s="384"/>
      <c r="AC174" s="384"/>
      <c r="AD174" s="384"/>
      <c r="AE174" s="384"/>
      <c r="AF174" s="384"/>
      <c r="AG174" s="384"/>
      <c r="AH174" s="384"/>
      <c r="AI174" s="384"/>
      <c r="AJ174" s="384"/>
      <c r="AK174" s="387">
        <v>1166</v>
      </c>
      <c r="AL174" s="387"/>
      <c r="AM174" s="387"/>
      <c r="AN174" s="387"/>
    </row>
    <row r="175" spans="1:40" ht="15.6" x14ac:dyDescent="0.3">
      <c r="A175" s="380" t="s">
        <v>20</v>
      </c>
      <c r="B175" s="380"/>
      <c r="C175" s="380"/>
      <c r="D175" s="380"/>
      <c r="E175" s="380"/>
      <c r="F175" s="381"/>
      <c r="G175" s="381"/>
      <c r="H175" s="381"/>
      <c r="I175" s="381"/>
      <c r="J175" s="381"/>
      <c r="K175" s="381"/>
      <c r="L175" s="381"/>
      <c r="M175" s="381"/>
      <c r="N175" s="381"/>
      <c r="O175" s="381"/>
      <c r="P175" s="381"/>
      <c r="Q175" s="381"/>
      <c r="R175" s="381"/>
      <c r="S175" s="381"/>
      <c r="T175" s="381"/>
      <c r="U175" s="381"/>
      <c r="V175" s="381"/>
      <c r="W175" s="381"/>
      <c r="X175" s="381"/>
      <c r="Y175" s="381"/>
      <c r="Z175" s="381"/>
      <c r="AA175" s="381"/>
      <c r="AB175" s="381"/>
      <c r="AC175" s="381"/>
      <c r="AD175" s="381"/>
      <c r="AE175" s="381"/>
      <c r="AF175" s="381"/>
      <c r="AG175" s="381"/>
      <c r="AH175" s="381"/>
      <c r="AI175" s="381"/>
      <c r="AJ175" s="381"/>
      <c r="AK175" s="382">
        <v>21050</v>
      </c>
      <c r="AL175" s="382"/>
      <c r="AM175" s="382"/>
      <c r="AN175" s="382"/>
    </row>
    <row r="176" spans="1:40" ht="15.6" x14ac:dyDescent="0.3">
      <c r="A176" s="386"/>
      <c r="B176" s="386"/>
      <c r="C176" s="386"/>
      <c r="D176" s="386"/>
      <c r="E176" s="386"/>
      <c r="F176" s="386"/>
      <c r="G176" s="386"/>
      <c r="H176" s="386"/>
      <c r="I176" s="386"/>
      <c r="J176" s="386"/>
      <c r="K176" s="386"/>
      <c r="L176" s="386"/>
      <c r="M176" s="320">
        <v>2017</v>
      </c>
      <c r="N176" s="320"/>
      <c r="O176" s="320"/>
      <c r="P176" s="320"/>
      <c r="Q176" s="320"/>
      <c r="R176" s="320"/>
      <c r="S176" s="320"/>
      <c r="T176" s="320"/>
      <c r="U176" s="320"/>
      <c r="V176" s="320"/>
      <c r="W176" s="320"/>
      <c r="X176" s="320"/>
      <c r="Y176" s="320"/>
      <c r="Z176" s="320"/>
      <c r="AA176" s="320"/>
      <c r="AB176" s="320"/>
      <c r="AC176" s="320"/>
      <c r="AD176" s="320"/>
      <c r="AE176" s="320"/>
      <c r="AF176" s="320"/>
      <c r="AG176" s="320"/>
      <c r="AH176" s="320"/>
      <c r="AI176" s="320"/>
      <c r="AJ176" s="320"/>
      <c r="AK176" s="386"/>
      <c r="AL176" s="386"/>
      <c r="AM176" s="386"/>
      <c r="AN176" s="386"/>
    </row>
    <row r="177" spans="1:40" ht="15" x14ac:dyDescent="0.3">
      <c r="A177" s="376" t="s">
        <v>1330</v>
      </c>
      <c r="B177" s="376"/>
      <c r="C177" s="376"/>
      <c r="D177" s="376"/>
      <c r="E177" s="376"/>
      <c r="F177" s="376" t="s">
        <v>1346</v>
      </c>
      <c r="G177" s="376"/>
      <c r="H177" s="376"/>
      <c r="I177" s="376"/>
      <c r="J177" s="376"/>
      <c r="K177" s="376"/>
      <c r="L177" s="376"/>
      <c r="M177" s="377" t="s">
        <v>1347</v>
      </c>
      <c r="N177" s="377"/>
      <c r="O177" s="377"/>
      <c r="P177" s="377"/>
      <c r="Q177" s="377"/>
      <c r="R177" s="377"/>
      <c r="S177" s="377"/>
      <c r="T177" s="377"/>
      <c r="U177" s="377"/>
      <c r="V177" s="377"/>
      <c r="W177" s="377"/>
      <c r="X177" s="377"/>
      <c r="Y177" s="377"/>
      <c r="Z177" s="377"/>
      <c r="AA177" s="377"/>
      <c r="AB177" s="377"/>
      <c r="AC177" s="377"/>
      <c r="AD177" s="377"/>
      <c r="AE177" s="377"/>
      <c r="AF177" s="377"/>
      <c r="AG177" s="377"/>
      <c r="AH177" s="377"/>
      <c r="AI177" s="377"/>
      <c r="AJ177" s="377"/>
      <c r="AK177" s="378">
        <v>239</v>
      </c>
      <c r="AL177" s="378"/>
      <c r="AM177" s="378"/>
      <c r="AN177" s="378"/>
    </row>
    <row r="178" spans="1:40" ht="15" x14ac:dyDescent="0.3">
      <c r="A178" s="373" t="s">
        <v>84</v>
      </c>
      <c r="B178" s="373"/>
      <c r="C178" s="373"/>
      <c r="D178" s="373"/>
      <c r="E178" s="373"/>
      <c r="F178" s="373" t="s">
        <v>1348</v>
      </c>
      <c r="G178" s="373"/>
      <c r="H178" s="373"/>
      <c r="I178" s="373"/>
      <c r="J178" s="373"/>
      <c r="K178" s="373"/>
      <c r="L178" s="373"/>
      <c r="M178" s="374" t="s">
        <v>1349</v>
      </c>
      <c r="N178" s="374"/>
      <c r="O178" s="374"/>
      <c r="P178" s="374"/>
      <c r="Q178" s="374"/>
      <c r="R178" s="374"/>
      <c r="S178" s="374"/>
      <c r="T178" s="374"/>
      <c r="U178" s="374"/>
      <c r="V178" s="374"/>
      <c r="W178" s="374"/>
      <c r="X178" s="374"/>
      <c r="Y178" s="374"/>
      <c r="Z178" s="374"/>
      <c r="AA178" s="374"/>
      <c r="AB178" s="374"/>
      <c r="AC178" s="374"/>
      <c r="AD178" s="374"/>
      <c r="AE178" s="374"/>
      <c r="AF178" s="374"/>
      <c r="AG178" s="374"/>
      <c r="AH178" s="374"/>
      <c r="AI178" s="374"/>
      <c r="AJ178" s="374"/>
      <c r="AK178" s="375">
        <v>276</v>
      </c>
      <c r="AL178" s="375"/>
      <c r="AM178" s="375"/>
      <c r="AN178" s="375"/>
    </row>
    <row r="179" spans="1:40" ht="15" x14ac:dyDescent="0.3">
      <c r="A179" s="373" t="s">
        <v>666</v>
      </c>
      <c r="B179" s="373"/>
      <c r="C179" s="373"/>
      <c r="D179" s="373"/>
      <c r="E179" s="373"/>
      <c r="F179" s="373" t="s">
        <v>1350</v>
      </c>
      <c r="G179" s="373"/>
      <c r="H179" s="373"/>
      <c r="I179" s="373"/>
      <c r="J179" s="373"/>
      <c r="K179" s="373"/>
      <c r="L179" s="373"/>
      <c r="M179" s="374" t="s">
        <v>1351</v>
      </c>
      <c r="N179" s="374"/>
      <c r="O179" s="374"/>
      <c r="P179" s="374"/>
      <c r="Q179" s="374"/>
      <c r="R179" s="374"/>
      <c r="S179" s="374"/>
      <c r="T179" s="374"/>
      <c r="U179" s="374"/>
      <c r="V179" s="374"/>
      <c r="W179" s="374"/>
      <c r="X179" s="374"/>
      <c r="Y179" s="374"/>
      <c r="Z179" s="374"/>
      <c r="AA179" s="374"/>
      <c r="AB179" s="374"/>
      <c r="AC179" s="374"/>
      <c r="AD179" s="374"/>
      <c r="AE179" s="374"/>
      <c r="AF179" s="374"/>
      <c r="AG179" s="374"/>
      <c r="AH179" s="374"/>
      <c r="AI179" s="374"/>
      <c r="AJ179" s="374"/>
      <c r="AK179" s="375">
        <v>322</v>
      </c>
      <c r="AL179" s="375"/>
      <c r="AM179" s="375"/>
      <c r="AN179" s="375"/>
    </row>
    <row r="180" spans="1:40" ht="15" x14ac:dyDescent="0.3">
      <c r="A180" s="373" t="s">
        <v>695</v>
      </c>
      <c r="B180" s="373"/>
      <c r="C180" s="373"/>
      <c r="D180" s="373"/>
      <c r="E180" s="373"/>
      <c r="F180" s="373" t="s">
        <v>1352</v>
      </c>
      <c r="G180" s="373"/>
      <c r="H180" s="373"/>
      <c r="I180" s="373"/>
      <c r="J180" s="373"/>
      <c r="K180" s="373"/>
      <c r="L180" s="373"/>
      <c r="M180" s="374" t="s">
        <v>1353</v>
      </c>
      <c r="N180" s="374"/>
      <c r="O180" s="374"/>
      <c r="P180" s="374"/>
      <c r="Q180" s="374"/>
      <c r="R180" s="374"/>
      <c r="S180" s="374"/>
      <c r="T180" s="374"/>
      <c r="U180" s="374"/>
      <c r="V180" s="374"/>
      <c r="W180" s="374"/>
      <c r="X180" s="374"/>
      <c r="Y180" s="374"/>
      <c r="Z180" s="374"/>
      <c r="AA180" s="374"/>
      <c r="AB180" s="374"/>
      <c r="AC180" s="374"/>
      <c r="AD180" s="374"/>
      <c r="AE180" s="374"/>
      <c r="AF180" s="374"/>
      <c r="AG180" s="374"/>
      <c r="AH180" s="374"/>
      <c r="AI180" s="374"/>
      <c r="AJ180" s="374"/>
      <c r="AK180" s="375">
        <v>865</v>
      </c>
      <c r="AL180" s="375"/>
      <c r="AM180" s="375"/>
      <c r="AN180" s="375"/>
    </row>
    <row r="181" spans="1:40" ht="15" x14ac:dyDescent="0.3">
      <c r="A181" s="373" t="s">
        <v>666</v>
      </c>
      <c r="B181" s="373"/>
      <c r="C181" s="373"/>
      <c r="D181" s="373"/>
      <c r="E181" s="373"/>
      <c r="F181" s="373" t="s">
        <v>1354</v>
      </c>
      <c r="G181" s="373"/>
      <c r="H181" s="373"/>
      <c r="I181" s="373"/>
      <c r="J181" s="373"/>
      <c r="K181" s="373"/>
      <c r="L181" s="373"/>
      <c r="M181" s="374" t="s">
        <v>1355</v>
      </c>
      <c r="N181" s="374"/>
      <c r="O181" s="374"/>
      <c r="P181" s="374"/>
      <c r="Q181" s="374"/>
      <c r="R181" s="374"/>
      <c r="S181" s="374"/>
      <c r="T181" s="374"/>
      <c r="U181" s="374"/>
      <c r="V181" s="374"/>
      <c r="W181" s="374"/>
      <c r="X181" s="374"/>
      <c r="Y181" s="374"/>
      <c r="Z181" s="374"/>
      <c r="AA181" s="374"/>
      <c r="AB181" s="374"/>
      <c r="AC181" s="374"/>
      <c r="AD181" s="374"/>
      <c r="AE181" s="374"/>
      <c r="AF181" s="374"/>
      <c r="AG181" s="374"/>
      <c r="AH181" s="374"/>
      <c r="AI181" s="374"/>
      <c r="AJ181" s="374"/>
      <c r="AK181" s="375">
        <v>106</v>
      </c>
      <c r="AL181" s="375"/>
      <c r="AM181" s="375"/>
      <c r="AN181" s="375"/>
    </row>
    <row r="182" spans="1:40" ht="15" x14ac:dyDescent="0.3">
      <c r="A182" s="373" t="s">
        <v>84</v>
      </c>
      <c r="B182" s="373"/>
      <c r="C182" s="373"/>
      <c r="D182" s="373"/>
      <c r="E182" s="373"/>
      <c r="F182" s="373" t="s">
        <v>1356</v>
      </c>
      <c r="G182" s="373"/>
      <c r="H182" s="373"/>
      <c r="I182" s="373"/>
      <c r="J182" s="373"/>
      <c r="K182" s="373"/>
      <c r="L182" s="373"/>
      <c r="M182" s="374" t="s">
        <v>1357</v>
      </c>
      <c r="N182" s="374"/>
      <c r="O182" s="374"/>
      <c r="P182" s="374"/>
      <c r="Q182" s="374"/>
      <c r="R182" s="374"/>
      <c r="S182" s="374"/>
      <c r="T182" s="374"/>
      <c r="U182" s="374"/>
      <c r="V182" s="374"/>
      <c r="W182" s="374"/>
      <c r="X182" s="374"/>
      <c r="Y182" s="374"/>
      <c r="Z182" s="374"/>
      <c r="AA182" s="374"/>
      <c r="AB182" s="374"/>
      <c r="AC182" s="374"/>
      <c r="AD182" s="374"/>
      <c r="AE182" s="374"/>
      <c r="AF182" s="374"/>
      <c r="AG182" s="374"/>
      <c r="AH182" s="374"/>
      <c r="AI182" s="374"/>
      <c r="AJ182" s="374"/>
      <c r="AK182" s="375">
        <v>410</v>
      </c>
      <c r="AL182" s="375"/>
      <c r="AM182" s="375"/>
      <c r="AN182" s="375"/>
    </row>
    <row r="183" spans="1:40" ht="15" x14ac:dyDescent="0.3">
      <c r="A183" s="373" t="s">
        <v>84</v>
      </c>
      <c r="B183" s="373"/>
      <c r="C183" s="373"/>
      <c r="D183" s="373"/>
      <c r="E183" s="373"/>
      <c r="F183" s="373" t="s">
        <v>1358</v>
      </c>
      <c r="G183" s="373"/>
      <c r="H183" s="373"/>
      <c r="I183" s="373"/>
      <c r="J183" s="373"/>
      <c r="K183" s="373"/>
      <c r="L183" s="373"/>
      <c r="M183" s="374" t="s">
        <v>1359</v>
      </c>
      <c r="N183" s="374"/>
      <c r="O183" s="374"/>
      <c r="P183" s="374"/>
      <c r="Q183" s="374"/>
      <c r="R183" s="374"/>
      <c r="S183" s="374"/>
      <c r="T183" s="374"/>
      <c r="U183" s="374"/>
      <c r="V183" s="374"/>
      <c r="W183" s="374"/>
      <c r="X183" s="374"/>
      <c r="Y183" s="374"/>
      <c r="Z183" s="374"/>
      <c r="AA183" s="374"/>
      <c r="AB183" s="374"/>
      <c r="AC183" s="374"/>
      <c r="AD183" s="374"/>
      <c r="AE183" s="374"/>
      <c r="AF183" s="374"/>
      <c r="AG183" s="374"/>
      <c r="AH183" s="374"/>
      <c r="AI183" s="374"/>
      <c r="AJ183" s="374"/>
      <c r="AK183" s="375">
        <v>624</v>
      </c>
      <c r="AL183" s="375"/>
      <c r="AM183" s="375"/>
      <c r="AN183" s="375"/>
    </row>
    <row r="184" spans="1:40" ht="15" x14ac:dyDescent="0.3">
      <c r="A184" s="373" t="s">
        <v>1291</v>
      </c>
      <c r="B184" s="373"/>
      <c r="C184" s="373"/>
      <c r="D184" s="373"/>
      <c r="E184" s="373"/>
      <c r="F184" s="373" t="s">
        <v>1360</v>
      </c>
      <c r="G184" s="373"/>
      <c r="H184" s="373"/>
      <c r="I184" s="373"/>
      <c r="J184" s="373"/>
      <c r="K184" s="373"/>
      <c r="L184" s="373"/>
      <c r="M184" s="374" t="s">
        <v>1361</v>
      </c>
      <c r="N184" s="374"/>
      <c r="O184" s="374"/>
      <c r="P184" s="374"/>
      <c r="Q184" s="374"/>
      <c r="R184" s="374"/>
      <c r="S184" s="374"/>
      <c r="T184" s="374"/>
      <c r="U184" s="374"/>
      <c r="V184" s="374"/>
      <c r="W184" s="374"/>
      <c r="X184" s="374"/>
      <c r="Y184" s="374"/>
      <c r="Z184" s="374"/>
      <c r="AA184" s="374"/>
      <c r="AB184" s="374"/>
      <c r="AC184" s="374"/>
      <c r="AD184" s="374"/>
      <c r="AE184" s="374"/>
      <c r="AF184" s="374"/>
      <c r="AG184" s="374"/>
      <c r="AH184" s="374"/>
      <c r="AI184" s="374"/>
      <c r="AJ184" s="374"/>
      <c r="AK184" s="375">
        <v>941</v>
      </c>
      <c r="AL184" s="375"/>
      <c r="AM184" s="375"/>
      <c r="AN184" s="375"/>
    </row>
    <row r="185" spans="1:40" ht="15" x14ac:dyDescent="0.3">
      <c r="A185" s="373" t="s">
        <v>76</v>
      </c>
      <c r="B185" s="373"/>
      <c r="C185" s="373"/>
      <c r="D185" s="373"/>
      <c r="E185" s="373"/>
      <c r="F185" s="373" t="s">
        <v>1362</v>
      </c>
      <c r="G185" s="373"/>
      <c r="H185" s="373"/>
      <c r="I185" s="373"/>
      <c r="J185" s="373"/>
      <c r="K185" s="373"/>
      <c r="L185" s="373"/>
      <c r="M185" s="374" t="s">
        <v>1363</v>
      </c>
      <c r="N185" s="374"/>
      <c r="O185" s="374"/>
      <c r="P185" s="374"/>
      <c r="Q185" s="374"/>
      <c r="R185" s="374"/>
      <c r="S185" s="374"/>
      <c r="T185" s="374"/>
      <c r="U185" s="374"/>
      <c r="V185" s="374"/>
      <c r="W185" s="374"/>
      <c r="X185" s="374"/>
      <c r="Y185" s="374"/>
      <c r="Z185" s="374"/>
      <c r="AA185" s="374"/>
      <c r="AB185" s="374"/>
      <c r="AC185" s="374"/>
      <c r="AD185" s="374"/>
      <c r="AE185" s="374"/>
      <c r="AF185" s="374"/>
      <c r="AG185" s="374"/>
      <c r="AH185" s="374"/>
      <c r="AI185" s="374"/>
      <c r="AJ185" s="374"/>
      <c r="AK185" s="375">
        <v>650</v>
      </c>
      <c r="AL185" s="375"/>
      <c r="AM185" s="375"/>
      <c r="AN185" s="375"/>
    </row>
    <row r="186" spans="1:40" ht="15" x14ac:dyDescent="0.3">
      <c r="A186" s="373" t="s">
        <v>79</v>
      </c>
      <c r="B186" s="373"/>
      <c r="C186" s="373"/>
      <c r="D186" s="373"/>
      <c r="E186" s="373"/>
      <c r="F186" s="373" t="s">
        <v>1364</v>
      </c>
      <c r="G186" s="373"/>
      <c r="H186" s="373"/>
      <c r="I186" s="373"/>
      <c r="J186" s="373"/>
      <c r="K186" s="373"/>
      <c r="L186" s="373"/>
      <c r="M186" s="374" t="s">
        <v>1365</v>
      </c>
      <c r="N186" s="374"/>
      <c r="O186" s="374"/>
      <c r="P186" s="374"/>
      <c r="Q186" s="374"/>
      <c r="R186" s="374"/>
      <c r="S186" s="374"/>
      <c r="T186" s="374"/>
      <c r="U186" s="374"/>
      <c r="V186" s="374"/>
      <c r="W186" s="374"/>
      <c r="X186" s="374"/>
      <c r="Y186" s="374"/>
      <c r="Z186" s="374"/>
      <c r="AA186" s="374"/>
      <c r="AB186" s="374"/>
      <c r="AC186" s="374"/>
      <c r="AD186" s="374"/>
      <c r="AE186" s="374"/>
      <c r="AF186" s="374"/>
      <c r="AG186" s="374"/>
      <c r="AH186" s="374"/>
      <c r="AI186" s="374"/>
      <c r="AJ186" s="374"/>
      <c r="AK186" s="379">
        <v>1220</v>
      </c>
      <c r="AL186" s="379"/>
      <c r="AM186" s="379"/>
      <c r="AN186" s="379"/>
    </row>
    <row r="187" spans="1:40" ht="15" x14ac:dyDescent="0.3">
      <c r="A187" s="373" t="s">
        <v>1366</v>
      </c>
      <c r="B187" s="373"/>
      <c r="C187" s="373"/>
      <c r="D187" s="373"/>
      <c r="E187" s="373"/>
      <c r="F187" s="373" t="s">
        <v>1367</v>
      </c>
      <c r="G187" s="373"/>
      <c r="H187" s="373"/>
      <c r="I187" s="373"/>
      <c r="J187" s="373"/>
      <c r="K187" s="373"/>
      <c r="L187" s="373"/>
      <c r="M187" s="374" t="s">
        <v>1368</v>
      </c>
      <c r="N187" s="374"/>
      <c r="O187" s="374"/>
      <c r="P187" s="374"/>
      <c r="Q187" s="374"/>
      <c r="R187" s="374"/>
      <c r="S187" s="374"/>
      <c r="T187" s="374"/>
      <c r="U187" s="374"/>
      <c r="V187" s="374"/>
      <c r="W187" s="374"/>
      <c r="X187" s="374"/>
      <c r="Y187" s="374"/>
      <c r="Z187" s="374"/>
      <c r="AA187" s="374"/>
      <c r="AB187" s="374"/>
      <c r="AC187" s="374"/>
      <c r="AD187" s="374"/>
      <c r="AE187" s="374"/>
      <c r="AF187" s="374"/>
      <c r="AG187" s="374"/>
      <c r="AH187" s="374"/>
      <c r="AI187" s="374"/>
      <c r="AJ187" s="374"/>
      <c r="AK187" s="379">
        <v>2259</v>
      </c>
      <c r="AL187" s="379"/>
      <c r="AM187" s="379"/>
      <c r="AN187" s="379"/>
    </row>
    <row r="188" spans="1:40" ht="15" x14ac:dyDescent="0.3">
      <c r="A188" s="383" t="s">
        <v>1366</v>
      </c>
      <c r="B188" s="383"/>
      <c r="C188" s="383"/>
      <c r="D188" s="383"/>
      <c r="E188" s="383"/>
      <c r="F188" s="383" t="s">
        <v>1369</v>
      </c>
      <c r="G188" s="383"/>
      <c r="H188" s="383"/>
      <c r="I188" s="383"/>
      <c r="J188" s="383"/>
      <c r="K188" s="383"/>
      <c r="L188" s="383"/>
      <c r="M188" s="384" t="s">
        <v>1370</v>
      </c>
      <c r="N188" s="384"/>
      <c r="O188" s="384"/>
      <c r="P188" s="384"/>
      <c r="Q188" s="384"/>
      <c r="R188" s="384"/>
      <c r="S188" s="384"/>
      <c r="T188" s="384"/>
      <c r="U188" s="384"/>
      <c r="V188" s="384"/>
      <c r="W188" s="384"/>
      <c r="X188" s="384"/>
      <c r="Y188" s="384"/>
      <c r="Z188" s="384"/>
      <c r="AA188" s="384"/>
      <c r="AB188" s="384"/>
      <c r="AC188" s="384"/>
      <c r="AD188" s="384"/>
      <c r="AE188" s="384"/>
      <c r="AF188" s="384"/>
      <c r="AG188" s="384"/>
      <c r="AH188" s="384"/>
      <c r="AI188" s="384"/>
      <c r="AJ188" s="384"/>
      <c r="AK188" s="385">
        <v>604</v>
      </c>
      <c r="AL188" s="385"/>
      <c r="AM188" s="385"/>
      <c r="AN188" s="385"/>
    </row>
    <row r="189" spans="1:40" ht="15.6" x14ac:dyDescent="0.3">
      <c r="A189" s="380" t="s">
        <v>20</v>
      </c>
      <c r="B189" s="380"/>
      <c r="C189" s="380"/>
      <c r="D189" s="380"/>
      <c r="E189" s="380"/>
      <c r="F189" s="381"/>
      <c r="G189" s="381"/>
      <c r="H189" s="381"/>
      <c r="I189" s="381"/>
      <c r="J189" s="381"/>
      <c r="K189" s="381"/>
      <c r="L189" s="381"/>
      <c r="M189" s="381"/>
      <c r="N189" s="381"/>
      <c r="O189" s="381"/>
      <c r="P189" s="381"/>
      <c r="Q189" s="381"/>
      <c r="R189" s="381"/>
      <c r="S189" s="381"/>
      <c r="T189" s="381"/>
      <c r="U189" s="381"/>
      <c r="V189" s="381"/>
      <c r="W189" s="381"/>
      <c r="X189" s="381"/>
      <c r="Y189" s="381"/>
      <c r="Z189" s="381"/>
      <c r="AA189" s="381"/>
      <c r="AB189" s="381"/>
      <c r="AC189" s="381"/>
      <c r="AD189" s="381"/>
      <c r="AE189" s="381"/>
      <c r="AF189" s="381"/>
      <c r="AG189" s="381"/>
      <c r="AH189" s="381"/>
      <c r="AI189" s="381"/>
      <c r="AJ189" s="381"/>
      <c r="AK189" s="382">
        <v>8517</v>
      </c>
      <c r="AL189" s="382"/>
      <c r="AM189" s="382"/>
      <c r="AN189" s="382"/>
    </row>
    <row r="190" spans="1:40" ht="15.6" x14ac:dyDescent="0.3">
      <c r="A190" s="386"/>
      <c r="B190" s="386"/>
      <c r="C190" s="386"/>
      <c r="D190" s="386"/>
      <c r="E190" s="386"/>
      <c r="F190" s="386"/>
      <c r="G190" s="386"/>
      <c r="H190" s="386"/>
      <c r="I190" s="386"/>
      <c r="J190" s="386"/>
      <c r="K190" s="386"/>
      <c r="L190" s="386"/>
      <c r="M190" s="320">
        <v>2018</v>
      </c>
      <c r="N190" s="320"/>
      <c r="O190" s="320"/>
      <c r="P190" s="320"/>
      <c r="Q190" s="320"/>
      <c r="R190" s="320"/>
      <c r="S190" s="320"/>
      <c r="T190" s="320"/>
      <c r="U190" s="320"/>
      <c r="V190" s="320"/>
      <c r="W190" s="320"/>
      <c r="X190" s="320"/>
      <c r="Y190" s="320"/>
      <c r="Z190" s="320"/>
      <c r="AA190" s="320"/>
      <c r="AB190" s="320"/>
      <c r="AC190" s="320"/>
      <c r="AD190" s="320"/>
      <c r="AE190" s="320"/>
      <c r="AF190" s="320"/>
      <c r="AG190" s="320"/>
      <c r="AH190" s="320"/>
      <c r="AI190" s="320"/>
      <c r="AJ190" s="320"/>
      <c r="AK190" s="386"/>
      <c r="AL190" s="386"/>
      <c r="AM190" s="386"/>
      <c r="AN190" s="386"/>
    </row>
    <row r="191" spans="1:40" ht="15" x14ac:dyDescent="0.3">
      <c r="A191" s="376" t="s">
        <v>1371</v>
      </c>
      <c r="B191" s="376"/>
      <c r="C191" s="376"/>
      <c r="D191" s="376"/>
      <c r="E191" s="376"/>
      <c r="F191" s="376" t="s">
        <v>1372</v>
      </c>
      <c r="G191" s="376"/>
      <c r="H191" s="376"/>
      <c r="I191" s="376"/>
      <c r="J191" s="376"/>
      <c r="K191" s="376"/>
      <c r="L191" s="376"/>
      <c r="M191" s="377" t="s">
        <v>1373</v>
      </c>
      <c r="N191" s="377"/>
      <c r="O191" s="377"/>
      <c r="P191" s="377"/>
      <c r="Q191" s="377"/>
      <c r="R191" s="377"/>
      <c r="S191" s="377"/>
      <c r="T191" s="377"/>
      <c r="U191" s="377"/>
      <c r="V191" s="377"/>
      <c r="W191" s="377"/>
      <c r="X191" s="377"/>
      <c r="Y191" s="377"/>
      <c r="Z191" s="377"/>
      <c r="AA191" s="377"/>
      <c r="AB191" s="377"/>
      <c r="AC191" s="377"/>
      <c r="AD191" s="377"/>
      <c r="AE191" s="377"/>
      <c r="AF191" s="377"/>
      <c r="AG191" s="377"/>
      <c r="AH191" s="377"/>
      <c r="AI191" s="377"/>
      <c r="AJ191" s="377"/>
      <c r="AK191" s="382">
        <v>2888</v>
      </c>
      <c r="AL191" s="382"/>
      <c r="AM191" s="382"/>
      <c r="AN191" s="382"/>
    </row>
    <row r="192" spans="1:40" ht="15" x14ac:dyDescent="0.3">
      <c r="A192" s="373" t="s">
        <v>1330</v>
      </c>
      <c r="B192" s="373"/>
      <c r="C192" s="373"/>
      <c r="D192" s="373"/>
      <c r="E192" s="373"/>
      <c r="F192" s="373" t="s">
        <v>1374</v>
      </c>
      <c r="G192" s="373"/>
      <c r="H192" s="373"/>
      <c r="I192" s="373"/>
      <c r="J192" s="373"/>
      <c r="K192" s="373"/>
      <c r="L192" s="373"/>
      <c r="M192" s="374" t="s">
        <v>1375</v>
      </c>
      <c r="N192" s="374"/>
      <c r="O192" s="374"/>
      <c r="P192" s="374"/>
      <c r="Q192" s="374"/>
      <c r="R192" s="374"/>
      <c r="S192" s="374"/>
      <c r="T192" s="374"/>
      <c r="U192" s="374"/>
      <c r="V192" s="374"/>
      <c r="W192" s="374"/>
      <c r="X192" s="374"/>
      <c r="Y192" s="374"/>
      <c r="Z192" s="374"/>
      <c r="AA192" s="374"/>
      <c r="AB192" s="374"/>
      <c r="AC192" s="374"/>
      <c r="AD192" s="374"/>
      <c r="AE192" s="374"/>
      <c r="AF192" s="374"/>
      <c r="AG192" s="374"/>
      <c r="AH192" s="374"/>
      <c r="AI192" s="374"/>
      <c r="AJ192" s="374"/>
      <c r="AK192" s="375">
        <v>528</v>
      </c>
      <c r="AL192" s="375"/>
      <c r="AM192" s="375"/>
      <c r="AN192" s="375"/>
    </row>
    <row r="193" spans="1:40" ht="15" x14ac:dyDescent="0.3">
      <c r="A193" s="373" t="s">
        <v>441</v>
      </c>
      <c r="B193" s="373"/>
      <c r="C193" s="373"/>
      <c r="D193" s="373"/>
      <c r="E193" s="373"/>
      <c r="F193" s="373" t="s">
        <v>1376</v>
      </c>
      <c r="G193" s="373"/>
      <c r="H193" s="373"/>
      <c r="I193" s="373"/>
      <c r="J193" s="373"/>
      <c r="K193" s="373"/>
      <c r="L193" s="373"/>
      <c r="M193" s="374" t="s">
        <v>1377</v>
      </c>
      <c r="N193" s="374"/>
      <c r="O193" s="374"/>
      <c r="P193" s="374"/>
      <c r="Q193" s="374"/>
      <c r="R193" s="374"/>
      <c r="S193" s="374"/>
      <c r="T193" s="374"/>
      <c r="U193" s="374"/>
      <c r="V193" s="374"/>
      <c r="W193" s="374"/>
      <c r="X193" s="374"/>
      <c r="Y193" s="374"/>
      <c r="Z193" s="374"/>
      <c r="AA193" s="374"/>
      <c r="AB193" s="374"/>
      <c r="AC193" s="374"/>
      <c r="AD193" s="374"/>
      <c r="AE193" s="374"/>
      <c r="AF193" s="374"/>
      <c r="AG193" s="374"/>
      <c r="AH193" s="374"/>
      <c r="AI193" s="374"/>
      <c r="AJ193" s="374"/>
      <c r="AK193" s="375">
        <v>124</v>
      </c>
      <c r="AL193" s="375"/>
      <c r="AM193" s="375"/>
      <c r="AN193" s="375"/>
    </row>
    <row r="194" spans="1:40" ht="15" x14ac:dyDescent="0.3">
      <c r="A194" s="373" t="s">
        <v>1378</v>
      </c>
      <c r="B194" s="373"/>
      <c r="C194" s="373"/>
      <c r="D194" s="373"/>
      <c r="E194" s="373"/>
      <c r="F194" s="373" t="s">
        <v>1379</v>
      </c>
      <c r="G194" s="373"/>
      <c r="H194" s="373"/>
      <c r="I194" s="373"/>
      <c r="J194" s="373"/>
      <c r="K194" s="373"/>
      <c r="L194" s="373"/>
      <c r="M194" s="374" t="s">
        <v>1380</v>
      </c>
      <c r="N194" s="374"/>
      <c r="O194" s="374"/>
      <c r="P194" s="374"/>
      <c r="Q194" s="374"/>
      <c r="R194" s="374"/>
      <c r="S194" s="374"/>
      <c r="T194" s="374"/>
      <c r="U194" s="374"/>
      <c r="V194" s="374"/>
      <c r="W194" s="374"/>
      <c r="X194" s="374"/>
      <c r="Y194" s="374"/>
      <c r="Z194" s="374"/>
      <c r="AA194" s="374"/>
      <c r="AB194" s="374"/>
      <c r="AC194" s="374"/>
      <c r="AD194" s="374"/>
      <c r="AE194" s="374"/>
      <c r="AF194" s="374"/>
      <c r="AG194" s="374"/>
      <c r="AH194" s="374"/>
      <c r="AI194" s="374"/>
      <c r="AJ194" s="374"/>
      <c r="AK194" s="375">
        <v>120</v>
      </c>
      <c r="AL194" s="375"/>
      <c r="AM194" s="375"/>
      <c r="AN194" s="375"/>
    </row>
    <row r="195" spans="1:40" ht="15" x14ac:dyDescent="0.3">
      <c r="A195" s="373" t="s">
        <v>1381</v>
      </c>
      <c r="B195" s="373"/>
      <c r="C195" s="373"/>
      <c r="D195" s="373"/>
      <c r="E195" s="373"/>
      <c r="F195" s="373" t="s">
        <v>822</v>
      </c>
      <c r="G195" s="373"/>
      <c r="H195" s="373"/>
      <c r="I195" s="373"/>
      <c r="J195" s="373"/>
      <c r="K195" s="373"/>
      <c r="L195" s="373"/>
      <c r="M195" s="374" t="s">
        <v>1382</v>
      </c>
      <c r="N195" s="374"/>
      <c r="O195" s="374"/>
      <c r="P195" s="374"/>
      <c r="Q195" s="374"/>
      <c r="R195" s="374"/>
      <c r="S195" s="374"/>
      <c r="T195" s="374"/>
      <c r="U195" s="374"/>
      <c r="V195" s="374"/>
      <c r="W195" s="374"/>
      <c r="X195" s="374"/>
      <c r="Y195" s="374"/>
      <c r="Z195" s="374"/>
      <c r="AA195" s="374"/>
      <c r="AB195" s="374"/>
      <c r="AC195" s="374"/>
      <c r="AD195" s="374"/>
      <c r="AE195" s="374"/>
      <c r="AF195" s="374"/>
      <c r="AG195" s="374"/>
      <c r="AH195" s="374"/>
      <c r="AI195" s="374"/>
      <c r="AJ195" s="374"/>
      <c r="AK195" s="375">
        <v>438</v>
      </c>
      <c r="AL195" s="375"/>
      <c r="AM195" s="375"/>
      <c r="AN195" s="375"/>
    </row>
    <row r="196" spans="1:40" ht="15" x14ac:dyDescent="0.3">
      <c r="A196" s="373" t="s">
        <v>80</v>
      </c>
      <c r="B196" s="373"/>
      <c r="C196" s="373"/>
      <c r="D196" s="373"/>
      <c r="E196" s="373"/>
      <c r="F196" s="373" t="s">
        <v>1383</v>
      </c>
      <c r="G196" s="373"/>
      <c r="H196" s="373"/>
      <c r="I196" s="373"/>
      <c r="J196" s="373"/>
      <c r="K196" s="373"/>
      <c r="L196" s="373"/>
      <c r="M196" s="374" t="s">
        <v>1384</v>
      </c>
      <c r="N196" s="374"/>
      <c r="O196" s="374"/>
      <c r="P196" s="374"/>
      <c r="Q196" s="374"/>
      <c r="R196" s="374"/>
      <c r="S196" s="374"/>
      <c r="T196" s="374"/>
      <c r="U196" s="374"/>
      <c r="V196" s="374"/>
      <c r="W196" s="374"/>
      <c r="X196" s="374"/>
      <c r="Y196" s="374"/>
      <c r="Z196" s="374"/>
      <c r="AA196" s="374"/>
      <c r="AB196" s="374"/>
      <c r="AC196" s="374"/>
      <c r="AD196" s="374"/>
      <c r="AE196" s="374"/>
      <c r="AF196" s="374"/>
      <c r="AG196" s="374"/>
      <c r="AH196" s="374"/>
      <c r="AI196" s="374"/>
      <c r="AJ196" s="374"/>
      <c r="AK196" s="375">
        <v>790</v>
      </c>
      <c r="AL196" s="375"/>
      <c r="AM196" s="375"/>
      <c r="AN196" s="375"/>
    </row>
    <row r="197" spans="1:40" ht="15" x14ac:dyDescent="0.3">
      <c r="A197" s="373" t="s">
        <v>695</v>
      </c>
      <c r="B197" s="373"/>
      <c r="C197" s="373"/>
      <c r="D197" s="373"/>
      <c r="E197" s="373"/>
      <c r="F197" s="373" t="s">
        <v>1385</v>
      </c>
      <c r="G197" s="373"/>
      <c r="H197" s="373"/>
      <c r="I197" s="373"/>
      <c r="J197" s="373"/>
      <c r="K197" s="373"/>
      <c r="L197" s="373"/>
      <c r="M197" s="374" t="s">
        <v>1386</v>
      </c>
      <c r="N197" s="374"/>
      <c r="O197" s="374"/>
      <c r="P197" s="374"/>
      <c r="Q197" s="374"/>
      <c r="R197" s="374"/>
      <c r="S197" s="374"/>
      <c r="T197" s="374"/>
      <c r="U197" s="374"/>
      <c r="V197" s="374"/>
      <c r="W197" s="374"/>
      <c r="X197" s="374"/>
      <c r="Y197" s="374"/>
      <c r="Z197" s="374"/>
      <c r="AA197" s="374"/>
      <c r="AB197" s="374"/>
      <c r="AC197" s="374"/>
      <c r="AD197" s="374"/>
      <c r="AE197" s="374"/>
      <c r="AF197" s="374"/>
      <c r="AG197" s="374"/>
      <c r="AH197" s="374"/>
      <c r="AI197" s="374"/>
      <c r="AJ197" s="374"/>
      <c r="AK197" s="375">
        <v>579</v>
      </c>
      <c r="AL197" s="375"/>
      <c r="AM197" s="375"/>
      <c r="AN197" s="375"/>
    </row>
    <row r="198" spans="1:40" ht="15" x14ac:dyDescent="0.3">
      <c r="A198" s="373" t="s">
        <v>1387</v>
      </c>
      <c r="B198" s="373"/>
      <c r="C198" s="373"/>
      <c r="D198" s="373"/>
      <c r="E198" s="373"/>
      <c r="F198" s="373" t="s">
        <v>1388</v>
      </c>
      <c r="G198" s="373"/>
      <c r="H198" s="373"/>
      <c r="I198" s="373"/>
      <c r="J198" s="373"/>
      <c r="K198" s="373"/>
      <c r="L198" s="373"/>
      <c r="M198" s="374" t="s">
        <v>1389</v>
      </c>
      <c r="N198" s="374"/>
      <c r="O198" s="374"/>
      <c r="P198" s="374"/>
      <c r="Q198" s="374"/>
      <c r="R198" s="374"/>
      <c r="S198" s="374"/>
      <c r="T198" s="374"/>
      <c r="U198" s="374"/>
      <c r="V198" s="374"/>
      <c r="W198" s="374"/>
      <c r="X198" s="374"/>
      <c r="Y198" s="374"/>
      <c r="Z198" s="374"/>
      <c r="AA198" s="374"/>
      <c r="AB198" s="374"/>
      <c r="AC198" s="374"/>
      <c r="AD198" s="374"/>
      <c r="AE198" s="374"/>
      <c r="AF198" s="374"/>
      <c r="AG198" s="374"/>
      <c r="AH198" s="374"/>
      <c r="AI198" s="374"/>
      <c r="AJ198" s="374"/>
      <c r="AK198" s="375">
        <v>118</v>
      </c>
      <c r="AL198" s="375"/>
      <c r="AM198" s="375"/>
      <c r="AN198" s="375"/>
    </row>
    <row r="199" spans="1:40" ht="15" x14ac:dyDescent="0.3">
      <c r="A199" s="373" t="s">
        <v>1390</v>
      </c>
      <c r="B199" s="373"/>
      <c r="C199" s="373"/>
      <c r="D199" s="373"/>
      <c r="E199" s="373"/>
      <c r="F199" s="373" t="s">
        <v>1391</v>
      </c>
      <c r="G199" s="373"/>
      <c r="H199" s="373"/>
      <c r="I199" s="373"/>
      <c r="J199" s="373"/>
      <c r="K199" s="373"/>
      <c r="L199" s="373"/>
      <c r="M199" s="374" t="s">
        <v>1392</v>
      </c>
      <c r="N199" s="374"/>
      <c r="O199" s="374"/>
      <c r="P199" s="374"/>
      <c r="Q199" s="374"/>
      <c r="R199" s="374"/>
      <c r="S199" s="374"/>
      <c r="T199" s="374"/>
      <c r="U199" s="374"/>
      <c r="V199" s="374"/>
      <c r="W199" s="374"/>
      <c r="X199" s="374"/>
      <c r="Y199" s="374"/>
      <c r="Z199" s="374"/>
      <c r="AA199" s="374"/>
      <c r="AB199" s="374"/>
      <c r="AC199" s="374"/>
      <c r="AD199" s="374"/>
      <c r="AE199" s="374"/>
      <c r="AF199" s="374"/>
      <c r="AG199" s="374"/>
      <c r="AH199" s="374"/>
      <c r="AI199" s="374"/>
      <c r="AJ199" s="374"/>
      <c r="AK199" s="375">
        <v>119</v>
      </c>
      <c r="AL199" s="375"/>
      <c r="AM199" s="375"/>
      <c r="AN199" s="375"/>
    </row>
    <row r="200" spans="1:40" ht="15" x14ac:dyDescent="0.3">
      <c r="A200" s="373" t="s">
        <v>1393</v>
      </c>
      <c r="B200" s="373"/>
      <c r="C200" s="373"/>
      <c r="D200" s="373"/>
      <c r="E200" s="373"/>
      <c r="F200" s="373" t="s">
        <v>1394</v>
      </c>
      <c r="G200" s="373"/>
      <c r="H200" s="373"/>
      <c r="I200" s="373"/>
      <c r="J200" s="373"/>
      <c r="K200" s="373"/>
      <c r="L200" s="373"/>
      <c r="M200" s="374" t="s">
        <v>1395</v>
      </c>
      <c r="N200" s="374"/>
      <c r="O200" s="374"/>
      <c r="P200" s="374"/>
      <c r="Q200" s="374"/>
      <c r="R200" s="374"/>
      <c r="S200" s="374"/>
      <c r="T200" s="374"/>
      <c r="U200" s="374"/>
      <c r="V200" s="374"/>
      <c r="W200" s="374"/>
      <c r="X200" s="374"/>
      <c r="Y200" s="374"/>
      <c r="Z200" s="374"/>
      <c r="AA200" s="374"/>
      <c r="AB200" s="374"/>
      <c r="AC200" s="374"/>
      <c r="AD200" s="374"/>
      <c r="AE200" s="374"/>
      <c r="AF200" s="374"/>
      <c r="AG200" s="374"/>
      <c r="AH200" s="374"/>
      <c r="AI200" s="374"/>
      <c r="AJ200" s="374"/>
      <c r="AK200" s="375">
        <v>503</v>
      </c>
      <c r="AL200" s="375"/>
      <c r="AM200" s="375"/>
      <c r="AN200" s="375"/>
    </row>
    <row r="201" spans="1:40" ht="15" x14ac:dyDescent="0.3">
      <c r="A201" s="373" t="s">
        <v>1308</v>
      </c>
      <c r="B201" s="373"/>
      <c r="C201" s="373"/>
      <c r="D201" s="373"/>
      <c r="E201" s="373"/>
      <c r="F201" s="373" t="s">
        <v>1396</v>
      </c>
      <c r="G201" s="373"/>
      <c r="H201" s="373"/>
      <c r="I201" s="373"/>
      <c r="J201" s="373"/>
      <c r="K201" s="373"/>
      <c r="L201" s="373"/>
      <c r="M201" s="374" t="s">
        <v>1397</v>
      </c>
      <c r="N201" s="374"/>
      <c r="O201" s="374"/>
      <c r="P201" s="374"/>
      <c r="Q201" s="374"/>
      <c r="R201" s="374"/>
      <c r="S201" s="374"/>
      <c r="T201" s="374"/>
      <c r="U201" s="374"/>
      <c r="V201" s="374"/>
      <c r="W201" s="374"/>
      <c r="X201" s="374"/>
      <c r="Y201" s="374"/>
      <c r="Z201" s="374"/>
      <c r="AA201" s="374"/>
      <c r="AB201" s="374"/>
      <c r="AC201" s="374"/>
      <c r="AD201" s="374"/>
      <c r="AE201" s="374"/>
      <c r="AF201" s="374"/>
      <c r="AG201" s="374"/>
      <c r="AH201" s="374"/>
      <c r="AI201" s="374"/>
      <c r="AJ201" s="374"/>
      <c r="AK201" s="375">
        <v>221</v>
      </c>
      <c r="AL201" s="375"/>
      <c r="AM201" s="375"/>
      <c r="AN201" s="375"/>
    </row>
    <row r="202" spans="1:40" ht="15" x14ac:dyDescent="0.3">
      <c r="A202" s="373" t="s">
        <v>1398</v>
      </c>
      <c r="B202" s="373"/>
      <c r="C202" s="373"/>
      <c r="D202" s="373"/>
      <c r="E202" s="373"/>
      <c r="F202" s="373" t="s">
        <v>1399</v>
      </c>
      <c r="G202" s="373"/>
      <c r="H202" s="373"/>
      <c r="I202" s="373"/>
      <c r="J202" s="373"/>
      <c r="K202" s="373"/>
      <c r="L202" s="373"/>
      <c r="M202" s="374" t="s">
        <v>1400</v>
      </c>
      <c r="N202" s="374"/>
      <c r="O202" s="374"/>
      <c r="P202" s="374"/>
      <c r="Q202" s="374"/>
      <c r="R202" s="374"/>
      <c r="S202" s="374"/>
      <c r="T202" s="374"/>
      <c r="U202" s="374"/>
      <c r="V202" s="374"/>
      <c r="W202" s="374"/>
      <c r="X202" s="374"/>
      <c r="Y202" s="374"/>
      <c r="Z202" s="374"/>
      <c r="AA202" s="374"/>
      <c r="AB202" s="374"/>
      <c r="AC202" s="374"/>
      <c r="AD202" s="374"/>
      <c r="AE202" s="374"/>
      <c r="AF202" s="374"/>
      <c r="AG202" s="374"/>
      <c r="AH202" s="374"/>
      <c r="AI202" s="374"/>
      <c r="AJ202" s="374"/>
      <c r="AK202" s="375">
        <v>944</v>
      </c>
      <c r="AL202" s="375"/>
      <c r="AM202" s="375"/>
      <c r="AN202" s="375"/>
    </row>
    <row r="203" spans="1:40" ht="15" x14ac:dyDescent="0.3">
      <c r="A203" s="373" t="s">
        <v>81</v>
      </c>
      <c r="B203" s="373"/>
      <c r="C203" s="373"/>
      <c r="D203" s="373"/>
      <c r="E203" s="373"/>
      <c r="F203" s="373" t="s">
        <v>1401</v>
      </c>
      <c r="G203" s="373"/>
      <c r="H203" s="373"/>
      <c r="I203" s="373"/>
      <c r="J203" s="373"/>
      <c r="K203" s="373"/>
      <c r="L203" s="373"/>
      <c r="M203" s="374" t="s">
        <v>1402</v>
      </c>
      <c r="N203" s="374"/>
      <c r="O203" s="374"/>
      <c r="P203" s="374"/>
      <c r="Q203" s="374"/>
      <c r="R203" s="374"/>
      <c r="S203" s="374"/>
      <c r="T203" s="374"/>
      <c r="U203" s="374"/>
      <c r="V203" s="374"/>
      <c r="W203" s="374"/>
      <c r="X203" s="374"/>
      <c r="Y203" s="374"/>
      <c r="Z203" s="374"/>
      <c r="AA203" s="374"/>
      <c r="AB203" s="374"/>
      <c r="AC203" s="374"/>
      <c r="AD203" s="374"/>
      <c r="AE203" s="374"/>
      <c r="AF203" s="374"/>
      <c r="AG203" s="374"/>
      <c r="AH203" s="374"/>
      <c r="AI203" s="374"/>
      <c r="AJ203" s="374"/>
      <c r="AK203" s="375">
        <v>173</v>
      </c>
      <c r="AL203" s="375"/>
      <c r="AM203" s="375"/>
      <c r="AN203" s="375"/>
    </row>
    <row r="204" spans="1:40" ht="15" x14ac:dyDescent="0.3">
      <c r="A204" s="383" t="s">
        <v>79</v>
      </c>
      <c r="B204" s="383"/>
      <c r="C204" s="383"/>
      <c r="D204" s="383"/>
      <c r="E204" s="383"/>
      <c r="F204" s="383" t="s">
        <v>1403</v>
      </c>
      <c r="G204" s="383"/>
      <c r="H204" s="383"/>
      <c r="I204" s="383"/>
      <c r="J204" s="383"/>
      <c r="K204" s="383"/>
      <c r="L204" s="383"/>
      <c r="M204" s="384" t="s">
        <v>1404</v>
      </c>
      <c r="N204" s="384"/>
      <c r="O204" s="384"/>
      <c r="P204" s="384"/>
      <c r="Q204" s="384"/>
      <c r="R204" s="384"/>
      <c r="S204" s="384"/>
      <c r="T204" s="384"/>
      <c r="U204" s="384"/>
      <c r="V204" s="384"/>
      <c r="W204" s="384"/>
      <c r="X204" s="384"/>
      <c r="Y204" s="384"/>
      <c r="Z204" s="384"/>
      <c r="AA204" s="384"/>
      <c r="AB204" s="384"/>
      <c r="AC204" s="384"/>
      <c r="AD204" s="384"/>
      <c r="AE204" s="384"/>
      <c r="AF204" s="384"/>
      <c r="AG204" s="384"/>
      <c r="AH204" s="384"/>
      <c r="AI204" s="384"/>
      <c r="AJ204" s="384"/>
      <c r="AK204" s="387">
        <v>2455</v>
      </c>
      <c r="AL204" s="387"/>
      <c r="AM204" s="387"/>
      <c r="AN204" s="387"/>
    </row>
    <row r="205" spans="1:40" ht="15.6" x14ac:dyDescent="0.3">
      <c r="A205" s="388" t="s">
        <v>20</v>
      </c>
      <c r="B205" s="388"/>
      <c r="C205" s="388"/>
      <c r="D205" s="388"/>
      <c r="E205" s="388"/>
      <c r="F205" s="389"/>
      <c r="G205" s="389"/>
      <c r="H205" s="389"/>
      <c r="I205" s="389"/>
      <c r="J205" s="389"/>
      <c r="K205" s="389"/>
      <c r="L205" s="389"/>
      <c r="M205" s="389"/>
      <c r="N205" s="389"/>
      <c r="O205" s="389"/>
      <c r="P205" s="389"/>
      <c r="Q205" s="389"/>
      <c r="R205" s="389"/>
      <c r="S205" s="389"/>
      <c r="T205" s="389"/>
      <c r="U205" s="389"/>
      <c r="V205" s="389"/>
      <c r="W205" s="389"/>
      <c r="X205" s="389"/>
      <c r="Y205" s="389"/>
      <c r="Z205" s="389"/>
      <c r="AA205" s="389"/>
      <c r="AB205" s="389"/>
      <c r="AC205" s="389"/>
      <c r="AD205" s="389"/>
      <c r="AE205" s="389"/>
      <c r="AF205" s="389"/>
      <c r="AG205" s="389"/>
      <c r="AH205" s="389"/>
      <c r="AI205" s="389"/>
      <c r="AJ205" s="389"/>
      <c r="AK205" s="390">
        <v>10000</v>
      </c>
      <c r="AL205" s="390"/>
      <c r="AM205" s="390"/>
      <c r="AN205" s="390"/>
    </row>
    <row r="206" spans="1:40" x14ac:dyDescent="0.3">
      <c r="L206" s="41">
        <v>2019</v>
      </c>
    </row>
    <row r="207" spans="1:40" ht="15" customHeight="1" x14ac:dyDescent="0.3">
      <c r="A207" s="376" t="s">
        <v>666</v>
      </c>
      <c r="B207" s="376"/>
      <c r="C207" s="376"/>
      <c r="D207" s="376"/>
      <c r="E207" s="376"/>
      <c r="F207" s="376" t="s">
        <v>1405</v>
      </c>
      <c r="G207" s="376"/>
      <c r="H207" s="376"/>
      <c r="I207" s="376"/>
      <c r="J207" s="376"/>
      <c r="K207" s="376"/>
      <c r="L207" s="392" t="s">
        <v>1406</v>
      </c>
      <c r="M207" s="392"/>
      <c r="N207" s="392"/>
      <c r="O207" s="392"/>
      <c r="P207" s="392"/>
      <c r="Q207" s="392"/>
      <c r="R207" s="392"/>
      <c r="S207" s="392"/>
      <c r="T207" s="392"/>
      <c r="U207" s="392"/>
      <c r="V207" s="392"/>
      <c r="W207" s="376" t="s">
        <v>1407</v>
      </c>
      <c r="X207" s="376"/>
      <c r="Y207" s="376"/>
      <c r="Z207" s="376"/>
      <c r="AA207" s="376"/>
      <c r="AB207" s="376"/>
      <c r="AC207" s="376"/>
      <c r="AD207" s="376"/>
      <c r="AE207" s="376"/>
      <c r="AF207" s="376"/>
      <c r="AG207" s="376"/>
      <c r="AH207" s="376"/>
      <c r="AI207" s="378">
        <v>564</v>
      </c>
      <c r="AJ207" s="378"/>
      <c r="AK207" s="378"/>
      <c r="AL207" s="378"/>
      <c r="AM207" s="378"/>
      <c r="AN207" s="378"/>
    </row>
    <row r="208" spans="1:40" ht="15" customHeight="1" x14ac:dyDescent="0.3">
      <c r="A208" s="373" t="s">
        <v>81</v>
      </c>
      <c r="B208" s="373"/>
      <c r="C208" s="373"/>
      <c r="D208" s="373"/>
      <c r="E208" s="373"/>
      <c r="F208" s="373" t="s">
        <v>1408</v>
      </c>
      <c r="G208" s="373"/>
      <c r="H208" s="373"/>
      <c r="I208" s="373"/>
      <c r="J208" s="373"/>
      <c r="K208" s="373"/>
      <c r="L208" s="391" t="s">
        <v>1409</v>
      </c>
      <c r="M208" s="391"/>
      <c r="N208" s="391"/>
      <c r="O208" s="391"/>
      <c r="P208" s="391"/>
      <c r="Q208" s="391"/>
      <c r="R208" s="391"/>
      <c r="S208" s="391"/>
      <c r="T208" s="391"/>
      <c r="U208" s="391"/>
      <c r="V208" s="391"/>
      <c r="W208" s="373" t="s">
        <v>1410</v>
      </c>
      <c r="X208" s="373"/>
      <c r="Y208" s="373"/>
      <c r="Z208" s="373"/>
      <c r="AA208" s="373"/>
      <c r="AB208" s="373"/>
      <c r="AC208" s="373"/>
      <c r="AD208" s="373"/>
      <c r="AE208" s="373"/>
      <c r="AF208" s="373"/>
      <c r="AG208" s="373"/>
      <c r="AH208" s="373"/>
      <c r="AI208" s="379">
        <v>1067</v>
      </c>
      <c r="AJ208" s="379"/>
      <c r="AK208" s="379"/>
      <c r="AL208" s="379"/>
      <c r="AM208" s="379"/>
      <c r="AN208" s="379"/>
    </row>
    <row r="209" spans="1:40" ht="15" customHeight="1" x14ac:dyDescent="0.3">
      <c r="A209" s="373" t="s">
        <v>1411</v>
      </c>
      <c r="B209" s="373"/>
      <c r="C209" s="373"/>
      <c r="D209" s="373"/>
      <c r="E209" s="373"/>
      <c r="F209" s="373" t="s">
        <v>1412</v>
      </c>
      <c r="G209" s="373"/>
      <c r="H209" s="373"/>
      <c r="I209" s="373"/>
      <c r="J209" s="373"/>
      <c r="K209" s="373"/>
      <c r="L209" s="391" t="s">
        <v>1413</v>
      </c>
      <c r="M209" s="391"/>
      <c r="N209" s="391"/>
      <c r="O209" s="391"/>
      <c r="P209" s="391"/>
      <c r="Q209" s="391"/>
      <c r="R209" s="391"/>
      <c r="S209" s="391"/>
      <c r="T209" s="391"/>
      <c r="U209" s="391"/>
      <c r="V209" s="391"/>
      <c r="W209" s="373" t="s">
        <v>1414</v>
      </c>
      <c r="X209" s="373"/>
      <c r="Y209" s="373"/>
      <c r="Z209" s="373"/>
      <c r="AA209" s="373"/>
      <c r="AB209" s="373"/>
      <c r="AC209" s="373"/>
      <c r="AD209" s="373"/>
      <c r="AE209" s="373"/>
      <c r="AF209" s="373"/>
      <c r="AG209" s="373"/>
      <c r="AH209" s="373"/>
      <c r="AI209" s="375">
        <v>285</v>
      </c>
      <c r="AJ209" s="375"/>
      <c r="AK209" s="375"/>
      <c r="AL209" s="375"/>
      <c r="AM209" s="375"/>
      <c r="AN209" s="375"/>
    </row>
    <row r="210" spans="1:40" ht="15" customHeight="1" x14ac:dyDescent="0.3">
      <c r="A210" s="373" t="s">
        <v>1415</v>
      </c>
      <c r="B210" s="373"/>
      <c r="C210" s="373"/>
      <c r="D210" s="373"/>
      <c r="E210" s="373"/>
      <c r="F210" s="373" t="s">
        <v>1416</v>
      </c>
      <c r="G210" s="373"/>
      <c r="H210" s="373"/>
      <c r="I210" s="373"/>
      <c r="J210" s="373"/>
      <c r="K210" s="373"/>
      <c r="L210" s="391" t="s">
        <v>1417</v>
      </c>
      <c r="M210" s="391"/>
      <c r="N210" s="391"/>
      <c r="O210" s="391"/>
      <c r="P210" s="391"/>
      <c r="Q210" s="391"/>
      <c r="R210" s="391"/>
      <c r="S210" s="391"/>
      <c r="T210" s="391"/>
      <c r="U210" s="391"/>
      <c r="V210" s="391"/>
      <c r="W210" s="373" t="s">
        <v>1418</v>
      </c>
      <c r="X210" s="373"/>
      <c r="Y210" s="373"/>
      <c r="Z210" s="373"/>
      <c r="AA210" s="373"/>
      <c r="AB210" s="373"/>
      <c r="AC210" s="373"/>
      <c r="AD210" s="373"/>
      <c r="AE210" s="373"/>
      <c r="AF210" s="373"/>
      <c r="AG210" s="373"/>
      <c r="AH210" s="373"/>
      <c r="AI210" s="375">
        <v>115</v>
      </c>
      <c r="AJ210" s="375"/>
      <c r="AK210" s="375"/>
      <c r="AL210" s="375"/>
      <c r="AM210" s="375"/>
      <c r="AN210" s="375"/>
    </row>
    <row r="211" spans="1:40" ht="15" customHeight="1" x14ac:dyDescent="0.3">
      <c r="A211" s="373" t="s">
        <v>79</v>
      </c>
      <c r="B211" s="373"/>
      <c r="C211" s="373"/>
      <c r="D211" s="373"/>
      <c r="E211" s="373"/>
      <c r="F211" s="373" t="s">
        <v>1419</v>
      </c>
      <c r="G211" s="373"/>
      <c r="H211" s="373"/>
      <c r="I211" s="373"/>
      <c r="J211" s="373"/>
      <c r="K211" s="373"/>
      <c r="L211" s="391" t="s">
        <v>1420</v>
      </c>
      <c r="M211" s="391"/>
      <c r="N211" s="391"/>
      <c r="O211" s="391"/>
      <c r="P211" s="391"/>
      <c r="Q211" s="391"/>
      <c r="R211" s="391"/>
      <c r="S211" s="391"/>
      <c r="T211" s="391"/>
      <c r="U211" s="391"/>
      <c r="V211" s="391"/>
      <c r="W211" s="373" t="s">
        <v>1421</v>
      </c>
      <c r="X211" s="373"/>
      <c r="Y211" s="373"/>
      <c r="Z211" s="373"/>
      <c r="AA211" s="373"/>
      <c r="AB211" s="373"/>
      <c r="AC211" s="373"/>
      <c r="AD211" s="373"/>
      <c r="AE211" s="373"/>
      <c r="AF211" s="373"/>
      <c r="AG211" s="373"/>
      <c r="AH211" s="373"/>
      <c r="AI211" s="375">
        <v>155</v>
      </c>
      <c r="AJ211" s="375"/>
      <c r="AK211" s="375"/>
      <c r="AL211" s="375"/>
      <c r="AM211" s="375"/>
      <c r="AN211" s="375"/>
    </row>
    <row r="212" spans="1:40" ht="15" x14ac:dyDescent="0.3">
      <c r="A212" s="373" t="s">
        <v>79</v>
      </c>
      <c r="B212" s="373"/>
      <c r="C212" s="373"/>
      <c r="D212" s="373"/>
      <c r="E212" s="373"/>
      <c r="F212" s="373" t="s">
        <v>1422</v>
      </c>
      <c r="G212" s="373"/>
      <c r="H212" s="373"/>
      <c r="I212" s="373"/>
      <c r="J212" s="373"/>
      <c r="K212" s="373"/>
      <c r="L212" s="391" t="s">
        <v>1423</v>
      </c>
      <c r="M212" s="391"/>
      <c r="N212" s="391"/>
      <c r="O212" s="391"/>
      <c r="P212" s="391"/>
      <c r="Q212" s="391"/>
      <c r="R212" s="391"/>
      <c r="S212" s="391"/>
      <c r="T212" s="391"/>
      <c r="U212" s="391"/>
      <c r="V212" s="391"/>
      <c r="W212" s="373" t="s">
        <v>1424</v>
      </c>
      <c r="X212" s="373"/>
      <c r="Y212" s="373"/>
      <c r="Z212" s="373"/>
      <c r="AA212" s="373"/>
      <c r="AB212" s="373"/>
      <c r="AC212" s="373"/>
      <c r="AD212" s="373"/>
      <c r="AE212" s="373"/>
      <c r="AF212" s="373"/>
      <c r="AG212" s="373"/>
      <c r="AH212" s="373"/>
      <c r="AI212" s="375">
        <v>182</v>
      </c>
      <c r="AJ212" s="375"/>
      <c r="AK212" s="375"/>
      <c r="AL212" s="375"/>
      <c r="AM212" s="375"/>
      <c r="AN212" s="375"/>
    </row>
    <row r="213" spans="1:40" ht="15" customHeight="1" x14ac:dyDescent="0.3">
      <c r="A213" s="373" t="s">
        <v>1366</v>
      </c>
      <c r="B213" s="373"/>
      <c r="C213" s="373"/>
      <c r="D213" s="373"/>
      <c r="E213" s="373"/>
      <c r="F213" s="373" t="s">
        <v>1425</v>
      </c>
      <c r="G213" s="373"/>
      <c r="H213" s="373"/>
      <c r="I213" s="373"/>
      <c r="J213" s="373"/>
      <c r="K213" s="373"/>
      <c r="L213" s="391" t="s">
        <v>1426</v>
      </c>
      <c r="M213" s="391"/>
      <c r="N213" s="391"/>
      <c r="O213" s="391"/>
      <c r="P213" s="391"/>
      <c r="Q213" s="391"/>
      <c r="R213" s="391"/>
      <c r="S213" s="391"/>
      <c r="T213" s="391"/>
      <c r="U213" s="391"/>
      <c r="V213" s="391"/>
      <c r="W213" s="373" t="s">
        <v>1427</v>
      </c>
      <c r="X213" s="373"/>
      <c r="Y213" s="373"/>
      <c r="Z213" s="373"/>
      <c r="AA213" s="373"/>
      <c r="AB213" s="373"/>
      <c r="AC213" s="373"/>
      <c r="AD213" s="373"/>
      <c r="AE213" s="373"/>
      <c r="AF213" s="373"/>
      <c r="AG213" s="373"/>
      <c r="AH213" s="373"/>
      <c r="AI213" s="375">
        <v>479</v>
      </c>
      <c r="AJ213" s="375"/>
      <c r="AK213" s="375"/>
      <c r="AL213" s="375"/>
      <c r="AM213" s="375"/>
      <c r="AN213" s="375"/>
    </row>
    <row r="214" spans="1:40" ht="15" x14ac:dyDescent="0.3">
      <c r="A214" s="373" t="s">
        <v>1398</v>
      </c>
      <c r="B214" s="373"/>
      <c r="C214" s="373"/>
      <c r="D214" s="373"/>
      <c r="E214" s="373"/>
      <c r="F214" s="373" t="s">
        <v>1428</v>
      </c>
      <c r="G214" s="373"/>
      <c r="H214" s="373"/>
      <c r="I214" s="373"/>
      <c r="J214" s="373"/>
      <c r="K214" s="373"/>
      <c r="L214" s="391" t="s">
        <v>1429</v>
      </c>
      <c r="M214" s="391"/>
      <c r="N214" s="391"/>
      <c r="O214" s="391"/>
      <c r="P214" s="391"/>
      <c r="Q214" s="391"/>
      <c r="R214" s="391"/>
      <c r="S214" s="391"/>
      <c r="T214" s="391"/>
      <c r="U214" s="391"/>
      <c r="V214" s="391"/>
      <c r="W214" s="373" t="s">
        <v>1430</v>
      </c>
      <c r="X214" s="373"/>
      <c r="Y214" s="373"/>
      <c r="Z214" s="373"/>
      <c r="AA214" s="373"/>
      <c r="AB214" s="373"/>
      <c r="AC214" s="373"/>
      <c r="AD214" s="373"/>
      <c r="AE214" s="373"/>
      <c r="AF214" s="373"/>
      <c r="AG214" s="373"/>
      <c r="AH214" s="373"/>
      <c r="AI214" s="375">
        <v>549</v>
      </c>
      <c r="AJ214" s="375"/>
      <c r="AK214" s="375"/>
      <c r="AL214" s="375"/>
      <c r="AM214" s="375"/>
      <c r="AN214" s="375"/>
    </row>
    <row r="215" spans="1:40" ht="15" customHeight="1" x14ac:dyDescent="0.3">
      <c r="A215" s="373" t="s">
        <v>1431</v>
      </c>
      <c r="B215" s="373"/>
      <c r="C215" s="373"/>
      <c r="D215" s="373"/>
      <c r="E215" s="373"/>
      <c r="F215" s="373" t="s">
        <v>1432</v>
      </c>
      <c r="G215" s="373"/>
      <c r="H215" s="373"/>
      <c r="I215" s="373"/>
      <c r="J215" s="373"/>
      <c r="K215" s="373"/>
      <c r="L215" s="391" t="s">
        <v>1433</v>
      </c>
      <c r="M215" s="391"/>
      <c r="N215" s="391"/>
      <c r="O215" s="391"/>
      <c r="P215" s="391"/>
      <c r="Q215" s="391"/>
      <c r="R215" s="391"/>
      <c r="S215" s="391"/>
      <c r="T215" s="391"/>
      <c r="U215" s="391"/>
      <c r="V215" s="391"/>
      <c r="W215" s="373" t="s">
        <v>1434</v>
      </c>
      <c r="X215" s="373"/>
      <c r="Y215" s="373"/>
      <c r="Z215" s="373"/>
      <c r="AA215" s="373"/>
      <c r="AB215" s="373"/>
      <c r="AC215" s="373"/>
      <c r="AD215" s="373"/>
      <c r="AE215" s="373"/>
      <c r="AF215" s="373"/>
      <c r="AG215" s="373"/>
      <c r="AH215" s="373"/>
      <c r="AI215" s="375">
        <v>219</v>
      </c>
      <c r="AJ215" s="375"/>
      <c r="AK215" s="375"/>
      <c r="AL215" s="375"/>
      <c r="AM215" s="375"/>
      <c r="AN215" s="375"/>
    </row>
    <row r="216" spans="1:40" ht="15" customHeight="1" x14ac:dyDescent="0.3">
      <c r="A216" s="373" t="s">
        <v>1411</v>
      </c>
      <c r="B216" s="373"/>
      <c r="C216" s="373"/>
      <c r="D216" s="373"/>
      <c r="E216" s="373"/>
      <c r="F216" s="373" t="s">
        <v>1435</v>
      </c>
      <c r="G216" s="373"/>
      <c r="H216" s="373"/>
      <c r="I216" s="373"/>
      <c r="J216" s="373"/>
      <c r="K216" s="373"/>
      <c r="L216" s="391" t="s">
        <v>1436</v>
      </c>
      <c r="M216" s="391"/>
      <c r="N216" s="391"/>
      <c r="O216" s="391"/>
      <c r="P216" s="391"/>
      <c r="Q216" s="391"/>
      <c r="R216" s="391"/>
      <c r="S216" s="391"/>
      <c r="T216" s="391"/>
      <c r="U216" s="391"/>
      <c r="V216" s="391"/>
      <c r="W216" s="373" t="s">
        <v>1437</v>
      </c>
      <c r="X216" s="373"/>
      <c r="Y216" s="373"/>
      <c r="Z216" s="373"/>
      <c r="AA216" s="373"/>
      <c r="AB216" s="373"/>
      <c r="AC216" s="373"/>
      <c r="AD216" s="373"/>
      <c r="AE216" s="373"/>
      <c r="AF216" s="373"/>
      <c r="AG216" s="373"/>
      <c r="AH216" s="373"/>
      <c r="AI216" s="375">
        <v>242</v>
      </c>
      <c r="AJ216" s="375"/>
      <c r="AK216" s="375"/>
      <c r="AL216" s="375"/>
      <c r="AM216" s="375"/>
      <c r="AN216" s="375"/>
    </row>
    <row r="217" spans="1:40" ht="15" customHeight="1" x14ac:dyDescent="0.3">
      <c r="A217" s="383" t="s">
        <v>79</v>
      </c>
      <c r="B217" s="383"/>
      <c r="C217" s="383"/>
      <c r="D217" s="383"/>
      <c r="E217" s="383"/>
      <c r="F217" s="383" t="s">
        <v>1438</v>
      </c>
      <c r="G217" s="383"/>
      <c r="H217" s="383"/>
      <c r="I217" s="383"/>
      <c r="J217" s="383"/>
      <c r="K217" s="383"/>
      <c r="L217" s="393" t="s">
        <v>1439</v>
      </c>
      <c r="M217" s="393"/>
      <c r="N217" s="393"/>
      <c r="O217" s="393"/>
      <c r="P217" s="393"/>
      <c r="Q217" s="393"/>
      <c r="R217" s="393"/>
      <c r="S217" s="393"/>
      <c r="T217" s="393"/>
      <c r="U217" s="393"/>
      <c r="V217" s="393"/>
      <c r="W217" s="383" t="s">
        <v>1440</v>
      </c>
      <c r="X217" s="383"/>
      <c r="Y217" s="383"/>
      <c r="Z217" s="383"/>
      <c r="AA217" s="383"/>
      <c r="AB217" s="383"/>
      <c r="AC217" s="383"/>
      <c r="AD217" s="383"/>
      <c r="AE217" s="383"/>
      <c r="AF217" s="383"/>
      <c r="AG217" s="383"/>
      <c r="AH217" s="383"/>
      <c r="AI217" s="385">
        <v>291</v>
      </c>
      <c r="AJ217" s="385"/>
      <c r="AK217" s="385"/>
      <c r="AL217" s="385"/>
      <c r="AM217" s="385"/>
      <c r="AN217" s="385"/>
    </row>
    <row r="218" spans="1:40" ht="15.6" x14ac:dyDescent="0.3">
      <c r="A218" s="380" t="s">
        <v>20</v>
      </c>
      <c r="B218" s="380"/>
      <c r="C218" s="380"/>
      <c r="D218" s="380"/>
      <c r="E218" s="380"/>
      <c r="F218" s="381"/>
      <c r="G218" s="381"/>
      <c r="H218" s="381"/>
      <c r="I218" s="381"/>
      <c r="J218" s="381"/>
      <c r="K218" s="381"/>
      <c r="L218" s="381"/>
      <c r="M218" s="381"/>
      <c r="N218" s="381"/>
      <c r="O218" s="381"/>
      <c r="P218" s="381"/>
      <c r="Q218" s="381"/>
      <c r="R218" s="381"/>
      <c r="S218" s="381"/>
      <c r="T218" s="381"/>
      <c r="U218" s="381"/>
      <c r="V218" s="381"/>
      <c r="W218" s="381"/>
      <c r="X218" s="381"/>
      <c r="Y218" s="381"/>
      <c r="Z218" s="381"/>
      <c r="AA218" s="381"/>
      <c r="AB218" s="381"/>
      <c r="AC218" s="381"/>
      <c r="AD218" s="381"/>
      <c r="AE218" s="381"/>
      <c r="AF218" s="381"/>
      <c r="AG218" s="381"/>
      <c r="AH218" s="381"/>
      <c r="AI218" s="382">
        <v>4147</v>
      </c>
      <c r="AJ218" s="382"/>
      <c r="AK218" s="382"/>
      <c r="AL218" s="382"/>
      <c r="AM218" s="382"/>
      <c r="AN218" s="382"/>
    </row>
    <row r="219" spans="1:40" ht="15.6" x14ac:dyDescent="0.3">
      <c r="A219" s="386"/>
      <c r="B219" s="386"/>
      <c r="C219" s="386"/>
      <c r="D219" s="386"/>
      <c r="E219" s="386"/>
      <c r="F219" s="386"/>
      <c r="G219" s="386"/>
      <c r="H219" s="386"/>
      <c r="I219" s="386"/>
      <c r="J219" s="386"/>
      <c r="K219" s="386"/>
      <c r="L219" s="320">
        <v>2020</v>
      </c>
      <c r="M219" s="321"/>
      <c r="N219" s="321"/>
      <c r="O219" s="321"/>
      <c r="P219" s="321"/>
      <c r="Q219" s="321"/>
      <c r="R219" s="321"/>
      <c r="S219" s="321"/>
      <c r="T219" s="321"/>
      <c r="U219" s="321"/>
      <c r="V219" s="321"/>
      <c r="X219" s="320"/>
      <c r="Y219" s="320"/>
      <c r="Z219" s="320"/>
      <c r="AA219" s="320"/>
      <c r="AB219" s="320"/>
      <c r="AC219" s="320"/>
      <c r="AD219" s="320"/>
      <c r="AE219" s="320"/>
      <c r="AF219" s="320"/>
      <c r="AG219" s="320"/>
      <c r="AH219" s="320"/>
      <c r="AI219" s="386"/>
      <c r="AJ219" s="386"/>
      <c r="AK219" s="386"/>
      <c r="AL219" s="386"/>
      <c r="AM219" s="386"/>
      <c r="AN219" s="386"/>
    </row>
    <row r="220" spans="1:40" ht="15.6" x14ac:dyDescent="0.3">
      <c r="A220" s="376" t="s">
        <v>80</v>
      </c>
      <c r="B220" s="376"/>
      <c r="C220" s="376"/>
      <c r="D220" s="376"/>
      <c r="E220" s="376"/>
      <c r="F220" s="376" t="s">
        <v>1441</v>
      </c>
      <c r="G220" s="376"/>
      <c r="H220" s="376"/>
      <c r="I220" s="376"/>
      <c r="J220" s="376"/>
      <c r="K220" s="376"/>
      <c r="L220" s="392" t="s">
        <v>1442</v>
      </c>
      <c r="M220" s="392"/>
      <c r="N220" s="392"/>
      <c r="O220" s="392"/>
      <c r="P220" s="392"/>
      <c r="Q220" s="392"/>
      <c r="R220" s="392"/>
      <c r="S220" s="392"/>
      <c r="T220" s="392"/>
      <c r="U220" s="392"/>
      <c r="V220" s="392"/>
      <c r="W220" s="381"/>
      <c r="X220" s="381"/>
      <c r="Y220" s="381"/>
      <c r="Z220" s="381"/>
      <c r="AA220" s="381"/>
      <c r="AB220" s="381"/>
      <c r="AC220" s="381"/>
      <c r="AD220" s="381"/>
      <c r="AE220" s="381"/>
      <c r="AF220" s="381"/>
      <c r="AG220" s="381"/>
      <c r="AH220" s="381"/>
      <c r="AI220" s="382">
        <v>2282</v>
      </c>
      <c r="AJ220" s="382"/>
      <c r="AK220" s="382"/>
      <c r="AL220" s="382"/>
      <c r="AM220" s="382"/>
      <c r="AN220" s="382"/>
    </row>
    <row r="221" spans="1:40" ht="15" customHeight="1" x14ac:dyDescent="0.3">
      <c r="A221" s="373" t="s">
        <v>666</v>
      </c>
      <c r="B221" s="373"/>
      <c r="C221" s="373"/>
      <c r="D221" s="373"/>
      <c r="E221" s="373"/>
      <c r="F221" s="373" t="s">
        <v>1443</v>
      </c>
      <c r="G221" s="373"/>
      <c r="H221" s="373"/>
      <c r="I221" s="373"/>
      <c r="J221" s="373"/>
      <c r="K221" s="373"/>
      <c r="L221" s="391" t="s">
        <v>1444</v>
      </c>
      <c r="M221" s="391"/>
      <c r="N221" s="391"/>
      <c r="O221" s="391"/>
      <c r="P221" s="391"/>
      <c r="Q221" s="391"/>
      <c r="R221" s="391"/>
      <c r="S221" s="391"/>
      <c r="T221" s="391"/>
      <c r="U221" s="391"/>
      <c r="V221" s="391"/>
      <c r="W221" s="373" t="s">
        <v>1445</v>
      </c>
      <c r="X221" s="373"/>
      <c r="Y221" s="373"/>
      <c r="Z221" s="373"/>
      <c r="AA221" s="373"/>
      <c r="AB221" s="373"/>
      <c r="AC221" s="373"/>
      <c r="AD221" s="373"/>
      <c r="AE221" s="373"/>
      <c r="AF221" s="373"/>
      <c r="AG221" s="373"/>
      <c r="AH221" s="373"/>
      <c r="AI221" s="375">
        <v>275</v>
      </c>
      <c r="AJ221" s="375"/>
      <c r="AK221" s="375"/>
      <c r="AL221" s="375"/>
      <c r="AM221" s="375"/>
      <c r="AN221" s="375"/>
    </row>
    <row r="222" spans="1:40" ht="15" x14ac:dyDescent="0.3">
      <c r="A222" s="373" t="s">
        <v>1446</v>
      </c>
      <c r="B222" s="373"/>
      <c r="C222" s="373"/>
      <c r="D222" s="373"/>
      <c r="E222" s="373"/>
      <c r="F222" s="373" t="s">
        <v>1447</v>
      </c>
      <c r="G222" s="373"/>
      <c r="H222" s="373"/>
      <c r="I222" s="373"/>
      <c r="J222" s="373"/>
      <c r="K222" s="373"/>
      <c r="L222" s="391" t="s">
        <v>1448</v>
      </c>
      <c r="M222" s="391"/>
      <c r="N222" s="391"/>
      <c r="O222" s="391"/>
      <c r="P222" s="391"/>
      <c r="Q222" s="391"/>
      <c r="R222" s="391"/>
      <c r="S222" s="391"/>
      <c r="T222" s="391"/>
      <c r="U222" s="391"/>
      <c r="V222" s="391"/>
      <c r="W222" s="373" t="s">
        <v>506</v>
      </c>
      <c r="X222" s="373"/>
      <c r="Y222" s="373"/>
      <c r="Z222" s="373"/>
      <c r="AA222" s="373"/>
      <c r="AB222" s="373"/>
      <c r="AC222" s="373"/>
      <c r="AD222" s="373"/>
      <c r="AE222" s="373"/>
      <c r="AF222" s="373"/>
      <c r="AG222" s="373"/>
      <c r="AH222" s="373"/>
      <c r="AI222" s="375">
        <v>113</v>
      </c>
      <c r="AJ222" s="375"/>
      <c r="AK222" s="375"/>
      <c r="AL222" s="375"/>
      <c r="AM222" s="375"/>
      <c r="AN222" s="375"/>
    </row>
    <row r="223" spans="1:40" ht="15" customHeight="1" x14ac:dyDescent="0.3">
      <c r="A223" s="373" t="s">
        <v>79</v>
      </c>
      <c r="B223" s="373"/>
      <c r="C223" s="373"/>
      <c r="D223" s="373"/>
      <c r="E223" s="373"/>
      <c r="F223" s="373" t="s">
        <v>1449</v>
      </c>
      <c r="G223" s="373"/>
      <c r="H223" s="373"/>
      <c r="I223" s="373"/>
      <c r="J223" s="373"/>
      <c r="K223" s="373"/>
      <c r="L223" s="391" t="s">
        <v>1450</v>
      </c>
      <c r="M223" s="391"/>
      <c r="N223" s="391"/>
      <c r="O223" s="391"/>
      <c r="P223" s="391"/>
      <c r="Q223" s="391"/>
      <c r="R223" s="391"/>
      <c r="S223" s="391"/>
      <c r="T223" s="391"/>
      <c r="U223" s="391"/>
      <c r="V223" s="391"/>
      <c r="W223" s="373" t="s">
        <v>1451</v>
      </c>
      <c r="X223" s="373"/>
      <c r="Y223" s="373"/>
      <c r="Z223" s="373"/>
      <c r="AA223" s="373"/>
      <c r="AB223" s="373"/>
      <c r="AC223" s="373"/>
      <c r="AD223" s="373"/>
      <c r="AE223" s="373"/>
      <c r="AF223" s="373"/>
      <c r="AG223" s="373"/>
      <c r="AH223" s="373"/>
      <c r="AI223" s="375">
        <v>382</v>
      </c>
      <c r="AJ223" s="375"/>
      <c r="AK223" s="375"/>
      <c r="AL223" s="375"/>
      <c r="AM223" s="375"/>
      <c r="AN223" s="375"/>
    </row>
    <row r="224" spans="1:40" ht="15" customHeight="1" x14ac:dyDescent="0.3">
      <c r="A224" s="373" t="s">
        <v>82</v>
      </c>
      <c r="B224" s="373"/>
      <c r="C224" s="373"/>
      <c r="D224" s="373"/>
      <c r="E224" s="373"/>
      <c r="F224" s="373" t="s">
        <v>1452</v>
      </c>
      <c r="G224" s="373"/>
      <c r="H224" s="373"/>
      <c r="I224" s="373"/>
      <c r="J224" s="373"/>
      <c r="K224" s="373"/>
      <c r="L224" s="391" t="s">
        <v>1453</v>
      </c>
      <c r="M224" s="391"/>
      <c r="N224" s="391"/>
      <c r="O224" s="391"/>
      <c r="P224" s="391"/>
      <c r="Q224" s="391"/>
      <c r="R224" s="391"/>
      <c r="S224" s="391"/>
      <c r="T224" s="391"/>
      <c r="U224" s="391"/>
      <c r="V224" s="391"/>
      <c r="W224" s="373" t="s">
        <v>770</v>
      </c>
      <c r="X224" s="373"/>
      <c r="Y224" s="373"/>
      <c r="Z224" s="373"/>
      <c r="AA224" s="373"/>
      <c r="AB224" s="373"/>
      <c r="AC224" s="373"/>
      <c r="AD224" s="373"/>
      <c r="AE224" s="373"/>
      <c r="AF224" s="373"/>
      <c r="AG224" s="373"/>
      <c r="AH224" s="373"/>
      <c r="AI224" s="375">
        <v>484</v>
      </c>
      <c r="AJ224" s="375"/>
      <c r="AK224" s="375"/>
      <c r="AL224" s="375"/>
      <c r="AM224" s="375"/>
      <c r="AN224" s="375"/>
    </row>
    <row r="225" spans="1:40" ht="15" customHeight="1" x14ac:dyDescent="0.3">
      <c r="A225" s="373" t="s">
        <v>1415</v>
      </c>
      <c r="B225" s="373"/>
      <c r="C225" s="373"/>
      <c r="D225" s="373"/>
      <c r="E225" s="373"/>
      <c r="F225" s="373" t="s">
        <v>1454</v>
      </c>
      <c r="G225" s="373"/>
      <c r="H225" s="373"/>
      <c r="I225" s="373"/>
      <c r="J225" s="373"/>
      <c r="K225" s="373"/>
      <c r="L225" s="391" t="s">
        <v>1455</v>
      </c>
      <c r="M225" s="391"/>
      <c r="N225" s="391"/>
      <c r="O225" s="391"/>
      <c r="P225" s="391"/>
      <c r="Q225" s="391"/>
      <c r="R225" s="391"/>
      <c r="S225" s="391"/>
      <c r="T225" s="391"/>
      <c r="U225" s="391"/>
      <c r="V225" s="391"/>
      <c r="W225" s="373" t="s">
        <v>356</v>
      </c>
      <c r="X225" s="373"/>
      <c r="Y225" s="373"/>
      <c r="Z225" s="373"/>
      <c r="AA225" s="373"/>
      <c r="AB225" s="373"/>
      <c r="AC225" s="373"/>
      <c r="AD225" s="373"/>
      <c r="AE225" s="373"/>
      <c r="AF225" s="373"/>
      <c r="AG225" s="373"/>
      <c r="AH225" s="373"/>
      <c r="AI225" s="375">
        <v>561</v>
      </c>
      <c r="AJ225" s="375"/>
      <c r="AK225" s="375"/>
      <c r="AL225" s="375"/>
      <c r="AM225" s="375"/>
      <c r="AN225" s="375"/>
    </row>
    <row r="226" spans="1:40" ht="15" customHeight="1" x14ac:dyDescent="0.3">
      <c r="A226" s="373" t="s">
        <v>1456</v>
      </c>
      <c r="B226" s="373"/>
      <c r="C226" s="373"/>
      <c r="D226" s="373"/>
      <c r="E226" s="373"/>
      <c r="F226" s="373" t="s">
        <v>1457</v>
      </c>
      <c r="G226" s="373"/>
      <c r="H226" s="373"/>
      <c r="I226" s="373"/>
      <c r="J226" s="373"/>
      <c r="K226" s="373"/>
      <c r="L226" s="391" t="s">
        <v>1458</v>
      </c>
      <c r="M226" s="391"/>
      <c r="N226" s="391"/>
      <c r="O226" s="391"/>
      <c r="P226" s="391"/>
      <c r="Q226" s="391"/>
      <c r="R226" s="391"/>
      <c r="S226" s="391"/>
      <c r="T226" s="391"/>
      <c r="U226" s="391"/>
      <c r="V226" s="391"/>
      <c r="W226" s="373" t="s">
        <v>1459</v>
      </c>
      <c r="X226" s="373"/>
      <c r="Y226" s="373"/>
      <c r="Z226" s="373"/>
      <c r="AA226" s="373"/>
      <c r="AB226" s="373"/>
      <c r="AC226" s="373"/>
      <c r="AD226" s="373"/>
      <c r="AE226" s="373"/>
      <c r="AF226" s="373"/>
      <c r="AG226" s="373"/>
      <c r="AH226" s="373"/>
      <c r="AI226" s="375">
        <v>365</v>
      </c>
      <c r="AJ226" s="375"/>
      <c r="AK226" s="375"/>
      <c r="AL226" s="375"/>
      <c r="AM226" s="375"/>
      <c r="AN226" s="375"/>
    </row>
    <row r="227" spans="1:40" ht="15" x14ac:dyDescent="0.3">
      <c r="A227" s="373" t="s">
        <v>1456</v>
      </c>
      <c r="B227" s="373"/>
      <c r="C227" s="373"/>
      <c r="D227" s="373"/>
      <c r="E227" s="373"/>
      <c r="F227" s="373" t="s">
        <v>1460</v>
      </c>
      <c r="G227" s="373"/>
      <c r="H227" s="373"/>
      <c r="I227" s="373"/>
      <c r="J227" s="373"/>
      <c r="K227" s="373"/>
      <c r="L227" s="391" t="s">
        <v>1461</v>
      </c>
      <c r="M227" s="391"/>
      <c r="N227" s="391"/>
      <c r="O227" s="391"/>
      <c r="P227" s="391"/>
      <c r="Q227" s="391"/>
      <c r="R227" s="391"/>
      <c r="S227" s="391"/>
      <c r="T227" s="391"/>
      <c r="U227" s="391"/>
      <c r="V227" s="391"/>
      <c r="W227" s="373" t="s">
        <v>1459</v>
      </c>
      <c r="X227" s="373"/>
      <c r="Y227" s="373"/>
      <c r="Z227" s="373"/>
      <c r="AA227" s="373"/>
      <c r="AB227" s="373"/>
      <c r="AC227" s="373"/>
      <c r="AD227" s="373"/>
      <c r="AE227" s="373"/>
      <c r="AF227" s="373"/>
      <c r="AG227" s="373"/>
      <c r="AH227" s="373"/>
      <c r="AI227" s="375">
        <v>296</v>
      </c>
      <c r="AJ227" s="375"/>
      <c r="AK227" s="375"/>
      <c r="AL227" s="375"/>
      <c r="AM227" s="375"/>
      <c r="AN227" s="375"/>
    </row>
    <row r="228" spans="1:40" ht="15" customHeight="1" x14ac:dyDescent="0.3">
      <c r="A228" s="373" t="s">
        <v>666</v>
      </c>
      <c r="B228" s="373"/>
      <c r="C228" s="373"/>
      <c r="D228" s="373"/>
      <c r="E228" s="373"/>
      <c r="F228" s="373" t="s">
        <v>1462</v>
      </c>
      <c r="G228" s="373"/>
      <c r="H228" s="373"/>
      <c r="I228" s="373"/>
      <c r="J228" s="373"/>
      <c r="K228" s="373"/>
      <c r="L228" s="391" t="s">
        <v>1463</v>
      </c>
      <c r="M228" s="391"/>
      <c r="N228" s="391"/>
      <c r="O228" s="391"/>
      <c r="P228" s="391"/>
      <c r="Q228" s="391"/>
      <c r="R228" s="391"/>
      <c r="S228" s="391"/>
      <c r="T228" s="391"/>
      <c r="U228" s="391"/>
      <c r="V228" s="391"/>
      <c r="W228" s="373" t="s">
        <v>1464</v>
      </c>
      <c r="X228" s="373"/>
      <c r="Y228" s="373"/>
      <c r="Z228" s="373"/>
      <c r="AA228" s="373"/>
      <c r="AB228" s="373"/>
      <c r="AC228" s="373"/>
      <c r="AD228" s="373"/>
      <c r="AE228" s="373"/>
      <c r="AF228" s="373"/>
      <c r="AG228" s="373"/>
      <c r="AH228" s="373"/>
      <c r="AI228" s="375">
        <v>363</v>
      </c>
      <c r="AJ228" s="375"/>
      <c r="AK228" s="375"/>
      <c r="AL228" s="375"/>
      <c r="AM228" s="375"/>
      <c r="AN228" s="375"/>
    </row>
    <row r="229" spans="1:40" ht="15" customHeight="1" x14ac:dyDescent="0.3">
      <c r="A229" s="373" t="s">
        <v>1411</v>
      </c>
      <c r="B229" s="373"/>
      <c r="C229" s="373"/>
      <c r="D229" s="373"/>
      <c r="E229" s="373"/>
      <c r="F229" s="373" t="s">
        <v>1465</v>
      </c>
      <c r="G229" s="373"/>
      <c r="H229" s="373"/>
      <c r="I229" s="373"/>
      <c r="J229" s="373"/>
      <c r="K229" s="373"/>
      <c r="L229" s="391" t="s">
        <v>1466</v>
      </c>
      <c r="M229" s="391"/>
      <c r="N229" s="391"/>
      <c r="O229" s="391"/>
      <c r="P229" s="391"/>
      <c r="Q229" s="391"/>
      <c r="R229" s="391"/>
      <c r="S229" s="391"/>
      <c r="T229" s="391"/>
      <c r="U229" s="391"/>
      <c r="V229" s="391"/>
      <c r="W229" s="373" t="s">
        <v>1467</v>
      </c>
      <c r="X229" s="373"/>
      <c r="Y229" s="373"/>
      <c r="Z229" s="373"/>
      <c r="AA229" s="373"/>
      <c r="AB229" s="373"/>
      <c r="AC229" s="373"/>
      <c r="AD229" s="373"/>
      <c r="AE229" s="373"/>
      <c r="AF229" s="373"/>
      <c r="AG229" s="373"/>
      <c r="AH229" s="373"/>
      <c r="AI229" s="375">
        <v>326</v>
      </c>
      <c r="AJ229" s="375"/>
      <c r="AK229" s="375"/>
      <c r="AL229" s="375"/>
      <c r="AM229" s="375"/>
      <c r="AN229" s="375"/>
    </row>
    <row r="230" spans="1:40" ht="15" customHeight="1" x14ac:dyDescent="0.3">
      <c r="A230" s="373" t="s">
        <v>84</v>
      </c>
      <c r="B230" s="373"/>
      <c r="C230" s="373"/>
      <c r="D230" s="373"/>
      <c r="E230" s="373"/>
      <c r="F230" s="373" t="s">
        <v>1468</v>
      </c>
      <c r="G230" s="373"/>
      <c r="H230" s="373"/>
      <c r="I230" s="373"/>
      <c r="J230" s="373"/>
      <c r="K230" s="373"/>
      <c r="L230" s="391" t="s">
        <v>1469</v>
      </c>
      <c r="M230" s="391"/>
      <c r="N230" s="391"/>
      <c r="O230" s="391"/>
      <c r="P230" s="391"/>
      <c r="Q230" s="391"/>
      <c r="R230" s="391"/>
      <c r="S230" s="391"/>
      <c r="T230" s="391"/>
      <c r="U230" s="391"/>
      <c r="V230" s="391"/>
      <c r="W230" s="373" t="s">
        <v>1470</v>
      </c>
      <c r="X230" s="373"/>
      <c r="Y230" s="373"/>
      <c r="Z230" s="373"/>
      <c r="AA230" s="373"/>
      <c r="AB230" s="373"/>
      <c r="AC230" s="373"/>
      <c r="AD230" s="373"/>
      <c r="AE230" s="373"/>
      <c r="AF230" s="373"/>
      <c r="AG230" s="373"/>
      <c r="AH230" s="373"/>
      <c r="AI230" s="379">
        <v>1106</v>
      </c>
      <c r="AJ230" s="379"/>
      <c r="AK230" s="379"/>
      <c r="AL230" s="379"/>
      <c r="AM230" s="379"/>
      <c r="AN230" s="379"/>
    </row>
    <row r="231" spans="1:40" ht="15" customHeight="1" x14ac:dyDescent="0.3">
      <c r="A231" s="383" t="s">
        <v>1471</v>
      </c>
      <c r="B231" s="383"/>
      <c r="C231" s="383"/>
      <c r="D231" s="383"/>
      <c r="E231" s="383"/>
      <c r="F231" s="383" t="s">
        <v>1472</v>
      </c>
      <c r="G231" s="383"/>
      <c r="H231" s="383"/>
      <c r="I231" s="383"/>
      <c r="J231" s="383"/>
      <c r="K231" s="383"/>
      <c r="L231" s="393" t="s">
        <v>1473</v>
      </c>
      <c r="M231" s="393"/>
      <c r="N231" s="393"/>
      <c r="O231" s="393"/>
      <c r="P231" s="393"/>
      <c r="Q231" s="393"/>
      <c r="R231" s="393"/>
      <c r="S231" s="393"/>
      <c r="T231" s="393"/>
      <c r="U231" s="393"/>
      <c r="V231" s="393"/>
      <c r="W231" s="383" t="s">
        <v>1474</v>
      </c>
      <c r="X231" s="383"/>
      <c r="Y231" s="383"/>
      <c r="Z231" s="383"/>
      <c r="AA231" s="383"/>
      <c r="AB231" s="383"/>
      <c r="AC231" s="383"/>
      <c r="AD231" s="383"/>
      <c r="AE231" s="383"/>
      <c r="AF231" s="383"/>
      <c r="AG231" s="383"/>
      <c r="AH231" s="383"/>
      <c r="AI231" s="385">
        <v>140</v>
      </c>
      <c r="AJ231" s="385"/>
      <c r="AK231" s="385"/>
      <c r="AL231" s="385"/>
      <c r="AM231" s="385"/>
      <c r="AN231" s="385"/>
    </row>
  </sheetData>
  <mergeCells count="511">
    <mergeCell ref="A231:E231"/>
    <mergeCell ref="F231:K231"/>
    <mergeCell ref="L231:V231"/>
    <mergeCell ref="W231:AH231"/>
    <mergeCell ref="AI231:AN231"/>
    <mergeCell ref="A230:E230"/>
    <mergeCell ref="F230:K230"/>
    <mergeCell ref="L230:V230"/>
    <mergeCell ref="W230:AH230"/>
    <mergeCell ref="AI230:AN230"/>
    <mergeCell ref="A229:E229"/>
    <mergeCell ref="F229:K229"/>
    <mergeCell ref="L229:V229"/>
    <mergeCell ref="W229:AH229"/>
    <mergeCell ref="AI229:AN229"/>
    <mergeCell ref="A228:E228"/>
    <mergeCell ref="F228:K228"/>
    <mergeCell ref="L228:V228"/>
    <mergeCell ref="W228:AH228"/>
    <mergeCell ref="AI228:AN228"/>
    <mergeCell ref="A227:E227"/>
    <mergeCell ref="F227:K227"/>
    <mergeCell ref="L227:V227"/>
    <mergeCell ref="W227:AH227"/>
    <mergeCell ref="AI227:AN227"/>
    <mergeCell ref="A226:E226"/>
    <mergeCell ref="F226:K226"/>
    <mergeCell ref="L226:V226"/>
    <mergeCell ref="W226:AH226"/>
    <mergeCell ref="AI226:AN226"/>
    <mergeCell ref="A225:E225"/>
    <mergeCell ref="F225:K225"/>
    <mergeCell ref="L225:V225"/>
    <mergeCell ref="W225:AH225"/>
    <mergeCell ref="AI225:AN225"/>
    <mergeCell ref="A224:E224"/>
    <mergeCell ref="F224:K224"/>
    <mergeCell ref="L224:V224"/>
    <mergeCell ref="W224:AH224"/>
    <mergeCell ref="AI224:AN224"/>
    <mergeCell ref="A223:E223"/>
    <mergeCell ref="F223:K223"/>
    <mergeCell ref="L223:V223"/>
    <mergeCell ref="W223:AH223"/>
    <mergeCell ref="AI223:AN223"/>
    <mergeCell ref="A222:E222"/>
    <mergeCell ref="F222:K222"/>
    <mergeCell ref="L222:V222"/>
    <mergeCell ref="W222:AH222"/>
    <mergeCell ref="AI222:AN222"/>
    <mergeCell ref="A221:E221"/>
    <mergeCell ref="F221:K221"/>
    <mergeCell ref="L221:V221"/>
    <mergeCell ref="W221:AH221"/>
    <mergeCell ref="AI221:AN221"/>
    <mergeCell ref="A220:E220"/>
    <mergeCell ref="F220:K220"/>
    <mergeCell ref="L220:V220"/>
    <mergeCell ref="W220:AH220"/>
    <mergeCell ref="AI220:AN220"/>
    <mergeCell ref="A219:E219"/>
    <mergeCell ref="F219:K219"/>
    <mergeCell ref="AI219:AN219"/>
    <mergeCell ref="A218:E218"/>
    <mergeCell ref="F218:K218"/>
    <mergeCell ref="L218:V218"/>
    <mergeCell ref="W218:AH218"/>
    <mergeCell ref="AI218:AN218"/>
    <mergeCell ref="A217:E217"/>
    <mergeCell ref="F217:K217"/>
    <mergeCell ref="L217:V217"/>
    <mergeCell ref="W217:AH217"/>
    <mergeCell ref="AI217:AN217"/>
    <mergeCell ref="A216:E216"/>
    <mergeCell ref="F216:K216"/>
    <mergeCell ref="L216:V216"/>
    <mergeCell ref="W216:AH216"/>
    <mergeCell ref="AI216:AN216"/>
    <mergeCell ref="A215:E215"/>
    <mergeCell ref="F215:K215"/>
    <mergeCell ref="L215:V215"/>
    <mergeCell ref="W215:AH215"/>
    <mergeCell ref="AI215:AN215"/>
    <mergeCell ref="A214:E214"/>
    <mergeCell ref="F214:K214"/>
    <mergeCell ref="L214:V214"/>
    <mergeCell ref="W214:AH214"/>
    <mergeCell ref="AI214:AN214"/>
    <mergeCell ref="A213:E213"/>
    <mergeCell ref="F213:K213"/>
    <mergeCell ref="L213:V213"/>
    <mergeCell ref="W213:AH213"/>
    <mergeCell ref="AI213:AN213"/>
    <mergeCell ref="A212:E212"/>
    <mergeCell ref="F212:K212"/>
    <mergeCell ref="L212:V212"/>
    <mergeCell ref="W212:AH212"/>
    <mergeCell ref="AI212:AN212"/>
    <mergeCell ref="A211:E211"/>
    <mergeCell ref="F211:K211"/>
    <mergeCell ref="L211:V211"/>
    <mergeCell ref="W211:AH211"/>
    <mergeCell ref="AI211:AN211"/>
    <mergeCell ref="A210:E210"/>
    <mergeCell ref="F210:K210"/>
    <mergeCell ref="L210:V210"/>
    <mergeCell ref="W210:AH210"/>
    <mergeCell ref="AI210:AN210"/>
    <mergeCell ref="A209:E209"/>
    <mergeCell ref="F209:K209"/>
    <mergeCell ref="L209:V209"/>
    <mergeCell ref="W209:AH209"/>
    <mergeCell ref="AI209:AN209"/>
    <mergeCell ref="A208:E208"/>
    <mergeCell ref="F208:K208"/>
    <mergeCell ref="L208:V208"/>
    <mergeCell ref="W208:AH208"/>
    <mergeCell ref="AI208:AN208"/>
    <mergeCell ref="A207:E207"/>
    <mergeCell ref="F207:K207"/>
    <mergeCell ref="L207:V207"/>
    <mergeCell ref="W207:AH207"/>
    <mergeCell ref="AI207:AN207"/>
    <mergeCell ref="A205:E205"/>
    <mergeCell ref="F205:L205"/>
    <mergeCell ref="M205:AJ205"/>
    <mergeCell ref="AK205:AN205"/>
    <mergeCell ref="A204:E204"/>
    <mergeCell ref="F204:L204"/>
    <mergeCell ref="M204:AJ204"/>
    <mergeCell ref="AK204:AN204"/>
    <mergeCell ref="A203:E203"/>
    <mergeCell ref="F203:L203"/>
    <mergeCell ref="M203:AJ203"/>
    <mergeCell ref="AK203:AN203"/>
    <mergeCell ref="A202:E202"/>
    <mergeCell ref="F202:L202"/>
    <mergeCell ref="M202:AJ202"/>
    <mergeCell ref="AK202:AN202"/>
    <mergeCell ref="A201:E201"/>
    <mergeCell ref="F201:L201"/>
    <mergeCell ref="M201:AJ201"/>
    <mergeCell ref="AK201:AN201"/>
    <mergeCell ref="A200:E200"/>
    <mergeCell ref="F200:L200"/>
    <mergeCell ref="M200:AJ200"/>
    <mergeCell ref="AK200:AN200"/>
    <mergeCell ref="A199:E199"/>
    <mergeCell ref="F199:L199"/>
    <mergeCell ref="M199:AJ199"/>
    <mergeCell ref="AK199:AN199"/>
    <mergeCell ref="A198:E198"/>
    <mergeCell ref="F198:L198"/>
    <mergeCell ref="M198:AJ198"/>
    <mergeCell ref="AK198:AN198"/>
    <mergeCell ref="A197:E197"/>
    <mergeCell ref="F197:L197"/>
    <mergeCell ref="M197:AJ197"/>
    <mergeCell ref="AK197:AN197"/>
    <mergeCell ref="A196:E196"/>
    <mergeCell ref="F196:L196"/>
    <mergeCell ref="M196:AJ196"/>
    <mergeCell ref="AK196:AN196"/>
    <mergeCell ref="A195:E195"/>
    <mergeCell ref="F195:L195"/>
    <mergeCell ref="M195:AJ195"/>
    <mergeCell ref="AK195:AN195"/>
    <mergeCell ref="A194:E194"/>
    <mergeCell ref="F194:L194"/>
    <mergeCell ref="M194:AJ194"/>
    <mergeCell ref="AK194:AN194"/>
    <mergeCell ref="A193:E193"/>
    <mergeCell ref="F193:L193"/>
    <mergeCell ref="M193:AJ193"/>
    <mergeCell ref="AK193:AN193"/>
    <mergeCell ref="A192:E192"/>
    <mergeCell ref="F192:L192"/>
    <mergeCell ref="M192:AJ192"/>
    <mergeCell ref="AK192:AN192"/>
    <mergeCell ref="A191:E191"/>
    <mergeCell ref="F191:L191"/>
    <mergeCell ref="M191:AJ191"/>
    <mergeCell ref="AK191:AN191"/>
    <mergeCell ref="A190:E190"/>
    <mergeCell ref="F190:L190"/>
    <mergeCell ref="AK190:AN190"/>
    <mergeCell ref="A189:E189"/>
    <mergeCell ref="F189:L189"/>
    <mergeCell ref="M189:AJ189"/>
    <mergeCell ref="AK189:AN189"/>
    <mergeCell ref="A188:E188"/>
    <mergeCell ref="F188:L188"/>
    <mergeCell ref="M188:AJ188"/>
    <mergeCell ref="AK188:AN188"/>
    <mergeCell ref="A187:E187"/>
    <mergeCell ref="F187:L187"/>
    <mergeCell ref="M187:AJ187"/>
    <mergeCell ref="AK187:AN187"/>
    <mergeCell ref="A186:E186"/>
    <mergeCell ref="F186:L186"/>
    <mergeCell ref="M186:AJ186"/>
    <mergeCell ref="AK186:AN186"/>
    <mergeCell ref="A185:E185"/>
    <mergeCell ref="F185:L185"/>
    <mergeCell ref="M185:AJ185"/>
    <mergeCell ref="AK185:AN185"/>
    <mergeCell ref="A184:E184"/>
    <mergeCell ref="F184:L184"/>
    <mergeCell ref="M184:AJ184"/>
    <mergeCell ref="AK184:AN184"/>
    <mergeCell ref="A183:E183"/>
    <mergeCell ref="F183:L183"/>
    <mergeCell ref="M183:AJ183"/>
    <mergeCell ref="AK183:AN183"/>
    <mergeCell ref="A182:E182"/>
    <mergeCell ref="F182:L182"/>
    <mergeCell ref="M182:AJ182"/>
    <mergeCell ref="AK182:AN182"/>
    <mergeCell ref="A181:E181"/>
    <mergeCell ref="F181:L181"/>
    <mergeCell ref="M181:AJ181"/>
    <mergeCell ref="AK181:AN181"/>
    <mergeCell ref="A180:E180"/>
    <mergeCell ref="F180:L180"/>
    <mergeCell ref="M180:AJ180"/>
    <mergeCell ref="AK180:AN180"/>
    <mergeCell ref="A179:E179"/>
    <mergeCell ref="F179:L179"/>
    <mergeCell ref="M179:AJ179"/>
    <mergeCell ref="AK179:AN179"/>
    <mergeCell ref="A178:E178"/>
    <mergeCell ref="F178:L178"/>
    <mergeCell ref="M178:AJ178"/>
    <mergeCell ref="AK178:AN178"/>
    <mergeCell ref="A177:E177"/>
    <mergeCell ref="F177:L177"/>
    <mergeCell ref="M177:AJ177"/>
    <mergeCell ref="AK177:AN177"/>
    <mergeCell ref="A176:E176"/>
    <mergeCell ref="F176:L176"/>
    <mergeCell ref="AK176:AN176"/>
    <mergeCell ref="A175:E175"/>
    <mergeCell ref="F175:L175"/>
    <mergeCell ref="M175:AJ175"/>
    <mergeCell ref="AK175:AN175"/>
    <mergeCell ref="A174:E174"/>
    <mergeCell ref="F174:L174"/>
    <mergeCell ref="M174:AJ174"/>
    <mergeCell ref="AK174:AN174"/>
    <mergeCell ref="A173:E173"/>
    <mergeCell ref="F173:L173"/>
    <mergeCell ref="M173:AJ173"/>
    <mergeCell ref="AK173:AN173"/>
    <mergeCell ref="A172:E172"/>
    <mergeCell ref="F172:L172"/>
    <mergeCell ref="M172:AJ172"/>
    <mergeCell ref="AK172:AN172"/>
    <mergeCell ref="A171:E171"/>
    <mergeCell ref="F171:L171"/>
    <mergeCell ref="M171:AJ171"/>
    <mergeCell ref="AK171:AN171"/>
    <mergeCell ref="A170:E170"/>
    <mergeCell ref="F170:L170"/>
    <mergeCell ref="M170:AJ170"/>
    <mergeCell ref="AK170:AN170"/>
    <mergeCell ref="A169:E169"/>
    <mergeCell ref="F169:L169"/>
    <mergeCell ref="M169:AJ169"/>
    <mergeCell ref="AK169:AN169"/>
    <mergeCell ref="A168:E168"/>
    <mergeCell ref="F168:L168"/>
    <mergeCell ref="M168:AJ168"/>
    <mergeCell ref="AK168:AN168"/>
    <mergeCell ref="A167:E167"/>
    <mergeCell ref="F167:L167"/>
    <mergeCell ref="M167:AJ167"/>
    <mergeCell ref="AK167:AN167"/>
    <mergeCell ref="A166:E166"/>
    <mergeCell ref="F166:L166"/>
    <mergeCell ref="M166:AJ166"/>
    <mergeCell ref="AK166:AN166"/>
    <mergeCell ref="A165:E165"/>
    <mergeCell ref="F165:L165"/>
    <mergeCell ref="M165:AJ165"/>
    <mergeCell ref="AK165:AN165"/>
    <mergeCell ref="A164:E164"/>
    <mergeCell ref="F164:L164"/>
    <mergeCell ref="M164:AJ164"/>
    <mergeCell ref="AK164:AN164"/>
    <mergeCell ref="A163:E163"/>
    <mergeCell ref="F163:L163"/>
    <mergeCell ref="M163:AJ163"/>
    <mergeCell ref="AK163:AN163"/>
    <mergeCell ref="A162:E162"/>
    <mergeCell ref="F162:L162"/>
    <mergeCell ref="M162:AJ162"/>
    <mergeCell ref="AK162:AN162"/>
    <mergeCell ref="A161:E161"/>
    <mergeCell ref="F161:L161"/>
    <mergeCell ref="M161:AJ161"/>
    <mergeCell ref="AK161:AN161"/>
    <mergeCell ref="A160:E160"/>
    <mergeCell ref="F160:L160"/>
    <mergeCell ref="M160:AJ160"/>
    <mergeCell ref="AK160:AN160"/>
    <mergeCell ref="A159:E159"/>
    <mergeCell ref="F159:L159"/>
    <mergeCell ref="M159:AJ159"/>
    <mergeCell ref="AK159:AN159"/>
    <mergeCell ref="A158:E158"/>
    <mergeCell ref="F158:L158"/>
    <mergeCell ref="M158:AJ158"/>
    <mergeCell ref="AK158:AN158"/>
    <mergeCell ref="A157:E157"/>
    <mergeCell ref="F157:L157"/>
    <mergeCell ref="AK157:AN157"/>
    <mergeCell ref="A156:E156"/>
    <mergeCell ref="F156:L156"/>
    <mergeCell ref="M156:AJ156"/>
    <mergeCell ref="AK156:AN156"/>
    <mergeCell ref="A155:E155"/>
    <mergeCell ref="F155:L155"/>
    <mergeCell ref="M155:AJ155"/>
    <mergeCell ref="AK155:AN155"/>
    <mergeCell ref="A154:E154"/>
    <mergeCell ref="F154:L154"/>
    <mergeCell ref="M154:AJ154"/>
    <mergeCell ref="AK154:AN154"/>
    <mergeCell ref="A153:E153"/>
    <mergeCell ref="F153:L153"/>
    <mergeCell ref="M153:AJ153"/>
    <mergeCell ref="AK153:AN153"/>
    <mergeCell ref="A152:E152"/>
    <mergeCell ref="F152:L152"/>
    <mergeCell ref="M152:AJ152"/>
    <mergeCell ref="AK152:AN152"/>
    <mergeCell ref="A151:E151"/>
    <mergeCell ref="F151:L151"/>
    <mergeCell ref="M151:AJ151"/>
    <mergeCell ref="AK151:AN151"/>
    <mergeCell ref="A150:E150"/>
    <mergeCell ref="F150:L150"/>
    <mergeCell ref="M150:AJ150"/>
    <mergeCell ref="AK150:AN150"/>
    <mergeCell ref="A149:E149"/>
    <mergeCell ref="F149:L149"/>
    <mergeCell ref="M149:AJ149"/>
    <mergeCell ref="AK149:AN149"/>
    <mergeCell ref="A148:E148"/>
    <mergeCell ref="F148:L148"/>
    <mergeCell ref="M148:AJ148"/>
    <mergeCell ref="AK148:AN148"/>
    <mergeCell ref="A147:E147"/>
    <mergeCell ref="F147:L147"/>
    <mergeCell ref="M147:AJ147"/>
    <mergeCell ref="AK147:AN147"/>
    <mergeCell ref="A146:E146"/>
    <mergeCell ref="F146:L146"/>
    <mergeCell ref="M146:AJ146"/>
    <mergeCell ref="AK146:AN146"/>
    <mergeCell ref="A145:E145"/>
    <mergeCell ref="F145:L145"/>
    <mergeCell ref="M145:AJ145"/>
    <mergeCell ref="AK145:AN145"/>
    <mergeCell ref="A144:E144"/>
    <mergeCell ref="F144:L144"/>
    <mergeCell ref="M144:AJ144"/>
    <mergeCell ref="AK144:AN144"/>
    <mergeCell ref="A143:E143"/>
    <mergeCell ref="F143:L143"/>
    <mergeCell ref="M143:AJ143"/>
    <mergeCell ref="AK143:AN143"/>
    <mergeCell ref="A142:E142"/>
    <mergeCell ref="F142:L142"/>
    <mergeCell ref="M142:AJ142"/>
    <mergeCell ref="AK142:AN142"/>
    <mergeCell ref="A141:E141"/>
    <mergeCell ref="F141:L141"/>
    <mergeCell ref="M141:AJ141"/>
    <mergeCell ref="AK141:AN141"/>
    <mergeCell ref="A140:E140"/>
    <mergeCell ref="F140:L140"/>
    <mergeCell ref="M140:AJ140"/>
    <mergeCell ref="AK140:AN140"/>
    <mergeCell ref="A139:E139"/>
    <mergeCell ref="F139:L139"/>
    <mergeCell ref="M139:AJ139"/>
    <mergeCell ref="AK139:AN139"/>
    <mergeCell ref="A138:E138"/>
    <mergeCell ref="F138:L138"/>
    <mergeCell ref="M138:AJ138"/>
    <mergeCell ref="AK138:AN138"/>
    <mergeCell ref="A137:E137"/>
    <mergeCell ref="F137:L137"/>
    <mergeCell ref="AK137:AN137"/>
    <mergeCell ref="A136:E136"/>
    <mergeCell ref="F136:L136"/>
    <mergeCell ref="M136:AJ136"/>
    <mergeCell ref="AK136:AN136"/>
    <mergeCell ref="A135:E135"/>
    <mergeCell ref="F135:L135"/>
    <mergeCell ref="M135:AJ135"/>
    <mergeCell ref="AK135:AN135"/>
    <mergeCell ref="A134:E134"/>
    <mergeCell ref="F134:L134"/>
    <mergeCell ref="M134:AJ134"/>
    <mergeCell ref="AK134:AN134"/>
    <mergeCell ref="A133:E133"/>
    <mergeCell ref="F133:L133"/>
    <mergeCell ref="M133:AJ133"/>
    <mergeCell ref="AK133:AN133"/>
    <mergeCell ref="A132:E132"/>
    <mergeCell ref="F132:L132"/>
    <mergeCell ref="M132:AJ132"/>
    <mergeCell ref="AK132:AN132"/>
    <mergeCell ref="A131:E131"/>
    <mergeCell ref="F131:L131"/>
    <mergeCell ref="M131:AJ131"/>
    <mergeCell ref="AK131:AN131"/>
    <mergeCell ref="A130:E130"/>
    <mergeCell ref="F130:L130"/>
    <mergeCell ref="M130:AJ130"/>
    <mergeCell ref="AK130:AN130"/>
    <mergeCell ref="A129:E129"/>
    <mergeCell ref="F129:L129"/>
    <mergeCell ref="M129:AJ129"/>
    <mergeCell ref="AK129:AN129"/>
    <mergeCell ref="A128:E128"/>
    <mergeCell ref="F128:L128"/>
    <mergeCell ref="M128:AJ128"/>
    <mergeCell ref="AK128:AN128"/>
    <mergeCell ref="A127:E127"/>
    <mergeCell ref="F127:L127"/>
    <mergeCell ref="M127:AJ127"/>
    <mergeCell ref="AK127:AN127"/>
    <mergeCell ref="A126:E126"/>
    <mergeCell ref="F126:L126"/>
    <mergeCell ref="M126:AJ126"/>
    <mergeCell ref="AK126:AN126"/>
    <mergeCell ref="A125:E125"/>
    <mergeCell ref="F125:L125"/>
    <mergeCell ref="M125:AJ125"/>
    <mergeCell ref="AK125:AN125"/>
    <mergeCell ref="A124:E124"/>
    <mergeCell ref="F124:L124"/>
    <mergeCell ref="M124:AJ124"/>
    <mergeCell ref="AK124:AN124"/>
    <mergeCell ref="A123:E123"/>
    <mergeCell ref="F123:L123"/>
    <mergeCell ref="M123:AJ123"/>
    <mergeCell ref="AK123:AN123"/>
    <mergeCell ref="A122:E122"/>
    <mergeCell ref="F122:L122"/>
    <mergeCell ref="M122:AJ122"/>
    <mergeCell ref="AK122:AN122"/>
    <mergeCell ref="A121:E121"/>
    <mergeCell ref="F121:L121"/>
    <mergeCell ref="M121:AJ121"/>
    <mergeCell ref="AK121:AN121"/>
    <mergeCell ref="A120:E120"/>
    <mergeCell ref="F120:L120"/>
    <mergeCell ref="M120:AJ120"/>
    <mergeCell ref="AK120:AN120"/>
    <mergeCell ref="A119:E119"/>
    <mergeCell ref="F119:L119"/>
    <mergeCell ref="M119:AJ119"/>
    <mergeCell ref="AK119:AN119"/>
    <mergeCell ref="A118:E118"/>
    <mergeCell ref="F118:L118"/>
    <mergeCell ref="M118:AJ118"/>
    <mergeCell ref="AK118:AN118"/>
    <mergeCell ref="A117:E117"/>
    <mergeCell ref="F117:L117"/>
    <mergeCell ref="M117:AJ117"/>
    <mergeCell ref="AK117:AN117"/>
    <mergeCell ref="A116:E116"/>
    <mergeCell ref="F116:L116"/>
    <mergeCell ref="M116:AJ116"/>
    <mergeCell ref="AK116:AN116"/>
    <mergeCell ref="A115:E115"/>
    <mergeCell ref="F115:L115"/>
    <mergeCell ref="M115:AJ115"/>
    <mergeCell ref="AK115:AN115"/>
    <mergeCell ref="A114:E114"/>
    <mergeCell ref="F114:L114"/>
    <mergeCell ref="M114:AJ114"/>
    <mergeCell ref="AK114:AN114"/>
    <mergeCell ref="A113:E113"/>
    <mergeCell ref="F113:L113"/>
    <mergeCell ref="M113:AJ113"/>
    <mergeCell ref="AK113:AN113"/>
    <mergeCell ref="A109:E109"/>
    <mergeCell ref="F109:L109"/>
    <mergeCell ref="M109:AJ109"/>
    <mergeCell ref="AK109:AN109"/>
    <mergeCell ref="A108:E108"/>
    <mergeCell ref="F108:L108"/>
    <mergeCell ref="M108:AJ108"/>
    <mergeCell ref="AK108:AN108"/>
    <mergeCell ref="A112:E112"/>
    <mergeCell ref="F112:L112"/>
    <mergeCell ref="M112:AJ112"/>
    <mergeCell ref="AK112:AN112"/>
    <mergeCell ref="A111:E111"/>
    <mergeCell ref="F111:L111"/>
    <mergeCell ref="M111:AJ111"/>
    <mergeCell ref="AK111:AN111"/>
    <mergeCell ref="A110:E110"/>
    <mergeCell ref="F110:L110"/>
    <mergeCell ref="M110:AJ110"/>
    <mergeCell ref="AK110:AN110"/>
  </mergeCells>
  <conditionalFormatting sqref="A15:E29 A13:E13">
    <cfRule type="expression" dxfId="0" priority="3">
      <formula>AND(MOD(ROW(#REF!),2)=1,LEN(A$16)&gt;0,ROW()&gt;16)</formula>
    </cfRule>
  </conditionalFormatting>
  <pageMargins left="0.7" right="0.7" top="0.75" bottom="0.75" header="0.3" footer="0.3"/>
  <pageSetup orientation="portrait" r:id="rId1"/>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R136"/>
  <sheetViews>
    <sheetView zoomScale="85" zoomScaleNormal="85" workbookViewId="0">
      <selection activeCell="J100" sqref="J100:N100"/>
    </sheetView>
  </sheetViews>
  <sheetFormatPr defaultRowHeight="14.4" x14ac:dyDescent="0.3"/>
  <cols>
    <col min="1" max="1" width="22.6640625" customWidth="1"/>
    <col min="2" max="2" width="10.6640625" customWidth="1"/>
    <col min="3" max="3" width="9.88671875" customWidth="1"/>
    <col min="4" max="4" width="9.6640625" customWidth="1"/>
    <col min="5" max="7" width="9.109375" customWidth="1"/>
    <col min="9" max="9" width="15.6640625" customWidth="1"/>
    <col min="10" max="10" width="10" bestFit="1" customWidth="1"/>
    <col min="13" max="13" width="15.6640625" customWidth="1"/>
    <col min="14" max="14" width="10" bestFit="1" customWidth="1"/>
    <col min="17" max="17" width="15.5546875" bestFit="1" customWidth="1"/>
  </cols>
  <sheetData>
    <row r="1" spans="1:14" x14ac:dyDescent="0.3">
      <c r="A1" s="41" t="s">
        <v>1017</v>
      </c>
      <c r="I1" s="41" t="s">
        <v>1029</v>
      </c>
      <c r="M1" s="41" t="s">
        <v>1030</v>
      </c>
    </row>
    <row r="3" spans="1:14" s="160" customFormat="1" x14ac:dyDescent="0.3">
      <c r="A3" s="160" t="s">
        <v>1016</v>
      </c>
      <c r="B3" s="160" t="s">
        <v>1015</v>
      </c>
      <c r="C3" s="160" t="s">
        <v>1014</v>
      </c>
      <c r="I3" s="160" t="s">
        <v>1016</v>
      </c>
      <c r="J3" s="160" t="s">
        <v>1031</v>
      </c>
      <c r="M3" s="160" t="s">
        <v>1016</v>
      </c>
      <c r="N3" s="160" t="s">
        <v>1031</v>
      </c>
    </row>
    <row r="4" spans="1:14" x14ac:dyDescent="0.3">
      <c r="A4" t="s">
        <v>899</v>
      </c>
      <c r="B4" s="117">
        <v>41086</v>
      </c>
      <c r="C4" s="114">
        <v>1</v>
      </c>
      <c r="I4" t="s">
        <v>899</v>
      </c>
      <c r="J4" s="166">
        <v>426</v>
      </c>
      <c r="M4" t="s">
        <v>983</v>
      </c>
      <c r="N4" s="166">
        <v>2395</v>
      </c>
    </row>
    <row r="5" spans="1:14" x14ac:dyDescent="0.3">
      <c r="A5" t="s">
        <v>894</v>
      </c>
      <c r="B5" s="117">
        <v>41138</v>
      </c>
      <c r="C5" s="114">
        <v>1</v>
      </c>
      <c r="I5" t="s">
        <v>894</v>
      </c>
      <c r="J5" s="166">
        <v>2830</v>
      </c>
      <c r="M5" t="s">
        <v>982</v>
      </c>
      <c r="N5" s="166">
        <v>859</v>
      </c>
    </row>
    <row r="6" spans="1:14" ht="22.5" customHeight="1" x14ac:dyDescent="0.3">
      <c r="A6" t="s">
        <v>998</v>
      </c>
      <c r="B6" s="117">
        <v>40998</v>
      </c>
      <c r="C6" s="114">
        <v>1</v>
      </c>
      <c r="I6" t="s">
        <v>998</v>
      </c>
      <c r="J6" s="166">
        <v>486.2</v>
      </c>
      <c r="M6" t="s">
        <v>1002</v>
      </c>
      <c r="N6" s="166">
        <v>289</v>
      </c>
    </row>
    <row r="7" spans="1:14" x14ac:dyDescent="0.3">
      <c r="A7" t="s">
        <v>1005</v>
      </c>
      <c r="B7" s="117">
        <v>40949</v>
      </c>
      <c r="C7" s="114">
        <v>1</v>
      </c>
      <c r="I7" t="s">
        <v>1005</v>
      </c>
      <c r="J7" s="166">
        <v>621</v>
      </c>
      <c r="M7" t="s">
        <v>981</v>
      </c>
      <c r="N7" s="166">
        <v>344.3</v>
      </c>
    </row>
    <row r="8" spans="1:14" ht="23.25" customHeight="1" x14ac:dyDescent="0.3">
      <c r="A8" t="s">
        <v>1010</v>
      </c>
      <c r="B8" s="117">
        <v>41173</v>
      </c>
      <c r="C8" s="114">
        <v>1</v>
      </c>
      <c r="I8" t="s">
        <v>1021</v>
      </c>
      <c r="J8" s="166">
        <v>822</v>
      </c>
      <c r="M8" t="s">
        <v>896</v>
      </c>
      <c r="N8" s="166">
        <v>180</v>
      </c>
    </row>
    <row r="9" spans="1:14" x14ac:dyDescent="0.3">
      <c r="A9" t="s">
        <v>1011</v>
      </c>
      <c r="B9" s="117">
        <v>41068</v>
      </c>
      <c r="C9" s="114">
        <v>1</v>
      </c>
      <c r="I9" t="s">
        <v>1032</v>
      </c>
      <c r="J9" s="166">
        <v>3174</v>
      </c>
      <c r="M9" t="s">
        <v>984</v>
      </c>
      <c r="N9" s="166">
        <v>3344</v>
      </c>
    </row>
    <row r="10" spans="1:14" x14ac:dyDescent="0.3">
      <c r="A10" t="s">
        <v>897</v>
      </c>
      <c r="B10" s="117">
        <v>41144</v>
      </c>
      <c r="C10" s="114">
        <v>1</v>
      </c>
      <c r="I10" t="s">
        <v>1011</v>
      </c>
      <c r="J10" s="166">
        <v>0</v>
      </c>
      <c r="M10" t="s">
        <v>598</v>
      </c>
      <c r="N10" s="166">
        <v>6185.4000000000005</v>
      </c>
    </row>
    <row r="11" spans="1:14" x14ac:dyDescent="0.3">
      <c r="A11" t="s">
        <v>1013</v>
      </c>
      <c r="B11" s="117">
        <v>40968</v>
      </c>
      <c r="C11" s="114">
        <v>1</v>
      </c>
      <c r="I11" t="s">
        <v>897</v>
      </c>
      <c r="J11" s="166">
        <v>1125</v>
      </c>
      <c r="M11" t="s">
        <v>1012</v>
      </c>
      <c r="N11" s="166">
        <v>0</v>
      </c>
    </row>
    <row r="12" spans="1:14" ht="16.2" x14ac:dyDescent="0.45">
      <c r="A12" t="s">
        <v>992</v>
      </c>
      <c r="B12" s="117">
        <v>41106</v>
      </c>
      <c r="C12" s="114">
        <v>1</v>
      </c>
      <c r="I12" t="s">
        <v>1013</v>
      </c>
      <c r="J12" s="166">
        <v>0</v>
      </c>
      <c r="M12" t="s">
        <v>893</v>
      </c>
      <c r="N12" s="167">
        <v>4420</v>
      </c>
    </row>
    <row r="13" spans="1:14" x14ac:dyDescent="0.3">
      <c r="A13" t="s">
        <v>995</v>
      </c>
      <c r="B13" s="117">
        <v>41039</v>
      </c>
      <c r="C13" s="114">
        <v>1</v>
      </c>
      <c r="I13" t="s">
        <v>992</v>
      </c>
      <c r="J13" s="166">
        <v>831.02700000000004</v>
      </c>
      <c r="M13" s="41" t="s">
        <v>20</v>
      </c>
      <c r="N13" s="168">
        <f>SUM(N4:N12)</f>
        <v>18016.7</v>
      </c>
    </row>
    <row r="14" spans="1:14" ht="16.2" x14ac:dyDescent="0.45">
      <c r="A14" t="s">
        <v>983</v>
      </c>
      <c r="B14" s="117">
        <v>40982</v>
      </c>
      <c r="C14" s="114">
        <v>2</v>
      </c>
      <c r="I14" t="s">
        <v>995</v>
      </c>
      <c r="J14" s="167">
        <v>614</v>
      </c>
    </row>
    <row r="15" spans="1:14" x14ac:dyDescent="0.3">
      <c r="A15" s="139" t="s">
        <v>982</v>
      </c>
      <c r="B15" s="117">
        <v>40970</v>
      </c>
      <c r="C15" s="114">
        <v>3</v>
      </c>
      <c r="I15" s="41" t="s">
        <v>20</v>
      </c>
      <c r="J15" s="168">
        <f>SUM(J4:J14)</f>
        <v>10929.227000000001</v>
      </c>
    </row>
    <row r="16" spans="1:14" x14ac:dyDescent="0.3">
      <c r="A16" t="s">
        <v>1002</v>
      </c>
      <c r="B16" s="117">
        <v>41008</v>
      </c>
      <c r="C16" s="114">
        <v>3</v>
      </c>
      <c r="M16" s="35" t="s">
        <v>1068</v>
      </c>
      <c r="N16" s="165">
        <f>+J15/N19</f>
        <v>0.37757391566696064</v>
      </c>
    </row>
    <row r="17" spans="1:18" x14ac:dyDescent="0.3">
      <c r="A17" t="s">
        <v>981</v>
      </c>
      <c r="B17" s="117">
        <v>40987</v>
      </c>
      <c r="C17" s="114">
        <v>4</v>
      </c>
      <c r="M17" s="35" t="s">
        <v>1067</v>
      </c>
      <c r="N17" s="165">
        <f>+N13/N19</f>
        <v>0.62242608433303925</v>
      </c>
    </row>
    <row r="18" spans="1:18" x14ac:dyDescent="0.3">
      <c r="A18" t="s">
        <v>896</v>
      </c>
      <c r="B18" s="117">
        <v>41219</v>
      </c>
      <c r="C18" s="114">
        <v>4</v>
      </c>
      <c r="M18" s="35"/>
      <c r="N18" s="35"/>
    </row>
    <row r="19" spans="1:18" x14ac:dyDescent="0.3">
      <c r="A19" t="s">
        <v>984</v>
      </c>
      <c r="B19" s="117">
        <v>40995</v>
      </c>
      <c r="C19" s="114">
        <v>6</v>
      </c>
      <c r="M19" s="161" t="s">
        <v>20</v>
      </c>
      <c r="N19" s="176">
        <f>+J15+N13</f>
        <v>28945.927000000003</v>
      </c>
    </row>
    <row r="20" spans="1:18" x14ac:dyDescent="0.3">
      <c r="A20" t="s">
        <v>598</v>
      </c>
      <c r="B20" s="117">
        <v>41046</v>
      </c>
      <c r="C20" s="114">
        <v>8</v>
      </c>
    </row>
    <row r="21" spans="1:18" x14ac:dyDescent="0.3">
      <c r="A21" t="s">
        <v>1012</v>
      </c>
      <c r="B21" s="117">
        <v>41051</v>
      </c>
      <c r="C21" s="114">
        <v>11</v>
      </c>
    </row>
    <row r="22" spans="1:18" x14ac:dyDescent="0.3">
      <c r="A22" t="s">
        <v>893</v>
      </c>
      <c r="B22" s="117">
        <v>41124</v>
      </c>
      <c r="C22" s="114">
        <v>20</v>
      </c>
    </row>
    <row r="24" spans="1:18" x14ac:dyDescent="0.3">
      <c r="A24" s="41" t="s">
        <v>1033</v>
      </c>
      <c r="M24" s="41" t="s">
        <v>1035</v>
      </c>
      <c r="Q24" s="41" t="s">
        <v>1036</v>
      </c>
    </row>
    <row r="25" spans="1:18" x14ac:dyDescent="0.3">
      <c r="A25" s="41"/>
      <c r="I25" s="41" t="s">
        <v>1034</v>
      </c>
    </row>
    <row r="26" spans="1:18" x14ac:dyDescent="0.3">
      <c r="A26" s="160" t="s">
        <v>1016</v>
      </c>
      <c r="B26" s="160" t="s">
        <v>1037</v>
      </c>
      <c r="M26" s="160" t="s">
        <v>1016</v>
      </c>
      <c r="N26" s="160" t="s">
        <v>1031</v>
      </c>
      <c r="Q26" s="160" t="s">
        <v>1016</v>
      </c>
      <c r="R26" s="160" t="s">
        <v>1031</v>
      </c>
    </row>
    <row r="27" spans="1:18" x14ac:dyDescent="0.3">
      <c r="A27" t="s">
        <v>1038</v>
      </c>
      <c r="B27" s="114">
        <v>1</v>
      </c>
      <c r="I27" s="160" t="s">
        <v>1016</v>
      </c>
      <c r="J27" s="160" t="s">
        <v>1031</v>
      </c>
      <c r="M27" t="s">
        <v>882</v>
      </c>
      <c r="N27" s="169">
        <v>1111</v>
      </c>
      <c r="Q27" t="s">
        <v>911</v>
      </c>
      <c r="R27" s="169">
        <v>233</v>
      </c>
    </row>
    <row r="28" spans="1:18" x14ac:dyDescent="0.3">
      <c r="A28" t="s">
        <v>629</v>
      </c>
      <c r="B28" s="114">
        <v>1</v>
      </c>
      <c r="I28" t="s">
        <v>1038</v>
      </c>
      <c r="J28" s="169">
        <v>858</v>
      </c>
      <c r="M28" t="s">
        <v>909</v>
      </c>
      <c r="N28" s="169">
        <v>954</v>
      </c>
    </row>
    <row r="29" spans="1:18" ht="16.2" x14ac:dyDescent="0.45">
      <c r="A29" t="s">
        <v>908</v>
      </c>
      <c r="B29" s="114">
        <v>1</v>
      </c>
      <c r="I29" t="s">
        <v>629</v>
      </c>
      <c r="J29" s="169">
        <v>142</v>
      </c>
      <c r="M29" t="s">
        <v>912</v>
      </c>
      <c r="N29" s="170">
        <v>3434</v>
      </c>
    </row>
    <row r="30" spans="1:18" x14ac:dyDescent="0.3">
      <c r="A30" t="s">
        <v>1039</v>
      </c>
      <c r="B30" s="114">
        <v>1</v>
      </c>
      <c r="I30" t="s">
        <v>908</v>
      </c>
      <c r="J30" s="169">
        <v>173</v>
      </c>
      <c r="M30" s="41" t="s">
        <v>20</v>
      </c>
      <c r="N30" s="168">
        <f>SUM(N27:N29)+R27</f>
        <v>5732</v>
      </c>
    </row>
    <row r="31" spans="1:18" x14ac:dyDescent="0.3">
      <c r="A31" t="s">
        <v>907</v>
      </c>
      <c r="B31" s="114">
        <v>1</v>
      </c>
      <c r="I31" t="s">
        <v>1039</v>
      </c>
      <c r="J31" s="169">
        <v>224</v>
      </c>
    </row>
    <row r="32" spans="1:18" ht="16.2" x14ac:dyDescent="0.45">
      <c r="A32" t="s">
        <v>882</v>
      </c>
      <c r="B32" s="114">
        <v>2</v>
      </c>
      <c r="I32" t="s">
        <v>907</v>
      </c>
      <c r="J32" s="170">
        <v>128</v>
      </c>
      <c r="M32" s="35" t="s">
        <v>1068</v>
      </c>
      <c r="N32" s="165">
        <f>+J33/N35</f>
        <v>0.21014193192779385</v>
      </c>
    </row>
    <row r="33" spans="1:18" x14ac:dyDescent="0.3">
      <c r="A33" t="s">
        <v>909</v>
      </c>
      <c r="B33" s="114">
        <v>3</v>
      </c>
      <c r="I33" s="41" t="s">
        <v>20</v>
      </c>
      <c r="J33" s="168">
        <f>SUM(J28:J32)</f>
        <v>1525</v>
      </c>
      <c r="M33" s="35" t="s">
        <v>1067</v>
      </c>
      <c r="N33" s="165">
        <f>+N30/N35</f>
        <v>0.78985806807220615</v>
      </c>
    </row>
    <row r="34" spans="1:18" x14ac:dyDescent="0.3">
      <c r="A34" t="s">
        <v>912</v>
      </c>
      <c r="B34" s="114">
        <v>5</v>
      </c>
      <c r="M34" s="35"/>
      <c r="N34" s="35"/>
    </row>
    <row r="35" spans="1:18" x14ac:dyDescent="0.3">
      <c r="B35" s="114"/>
      <c r="M35" s="161" t="s">
        <v>20</v>
      </c>
      <c r="N35" s="176">
        <f>+J33+N30</f>
        <v>7257</v>
      </c>
    </row>
    <row r="37" spans="1:18" x14ac:dyDescent="0.3">
      <c r="A37" s="41" t="s">
        <v>1040</v>
      </c>
      <c r="M37" s="41" t="s">
        <v>1042</v>
      </c>
      <c r="Q37" s="41" t="s">
        <v>1036</v>
      </c>
    </row>
    <row r="38" spans="1:18" x14ac:dyDescent="0.3">
      <c r="A38" s="41"/>
      <c r="I38" s="41" t="s">
        <v>1041</v>
      </c>
    </row>
    <row r="39" spans="1:18" x14ac:dyDescent="0.3">
      <c r="A39" s="160" t="s">
        <v>1016</v>
      </c>
      <c r="B39" s="160" t="s">
        <v>1037</v>
      </c>
      <c r="M39" s="160" t="s">
        <v>1016</v>
      </c>
      <c r="N39" s="160" t="s">
        <v>1031</v>
      </c>
      <c r="Q39" s="160" t="s">
        <v>1016</v>
      </c>
      <c r="R39" s="160" t="s">
        <v>1031</v>
      </c>
    </row>
    <row r="40" spans="1:18" x14ac:dyDescent="0.3">
      <c r="A40" t="s">
        <v>1043</v>
      </c>
      <c r="B40" s="114">
        <v>1</v>
      </c>
      <c r="I40" s="160" t="s">
        <v>1016</v>
      </c>
      <c r="J40" s="160" t="s">
        <v>1031</v>
      </c>
      <c r="M40" t="s">
        <v>920</v>
      </c>
      <c r="N40" s="169">
        <v>851</v>
      </c>
      <c r="Q40" t="s">
        <v>932</v>
      </c>
      <c r="R40" s="169">
        <v>159</v>
      </c>
    </row>
    <row r="41" spans="1:18" x14ac:dyDescent="0.3">
      <c r="A41" t="s">
        <v>1044</v>
      </c>
      <c r="B41" s="114">
        <v>1</v>
      </c>
      <c r="I41" t="s">
        <v>1043</v>
      </c>
      <c r="J41" s="169">
        <v>497</v>
      </c>
      <c r="M41" t="s">
        <v>919</v>
      </c>
      <c r="N41" s="171">
        <v>5514</v>
      </c>
      <c r="Q41" t="s">
        <v>973</v>
      </c>
      <c r="R41" s="169">
        <v>540</v>
      </c>
    </row>
    <row r="42" spans="1:18" ht="16.2" x14ac:dyDescent="0.45">
      <c r="A42" t="s">
        <v>1045</v>
      </c>
      <c r="B42" s="114">
        <v>1</v>
      </c>
      <c r="I42" t="s">
        <v>1044</v>
      </c>
      <c r="J42" s="169">
        <v>460</v>
      </c>
      <c r="M42" s="172" t="s">
        <v>915</v>
      </c>
      <c r="N42" s="173">
        <v>134</v>
      </c>
      <c r="Q42" t="s">
        <v>930</v>
      </c>
      <c r="R42" s="169">
        <v>141</v>
      </c>
    </row>
    <row r="43" spans="1:18" ht="16.2" x14ac:dyDescent="0.45">
      <c r="A43" t="s">
        <v>924</v>
      </c>
      <c r="B43" s="114">
        <v>1</v>
      </c>
      <c r="I43" t="s">
        <v>1045</v>
      </c>
      <c r="J43" s="169">
        <v>161</v>
      </c>
      <c r="M43" s="41" t="s">
        <v>20</v>
      </c>
      <c r="N43" s="168">
        <f>SUM(N40:N42)+R44</f>
        <v>7643</v>
      </c>
      <c r="Q43" t="s">
        <v>927</v>
      </c>
      <c r="R43" s="170">
        <v>304</v>
      </c>
    </row>
    <row r="44" spans="1:18" x14ac:dyDescent="0.3">
      <c r="A44" t="s">
        <v>921</v>
      </c>
      <c r="B44" s="114">
        <v>1</v>
      </c>
      <c r="I44" t="s">
        <v>924</v>
      </c>
      <c r="J44" s="169">
        <v>376</v>
      </c>
      <c r="Q44" s="41" t="s">
        <v>20</v>
      </c>
      <c r="R44" s="168">
        <f>SUM(R40:R43)</f>
        <v>1144</v>
      </c>
    </row>
    <row r="45" spans="1:18" x14ac:dyDescent="0.3">
      <c r="A45" t="s">
        <v>933</v>
      </c>
      <c r="B45" s="114">
        <v>1</v>
      </c>
      <c r="I45" t="s">
        <v>921</v>
      </c>
      <c r="J45" s="169">
        <v>1578</v>
      </c>
      <c r="M45" s="35" t="s">
        <v>1068</v>
      </c>
      <c r="N45" s="165">
        <f>+J53/N48</f>
        <v>0.54597837709397645</v>
      </c>
    </row>
    <row r="46" spans="1:18" x14ac:dyDescent="0.3">
      <c r="A46" t="s">
        <v>925</v>
      </c>
      <c r="B46" s="114">
        <v>1</v>
      </c>
      <c r="I46" t="s">
        <v>933</v>
      </c>
      <c r="J46" s="169">
        <v>2800</v>
      </c>
      <c r="M46" s="35" t="s">
        <v>1067</v>
      </c>
      <c r="N46" s="165">
        <f>+N43/N48</f>
        <v>0.45402162290602355</v>
      </c>
    </row>
    <row r="47" spans="1:18" x14ac:dyDescent="0.3">
      <c r="A47" t="s">
        <v>931</v>
      </c>
      <c r="B47" s="114">
        <v>1</v>
      </c>
      <c r="I47" t="s">
        <v>925</v>
      </c>
      <c r="J47" s="169">
        <v>539</v>
      </c>
      <c r="M47" s="35"/>
      <c r="N47" s="35"/>
    </row>
    <row r="48" spans="1:18" x14ac:dyDescent="0.3">
      <c r="A48" t="s">
        <v>929</v>
      </c>
      <c r="B48" s="114">
        <v>1</v>
      </c>
      <c r="I48" t="s">
        <v>931</v>
      </c>
      <c r="J48" s="169">
        <v>320</v>
      </c>
      <c r="M48" s="161" t="s">
        <v>20</v>
      </c>
      <c r="N48" s="176">
        <f>+J53+N43</f>
        <v>16834</v>
      </c>
    </row>
    <row r="49" spans="1:18" x14ac:dyDescent="0.3">
      <c r="A49" t="s">
        <v>1046</v>
      </c>
      <c r="B49" s="114">
        <v>1</v>
      </c>
      <c r="I49" t="s">
        <v>929</v>
      </c>
      <c r="J49" s="169">
        <v>367</v>
      </c>
    </row>
    <row r="50" spans="1:18" x14ac:dyDescent="0.3">
      <c r="A50" t="s">
        <v>928</v>
      </c>
      <c r="B50" s="114">
        <v>1</v>
      </c>
      <c r="I50" t="s">
        <v>1046</v>
      </c>
      <c r="J50" s="169">
        <v>462</v>
      </c>
    </row>
    <row r="51" spans="1:18" x14ac:dyDescent="0.3">
      <c r="A51" t="s">
        <v>913</v>
      </c>
      <c r="B51" s="114">
        <v>1</v>
      </c>
      <c r="I51" t="s">
        <v>928</v>
      </c>
      <c r="J51" s="171">
        <v>1122</v>
      </c>
    </row>
    <row r="52" spans="1:18" ht="16.2" x14ac:dyDescent="0.45">
      <c r="A52" t="s">
        <v>920</v>
      </c>
      <c r="B52" s="114">
        <v>2</v>
      </c>
      <c r="I52" s="172" t="s">
        <v>913</v>
      </c>
      <c r="J52" s="173">
        <v>509</v>
      </c>
    </row>
    <row r="53" spans="1:18" x14ac:dyDescent="0.3">
      <c r="A53" t="s">
        <v>1047</v>
      </c>
      <c r="B53" s="114">
        <v>2</v>
      </c>
      <c r="I53" s="41" t="s">
        <v>20</v>
      </c>
      <c r="J53" s="168">
        <f>SUM(J41:J52)</f>
        <v>9191</v>
      </c>
    </row>
    <row r="54" spans="1:18" x14ac:dyDescent="0.3">
      <c r="A54" t="s">
        <v>919</v>
      </c>
      <c r="B54" s="114">
        <v>5</v>
      </c>
    </row>
    <row r="55" spans="1:18" x14ac:dyDescent="0.3">
      <c r="B55" s="114"/>
    </row>
    <row r="56" spans="1:18" x14ac:dyDescent="0.3">
      <c r="B56" s="114"/>
    </row>
    <row r="57" spans="1:18" x14ac:dyDescent="0.3">
      <c r="A57" s="41" t="s">
        <v>1048</v>
      </c>
      <c r="M57" s="41" t="s">
        <v>1050</v>
      </c>
      <c r="Q57" s="41" t="s">
        <v>1036</v>
      </c>
    </row>
    <row r="58" spans="1:18" x14ac:dyDescent="0.3">
      <c r="I58" s="41" t="s">
        <v>1049</v>
      </c>
    </row>
    <row r="59" spans="1:18" x14ac:dyDescent="0.3">
      <c r="A59" s="160" t="s">
        <v>1016</v>
      </c>
      <c r="B59" s="160" t="s">
        <v>1037</v>
      </c>
      <c r="M59" s="160" t="s">
        <v>1016</v>
      </c>
      <c r="N59" s="160" t="s">
        <v>1031</v>
      </c>
      <c r="Q59" s="160" t="s">
        <v>1016</v>
      </c>
      <c r="R59" s="160" t="s">
        <v>1031</v>
      </c>
    </row>
    <row r="60" spans="1:18" x14ac:dyDescent="0.3">
      <c r="A60" t="s">
        <v>942</v>
      </c>
      <c r="B60" s="114">
        <v>1</v>
      </c>
      <c r="I60" s="160" t="s">
        <v>1016</v>
      </c>
      <c r="J60" s="160" t="s">
        <v>1031</v>
      </c>
      <c r="M60" t="s">
        <v>941</v>
      </c>
      <c r="N60" s="169">
        <v>897</v>
      </c>
      <c r="Q60" t="s">
        <v>955</v>
      </c>
      <c r="R60" s="169">
        <v>233</v>
      </c>
    </row>
    <row r="61" spans="1:18" x14ac:dyDescent="0.3">
      <c r="A61" t="s">
        <v>948</v>
      </c>
      <c r="B61" s="114">
        <v>1</v>
      </c>
      <c r="I61" t="s">
        <v>942</v>
      </c>
      <c r="J61" s="169">
        <v>4789</v>
      </c>
      <c r="M61" t="s">
        <v>1024</v>
      </c>
      <c r="N61" s="169">
        <v>3985</v>
      </c>
      <c r="Q61" t="s">
        <v>945</v>
      </c>
      <c r="R61" s="169">
        <v>179</v>
      </c>
    </row>
    <row r="62" spans="1:18" ht="16.2" x14ac:dyDescent="0.45">
      <c r="A62" t="s">
        <v>951</v>
      </c>
      <c r="B62" s="114">
        <v>1</v>
      </c>
      <c r="I62" t="s">
        <v>948</v>
      </c>
      <c r="J62" s="169">
        <v>331</v>
      </c>
      <c r="M62" t="s">
        <v>938</v>
      </c>
      <c r="N62" s="170">
        <v>926</v>
      </c>
      <c r="Q62" t="s">
        <v>950</v>
      </c>
      <c r="R62" s="169">
        <v>182</v>
      </c>
    </row>
    <row r="63" spans="1:18" x14ac:dyDescent="0.3">
      <c r="A63" t="s">
        <v>944</v>
      </c>
      <c r="B63" s="114">
        <v>1</v>
      </c>
      <c r="I63" t="s">
        <v>951</v>
      </c>
      <c r="J63" s="169">
        <v>961</v>
      </c>
      <c r="M63" s="41" t="s">
        <v>20</v>
      </c>
      <c r="N63" s="168">
        <f>SUM(N60:N62)+R65</f>
        <v>7095</v>
      </c>
      <c r="Q63" t="s">
        <v>947</v>
      </c>
      <c r="R63" s="171">
        <v>292</v>
      </c>
    </row>
    <row r="64" spans="1:18" ht="16.2" x14ac:dyDescent="0.45">
      <c r="A64" t="s">
        <v>956</v>
      </c>
      <c r="B64" s="114">
        <v>1</v>
      </c>
      <c r="I64" t="s">
        <v>944</v>
      </c>
      <c r="J64" s="169">
        <v>458</v>
      </c>
      <c r="Q64" s="172" t="s">
        <v>940</v>
      </c>
      <c r="R64" s="173">
        <v>401</v>
      </c>
    </row>
    <row r="65" spans="1:18" x14ac:dyDescent="0.3">
      <c r="A65" t="s">
        <v>949</v>
      </c>
      <c r="B65" s="114">
        <v>1</v>
      </c>
      <c r="I65" t="s">
        <v>956</v>
      </c>
      <c r="J65" s="169">
        <v>889</v>
      </c>
      <c r="Q65" s="41" t="s">
        <v>20</v>
      </c>
      <c r="R65" s="168">
        <f>SUM(R60:R64)</f>
        <v>1287</v>
      </c>
    </row>
    <row r="66" spans="1:18" x14ac:dyDescent="0.3">
      <c r="A66" t="s">
        <v>952</v>
      </c>
      <c r="B66" s="114">
        <v>1</v>
      </c>
      <c r="I66" t="s">
        <v>949</v>
      </c>
      <c r="J66" s="169">
        <v>622</v>
      </c>
      <c r="M66" s="35" t="s">
        <v>1068</v>
      </c>
      <c r="N66" s="165">
        <f>+J75/N69</f>
        <v>0.60023664638269103</v>
      </c>
    </row>
    <row r="67" spans="1:18" x14ac:dyDescent="0.3">
      <c r="A67" t="s">
        <v>937</v>
      </c>
      <c r="B67" s="114">
        <v>1</v>
      </c>
      <c r="I67" t="s">
        <v>952</v>
      </c>
      <c r="J67" s="169">
        <v>356</v>
      </c>
      <c r="M67" s="35" t="s">
        <v>1067</v>
      </c>
      <c r="N67" s="165">
        <f>+N63/N69</f>
        <v>0.39976335361730897</v>
      </c>
    </row>
    <row r="68" spans="1:18" x14ac:dyDescent="0.3">
      <c r="A68" t="s">
        <v>957</v>
      </c>
      <c r="B68" s="114">
        <v>1</v>
      </c>
      <c r="I68" t="s">
        <v>937</v>
      </c>
      <c r="J68" s="169">
        <v>422</v>
      </c>
      <c r="M68" s="35"/>
      <c r="N68" s="35"/>
    </row>
    <row r="69" spans="1:18" x14ac:dyDescent="0.3">
      <c r="A69" t="s">
        <v>953</v>
      </c>
      <c r="B69" s="114">
        <v>1</v>
      </c>
      <c r="I69" t="s">
        <v>957</v>
      </c>
      <c r="J69" s="169">
        <v>436</v>
      </c>
      <c r="M69" s="161" t="s">
        <v>20</v>
      </c>
      <c r="N69" s="176">
        <f>+J75+N63</f>
        <v>17748</v>
      </c>
    </row>
    <row r="70" spans="1:18" x14ac:dyDescent="0.3">
      <c r="A70" t="s">
        <v>954</v>
      </c>
      <c r="B70" s="114">
        <v>1</v>
      </c>
      <c r="I70" t="s">
        <v>953</v>
      </c>
      <c r="J70" s="169">
        <v>303</v>
      </c>
    </row>
    <row r="71" spans="1:18" x14ac:dyDescent="0.3">
      <c r="A71" t="s">
        <v>939</v>
      </c>
      <c r="B71" s="114">
        <v>1</v>
      </c>
      <c r="I71" t="s">
        <v>954</v>
      </c>
      <c r="J71" s="169">
        <v>267</v>
      </c>
    </row>
    <row r="72" spans="1:18" x14ac:dyDescent="0.3">
      <c r="A72" t="s">
        <v>946</v>
      </c>
      <c r="B72" s="114">
        <v>1</v>
      </c>
      <c r="I72" t="s">
        <v>939</v>
      </c>
      <c r="J72" s="169">
        <v>141</v>
      </c>
    </row>
    <row r="73" spans="1:18" x14ac:dyDescent="0.3">
      <c r="A73" t="s">
        <v>943</v>
      </c>
      <c r="B73" s="114">
        <v>1</v>
      </c>
      <c r="I73" t="s">
        <v>946</v>
      </c>
      <c r="J73" s="169">
        <v>407</v>
      </c>
    </row>
    <row r="74" spans="1:18" ht="16.2" x14ac:dyDescent="0.45">
      <c r="A74" t="s">
        <v>941</v>
      </c>
      <c r="B74" s="114">
        <v>3</v>
      </c>
      <c r="I74" t="s">
        <v>943</v>
      </c>
      <c r="J74" s="170">
        <v>271</v>
      </c>
    </row>
    <row r="75" spans="1:18" x14ac:dyDescent="0.3">
      <c r="A75" t="s">
        <v>938</v>
      </c>
      <c r="B75" s="114">
        <v>3</v>
      </c>
      <c r="I75" s="41" t="s">
        <v>20</v>
      </c>
      <c r="J75" s="168">
        <f>SUM(J61:J74)</f>
        <v>10653</v>
      </c>
    </row>
    <row r="78" spans="1:18" x14ac:dyDescent="0.3">
      <c r="A78" s="41" t="s">
        <v>1066</v>
      </c>
      <c r="Q78" s="41" t="s">
        <v>1036</v>
      </c>
    </row>
    <row r="79" spans="1:18" x14ac:dyDescent="0.3">
      <c r="I79" s="41" t="s">
        <v>1065</v>
      </c>
      <c r="M79" s="41" t="s">
        <v>1064</v>
      </c>
    </row>
    <row r="80" spans="1:18" x14ac:dyDescent="0.3">
      <c r="A80" s="160" t="s">
        <v>1016</v>
      </c>
      <c r="B80" s="160" t="s">
        <v>1037</v>
      </c>
      <c r="Q80" s="160" t="s">
        <v>1016</v>
      </c>
      <c r="R80" s="160" t="s">
        <v>1031</v>
      </c>
    </row>
    <row r="81" spans="1:18" x14ac:dyDescent="0.3">
      <c r="A81" t="s">
        <v>969</v>
      </c>
      <c r="B81" s="114">
        <v>1</v>
      </c>
      <c r="I81" s="160" t="s">
        <v>1016</v>
      </c>
      <c r="J81" s="160" t="s">
        <v>1031</v>
      </c>
      <c r="M81" s="160" t="s">
        <v>1016</v>
      </c>
      <c r="N81" s="160" t="s">
        <v>1031</v>
      </c>
      <c r="Q81" t="s">
        <v>964</v>
      </c>
      <c r="R81" s="169">
        <v>144</v>
      </c>
    </row>
    <row r="82" spans="1:18" x14ac:dyDescent="0.3">
      <c r="A82" t="s">
        <v>970</v>
      </c>
      <c r="B82" s="114">
        <v>1</v>
      </c>
      <c r="I82" t="s">
        <v>969</v>
      </c>
      <c r="J82" s="169">
        <v>221</v>
      </c>
      <c r="M82" t="s">
        <v>974</v>
      </c>
      <c r="N82" s="169">
        <v>283</v>
      </c>
    </row>
    <row r="83" spans="1:18" x14ac:dyDescent="0.3">
      <c r="A83" t="s">
        <v>1063</v>
      </c>
      <c r="B83" s="114">
        <v>1</v>
      </c>
      <c r="I83" t="s">
        <v>970</v>
      </c>
      <c r="J83" s="169">
        <v>1199</v>
      </c>
      <c r="M83" t="s">
        <v>971</v>
      </c>
      <c r="N83" s="169">
        <v>1003</v>
      </c>
    </row>
    <row r="84" spans="1:18" x14ac:dyDescent="0.3">
      <c r="A84" t="s">
        <v>965</v>
      </c>
      <c r="B84" s="114">
        <v>1</v>
      </c>
      <c r="I84" t="s">
        <v>1063</v>
      </c>
      <c r="J84" s="169">
        <v>384</v>
      </c>
      <c r="M84" t="s">
        <v>968</v>
      </c>
      <c r="N84" s="174">
        <v>3927</v>
      </c>
    </row>
    <row r="85" spans="1:18" x14ac:dyDescent="0.3">
      <c r="A85" t="s">
        <v>966</v>
      </c>
      <c r="B85" s="114">
        <v>1</v>
      </c>
      <c r="I85" t="s">
        <v>965</v>
      </c>
      <c r="J85" s="169">
        <v>622</v>
      </c>
      <c r="M85" s="41" t="s">
        <v>20</v>
      </c>
      <c r="N85" s="169">
        <f>SUM(N82:N84)+R81</f>
        <v>5357</v>
      </c>
    </row>
    <row r="86" spans="1:18" x14ac:dyDescent="0.3">
      <c r="A86" t="s">
        <v>966</v>
      </c>
      <c r="B86" s="114">
        <v>1</v>
      </c>
      <c r="I86" t="s">
        <v>966</v>
      </c>
      <c r="J86" s="169">
        <v>331</v>
      </c>
    </row>
    <row r="87" spans="1:18" ht="16.2" x14ac:dyDescent="0.45">
      <c r="A87" t="s">
        <v>972</v>
      </c>
      <c r="B87" s="114">
        <v>1</v>
      </c>
      <c r="I87" t="s">
        <v>972</v>
      </c>
      <c r="J87" s="170">
        <v>1097</v>
      </c>
    </row>
    <row r="88" spans="1:18" x14ac:dyDescent="0.3">
      <c r="A88" t="s">
        <v>974</v>
      </c>
      <c r="B88" s="114">
        <v>2</v>
      </c>
      <c r="I88" s="41" t="s">
        <v>20</v>
      </c>
      <c r="J88" s="168">
        <f>SUM(J82:J87)</f>
        <v>3854</v>
      </c>
      <c r="M88" s="35" t="s">
        <v>1068</v>
      </c>
      <c r="N88" s="165">
        <f>+J88/N91</f>
        <v>0.41841276734339378</v>
      </c>
    </row>
    <row r="89" spans="1:18" x14ac:dyDescent="0.3">
      <c r="A89" t="s">
        <v>971</v>
      </c>
      <c r="B89" s="114">
        <v>2</v>
      </c>
      <c r="M89" s="35" t="s">
        <v>1067</v>
      </c>
      <c r="N89" s="165">
        <f>+N85/N91</f>
        <v>0.58158723265660628</v>
      </c>
    </row>
    <row r="90" spans="1:18" x14ac:dyDescent="0.3">
      <c r="A90" t="s">
        <v>968</v>
      </c>
      <c r="B90" s="114">
        <v>3</v>
      </c>
      <c r="I90" s="41" t="s">
        <v>1062</v>
      </c>
      <c r="M90" s="35"/>
      <c r="N90" s="35"/>
    </row>
    <row r="91" spans="1:18" x14ac:dyDescent="0.3">
      <c r="M91" s="161" t="s">
        <v>20</v>
      </c>
      <c r="N91" s="176">
        <f>+J88+N85</f>
        <v>9211</v>
      </c>
    </row>
    <row r="92" spans="1:18" x14ac:dyDescent="0.3">
      <c r="I92" t="s">
        <v>962</v>
      </c>
    </row>
    <row r="93" spans="1:18" x14ac:dyDescent="0.3">
      <c r="I93" t="s">
        <v>975</v>
      </c>
    </row>
    <row r="94" spans="1:18" x14ac:dyDescent="0.3">
      <c r="I94" t="s">
        <v>973</v>
      </c>
    </row>
    <row r="98" spans="1:14" x14ac:dyDescent="0.3">
      <c r="J98">
        <v>2012</v>
      </c>
      <c r="K98">
        <v>2013</v>
      </c>
      <c r="L98">
        <v>2014</v>
      </c>
      <c r="M98">
        <v>2015</v>
      </c>
      <c r="N98">
        <v>2016</v>
      </c>
    </row>
    <row r="99" spans="1:14" x14ac:dyDescent="0.3">
      <c r="I99" t="s">
        <v>1018</v>
      </c>
      <c r="J99" s="168">
        <f>+J15</f>
        <v>10929.227000000001</v>
      </c>
      <c r="K99" s="168">
        <f>+J33</f>
        <v>1525</v>
      </c>
      <c r="L99" s="168">
        <f>+J53</f>
        <v>9191</v>
      </c>
      <c r="M99" s="168">
        <f>+J75</f>
        <v>10653</v>
      </c>
      <c r="N99" s="168">
        <f>+J88</f>
        <v>3854</v>
      </c>
    </row>
    <row r="100" spans="1:14" x14ac:dyDescent="0.3">
      <c r="I100" t="s">
        <v>1070</v>
      </c>
      <c r="J100" s="168">
        <f>+'Branded to Generic Charts '!K8-Limited_Multiple_Source!J99</f>
        <v>23570.773000000001</v>
      </c>
      <c r="K100" s="168">
        <f>+'Branded to Generic Charts '!L8-Limited_Multiple_Source!K99</f>
        <v>11675</v>
      </c>
      <c r="L100" s="168">
        <f>+'Branded to Generic Charts '!M8-Limited_Multiple_Source!L99</f>
        <v>14992</v>
      </c>
      <c r="M100" s="168">
        <f>+'Branded to Generic Charts '!N8-Limited_Multiple_Source!M99</f>
        <v>14561</v>
      </c>
      <c r="N100" s="168">
        <f>+'Branded to Generic Charts '!O8-Limited_Multiple_Source!N99</f>
        <v>17196</v>
      </c>
    </row>
    <row r="102" spans="1:14" x14ac:dyDescent="0.3">
      <c r="A102" s="41" t="s">
        <v>1051</v>
      </c>
    </row>
    <row r="104" spans="1:14" x14ac:dyDescent="0.3">
      <c r="A104" s="160" t="s">
        <v>1016</v>
      </c>
      <c r="B104" s="160" t="s">
        <v>1015</v>
      </c>
      <c r="C104" s="160"/>
    </row>
    <row r="105" spans="1:14" x14ac:dyDescent="0.3">
      <c r="A105" t="s">
        <v>922</v>
      </c>
      <c r="B105" s="117">
        <v>38100</v>
      </c>
      <c r="C105" s="117">
        <v>39335</v>
      </c>
      <c r="D105" s="117">
        <v>39672</v>
      </c>
    </row>
    <row r="106" spans="1:14" x14ac:dyDescent="0.3">
      <c r="A106" t="s">
        <v>923</v>
      </c>
      <c r="B106" s="117">
        <v>39255</v>
      </c>
    </row>
    <row r="107" spans="1:14" x14ac:dyDescent="0.3">
      <c r="A107" t="s">
        <v>926</v>
      </c>
      <c r="B107" s="117">
        <v>40737</v>
      </c>
    </row>
    <row r="108" spans="1:14" x14ac:dyDescent="0.3">
      <c r="A108" t="s">
        <v>1052</v>
      </c>
      <c r="B108" s="117">
        <v>39528</v>
      </c>
    </row>
    <row r="109" spans="1:14" x14ac:dyDescent="0.3">
      <c r="A109" t="s">
        <v>912</v>
      </c>
      <c r="B109" s="117">
        <v>39664</v>
      </c>
      <c r="C109" s="117">
        <v>41039</v>
      </c>
    </row>
    <row r="110" spans="1:14" x14ac:dyDescent="0.3">
      <c r="A110" t="s">
        <v>931</v>
      </c>
      <c r="B110" s="117">
        <v>39377</v>
      </c>
    </row>
    <row r="111" spans="1:14" x14ac:dyDescent="0.3">
      <c r="A111" t="s">
        <v>929</v>
      </c>
      <c r="B111" s="117">
        <v>39804</v>
      </c>
      <c r="C111" s="117">
        <v>40638</v>
      </c>
    </row>
    <row r="112" spans="1:14" x14ac:dyDescent="0.3">
      <c r="A112" t="s">
        <v>920</v>
      </c>
      <c r="B112" s="117">
        <v>39797</v>
      </c>
    </row>
    <row r="113" spans="1:3" x14ac:dyDescent="0.3">
      <c r="A113" t="s">
        <v>1046</v>
      </c>
      <c r="B113" s="117">
        <v>39077</v>
      </c>
      <c r="C113" s="117"/>
    </row>
    <row r="114" spans="1:3" x14ac:dyDescent="0.3">
      <c r="A114" t="s">
        <v>1053</v>
      </c>
      <c r="B114" s="117">
        <v>39813</v>
      </c>
      <c r="C114" s="117"/>
    </row>
    <row r="115" spans="1:3" x14ac:dyDescent="0.3">
      <c r="A115" t="s">
        <v>928</v>
      </c>
      <c r="B115" s="117">
        <v>40032</v>
      </c>
    </row>
    <row r="116" spans="1:3" x14ac:dyDescent="0.3">
      <c r="A116" t="s">
        <v>919</v>
      </c>
      <c r="B116" s="117">
        <v>38569</v>
      </c>
    </row>
    <row r="117" spans="1:3" x14ac:dyDescent="0.3">
      <c r="A117" t="s">
        <v>937</v>
      </c>
      <c r="B117" s="117">
        <v>40533</v>
      </c>
    </row>
    <row r="118" spans="1:3" x14ac:dyDescent="0.3">
      <c r="A118" t="s">
        <v>915</v>
      </c>
      <c r="B118" s="117">
        <v>40164</v>
      </c>
      <c r="C118" s="117">
        <v>40415</v>
      </c>
    </row>
    <row r="119" spans="1:3" x14ac:dyDescent="0.3">
      <c r="A119" t="s">
        <v>930</v>
      </c>
      <c r="B119" s="117">
        <v>39590</v>
      </c>
    </row>
    <row r="120" spans="1:3" x14ac:dyDescent="0.3">
      <c r="A120" t="s">
        <v>932</v>
      </c>
      <c r="B120" s="117">
        <v>39993</v>
      </c>
    </row>
    <row r="121" spans="1:3" x14ac:dyDescent="0.3">
      <c r="A121" t="s">
        <v>913</v>
      </c>
      <c r="B121" s="117">
        <v>40057</v>
      </c>
      <c r="C121" s="117"/>
    </row>
    <row r="122" spans="1:3" x14ac:dyDescent="0.3">
      <c r="A122" t="s">
        <v>1054</v>
      </c>
      <c r="B122" s="117">
        <v>40623</v>
      </c>
    </row>
    <row r="123" spans="1:3" x14ac:dyDescent="0.3">
      <c r="A123" t="s">
        <v>911</v>
      </c>
      <c r="B123" s="117">
        <v>40295</v>
      </c>
    </row>
    <row r="124" spans="1:3" x14ac:dyDescent="0.3">
      <c r="A124" t="s">
        <v>927</v>
      </c>
      <c r="B124" s="117">
        <v>39762</v>
      </c>
    </row>
    <row r="125" spans="1:3" x14ac:dyDescent="0.3">
      <c r="A125" s="41"/>
    </row>
    <row r="126" spans="1:3" x14ac:dyDescent="0.3">
      <c r="C126" s="114"/>
    </row>
    <row r="127" spans="1:3" x14ac:dyDescent="0.3">
      <c r="C127" s="114"/>
    </row>
    <row r="128" spans="1:3" x14ac:dyDescent="0.3">
      <c r="C128" s="114"/>
    </row>
    <row r="129" spans="3:3" x14ac:dyDescent="0.3">
      <c r="C129" s="114"/>
    </row>
    <row r="130" spans="3:3" x14ac:dyDescent="0.3">
      <c r="C130" s="114"/>
    </row>
    <row r="131" spans="3:3" x14ac:dyDescent="0.3">
      <c r="C131" s="114"/>
    </row>
    <row r="132" spans="3:3" x14ac:dyDescent="0.3">
      <c r="C132" s="114"/>
    </row>
    <row r="133" spans="3:3" x14ac:dyDescent="0.3">
      <c r="C133" s="114"/>
    </row>
    <row r="134" spans="3:3" x14ac:dyDescent="0.3">
      <c r="C134" s="114"/>
    </row>
    <row r="135" spans="3:3" x14ac:dyDescent="0.3">
      <c r="C135" s="114"/>
    </row>
    <row r="136" spans="3:3" x14ac:dyDescent="0.3">
      <c r="C136" s="114"/>
    </row>
  </sheetData>
  <pageMargins left="0.7" right="0.7" top="0.75" bottom="0.75" header="0.3" footer="0.3"/>
  <pageSetup orientation="portrait" r:id="rId1"/>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F76"/>
  <sheetViews>
    <sheetView topLeftCell="A37" workbookViewId="0">
      <selection activeCell="M67" sqref="M67"/>
    </sheetView>
  </sheetViews>
  <sheetFormatPr defaultRowHeight="14.4" x14ac:dyDescent="0.3"/>
  <sheetData>
    <row r="1" spans="1:6" x14ac:dyDescent="0.3">
      <c r="A1" s="41" t="s">
        <v>1481</v>
      </c>
    </row>
    <row r="3" spans="1:6" x14ac:dyDescent="0.3">
      <c r="B3" t="s">
        <v>1476</v>
      </c>
      <c r="C3" t="s">
        <v>1477</v>
      </c>
      <c r="D3" t="s">
        <v>1478</v>
      </c>
      <c r="E3" t="s">
        <v>1479</v>
      </c>
      <c r="F3" t="s">
        <v>1480</v>
      </c>
    </row>
    <row r="4" spans="1:6" x14ac:dyDescent="0.3">
      <c r="B4">
        <v>0.03</v>
      </c>
      <c r="C4">
        <v>0.08</v>
      </c>
      <c r="D4">
        <v>0.06</v>
      </c>
      <c r="E4">
        <v>0.02</v>
      </c>
      <c r="F4">
        <v>0.01</v>
      </c>
    </row>
    <row r="26" spans="1:2" x14ac:dyDescent="0.3">
      <c r="A26" s="41" t="s">
        <v>1483</v>
      </c>
    </row>
    <row r="29" spans="1:2" x14ac:dyDescent="0.3">
      <c r="B29" s="334"/>
    </row>
    <row r="50" spans="1:2" x14ac:dyDescent="0.3">
      <c r="A50" t="s">
        <v>1482</v>
      </c>
    </row>
    <row r="52" spans="1:2" x14ac:dyDescent="0.3">
      <c r="A52" s="41" t="s">
        <v>1485</v>
      </c>
    </row>
    <row r="54" spans="1:2" x14ac:dyDescent="0.3">
      <c r="B54" s="334"/>
    </row>
    <row r="76" spans="2:2" x14ac:dyDescent="0.3">
      <c r="B76" t="s">
        <v>1484</v>
      </c>
    </row>
  </sheetData>
  <pageMargins left="0.7" right="0.7" top="0.75" bottom="0.75" header="0.3" footer="0.3"/>
  <drawing r:id="rId1"/>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G16"/>
  <sheetViews>
    <sheetView tabSelected="1" workbookViewId="0">
      <selection sqref="A1:G4"/>
    </sheetView>
  </sheetViews>
  <sheetFormatPr defaultRowHeight="14.4" x14ac:dyDescent="0.3"/>
  <cols>
    <col min="2" max="10" width="20.109375" customWidth="1"/>
  </cols>
  <sheetData>
    <row r="1" spans="1:7" x14ac:dyDescent="0.3">
      <c r="A1" s="274" t="s">
        <v>109</v>
      </c>
      <c r="B1" s="394" t="s">
        <v>1164</v>
      </c>
      <c r="C1" s="395"/>
      <c r="D1" s="395"/>
      <c r="E1" s="399" t="s">
        <v>1182</v>
      </c>
      <c r="F1" s="395"/>
      <c r="G1" s="398"/>
    </row>
    <row r="2" spans="1:7" ht="22.5" customHeight="1" x14ac:dyDescent="0.3">
      <c r="A2" s="275"/>
      <c r="B2" s="276" t="s">
        <v>1160</v>
      </c>
      <c r="C2" s="276" t="s">
        <v>1161</v>
      </c>
      <c r="D2" s="277" t="s">
        <v>1162</v>
      </c>
      <c r="E2" s="276" t="str">
        <f>+B2</f>
        <v>STERNE, AGEE &amp; LEACH, INC.</v>
      </c>
      <c r="F2" s="276" t="s">
        <v>1161</v>
      </c>
      <c r="G2" s="279" t="s">
        <v>1162</v>
      </c>
    </row>
    <row r="3" spans="1:7" ht="31.5" customHeight="1" x14ac:dyDescent="0.3">
      <c r="A3" s="280" t="s">
        <v>1163</v>
      </c>
      <c r="B3" s="281" t="s">
        <v>1185</v>
      </c>
      <c r="C3" s="282" t="s">
        <v>1187</v>
      </c>
      <c r="D3" s="281" t="s">
        <v>1186</v>
      </c>
      <c r="E3" s="283" t="s">
        <v>1184</v>
      </c>
      <c r="F3" s="283" t="s">
        <v>1188</v>
      </c>
      <c r="G3" s="283" t="s">
        <v>365</v>
      </c>
    </row>
    <row r="4" spans="1:7" ht="20.100000000000001" customHeight="1" x14ac:dyDescent="0.3">
      <c r="A4" s="284" t="s">
        <v>887</v>
      </c>
      <c r="B4" s="281">
        <v>3.75</v>
      </c>
      <c r="C4" s="282">
        <v>3.7</v>
      </c>
      <c r="D4" s="281" t="s">
        <v>1183</v>
      </c>
      <c r="E4" s="283">
        <v>4.38</v>
      </c>
      <c r="F4" s="283">
        <v>4.3</v>
      </c>
      <c r="G4" s="283" t="s">
        <v>365</v>
      </c>
    </row>
    <row r="5" spans="1:7" x14ac:dyDescent="0.3">
      <c r="B5" s="7"/>
      <c r="C5" s="7"/>
      <c r="D5" s="7"/>
      <c r="E5" s="7"/>
      <c r="F5" s="7"/>
      <c r="G5" s="7"/>
    </row>
    <row r="6" spans="1:7" x14ac:dyDescent="0.3">
      <c r="A6" s="274" t="s">
        <v>255</v>
      </c>
      <c r="B6" s="394" t="s">
        <v>1167</v>
      </c>
      <c r="C6" s="395"/>
      <c r="D6" s="396"/>
      <c r="E6" s="397" t="s">
        <v>1164</v>
      </c>
      <c r="F6" s="395"/>
      <c r="G6" s="398"/>
    </row>
    <row r="7" spans="1:7" ht="20.399999999999999" x14ac:dyDescent="0.3">
      <c r="A7" s="275"/>
      <c r="B7" s="276" t="s">
        <v>1160</v>
      </c>
      <c r="C7" s="276" t="s">
        <v>1161</v>
      </c>
      <c r="D7" s="277" t="s">
        <v>1162</v>
      </c>
      <c r="E7" s="278" t="str">
        <f>+B7</f>
        <v>STERNE, AGEE &amp; LEACH, INC.</v>
      </c>
      <c r="F7" s="276" t="s">
        <v>1161</v>
      </c>
      <c r="G7" s="279" t="s">
        <v>1162</v>
      </c>
    </row>
    <row r="8" spans="1:7" ht="20.100000000000001" customHeight="1" x14ac:dyDescent="0.3">
      <c r="A8" s="280" t="s">
        <v>1163</v>
      </c>
      <c r="B8" s="281" t="s">
        <v>1176</v>
      </c>
      <c r="C8" s="282" t="s">
        <v>1175</v>
      </c>
      <c r="D8" s="281" t="s">
        <v>365</v>
      </c>
      <c r="E8" s="283" t="s">
        <v>1177</v>
      </c>
      <c r="F8" s="283" t="s">
        <v>1178</v>
      </c>
      <c r="G8" s="289" t="s">
        <v>1165</v>
      </c>
    </row>
    <row r="9" spans="1:7" ht="20.100000000000001" customHeight="1" x14ac:dyDescent="0.3">
      <c r="A9" s="284" t="s">
        <v>887</v>
      </c>
      <c r="B9" s="281">
        <v>0.85</v>
      </c>
      <c r="C9" s="282">
        <v>0.86</v>
      </c>
      <c r="D9" s="281" t="s">
        <v>365</v>
      </c>
      <c r="E9" s="283">
        <v>3.56</v>
      </c>
      <c r="F9" s="283">
        <v>3.58</v>
      </c>
      <c r="G9" s="290" t="s">
        <v>1166</v>
      </c>
    </row>
    <row r="11" spans="1:7" x14ac:dyDescent="0.3">
      <c r="A11" s="274" t="s">
        <v>110</v>
      </c>
      <c r="B11" s="394" t="s">
        <v>1168</v>
      </c>
      <c r="C11" s="395"/>
      <c r="D11" s="396"/>
      <c r="E11" s="397" t="s">
        <v>1164</v>
      </c>
      <c r="F11" s="395"/>
      <c r="G11" s="398"/>
    </row>
    <row r="12" spans="1:7" ht="22.5" customHeight="1" x14ac:dyDescent="0.3">
      <c r="A12" s="275"/>
      <c r="B12" s="276" t="s">
        <v>1160</v>
      </c>
      <c r="C12" s="276" t="s">
        <v>1161</v>
      </c>
      <c r="D12" s="277" t="s">
        <v>1162</v>
      </c>
      <c r="E12" s="278" t="str">
        <f>+B12</f>
        <v>STERNE, AGEE &amp; LEACH, INC.</v>
      </c>
      <c r="F12" s="276" t="s">
        <v>1161</v>
      </c>
      <c r="G12" s="279" t="s">
        <v>1162</v>
      </c>
    </row>
    <row r="13" spans="1:7" ht="28.5" customHeight="1" x14ac:dyDescent="0.3">
      <c r="A13" s="280" t="s">
        <v>1163</v>
      </c>
      <c r="B13" s="281" t="s">
        <v>1169</v>
      </c>
      <c r="C13" s="282" t="s">
        <v>1179</v>
      </c>
      <c r="D13" s="281" t="s">
        <v>365</v>
      </c>
      <c r="E13" s="283" t="s">
        <v>1170</v>
      </c>
      <c r="F13" s="283" t="s">
        <v>1180</v>
      </c>
      <c r="G13" s="283" t="s">
        <v>1172</v>
      </c>
    </row>
    <row r="14" spans="1:7" ht="20.100000000000001" customHeight="1" x14ac:dyDescent="0.3">
      <c r="A14" s="284" t="s">
        <v>887</v>
      </c>
      <c r="B14" s="281">
        <v>2.04</v>
      </c>
      <c r="C14" s="282">
        <v>2.0299999999999998</v>
      </c>
      <c r="D14" s="281" t="s">
        <v>365</v>
      </c>
      <c r="E14" s="283">
        <v>8.36</v>
      </c>
      <c r="F14" s="283">
        <v>8.32</v>
      </c>
      <c r="G14" s="291" t="s">
        <v>1171</v>
      </c>
    </row>
    <row r="15" spans="1:7" x14ac:dyDescent="0.3">
      <c r="A15" s="7"/>
      <c r="B15" s="7"/>
      <c r="C15" s="7"/>
      <c r="D15" s="7"/>
      <c r="E15" s="7"/>
      <c r="F15" s="7"/>
      <c r="G15" s="7"/>
    </row>
    <row r="16" spans="1:7" x14ac:dyDescent="0.3">
      <c r="A16" s="292" t="s">
        <v>1181</v>
      </c>
      <c r="B16" s="7"/>
      <c r="C16" s="7"/>
      <c r="D16" s="7"/>
      <c r="E16" s="7"/>
      <c r="F16" s="7"/>
      <c r="G16" s="7"/>
    </row>
  </sheetData>
  <mergeCells count="6">
    <mergeCell ref="B11:D11"/>
    <mergeCell ref="E11:G11"/>
    <mergeCell ref="B1:D1"/>
    <mergeCell ref="E1:G1"/>
    <mergeCell ref="B6:D6"/>
    <mergeCell ref="E6:G6"/>
  </mergeCells>
  <pageMargins left="0.7" right="0.7" top="0.75" bottom="0.75" header="0.3" footer="0.3"/>
  <pageSetup orientation="portrait" r:id="rId1"/>
  <legacyDrawing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2:A13"/>
  <sheetViews>
    <sheetView workbookViewId="0">
      <selection activeCell="D19" sqref="D19"/>
    </sheetView>
  </sheetViews>
  <sheetFormatPr defaultRowHeight="14.4" x14ac:dyDescent="0.3"/>
  <sheetData>
    <row r="2" spans="1:1" x14ac:dyDescent="0.3">
      <c r="A2" t="s">
        <v>1189</v>
      </c>
    </row>
    <row r="3" spans="1:1" x14ac:dyDescent="0.3">
      <c r="A3" t="s">
        <v>1190</v>
      </c>
    </row>
    <row r="4" spans="1:1" x14ac:dyDescent="0.3">
      <c r="A4" t="s">
        <v>1191</v>
      </c>
    </row>
    <row r="7" spans="1:1" x14ac:dyDescent="0.3">
      <c r="A7" s="293" t="s">
        <v>1192</v>
      </c>
    </row>
    <row r="8" spans="1:1" x14ac:dyDescent="0.3">
      <c r="A8" s="293"/>
    </row>
    <row r="9" spans="1:1" x14ac:dyDescent="0.3">
      <c r="A9" s="293" t="s">
        <v>1193</v>
      </c>
    </row>
    <row r="10" spans="1:1" x14ac:dyDescent="0.3">
      <c r="A10" s="293"/>
    </row>
    <row r="11" spans="1:1" x14ac:dyDescent="0.3">
      <c r="A11" s="293" t="s">
        <v>1194</v>
      </c>
    </row>
    <row r="12" spans="1:1" x14ac:dyDescent="0.3">
      <c r="A12" s="293"/>
    </row>
    <row r="13" spans="1:1" x14ac:dyDescent="0.3">
      <c r="A13" s="293" t="s">
        <v>1195</v>
      </c>
    </row>
  </sheetData>
  <pageMargins left="0.7" right="0.7" top="0.75" bottom="0.75" header="0.3" footer="0.3"/>
  <pageSetup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3:U45"/>
  <sheetViews>
    <sheetView topLeftCell="A22" workbookViewId="0">
      <selection activeCell="O27" sqref="O27"/>
    </sheetView>
  </sheetViews>
  <sheetFormatPr defaultRowHeight="14.4" x14ac:dyDescent="0.3"/>
  <cols>
    <col min="1" max="1" width="12.109375" customWidth="1"/>
    <col min="12" max="12" width="6.88671875" customWidth="1"/>
    <col min="13" max="13" width="97.88671875" bestFit="1" customWidth="1"/>
  </cols>
  <sheetData>
    <row r="3" spans="1:21" ht="18" x14ac:dyDescent="0.35">
      <c r="A3" s="335" t="s">
        <v>1486</v>
      </c>
      <c r="B3" s="336" t="s">
        <v>1487</v>
      </c>
      <c r="C3" s="336"/>
      <c r="D3" s="336"/>
      <c r="E3" s="336"/>
      <c r="F3" s="336"/>
      <c r="G3" s="337"/>
      <c r="H3" s="337"/>
      <c r="I3" s="337"/>
      <c r="L3" s="335" t="s">
        <v>1498</v>
      </c>
      <c r="M3" s="336" t="s">
        <v>1499</v>
      </c>
      <c r="N3" s="338"/>
      <c r="O3" s="338"/>
      <c r="P3" s="338"/>
      <c r="Q3" s="338"/>
      <c r="R3" s="7"/>
      <c r="S3" s="7"/>
      <c r="T3" s="7"/>
      <c r="U3" s="7"/>
    </row>
    <row r="6" spans="1:21" ht="18" x14ac:dyDescent="0.35">
      <c r="A6" s="335" t="s">
        <v>1488</v>
      </c>
      <c r="B6" s="336" t="s">
        <v>1489</v>
      </c>
      <c r="C6" s="336"/>
      <c r="D6" s="336"/>
      <c r="E6" s="336"/>
      <c r="F6" s="336"/>
      <c r="G6" s="337"/>
      <c r="H6" s="337"/>
      <c r="I6" s="337"/>
    </row>
    <row r="7" spans="1:21" ht="18" x14ac:dyDescent="0.35">
      <c r="L7" s="335" t="s">
        <v>1500</v>
      </c>
      <c r="M7" s="336" t="s">
        <v>1501</v>
      </c>
    </row>
    <row r="8" spans="1:21" ht="18" x14ac:dyDescent="0.35">
      <c r="L8" s="7"/>
      <c r="M8" s="336" t="s">
        <v>1502</v>
      </c>
    </row>
    <row r="9" spans="1:21" ht="18" x14ac:dyDescent="0.35">
      <c r="A9" s="335" t="s">
        <v>1490</v>
      </c>
      <c r="B9" s="336" t="s">
        <v>1491</v>
      </c>
      <c r="C9" s="336"/>
      <c r="D9" s="336"/>
      <c r="E9" s="336"/>
      <c r="F9" s="336"/>
      <c r="G9" s="337"/>
      <c r="H9" s="337"/>
      <c r="I9" s="337"/>
    </row>
    <row r="12" spans="1:21" ht="18" x14ac:dyDescent="0.35">
      <c r="A12" s="335" t="s">
        <v>1492</v>
      </c>
      <c r="B12" s="336" t="s">
        <v>1493</v>
      </c>
      <c r="C12" s="336"/>
      <c r="D12" s="336"/>
      <c r="E12" s="336"/>
      <c r="F12" s="336"/>
      <c r="G12" s="337"/>
      <c r="H12" s="337"/>
      <c r="I12" s="337"/>
    </row>
    <row r="15" spans="1:21" ht="18" x14ac:dyDescent="0.35">
      <c r="A15" s="335" t="s">
        <v>1495</v>
      </c>
      <c r="B15" s="336" t="s">
        <v>1494</v>
      </c>
      <c r="C15" s="336"/>
      <c r="D15" s="336"/>
      <c r="E15" s="336"/>
      <c r="F15" s="336"/>
      <c r="G15" s="337"/>
      <c r="H15" s="337"/>
      <c r="I15" s="337"/>
    </row>
    <row r="18" spans="1:9" ht="18" x14ac:dyDescent="0.35">
      <c r="A18" s="335" t="s">
        <v>1496</v>
      </c>
      <c r="B18" s="336" t="s">
        <v>1497</v>
      </c>
      <c r="C18" s="336"/>
      <c r="D18" s="336"/>
      <c r="E18" s="336"/>
      <c r="F18" s="336"/>
      <c r="G18" s="337"/>
      <c r="H18" s="337"/>
      <c r="I18" s="337"/>
    </row>
    <row r="21" spans="1:9" ht="18" x14ac:dyDescent="0.35">
      <c r="A21" s="336" t="s">
        <v>106</v>
      </c>
      <c r="B21" s="336"/>
      <c r="C21" s="336"/>
      <c r="D21" s="336"/>
      <c r="E21" s="336"/>
      <c r="F21" s="337"/>
      <c r="G21" s="337"/>
      <c r="H21" s="337"/>
    </row>
    <row r="23" spans="1:9" ht="18" x14ac:dyDescent="0.35">
      <c r="A23" s="336" t="s">
        <v>106</v>
      </c>
      <c r="B23" s="336"/>
      <c r="C23" s="336"/>
      <c r="D23" s="336"/>
      <c r="E23" s="336"/>
      <c r="F23" s="337"/>
      <c r="G23" s="337"/>
      <c r="H23" s="337"/>
    </row>
    <row r="26" spans="1:9" ht="18" x14ac:dyDescent="0.35">
      <c r="A26" s="335" t="s">
        <v>1503</v>
      </c>
      <c r="B26" s="336" t="s">
        <v>1504</v>
      </c>
      <c r="C26" s="336"/>
      <c r="D26" s="336"/>
      <c r="E26" s="336"/>
      <c r="F26" s="336"/>
      <c r="G26" s="337"/>
      <c r="H26" s="337"/>
      <c r="I26" s="337"/>
    </row>
    <row r="30" spans="1:9" ht="18" x14ac:dyDescent="0.35">
      <c r="A30" s="335" t="s">
        <v>1542</v>
      </c>
      <c r="B30" s="336" t="s">
        <v>1493</v>
      </c>
      <c r="C30" s="336"/>
      <c r="D30" s="336"/>
      <c r="E30" s="336"/>
      <c r="F30" s="336"/>
      <c r="G30" s="337"/>
      <c r="H30" s="337"/>
      <c r="I30" s="337"/>
    </row>
    <row r="33" spans="1:9" ht="18" x14ac:dyDescent="0.35">
      <c r="A33" s="335" t="s">
        <v>1543</v>
      </c>
      <c r="B33" s="336" t="s">
        <v>1494</v>
      </c>
      <c r="C33" s="336"/>
      <c r="D33" s="336"/>
      <c r="E33" s="336"/>
      <c r="F33" s="336"/>
      <c r="G33" s="337"/>
      <c r="H33" s="337"/>
      <c r="I33" s="337"/>
    </row>
    <row r="36" spans="1:9" ht="18" x14ac:dyDescent="0.35">
      <c r="A36" s="336" t="s">
        <v>1546</v>
      </c>
      <c r="B36" s="336"/>
      <c r="C36" s="336"/>
      <c r="D36" s="336"/>
      <c r="E36" s="336"/>
      <c r="F36" s="337"/>
      <c r="G36" s="337"/>
      <c r="H36" s="337"/>
    </row>
    <row r="39" spans="1:9" ht="18" x14ac:dyDescent="0.35">
      <c r="A39" s="336" t="s">
        <v>1549</v>
      </c>
      <c r="B39" s="336"/>
      <c r="C39" s="336"/>
      <c r="D39" s="336"/>
      <c r="E39" s="336"/>
      <c r="F39" s="337"/>
      <c r="G39" s="337"/>
      <c r="H39" s="337"/>
    </row>
    <row r="42" spans="1:9" ht="18" x14ac:dyDescent="0.35">
      <c r="A42" s="336" t="s">
        <v>1547</v>
      </c>
      <c r="B42" s="336"/>
      <c r="C42" s="336"/>
      <c r="D42" s="336"/>
      <c r="E42" s="336"/>
      <c r="F42" s="337"/>
      <c r="G42" s="337"/>
      <c r="H42" s="337"/>
    </row>
    <row r="45" spans="1:9" ht="18" x14ac:dyDescent="0.35">
      <c r="A45" s="336" t="s">
        <v>1548</v>
      </c>
      <c r="B45" s="336"/>
      <c r="C45" s="336"/>
      <c r="D45" s="336"/>
      <c r="E45" s="336"/>
      <c r="F45" s="337"/>
      <c r="G45" s="337"/>
      <c r="H45" s="337"/>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30</vt:i4>
      </vt:variant>
    </vt:vector>
  </HeadingPairs>
  <TitlesOfParts>
    <vt:vector size="30" baseType="lpstr">
      <vt:lpstr>Pharmacy-Wholesale data</vt:lpstr>
      <vt:lpstr>Segment Breakdown</vt:lpstr>
      <vt:lpstr>Dist Profitability</vt:lpstr>
      <vt:lpstr>MCK PPV VA</vt:lpstr>
      <vt:lpstr>ROIC</vt:lpstr>
      <vt:lpstr>Generic Lifecycle</vt:lpstr>
      <vt:lpstr>Pharmacy Buying Groups</vt:lpstr>
      <vt:lpstr>Custom Concentration</vt:lpstr>
      <vt:lpstr>Independent Pharmacies</vt:lpstr>
      <vt:lpstr>Warehouse Delivery</vt:lpstr>
      <vt:lpstr>RX Sales Growth (E)</vt:lpstr>
      <vt:lpstr>NMEs and BLAs</vt:lpstr>
      <vt:lpstr>Therapeutics under development</vt:lpstr>
      <vt:lpstr>Biotech sales share</vt:lpstr>
      <vt:lpstr>Traditional vs Specialty Costs</vt:lpstr>
      <vt:lpstr>Specialty Drug Spend</vt:lpstr>
      <vt:lpstr>Chronic Disease</vt:lpstr>
      <vt:lpstr>U.S. Specialty Distributors</vt:lpstr>
      <vt:lpstr>Specialty Pharmacy</vt:lpstr>
      <vt:lpstr>Pharmacy vs Medical</vt:lpstr>
      <vt:lpstr>Retail Pharmacy M&amp;A</vt:lpstr>
      <vt:lpstr>Dist Customers</vt:lpstr>
      <vt:lpstr>Specialty Pharm and Dist</vt:lpstr>
      <vt:lpstr>2003-2016 Branded to Generic</vt:lpstr>
      <vt:lpstr>Branded to Generic Charts </vt:lpstr>
      <vt:lpstr>Limited_Multiple_Source</vt:lpstr>
      <vt:lpstr>Generic Prx inflation</vt:lpstr>
      <vt:lpstr>Earnings Est Matrix</vt:lpstr>
      <vt:lpstr>Sourcing of New Generics</vt:lpstr>
      <vt:lpstr>Section titles</vt:lpstr>
    </vt:vector>
  </TitlesOfParts>
  <Company>Sterne Agee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gbolan</dc:creator>
  <cp:lastModifiedBy>GREG BOLAN</cp:lastModifiedBy>
  <cp:lastPrinted>2013-01-21T21:42:38Z</cp:lastPrinted>
  <dcterms:created xsi:type="dcterms:W3CDTF">2012-06-26T20:45:49Z</dcterms:created>
  <dcterms:modified xsi:type="dcterms:W3CDTF">2020-11-24T17:58:25Z</dcterms:modified>
</cp:coreProperties>
</file>