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drawings/drawing26.xml" ContentType="application/vnd.openxmlformats-officedocument.drawingml.chartshapes+xml"/>
  <Override PartName="/xl/charts/chart2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harts/chart30.xml" ContentType="application/vnd.openxmlformats-officedocument.drawingml.chart+xml"/>
  <Override PartName="/xl/drawings/drawing36.xml" ContentType="application/vnd.openxmlformats-officedocument.drawing+xml"/>
  <Override PartName="/xl/charts/chart31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2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1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d906e8980bd45/Desktop/Projects01/capstone/"/>
    </mc:Choice>
  </mc:AlternateContent>
  <xr:revisionPtr revIDLastSave="7" documentId="11_5BFE6B6394BB5BE162BBD24D7ED3DFA7CBA9BE2A" xr6:coauthVersionLast="45" xr6:coauthVersionMax="45" xr10:uidLastSave="{85FE0674-A00E-4F55-A747-A691A7512F84}"/>
  <bookViews>
    <workbookView xWindow="-108" yWindow="-108" windowWidth="23256" windowHeight="12576" firstSheet="12" activeTab="16" xr2:uid="{00000000-000D-0000-FFFF-FFFF00000000}"/>
  </bookViews>
  <sheets>
    <sheet name="Independent Pharmacies" sheetId="41" r:id="rId1"/>
    <sheet name="Pharmacy sales by dispensary" sheetId="1" r:id="rId2"/>
    <sheet name="Pharmacy Market Share by Sales" sheetId="2" r:id="rId3"/>
    <sheet name="Drivers of Growth" sheetId="3" r:id="rId4"/>
    <sheet name=" Change-in Rx by Format 08-12" sheetId="4" r:id="rId5"/>
    <sheet name="Market share by format" sheetId="5" r:id="rId6"/>
    <sheet name="Source of Rx pmt 2012" sheetId="7" r:id="rId7"/>
    <sheet name="Corr retail and drug sales" sheetId="6" r:id="rId8"/>
    <sheet name="3 format Rx sales" sheetId="9" r:id="rId9"/>
    <sheet name="Forecasted Drug expenditures" sheetId="15" r:id="rId10"/>
    <sheet name="Regional drugstores - acq tgts" sheetId="8" r:id="rId11"/>
    <sheet name="Traditional vs Specialty Costs" sheetId="10" r:id="rId12"/>
    <sheet name="Specialty Drug Spend" sheetId="11" r:id="rId13"/>
    <sheet name="spec pharm rx vs cost" sheetId="21" r:id="rId14"/>
    <sheet name="Pharmacy Specialty" sheetId="16" r:id="rId15"/>
    <sheet name="Drug Approvals Share" sheetId="22" r:id="rId16"/>
    <sheet name="Rx Demographics" sheetId="28" r:id="rId17"/>
    <sheet name="Med and Pharmacy benefit" sheetId="14" r:id="rId18"/>
    <sheet name="Independent pharmacy" sheetId="17" r:id="rId19"/>
    <sheet name="Equivalent Mail Prescr" sheetId="18" r:id="rId20"/>
    <sheet name="Generic copay adv for mail" sheetId="29" r:id="rId21"/>
    <sheet name="Retail Clinics" sheetId="19" r:id="rId22"/>
    <sheet name="2013 vs 2012 drug trend" sheetId="23" r:id="rId23"/>
    <sheet name="2013 Top Generics" sheetId="24" r:id="rId24"/>
    <sheet name="Projected GDR" sheetId="25" r:id="rId25"/>
    <sheet name="PBM mkt share" sheetId="26" r:id="rId26"/>
    <sheet name="PBM Comp" sheetId="31" r:id="rId27"/>
    <sheet name="Page Labels" sheetId="27" r:id="rId28"/>
    <sheet name="Fast Spec Rx" sheetId="30" r:id="rId29"/>
    <sheet name="Rebates by Employer" sheetId="32" r:id="rId30"/>
    <sheet name="Same Store Rx" sheetId="34" r:id="rId31"/>
    <sheet name="Reimbursement benchmarks" sheetId="35" r:id="rId32"/>
    <sheet name="AWP billed to employers" sheetId="36" r:id="rId33"/>
    <sheet name="Pharmacy Gross Margin &amp; Sales" sheetId="37" r:id="rId34"/>
    <sheet name="Pharmacy GP per Rx" sheetId="38" r:id="rId35"/>
    <sheet name="Pharmacy Gross Margins 2012" sheetId="39" r:id="rId36"/>
    <sheet name="Generic Inflation" sheetId="40" r:id="rId37"/>
  </sheets>
  <externalReferences>
    <externalReference r:id="rId38"/>
    <externalReference r:id="rId39"/>
    <externalReference r:id="rId40"/>
    <externalReference r:id="rId41"/>
  </externalReferences>
  <definedNames>
    <definedName name="__FDS_HYPERLINK_TOGGLE_STATE__" hidden="1">"ON"</definedName>
  </definedNames>
  <calcPr calcId="191029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5" l="1"/>
  <c r="F16" i="15"/>
  <c r="E15" i="15"/>
  <c r="E16" i="15"/>
  <c r="C15" i="15"/>
  <c r="C16" i="15"/>
  <c r="C16" i="41"/>
  <c r="D16" i="41" s="1"/>
  <c r="D15" i="41"/>
  <c r="D11" i="41"/>
  <c r="D8" i="41"/>
  <c r="D7" i="41" l="1"/>
  <c r="D12" i="41"/>
  <c r="D6" i="41"/>
  <c r="D10" i="41"/>
  <c r="D14" i="41"/>
  <c r="D5" i="41"/>
  <c r="D9" i="41"/>
  <c r="D13" i="41"/>
  <c r="E5" i="40" l="1"/>
  <c r="E7" i="40"/>
  <c r="E9" i="40"/>
  <c r="E6" i="40"/>
  <c r="E8" i="40"/>
  <c r="E10" i="40"/>
  <c r="E11" i="40"/>
  <c r="E12" i="40"/>
  <c r="E13" i="40"/>
  <c r="E4" i="40"/>
  <c r="E33" i="38"/>
  <c r="D33" i="38"/>
  <c r="D38" i="38" s="1"/>
  <c r="C33" i="38"/>
  <c r="C38" i="38" s="1"/>
  <c r="E32" i="38"/>
  <c r="D32" i="38"/>
  <c r="C32" i="38"/>
  <c r="E20" i="38"/>
  <c r="E25" i="38" s="1"/>
  <c r="D20" i="38"/>
  <c r="D25" i="38" s="1"/>
  <c r="C20" i="38"/>
  <c r="E19" i="38"/>
  <c r="D19" i="38"/>
  <c r="C19" i="38"/>
  <c r="E33" i="37"/>
  <c r="M33" i="37"/>
  <c r="U33" i="37"/>
  <c r="C32" i="37"/>
  <c r="C33" i="37" s="1"/>
  <c r="D32" i="37"/>
  <c r="D33" i="37" s="1"/>
  <c r="E32" i="37"/>
  <c r="F32" i="37"/>
  <c r="F33" i="37" s="1"/>
  <c r="G32" i="37"/>
  <c r="G33" i="37" s="1"/>
  <c r="H32" i="37"/>
  <c r="H33" i="37" s="1"/>
  <c r="I32" i="37"/>
  <c r="I33" i="37" s="1"/>
  <c r="J32" i="37"/>
  <c r="J33" i="37" s="1"/>
  <c r="K32" i="37"/>
  <c r="K33" i="37" s="1"/>
  <c r="L32" i="37"/>
  <c r="L33" i="37" s="1"/>
  <c r="M32" i="37"/>
  <c r="N32" i="37"/>
  <c r="N33" i="37" s="1"/>
  <c r="O32" i="37"/>
  <c r="O33" i="37" s="1"/>
  <c r="P32" i="37"/>
  <c r="P33" i="37" s="1"/>
  <c r="Q32" i="37"/>
  <c r="Q33" i="37" s="1"/>
  <c r="R32" i="37"/>
  <c r="R33" i="37" s="1"/>
  <c r="S32" i="37"/>
  <c r="S33" i="37" s="1"/>
  <c r="T32" i="37"/>
  <c r="T33" i="37" s="1"/>
  <c r="U32" i="37"/>
  <c r="B32" i="37"/>
  <c r="F31" i="37"/>
  <c r="K31" i="37"/>
  <c r="N31" i="37"/>
  <c r="S31" i="37"/>
  <c r="C31" i="37"/>
  <c r="C28" i="37"/>
  <c r="D28" i="37"/>
  <c r="D31" i="37" s="1"/>
  <c r="E28" i="37"/>
  <c r="E31" i="37" s="1"/>
  <c r="F28" i="37"/>
  <c r="G28" i="37"/>
  <c r="G31" i="37" s="1"/>
  <c r="H28" i="37"/>
  <c r="H31" i="37" s="1"/>
  <c r="I28" i="37"/>
  <c r="I31" i="37" s="1"/>
  <c r="J28" i="37"/>
  <c r="J31" i="37" s="1"/>
  <c r="K28" i="37"/>
  <c r="L28" i="37"/>
  <c r="L31" i="37" s="1"/>
  <c r="M28" i="37"/>
  <c r="M31" i="37" s="1"/>
  <c r="N28" i="37"/>
  <c r="O28" i="37"/>
  <c r="O31" i="37" s="1"/>
  <c r="P28" i="37"/>
  <c r="P31" i="37" s="1"/>
  <c r="Q28" i="37"/>
  <c r="Q31" i="37" s="1"/>
  <c r="R28" i="37"/>
  <c r="R31" i="37" s="1"/>
  <c r="S28" i="37"/>
  <c r="T28" i="37"/>
  <c r="T31" i="37" s="1"/>
  <c r="U28" i="37"/>
  <c r="U31" i="37" s="1"/>
  <c r="G30" i="37"/>
  <c r="O30" i="37"/>
  <c r="C29" i="37"/>
  <c r="C30" i="37" s="1"/>
  <c r="D29" i="37"/>
  <c r="D30" i="37" s="1"/>
  <c r="E29" i="37"/>
  <c r="E30" i="37" s="1"/>
  <c r="F29" i="37"/>
  <c r="F30" i="37" s="1"/>
  <c r="G29" i="37"/>
  <c r="H29" i="37"/>
  <c r="H30" i="37" s="1"/>
  <c r="I29" i="37"/>
  <c r="I30" i="37" s="1"/>
  <c r="J29" i="37"/>
  <c r="J30" i="37" s="1"/>
  <c r="K29" i="37"/>
  <c r="K30" i="37" s="1"/>
  <c r="L29" i="37"/>
  <c r="L30" i="37" s="1"/>
  <c r="M29" i="37"/>
  <c r="M30" i="37" s="1"/>
  <c r="N29" i="37"/>
  <c r="N30" i="37" s="1"/>
  <c r="O29" i="37"/>
  <c r="P29" i="37"/>
  <c r="P30" i="37" s="1"/>
  <c r="Q29" i="37"/>
  <c r="Q30" i="37" s="1"/>
  <c r="R29" i="37"/>
  <c r="R30" i="37" s="1"/>
  <c r="S29" i="37"/>
  <c r="S30" i="37" s="1"/>
  <c r="T29" i="37"/>
  <c r="T30" i="37" s="1"/>
  <c r="U29" i="37"/>
  <c r="U30" i="37" s="1"/>
  <c r="B29" i="37"/>
  <c r="B28" i="37"/>
  <c r="B31" i="37" s="1"/>
  <c r="F3" i="37"/>
  <c r="N3" i="37"/>
  <c r="B3" i="37"/>
  <c r="E4" i="37"/>
  <c r="E3" i="37" s="1"/>
  <c r="F4" i="37"/>
  <c r="G4" i="37"/>
  <c r="G3" i="37" s="1"/>
  <c r="H4" i="37"/>
  <c r="H3" i="37" s="1"/>
  <c r="I4" i="37"/>
  <c r="I3" i="37" s="1"/>
  <c r="J4" i="37"/>
  <c r="J3" i="37" s="1"/>
  <c r="K4" i="37"/>
  <c r="K3" i="37" s="1"/>
  <c r="L4" i="37"/>
  <c r="L3" i="37" s="1"/>
  <c r="M4" i="37"/>
  <c r="M3" i="37" s="1"/>
  <c r="N4" i="37"/>
  <c r="O4" i="37"/>
  <c r="O3" i="37" s="1"/>
  <c r="P4" i="37"/>
  <c r="P3" i="37" s="1"/>
  <c r="Q4" i="37"/>
  <c r="Q3" i="37" s="1"/>
  <c r="R4" i="37"/>
  <c r="R3" i="37" s="1"/>
  <c r="S4" i="37"/>
  <c r="S3" i="37" s="1"/>
  <c r="T4" i="37"/>
  <c r="T3" i="37" s="1"/>
  <c r="U4" i="37"/>
  <c r="U3" i="37" s="1"/>
  <c r="D4" i="37"/>
  <c r="D3" i="37" s="1"/>
  <c r="C4" i="37"/>
  <c r="C3" i="37" s="1"/>
  <c r="B4" i="37"/>
  <c r="F19" i="38" l="1"/>
  <c r="I46" i="38" s="1"/>
  <c r="H49" i="38" s="1"/>
  <c r="I60" i="38" s="1"/>
  <c r="D22" i="38"/>
  <c r="D23" i="38" s="1"/>
  <c r="C35" i="38"/>
  <c r="C36" i="38" s="1"/>
  <c r="F20" i="38"/>
  <c r="F25" i="38" s="1"/>
  <c r="D35" i="38"/>
  <c r="D36" i="38" s="1"/>
  <c r="F33" i="38"/>
  <c r="F38" i="38" s="1"/>
  <c r="E27" i="38"/>
  <c r="E28" i="38" s="1"/>
  <c r="C40" i="38"/>
  <c r="C41" i="38" s="1"/>
  <c r="D27" i="38"/>
  <c r="D28" i="38" s="1"/>
  <c r="E22" i="38"/>
  <c r="E23" i="38" s="1"/>
  <c r="F32" i="38"/>
  <c r="F27" i="38"/>
  <c r="C22" i="38"/>
  <c r="C23" i="38" s="1"/>
  <c r="E35" i="38"/>
  <c r="E36" i="38" s="1"/>
  <c r="D40" i="38"/>
  <c r="D41" i="38" s="1"/>
  <c r="C25" i="38"/>
  <c r="C27" i="38" s="1"/>
  <c r="C28" i="38" s="1"/>
  <c r="E38" i="38"/>
  <c r="E40" i="38" s="1"/>
  <c r="E41" i="38" s="1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5" i="38" l="1"/>
  <c r="F36" i="38" s="1"/>
  <c r="I53" i="38"/>
  <c r="J53" i="38" s="1"/>
  <c r="H56" i="38" s="1"/>
  <c r="I61" i="38" s="1"/>
  <c r="J46" i="38"/>
  <c r="F22" i="38"/>
  <c r="F23" i="38" s="1"/>
  <c r="F40" i="38"/>
  <c r="I56" i="38" s="1"/>
  <c r="J61" i="38" s="1"/>
  <c r="I62" i="38"/>
  <c r="F28" i="38"/>
  <c r="I49" i="38"/>
  <c r="J60" i="38" s="1"/>
  <c r="E17" i="30"/>
  <c r="D16" i="30"/>
  <c r="E16" i="30"/>
  <c r="C16" i="30"/>
  <c r="F41" i="38" l="1"/>
  <c r="J62" i="38"/>
  <c r="K62" i="38"/>
  <c r="K60" i="38"/>
  <c r="K61" i="38"/>
  <c r="C25" i="2"/>
  <c r="D25" i="2" s="1"/>
  <c r="L62" i="38" l="1"/>
  <c r="L60" i="38"/>
  <c r="L61" i="38"/>
  <c r="AA40" i="28"/>
  <c r="Z40" i="28"/>
  <c r="AA39" i="28"/>
  <c r="Z39" i="28"/>
  <c r="AA31" i="28" l="1"/>
  <c r="AB29" i="28"/>
  <c r="AC29" i="28" s="1"/>
  <c r="AB21" i="28"/>
  <c r="AC21" i="28" s="1"/>
  <c r="AD21" i="28"/>
  <c r="AD29" i="28" s="1"/>
  <c r="Q24" i="28"/>
  <c r="Q25" i="28"/>
  <c r="Q26" i="28"/>
  <c r="Q23" i="28"/>
  <c r="T24" i="28"/>
  <c r="V24" i="28" s="1"/>
  <c r="T25" i="28"/>
  <c r="V25" i="28" s="1"/>
  <c r="T26" i="28"/>
  <c r="V26" i="28" s="1"/>
  <c r="T23" i="28"/>
  <c r="V23" i="28" s="1"/>
  <c r="S18" i="28"/>
  <c r="S15" i="28"/>
  <c r="I28" i="28"/>
  <c r="I29" i="28"/>
  <c r="I30" i="28"/>
  <c r="I31" i="28"/>
  <c r="I32" i="28"/>
  <c r="I33" i="28"/>
  <c r="I27" i="28"/>
  <c r="D13" i="28"/>
  <c r="C13" i="28"/>
  <c r="E13" i="28"/>
  <c r="B13" i="28"/>
  <c r="J88" i="15"/>
  <c r="J87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88" i="15"/>
  <c r="L101" i="15"/>
  <c r="L88" i="15"/>
  <c r="K88" i="15"/>
  <c r="E90" i="15"/>
  <c r="M90" i="15" s="1"/>
  <c r="E91" i="15"/>
  <c r="E92" i="15"/>
  <c r="E93" i="15"/>
  <c r="E94" i="15"/>
  <c r="E95" i="15"/>
  <c r="E96" i="15"/>
  <c r="E97" i="15"/>
  <c r="E98" i="15"/>
  <c r="E99" i="15"/>
  <c r="E100" i="15"/>
  <c r="E101" i="15"/>
  <c r="E102" i="15"/>
  <c r="M102" i="15" s="1"/>
  <c r="E103" i="15"/>
  <c r="E104" i="15"/>
  <c r="E106" i="15" s="1"/>
  <c r="B111" i="15" s="1"/>
  <c r="E89" i="15"/>
  <c r="B90" i="15"/>
  <c r="L90" i="15" s="1"/>
  <c r="B91" i="15"/>
  <c r="L91" i="15" s="1"/>
  <c r="B92" i="15"/>
  <c r="L92" i="15" s="1"/>
  <c r="B93" i="15"/>
  <c r="J93" i="15" s="1"/>
  <c r="B94" i="15"/>
  <c r="L94" i="15" s="1"/>
  <c r="B95" i="15"/>
  <c r="L95" i="15" s="1"/>
  <c r="B96" i="15"/>
  <c r="J96" i="15" s="1"/>
  <c r="B97" i="15"/>
  <c r="L97" i="15" s="1"/>
  <c r="B98" i="15"/>
  <c r="B99" i="15"/>
  <c r="B100" i="15"/>
  <c r="J100" i="15" s="1"/>
  <c r="B101" i="15"/>
  <c r="K101" i="15" s="1"/>
  <c r="B102" i="15"/>
  <c r="K102" i="15" s="1"/>
  <c r="B103" i="15"/>
  <c r="L103" i="15" s="1"/>
  <c r="B104" i="15"/>
  <c r="M104" i="15" s="1"/>
  <c r="B89" i="15"/>
  <c r="J89" i="15" s="1"/>
  <c r="A111" i="15"/>
  <c r="A110" i="15"/>
  <c r="D106" i="15"/>
  <c r="B110" i="15" s="1"/>
  <c r="C106" i="15"/>
  <c r="B109" i="15" s="1"/>
  <c r="E88" i="15"/>
  <c r="M88" i="15" s="1"/>
  <c r="L102" i="15" l="1"/>
  <c r="M93" i="15"/>
  <c r="L93" i="15"/>
  <c r="J91" i="15"/>
  <c r="M92" i="15"/>
  <c r="K91" i="15"/>
  <c r="J90" i="15"/>
  <c r="M91" i="15"/>
  <c r="J94" i="15"/>
  <c r="L89" i="15"/>
  <c r="AF21" i="28"/>
  <c r="M89" i="15"/>
  <c r="AF29" i="28"/>
  <c r="M99" i="15"/>
  <c r="M98" i="15"/>
  <c r="M95" i="15"/>
  <c r="K95" i="15"/>
  <c r="J95" i="15"/>
  <c r="K92" i="15"/>
  <c r="M94" i="15"/>
  <c r="K94" i="15"/>
  <c r="K90" i="15"/>
  <c r="J102" i="15"/>
  <c r="J92" i="15"/>
  <c r="L98" i="15"/>
  <c r="K93" i="15"/>
  <c r="K89" i="15"/>
  <c r="J104" i="15"/>
  <c r="K104" i="15"/>
  <c r="B106" i="15"/>
  <c r="B108" i="15" s="1"/>
  <c r="C111" i="15" s="1"/>
  <c r="L104" i="15"/>
  <c r="M103" i="15"/>
  <c r="J103" i="15"/>
  <c r="K103" i="15"/>
  <c r="M101" i="15"/>
  <c r="J101" i="15"/>
  <c r="K100" i="15"/>
  <c r="L100" i="15"/>
  <c r="M100" i="15"/>
  <c r="L99" i="15"/>
  <c r="J99" i="15"/>
  <c r="K99" i="15"/>
  <c r="K98" i="15"/>
  <c r="J98" i="15"/>
  <c r="M97" i="15"/>
  <c r="K97" i="15"/>
  <c r="J97" i="15"/>
  <c r="K96" i="15"/>
  <c r="L96" i="15"/>
  <c r="M96" i="15"/>
  <c r="T18" i="28"/>
  <c r="T20" i="28" s="1"/>
  <c r="AE21" i="28"/>
  <c r="AG21" i="28" s="1"/>
  <c r="AE29" i="28"/>
  <c r="AE31" i="28" s="1"/>
  <c r="U26" i="28"/>
  <c r="U25" i="28"/>
  <c r="U24" i="28"/>
  <c r="U23" i="28"/>
  <c r="C109" i="15" l="1"/>
  <c r="C110" i="15"/>
  <c r="AG29" i="28"/>
  <c r="H8" i="1" l="1"/>
  <c r="I4" i="1" s="1"/>
  <c r="I8" i="1" l="1"/>
  <c r="I6" i="1"/>
  <c r="I5" i="1"/>
  <c r="I3" i="1"/>
  <c r="I7" i="1"/>
  <c r="D123" i="23"/>
  <c r="C29" i="17" l="1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5" i="15"/>
  <c r="F6" i="15"/>
  <c r="F7" i="15"/>
  <c r="F8" i="15"/>
  <c r="F9" i="15"/>
  <c r="F10" i="15"/>
  <c r="F11" i="15"/>
  <c r="F12" i="15"/>
  <c r="F13" i="15"/>
  <c r="F14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14" i="15"/>
  <c r="E13" i="15"/>
  <c r="E12" i="15"/>
  <c r="E11" i="15"/>
  <c r="E10" i="15"/>
  <c r="E9" i="15"/>
  <c r="E8" i="15"/>
  <c r="E7" i="15"/>
  <c r="E6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22" i="15"/>
  <c r="C6" i="15"/>
  <c r="C7" i="15"/>
  <c r="C8" i="15"/>
  <c r="C9" i="15"/>
  <c r="C10" i="15"/>
  <c r="C11" i="15"/>
  <c r="C12" i="15"/>
  <c r="C13" i="15"/>
  <c r="C14" i="15"/>
  <c r="O11" i="5" l="1"/>
  <c r="M8" i="5"/>
  <c r="M9" i="5"/>
  <c r="M5" i="5"/>
  <c r="M7" i="5"/>
  <c r="M6" i="5"/>
  <c r="L11" i="5"/>
  <c r="P8" i="5" s="1"/>
  <c r="K11" i="5"/>
  <c r="O5" i="5" s="1"/>
  <c r="G6" i="5"/>
  <c r="G9" i="5"/>
  <c r="C11" i="5"/>
  <c r="G7" i="5" s="1"/>
  <c r="B11" i="5"/>
  <c r="F7" i="5" s="1"/>
  <c r="D8" i="5"/>
  <c r="D6" i="5"/>
  <c r="D7" i="5"/>
  <c r="D5" i="5"/>
  <c r="D9" i="5"/>
  <c r="B12" i="3"/>
  <c r="C6" i="3"/>
  <c r="C8" i="3"/>
  <c r="C10" i="3"/>
  <c r="C7" i="3" s="1"/>
  <c r="C18" i="2"/>
  <c r="D10" i="2" s="1"/>
  <c r="C4" i="2"/>
  <c r="C4" i="1"/>
  <c r="C5" i="1"/>
  <c r="C6" i="1"/>
  <c r="B8" i="1"/>
  <c r="C7" i="1" s="1"/>
  <c r="O7" i="5" l="1"/>
  <c r="C3" i="1"/>
  <c r="O8" i="5"/>
  <c r="C8" i="1"/>
  <c r="C5" i="3"/>
  <c r="P6" i="5"/>
  <c r="C9" i="3"/>
  <c r="P9" i="5"/>
  <c r="D15" i="2"/>
  <c r="D4" i="2"/>
  <c r="D7" i="2"/>
  <c r="D11" i="2"/>
  <c r="D16" i="2"/>
  <c r="D12" i="2"/>
  <c r="D8" i="2"/>
  <c r="D18" i="2"/>
  <c r="D14" i="2"/>
  <c r="D6" i="2"/>
  <c r="D5" i="2"/>
  <c r="D17" i="2"/>
  <c r="D13" i="2"/>
  <c r="D9" i="2"/>
  <c r="O6" i="5"/>
  <c r="O9" i="5"/>
  <c r="P7" i="5"/>
  <c r="P5" i="5"/>
  <c r="M11" i="5"/>
  <c r="P11" i="5"/>
  <c r="F9" i="5"/>
  <c r="F6" i="5"/>
  <c r="G5" i="5"/>
  <c r="F5" i="5"/>
  <c r="F11" i="5"/>
  <c r="F8" i="5"/>
  <c r="D11" i="5"/>
  <c r="G11" i="5"/>
  <c r="G8" i="5"/>
</calcChain>
</file>

<file path=xl/sharedStrings.xml><?xml version="1.0" encoding="utf-8"?>
<sst xmlns="http://schemas.openxmlformats.org/spreadsheetml/2006/main" count="713" uniqueCount="481">
  <si>
    <t>Location</t>
  </si>
  <si>
    <t>Sales</t>
  </si>
  <si>
    <t>Chain Drugstores</t>
  </si>
  <si>
    <t>Independent Drugstores</t>
  </si>
  <si>
    <t>Supermarkets with Pharmacies</t>
  </si>
  <si>
    <t>Mail Pharmacies</t>
  </si>
  <si>
    <t>Mass Merchants with Pharmacies</t>
  </si>
  <si>
    <t>Total</t>
  </si>
  <si>
    <t>% of Sales</t>
  </si>
  <si>
    <t>Company</t>
  </si>
  <si>
    <t>Ticker</t>
  </si>
  <si>
    <t>Share of Prescription Revenues</t>
  </si>
  <si>
    <t>Primary Dispensing Format</t>
  </si>
  <si>
    <t>CVS Caremark</t>
  </si>
  <si>
    <t>CVS</t>
  </si>
  <si>
    <t>Retail Pharmacy</t>
  </si>
  <si>
    <t>Mail Order</t>
  </si>
  <si>
    <t>Estimated 2013 Prescription Revenues (billions)</t>
  </si>
  <si>
    <t>Chain drugstore</t>
  </si>
  <si>
    <t>Mail pharmacy</t>
  </si>
  <si>
    <t>Walgreens Company</t>
  </si>
  <si>
    <t>WAG</t>
  </si>
  <si>
    <t>Express Scripts Inc.</t>
  </si>
  <si>
    <t>ESRX</t>
  </si>
  <si>
    <t>WMT</t>
  </si>
  <si>
    <t>Mass merchant w/ pharmacy</t>
  </si>
  <si>
    <t>Wal-Mart Stores Inc.</t>
  </si>
  <si>
    <t>Rite Aid Corporation</t>
  </si>
  <si>
    <t>RAD</t>
  </si>
  <si>
    <t>The Kroger Company</t>
  </si>
  <si>
    <t>KR</t>
  </si>
  <si>
    <t>Supermarket w/ pharmacy</t>
  </si>
  <si>
    <t>Safeway Inc.</t>
  </si>
  <si>
    <t>SWY</t>
  </si>
  <si>
    <t>UnitedHealth</t>
  </si>
  <si>
    <t>UNH</t>
  </si>
  <si>
    <t>Target Corporation</t>
  </si>
  <si>
    <t>TGT</t>
  </si>
  <si>
    <t>Sears Holding Corporation</t>
  </si>
  <si>
    <t>SHLD</t>
  </si>
  <si>
    <t>All other chains</t>
  </si>
  <si>
    <t>various</t>
  </si>
  <si>
    <t>Independent pharmacies</t>
  </si>
  <si>
    <t>Independent drugstores</t>
  </si>
  <si>
    <t>Pharmacy Sales</t>
  </si>
  <si>
    <t>Δ Independent drugstores</t>
  </si>
  <si>
    <t>Δ Mail Pharmacies</t>
  </si>
  <si>
    <t>Δ Chain drugstores</t>
  </si>
  <si>
    <t>Δ Mass merchants w/ pharmacy</t>
  </si>
  <si>
    <t>Δ Supermarkets w/ pharmacy</t>
  </si>
  <si>
    <t>CAGR</t>
  </si>
  <si>
    <t>Format</t>
  </si>
  <si>
    <t>Chain drugstores</t>
  </si>
  <si>
    <t>Mass merchants w/ pharmacies</t>
  </si>
  <si>
    <t>Supermarkets w/ pharmacies</t>
  </si>
  <si>
    <t>Mail pharmacies</t>
  </si>
  <si>
    <t>Total prescriptions</t>
  </si>
  <si>
    <t>Dispensing Format</t>
  </si>
  <si>
    <t>Prescriptions (millions)</t>
  </si>
  <si>
    <t>Share of Prescriptions</t>
  </si>
  <si>
    <t>% change</t>
  </si>
  <si>
    <t>change</t>
  </si>
  <si>
    <t>down 9 bps</t>
  </si>
  <si>
    <t>down 28 bps</t>
  </si>
  <si>
    <t>down 79 bps</t>
  </si>
  <si>
    <t>up 58 bps</t>
  </si>
  <si>
    <t>Shares of Revenues</t>
  </si>
  <si>
    <t>Prescription Revenues (billions)</t>
  </si>
  <si>
    <t>up 106 bps</t>
  </si>
  <si>
    <t>up 35 bps</t>
  </si>
  <si>
    <t>up 27 bps</t>
  </si>
  <si>
    <t>down 100 bps</t>
  </si>
  <si>
    <t>down 68 bps</t>
  </si>
  <si>
    <t>correl:</t>
  </si>
  <si>
    <t>Source: US Census Bureau</t>
  </si>
  <si>
    <t>Source</t>
  </si>
  <si>
    <t>Private Health Insurance</t>
  </si>
  <si>
    <t>Medicare</t>
  </si>
  <si>
    <t>Medicaid</t>
  </si>
  <si>
    <t>Out-of-Pocket</t>
  </si>
  <si>
    <t>All other third-party payers</t>
  </si>
  <si>
    <t>2022E</t>
  </si>
  <si>
    <t>Consumer Out of Pocket</t>
  </si>
  <si>
    <t>Employer-Sponsored Private Insurance</t>
  </si>
  <si>
    <t>Public Funds</t>
  </si>
  <si>
    <t>Individually Purcased Private Insurance</t>
  </si>
  <si>
    <t xml:space="preserve">Note: </t>
  </si>
  <si>
    <t>1) Consumer out-of-pocket expenditures equal cash-pay prescriptions plus copayments and coinsurance</t>
  </si>
  <si>
    <t>2) Includes Medicare, Medicaid, DoD, VA, and other public programs</t>
  </si>
  <si>
    <t xml:space="preserve">3) Includes those with Medicare supplemental coverage and individually purchased plans, including coverage </t>
  </si>
  <si>
    <t xml:space="preserve">purchased through the Marketplaces. </t>
  </si>
  <si>
    <t>Name</t>
  </si>
  <si>
    <t>HQ location</t>
  </si>
  <si>
    <t>2012 Pharmacy Revenues (millions)</t>
  </si>
  <si>
    <t>% of sales from pharmacy</t>
  </si>
  <si>
    <t>Number of pharmacies</t>
  </si>
  <si>
    <t>Kinney Drugs</t>
  </si>
  <si>
    <t>Care Pharmacies</t>
  </si>
  <si>
    <t>Kerr Drug*</t>
  </si>
  <si>
    <t>Thrifty White</t>
  </si>
  <si>
    <t>Sav-Mor</t>
  </si>
  <si>
    <t>Aurora Drugs</t>
  </si>
  <si>
    <t>Discount Drug Mart</t>
  </si>
  <si>
    <t>Bartell Drugs</t>
  </si>
  <si>
    <t>Fruth Pharmacy</t>
  </si>
  <si>
    <t>* Kerr Drug was acquired by Walgreens in September 2013</t>
  </si>
  <si>
    <t>Memphis, TN</t>
  </si>
  <si>
    <t>Gouverneur, NY</t>
  </si>
  <si>
    <t>Raliegh, NC</t>
  </si>
  <si>
    <t>Alexandria, VA</t>
  </si>
  <si>
    <t>Maple Grove, MN</t>
  </si>
  <si>
    <t>Novl, MI</t>
  </si>
  <si>
    <t>Elm Grove, WI</t>
  </si>
  <si>
    <t>Medina, OH</t>
  </si>
  <si>
    <t>Seattle, WA</t>
  </si>
  <si>
    <t>Point Pleasant, WV</t>
  </si>
  <si>
    <t xml:space="preserve">Note: U.S. drugstore revenues exclude mass merchant and supermarket pharmacies and mail pharmacies; however these data do include retail revenues from non-prescription </t>
  </si>
  <si>
    <t>front-end sales</t>
  </si>
  <si>
    <t>2013E</t>
  </si>
  <si>
    <t>Number of Equivalent Prescriptions (billions)</t>
  </si>
  <si>
    <t>% change Y/Y</t>
  </si>
  <si>
    <t>Note: Includes retail, mail (actual scripts x 3), and specialty pharmacies</t>
  </si>
  <si>
    <t>Source: IMS Health</t>
  </si>
  <si>
    <t>Traditional Rx costs</t>
  </si>
  <si>
    <t>2011A</t>
  </si>
  <si>
    <t>2012A</t>
  </si>
  <si>
    <t>2013A</t>
  </si>
  <si>
    <t>2014E</t>
  </si>
  <si>
    <t>2015E</t>
  </si>
  <si>
    <t>2016E</t>
  </si>
  <si>
    <t>Specialty Rx costs</t>
  </si>
  <si>
    <t xml:space="preserve">*2011, 2012, 2013 are actuals </t>
  </si>
  <si>
    <t>http://www.express-scripts.com/research/research/dtr/archive/2012/dtrFinal.pdf</t>
  </si>
  <si>
    <t>http://lab.express-scripts.com/drug-trend-report/trend-forecast/forecast-traditional-therapy-classes</t>
  </si>
  <si>
    <t>TOP 10 spec pharma utilization</t>
  </si>
  <si>
    <t>http://lab.express-scripts.com/drug-trend-report/therapy-class-review/cost-and-utilization-for-top-10-specialty-therapy-classes</t>
  </si>
  <si>
    <t>Specialty as % of Drug Spend</t>
  </si>
  <si>
    <t>Specialty Drug Approvals</t>
  </si>
  <si>
    <t>Pharmacy Revenues from Specialty Pharmaceuticals, by Company, 2013</t>
  </si>
  <si>
    <t>billions</t>
  </si>
  <si>
    <t>All other retail, mail, and specialty pharmacies</t>
  </si>
  <si>
    <t>Express Scripts</t>
  </si>
  <si>
    <t>Walgreens</t>
  </si>
  <si>
    <t>Diplomat</t>
  </si>
  <si>
    <t>Omnicare</t>
  </si>
  <si>
    <t>Avella</t>
  </si>
  <si>
    <t>Number of Independent Pharmacies 1990-2012</t>
  </si>
  <si>
    <t>thousands</t>
  </si>
  <si>
    <t>year</t>
  </si>
  <si>
    <t>pharmacies</t>
  </si>
  <si>
    <t>Equivalent Mail Prescriptions, Annual Total and Growth, 2002-2012</t>
  </si>
  <si>
    <t>Number of Equivalent Mail Prescriptions (billions)</t>
  </si>
  <si>
    <t>% change from previous year</t>
  </si>
  <si>
    <t>Number of U.S. Retail Clinics, 2004-2016</t>
  </si>
  <si>
    <t>Prescription spending w/o ACA (billions)</t>
  </si>
  <si>
    <t>2012E</t>
  </si>
  <si>
    <t>2017E</t>
  </si>
  <si>
    <t>2018E</t>
  </si>
  <si>
    <t>2019E</t>
  </si>
  <si>
    <t>2020E</t>
  </si>
  <si>
    <t>2021E</t>
  </si>
  <si>
    <t>Rx Spending w/o Impact of ACA</t>
  </si>
  <si>
    <t>National Health Expenditures w/o Impact of ACA</t>
  </si>
  <si>
    <t>http://www.cms.gov/Research-Statistics-Data-and-Systems/Statistics-Trends-and-Reports/NationalHealthExpendData/Downloads/Proj2012.pdf</t>
  </si>
  <si>
    <t>Rx as % of NHEs w/o Impact of ACA</t>
  </si>
  <si>
    <t>Specialty Drugs</t>
  </si>
  <si>
    <t>Traditional Drugs</t>
  </si>
  <si>
    <t>Prescriptions written</t>
  </si>
  <si>
    <t>Prescription drug expenditures</t>
  </si>
  <si>
    <t>Prescription Drug Utilization in 2012</t>
  </si>
  <si>
    <t>Share of Drug Approvals</t>
  </si>
  <si>
    <t>Conventional Drug Approvals</t>
  </si>
  <si>
    <t>Traditional</t>
  </si>
  <si>
    <t>Specialty</t>
  </si>
  <si>
    <t>2014 Catamaran drug trends</t>
  </si>
  <si>
    <t>Utilization</t>
  </si>
  <si>
    <t>Drug Mix</t>
  </si>
  <si>
    <t>Quantity</t>
  </si>
  <si>
    <t>Unit Cost</t>
  </si>
  <si>
    <t>2013 Traditional Drug Tend</t>
  </si>
  <si>
    <t>2013 Overall Drug Tend</t>
  </si>
  <si>
    <t>2013 Specialty Drug Tend</t>
  </si>
  <si>
    <t>Y/Y growth</t>
  </si>
  <si>
    <t>Average Cost of a Brand Specialty Rx</t>
  </si>
  <si>
    <t>Drug Name</t>
  </si>
  <si>
    <t>Therapeutic Class</t>
  </si>
  <si>
    <t>Release Date</t>
  </si>
  <si>
    <t>Launch Type</t>
  </si>
  <si>
    <t>Opana ER</t>
  </si>
  <si>
    <t>Lamictal XR</t>
  </si>
  <si>
    <t>Concerta</t>
  </si>
  <si>
    <t>Duetact</t>
  </si>
  <si>
    <t>Suboxone SL Tabs</t>
  </si>
  <si>
    <t>Fosamax Oral Solution</t>
  </si>
  <si>
    <t>Luvox CR</t>
  </si>
  <si>
    <t>Xopenex</t>
  </si>
  <si>
    <t>Travatan</t>
  </si>
  <si>
    <t>Atacand</t>
  </si>
  <si>
    <t>Zomig/Zomig ZMT</t>
  </si>
  <si>
    <t>Aricept</t>
  </si>
  <si>
    <t>Temodar</t>
  </si>
  <si>
    <t>Vfend</t>
  </si>
  <si>
    <t>Kadian</t>
  </si>
  <si>
    <t>Lidoderm</t>
  </si>
  <si>
    <t>Niaspan</t>
  </si>
  <si>
    <t>Aciphex</t>
  </si>
  <si>
    <t>Cymbalta</t>
  </si>
  <si>
    <t>Analgesics - Opioids</t>
  </si>
  <si>
    <t>Anticonvulsants</t>
  </si>
  <si>
    <t>ADHD</t>
  </si>
  <si>
    <t>Migraine</t>
  </si>
  <si>
    <t>Antidiabetics</t>
  </si>
  <si>
    <t>Bone Density Regulators</t>
  </si>
  <si>
    <t>Antidepressants</t>
  </si>
  <si>
    <t>Antlasthmatic &amp; Bronchodilator Agents</t>
  </si>
  <si>
    <t>Opthalmic Agents</t>
  </si>
  <si>
    <t>Antihypertensives</t>
  </si>
  <si>
    <t>Antidementia</t>
  </si>
  <si>
    <t>Antihyperlipidemics</t>
  </si>
  <si>
    <t>Antineoplastics &amp; Adjunctive Therapy</t>
  </si>
  <si>
    <t>Antifungals</t>
  </si>
  <si>
    <t>Dermatologicals</t>
  </si>
  <si>
    <t>Ulcer</t>
  </si>
  <si>
    <t>N/A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</si>
  <si>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</si>
  <si>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</si>
  <si>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</si>
  <si>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</si>
  <si>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</si>
  <si>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</si>
  <si>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</si>
  <si>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</si>
  <si>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November</t>
  </si>
  <si>
    <t>December</t>
  </si>
  <si>
    <t>Exclusive</t>
  </si>
  <si>
    <t>Competitive</t>
  </si>
  <si>
    <t>Unknown</t>
  </si>
  <si>
    <t>Competitive/Exclusive</t>
  </si>
  <si>
    <t>Competitive w/ AG</t>
  </si>
  <si>
    <t>U.S. Sales (MM's)</t>
  </si>
  <si>
    <t>Maxalt MLT*</t>
  </si>
  <si>
    <t>Avandia**</t>
  </si>
  <si>
    <t>Zometa***</t>
  </si>
  <si>
    <t>Reclast****</t>
  </si>
  <si>
    <t>Triplix*****</t>
  </si>
  <si>
    <t>Notes</t>
  </si>
  <si>
    <t>* sales include both Maxalt and Maxalt MLT</t>
  </si>
  <si>
    <t>** sales include both Avandamet and Avandia</t>
  </si>
  <si>
    <t>***global w/ Reclast</t>
  </si>
  <si>
    <t>**** global w/ Zometa</t>
  </si>
  <si>
    <t>***** sales include both Tricor and Triplix</t>
  </si>
  <si>
    <t>Select generic launches for Catamaran BOB</t>
  </si>
  <si>
    <t>2013 vs 2012 Total Drug Trend</t>
  </si>
  <si>
    <t>http://www.workforce.com/articles/19960-the-pill-game</t>
  </si>
  <si>
    <t>II. Price Performance of Pharmacy Services</t>
  </si>
  <si>
    <t>IV. Investment Positives</t>
  </si>
  <si>
    <t>V. Investment Negatives</t>
  </si>
  <si>
    <t>2008-2012</t>
  </si>
  <si>
    <t># of locations</t>
  </si>
  <si>
    <t>% of locations</t>
  </si>
  <si>
    <t xml:space="preserve"> </t>
  </si>
  <si>
    <t>Fred's**</t>
  </si>
  <si>
    <t>** Reuters reported Fred's may be an acquisition target on 07/17/2014</t>
  </si>
  <si>
    <t>Acquirer</t>
  </si>
  <si>
    <t>Target</t>
  </si>
  <si>
    <t># of stores acquired</t>
  </si>
  <si>
    <t xml:space="preserve">CVS </t>
  </si>
  <si>
    <t>Longs Drugs</t>
  </si>
  <si>
    <t>Duane Reade</t>
  </si>
  <si>
    <t>USA Drugs</t>
  </si>
  <si>
    <t>Kerr Drug</t>
  </si>
  <si>
    <t>Medicine Chest Pharmacies</t>
  </si>
  <si>
    <t>VI. Pharmacy Services Industry Primer</t>
  </si>
  <si>
    <t>Hospital Care</t>
  </si>
  <si>
    <t>Rx Spending</t>
  </si>
  <si>
    <t>Physician and Clinical Services</t>
  </si>
  <si>
    <t>NHEs</t>
  </si>
  <si>
    <t>Hospital Care % of NHE</t>
  </si>
  <si>
    <t>Physician and Clinical Services % of NHE</t>
  </si>
  <si>
    <t>Rx Spending % of NHE</t>
  </si>
  <si>
    <t>National Health Expenditures (NHE) w/ Impact of ACA</t>
  </si>
  <si>
    <t>% w/ Rx Expense</t>
  </si>
  <si>
    <t>Share of U.S. Rx Expenditures</t>
  </si>
  <si>
    <t>&lt; 5</t>
  </si>
  <si>
    <t>5 to 17</t>
  </si>
  <si>
    <t>18 to 44</t>
  </si>
  <si>
    <t>45 to 64</t>
  </si>
  <si>
    <t>&gt;= 65</t>
  </si>
  <si>
    <t>Median Annual Expense per Person1</t>
  </si>
  <si>
    <t>Census Year</t>
  </si>
  <si>
    <t>Age
60-64</t>
  </si>
  <si>
    <t>Age
65-74</t>
  </si>
  <si>
    <t xml:space="preserve"> Age
75-84</t>
  </si>
  <si>
    <t xml:space="preserve"> Age
85+</t>
  </si>
  <si>
    <t>Age 60 and older</t>
  </si>
  <si>
    <t xml:space="preserve"> Age 65 and older</t>
  </si>
  <si>
    <t>Total,
all ages</t>
  </si>
  <si>
    <t>http://www.aoa.gov/Aging_Statistics/future_growth/future_growth.aspx</t>
  </si>
  <si>
    <t>2030E</t>
  </si>
  <si>
    <t>2040E</t>
  </si>
  <si>
    <t>2050E</t>
  </si>
  <si>
    <t xml:space="preserve"> Age 65 and older as % of U.S. population</t>
  </si>
  <si>
    <t>incremental sales $</t>
  </si>
  <si>
    <t>Baseline</t>
  </si>
  <si>
    <t>Incremental Sales</t>
  </si>
  <si>
    <t>CAGR per decade</t>
  </si>
  <si>
    <t>grows by 5% y/y</t>
  </si>
  <si>
    <t>Rx Spending Growth w/ Impact of ACA ($-billions)</t>
  </si>
  <si>
    <t xml:space="preserve"> Age 65 and older (MM's)</t>
  </si>
  <si>
    <t>90% w/ Rx Expense (MM's)</t>
  </si>
  <si>
    <t>Rx Spending ($-billions)</t>
  </si>
  <si>
    <t>% of Rx Spending in U.S.</t>
  </si>
  <si>
    <t>Age in Yrs</t>
  </si>
  <si>
    <t>% of U.S. Population</t>
  </si>
  <si>
    <t>Incremental Contribution</t>
  </si>
  <si>
    <t>300bps</t>
  </si>
  <si>
    <t>500bps</t>
  </si>
  <si>
    <t>Annual Rx Expense*</t>
  </si>
  <si>
    <t>Retail (90-day)</t>
  </si>
  <si>
    <t>Mail (90-day)</t>
  </si>
  <si>
    <t>Retail (30-day)</t>
  </si>
  <si>
    <t>The Fastest-Growing Private Specialty Pharmacies, 2013</t>
  </si>
  <si>
    <t>Year Founded</t>
  </si>
  <si>
    <t>2013 Revenues ($ millions)</t>
  </si>
  <si>
    <t>3-Year Revenue Growth</t>
  </si>
  <si>
    <t>2013 Employees</t>
  </si>
  <si>
    <t>URAC Accreditation</t>
  </si>
  <si>
    <t>Type of URAC Accreditation</t>
  </si>
  <si>
    <t>Diplomat Specialty Pharmacy</t>
  </si>
  <si>
    <t>Yes</t>
  </si>
  <si>
    <t>SP</t>
  </si>
  <si>
    <t>SP; MSP</t>
  </si>
  <si>
    <t>CareMed Pharmaceutical Services</t>
  </si>
  <si>
    <t>BioRx</t>
  </si>
  <si>
    <t>Onco360</t>
  </si>
  <si>
    <t>In Process</t>
  </si>
  <si>
    <t>n.a.</t>
  </si>
  <si>
    <t>TNH Pharmacy II</t>
  </si>
  <si>
    <t>Curant Health (HealthStat Rx)</t>
  </si>
  <si>
    <t>MSP</t>
  </si>
  <si>
    <t>MedPro Rx</t>
  </si>
  <si>
    <t>Pentec Health</t>
  </si>
  <si>
    <t>No</t>
  </si>
  <si>
    <t>Apothecary by Design</t>
  </si>
  <si>
    <t>MedExpress Pharmacy</t>
  </si>
  <si>
    <t>South Miami Pharmacy</t>
  </si>
  <si>
    <t>Ladd Family Pharmacy</t>
  </si>
  <si>
    <t>Average:</t>
  </si>
  <si>
    <t>Median:</t>
  </si>
  <si>
    <t>SP = Specialty Pharmacy; MSP = Mail Service Pharmacy</t>
  </si>
  <si>
    <t>Source: Pembroke Consulting analysis of 2014 Inc. magazine database</t>
  </si>
  <si>
    <t>Published on Drug Channels (www.DrugChannels.net) on September 3, 2014</t>
  </si>
  <si>
    <t>Method</t>
  </si>
  <si>
    <t>Details</t>
  </si>
  <si>
    <t>Administrative Fees</t>
  </si>
  <si>
    <t>Dispensing Profit</t>
  </si>
  <si>
    <t>Retail Network Spread</t>
  </si>
  <si>
    <t>Retained Rebates</t>
  </si>
  <si>
    <t>Service Revenues</t>
  </si>
  <si>
    <t>Difference between:</t>
  </si>
  <si>
    <t>Ingredient cost reimbursement PBM received from payer</t>
  </si>
  <si>
    <t>Ingredient cost reimbursement paid to pharmacy by PBM</t>
  </si>
  <si>
    <t>Per-claim processing fee</t>
  </si>
  <si>
    <t>Drug acquisition cost to mail-order pharmacy of PBM</t>
  </si>
  <si>
    <t>Percentage of formulary rebates from branded manufacturers</t>
  </si>
  <si>
    <t>retained by PBM - not passed back to payer</t>
  </si>
  <si>
    <t xml:space="preserve">Fees or performance-based payments paid to PBM by </t>
  </si>
  <si>
    <t>manufacturers</t>
  </si>
  <si>
    <t>Spread Pricing components</t>
  </si>
  <si>
    <t>Pass-Through Pricing components</t>
  </si>
  <si>
    <t>Do not receive rebates</t>
  </si>
  <si>
    <t>Flat guaranteed amount per script/brand script/formulary brand script</t>
  </si>
  <si>
    <t xml:space="preserve">Percentage share of actual rebates without guarantee </t>
  </si>
  <si>
    <t xml:space="preserve">Percentage share of actual rebates with minimum guarantee </t>
  </si>
  <si>
    <t>Large Employer</t>
  </si>
  <si>
    <t>Small Employer</t>
  </si>
  <si>
    <t>calendar impact</t>
  </si>
  <si>
    <t>adj</t>
  </si>
  <si>
    <t>pembroke:</t>
  </si>
  <si>
    <t>List Price</t>
  </si>
  <si>
    <t>Basis of Reimbursement</t>
  </si>
  <si>
    <t>Common Metrics</t>
  </si>
  <si>
    <t>Common Applications</t>
  </si>
  <si>
    <t>Public price benchmark</t>
  </si>
  <si>
    <t>Average Wholesale Price (AWP) or Wholesale Acquisiton Cost (WAC)</t>
  </si>
  <si>
    <t>Brand prescriptions</t>
  </si>
  <si>
    <t>Fixed Price</t>
  </si>
  <si>
    <t>Payer-defined limit for ingredient cost</t>
  </si>
  <si>
    <t>Maximum Allowable Cost (MAC)</t>
  </si>
  <si>
    <t>Generic prescriptions</t>
  </si>
  <si>
    <t>Acquisition Cost</t>
  </si>
  <si>
    <t>Cost data collected from pharmacy surveys</t>
  </si>
  <si>
    <t>Average Acquisition Cost (AAC) or National Drug Acquisition Cost (NADAC)</t>
  </si>
  <si>
    <t>Brand and Generic prescriptions</t>
  </si>
  <si>
    <t>Manufacturer Sales Price</t>
  </si>
  <si>
    <t>Sales data collected from manufacturers</t>
  </si>
  <si>
    <t>Average Manufacturer Price (AMP) or Average Sales Price (ASP)</t>
  </si>
  <si>
    <t>Average Consumer Copayment for a Generic Rx, 2013</t>
  </si>
  <si>
    <t>2005-6</t>
  </si>
  <si>
    <t>Mail Pharmacy</t>
  </si>
  <si>
    <t>Community Retail Pharmacy</t>
  </si>
  <si>
    <t>Percentage of AWP</t>
  </si>
  <si>
    <t>Percentage of AWP Billed to Employers for Brand-Name Prescriptions, Retail vs. Mail, 1999-2013</t>
  </si>
  <si>
    <t>Percentage of AWP Billed to Employer, 2013</t>
  </si>
  <si>
    <t>Pharmacies and Drugstores gross margin</t>
  </si>
  <si>
    <t>Pharmacies and Drugstores gross profit</t>
  </si>
  <si>
    <t>MM's</t>
  </si>
  <si>
    <t>Pharmacies and Drugstores sales</t>
  </si>
  <si>
    <t>Y/Y growth in gross profit</t>
  </si>
  <si>
    <t>Brand Drugs</t>
  </si>
  <si>
    <t>Cash</t>
  </si>
  <si>
    <t>Medicaid FFS</t>
  </si>
  <si>
    <t>Third Party</t>
  </si>
  <si>
    <t>Combined</t>
  </si>
  <si>
    <t>Draft NARP Per Script</t>
  </si>
  <si>
    <t>Draft NADAC Per
Script</t>
  </si>
  <si>
    <t>Difference Per Script</t>
  </si>
  <si>
    <t>Difference Percent</t>
  </si>
  <si>
    <t>14.3%</t>
  </si>
  <si>
    <t>6.3%</t>
  </si>
  <si>
    <t>5.6%</t>
  </si>
  <si>
    <t>5.8%</t>
  </si>
  <si>
    <t>Generic Drugs</t>
  </si>
  <si>
    <t>Draft NADAC Per Script</t>
  </si>
  <si>
    <t>64.3%</t>
  </si>
  <si>
    <t>52.0%</t>
  </si>
  <si>
    <t>43.8%</t>
  </si>
  <si>
    <t>45.6%</t>
  </si>
  <si>
    <t>http://www.medicaid.gov/Medicaid-CHIP-Program-Information/By-Topics/Benefits/Prescription-Drugs/Downloads/December-5-2012webinarpresentation.pdf</t>
  </si>
  <si>
    <t>Reimbursement</t>
  </si>
  <si>
    <t>Estimated Acquisition Cost</t>
  </si>
  <si>
    <t>Gross Profit</t>
  </si>
  <si>
    <t>Estimated Acquisition Cost w/ rebates/discounts</t>
  </si>
  <si>
    <t>Adjusted Gross Profit</t>
  </si>
  <si>
    <t>Gross Margin</t>
  </si>
  <si>
    <t>Adjusted Gross Margin</t>
  </si>
  <si>
    <t>Average</t>
  </si>
  <si>
    <t>BRAND</t>
  </si>
  <si>
    <t>GENERIC</t>
  </si>
  <si>
    <t>Industry Average</t>
  </si>
  <si>
    <t>CVS retail</t>
  </si>
  <si>
    <t xml:space="preserve">Volume  </t>
  </si>
  <si>
    <t>Price</t>
  </si>
  <si>
    <t>TOTAL</t>
  </si>
  <si>
    <t>Brand</t>
  </si>
  <si>
    <t>Generic</t>
  </si>
  <si>
    <t>Product</t>
  </si>
  <si>
    <t>NADAC per unit (July 2013)</t>
  </si>
  <si>
    <t>NADAC per unit (July 2014)</t>
  </si>
  <si>
    <t>tetracycline 500 mg capsule</t>
  </si>
  <si>
    <t>tetracycline 250 mg capsule</t>
  </si>
  <si>
    <t>captopril 25 mg tablet</t>
  </si>
  <si>
    <t>captopril 12.5 mg tablet</t>
  </si>
  <si>
    <t>captopril 50 mg tablet</t>
  </si>
  <si>
    <t>captopril 100 mg tablet</t>
  </si>
  <si>
    <t>clomipramine 75 mg capsule</t>
  </si>
  <si>
    <t>doxazosin mesylate 1 mg tab</t>
  </si>
  <si>
    <t>fluconazole 100 mg tablet</t>
  </si>
  <si>
    <t>doxazosin mesylate 2 mg tab</t>
  </si>
  <si>
    <t>Est Drug Sales to Independent Pharmacies (billions)</t>
  </si>
  <si>
    <t>Share of Independent Pharmacy Market</t>
  </si>
  <si>
    <t>AmerisourceBergen</t>
  </si>
  <si>
    <t>Cardinal Health</t>
  </si>
  <si>
    <t>McKesson</t>
  </si>
  <si>
    <t>Morris &amp; Dickson</t>
  </si>
  <si>
    <t>HD Smith</t>
  </si>
  <si>
    <t>Smith Drug</t>
  </si>
  <si>
    <t>NC Mutual</t>
  </si>
  <si>
    <t>Value Drug</t>
  </si>
  <si>
    <t>ANDA</t>
  </si>
  <si>
    <t>Harvard Drug</t>
  </si>
  <si>
    <t>Other</t>
  </si>
  <si>
    <t>Nominal U.S. GDP Growth</t>
  </si>
  <si>
    <t>Specialty Channel: Role of Wholesalers, Specialty Distributors, and Specialty Pharmacies</t>
  </si>
  <si>
    <t>Prescription spending and NHE (billions)</t>
  </si>
  <si>
    <t>Rx Spending Growth</t>
  </si>
  <si>
    <t xml:space="preserve">National Health Expenditures (NHE) Growth </t>
  </si>
  <si>
    <t>Rx as % of NHEs</t>
  </si>
  <si>
    <t>2023E</t>
  </si>
  <si>
    <t>2024E</t>
  </si>
  <si>
    <t>Population (MM's)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</si>
</sst>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0.0%"/>
    <numFmt numFmtId="166" formatCode="_(* #,##0.000_);_(* \(#,##0.000\);_(* &quot;-&quot;??_);_(@_)"/>
    <numFmt numFmtId="167" formatCode="_(* #,##0.0000_);_(* \(#,##0.0000\);_(* &quot;-&quot;??_);_(@_)"/>
    <numFmt numFmtId="168" formatCode="_(&quot;$&quot;* #,##0.0_);_(&quot;$&quot;* \(#,##0.0\);_(&quot;$&quot;* &quot;-&quot;??_);_(@_)"/>
    <numFmt numFmtId="169" formatCode="#,##0.0_);\(#,##0.0\)"/>
    <numFmt numFmtId="170" formatCode="_(&quot;$&quot;* #,##0_);_(&quot;$&quot;* \(#,##0\);_(&quot;$&quot;* &quot;-&quot;??_);_(@_)"/>
    <numFmt numFmtId="171" formatCode="0.0"/>
    <numFmt numFmtId="172" formatCode="#,##0.0"/>
    <numFmt numFmtId="173" formatCode="0.000%"/>
    <numFmt numFmtId="174" formatCode="&quot;$&quot;#,##0.0"/>
    <numFmt numFmtId="175" formatCode="\$###0.00;\$###0.00"/>
    <numFmt numFmtId="176" formatCode="\$###0.00_);\(\$###0.00\)"/>
    <numFmt numFmtId="177" formatCode="0.00_);\(0.00\)"/>
    <numFmt numFmtId="178" formatCode="_(&quot;$&quot;* #,##0.0_);_(&quot;$&quot;* \(#,##0.0\);_(&quot;$&quot;* &quot;-&quot;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0"/>
      <name val="Times New Roman"/>
      <family val="1"/>
    </font>
    <font>
      <u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b/>
      <u/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10"/>
      <color indexed="12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Times New Roman"/>
      <family val="1"/>
    </font>
    <font>
      <b/>
      <sz val="14"/>
      <color theme="0"/>
      <name val="Times New Roman"/>
      <family val="1"/>
    </font>
    <font>
      <i/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0"/>
      <name val="Arial"/>
      <family val="2"/>
    </font>
    <font>
      <sz val="18"/>
      <color indexed="8"/>
      <name val="Arial"/>
      <family val="2"/>
    </font>
    <font>
      <sz val="10"/>
      <color indexed="8"/>
      <name val="Arial"/>
      <family val="2"/>
    </font>
    <font>
      <sz val="26"/>
      <color indexed="8"/>
      <name val="Arial"/>
      <family val="2"/>
    </font>
    <font>
      <b/>
      <sz val="11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u val="singleAccounting"/>
      <sz val="10"/>
      <color theme="1"/>
      <name val="Arial"/>
      <family val="2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4" fillId="0" borderId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2" applyFont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right"/>
    </xf>
    <xf numFmtId="9" fontId="4" fillId="2" borderId="0" xfId="2" applyFont="1" applyFill="1"/>
    <xf numFmtId="165" fontId="4" fillId="2" borderId="0" xfId="2" applyNumberFormat="1" applyFont="1" applyFill="1"/>
    <xf numFmtId="0" fontId="7" fillId="2" borderId="0" xfId="0" applyFont="1" applyFill="1"/>
    <xf numFmtId="0" fontId="5" fillId="2" borderId="0" xfId="0" applyFont="1" applyFill="1" applyAlignment="1">
      <alignment horizontal="center"/>
    </xf>
    <xf numFmtId="8" fontId="4" fillId="0" borderId="0" xfId="0" applyNumberFormat="1" applyFont="1" applyAlignment="1">
      <alignment horizontal="center"/>
    </xf>
    <xf numFmtId="9" fontId="4" fillId="2" borderId="0" xfId="2" applyNumberFormat="1" applyFont="1" applyFill="1" applyAlignment="1">
      <alignment horizontal="center"/>
    </xf>
    <xf numFmtId="8" fontId="4" fillId="2" borderId="0" xfId="0" applyNumberFormat="1" applyFont="1" applyFill="1" applyAlignment="1">
      <alignment horizontal="center"/>
    </xf>
    <xf numFmtId="8" fontId="7" fillId="2" borderId="0" xfId="0" applyNumberFormat="1" applyFont="1" applyFill="1" applyAlignment="1">
      <alignment horizontal="center"/>
    </xf>
    <xf numFmtId="9" fontId="7" fillId="2" borderId="0" xfId="2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9" fontId="5" fillId="2" borderId="0" xfId="2" applyNumberFormat="1" applyFont="1" applyFill="1" applyAlignment="1">
      <alignment horizontal="center"/>
    </xf>
    <xf numFmtId="44" fontId="4" fillId="2" borderId="0" xfId="1" applyFont="1" applyFill="1"/>
    <xf numFmtId="44" fontId="4" fillId="2" borderId="0" xfId="0" applyNumberFormat="1" applyFont="1" applyFill="1"/>
    <xf numFmtId="9" fontId="4" fillId="0" borderId="0" xfId="2" applyFont="1"/>
    <xf numFmtId="0" fontId="4" fillId="2" borderId="0" xfId="0" applyFont="1" applyFill="1" applyBorder="1"/>
    <xf numFmtId="0" fontId="9" fillId="2" borderId="0" xfId="0" applyFont="1" applyFill="1" applyBorder="1" applyAlignment="1"/>
    <xf numFmtId="165" fontId="0" fillId="0" borderId="0" xfId="2" applyNumberFormat="1" applyFont="1"/>
    <xf numFmtId="0" fontId="8" fillId="2" borderId="0" xfId="0" applyFont="1" applyFill="1" applyAlignment="1">
      <alignment horizontal="center"/>
    </xf>
    <xf numFmtId="0" fontId="8" fillId="2" borderId="0" xfId="0" applyFont="1" applyFill="1"/>
    <xf numFmtId="41" fontId="3" fillId="2" borderId="0" xfId="0" applyNumberFormat="1" applyFont="1" applyFill="1"/>
    <xf numFmtId="41" fontId="8" fillId="2" borderId="0" xfId="0" applyNumberFormat="1" applyFont="1" applyFill="1"/>
    <xf numFmtId="165" fontId="3" fillId="2" borderId="0" xfId="2" applyNumberFormat="1" applyFont="1" applyFill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66" fontId="3" fillId="2" borderId="0" xfId="0" applyNumberFormat="1" applyFont="1" applyFill="1"/>
    <xf numFmtId="166" fontId="8" fillId="2" borderId="0" xfId="0" applyNumberFormat="1" applyFont="1" applyFill="1"/>
    <xf numFmtId="0" fontId="8" fillId="2" borderId="0" xfId="0" applyFont="1" applyFill="1" applyAlignment="1">
      <alignment horizontal="right"/>
    </xf>
    <xf numFmtId="168" fontId="3" fillId="2" borderId="0" xfId="1" applyNumberFormat="1" applyFont="1" applyFill="1"/>
    <xf numFmtId="169" fontId="3" fillId="2" borderId="0" xfId="1" applyNumberFormat="1" applyFont="1" applyFill="1"/>
    <xf numFmtId="10" fontId="3" fillId="2" borderId="0" xfId="0" applyNumberFormat="1" applyFont="1" applyFill="1" applyAlignment="1">
      <alignment horizontal="right"/>
    </xf>
    <xf numFmtId="167" fontId="3" fillId="2" borderId="0" xfId="0" applyNumberFormat="1" applyFont="1" applyFill="1" applyAlignment="1">
      <alignment horizontal="right"/>
    </xf>
    <xf numFmtId="0" fontId="11" fillId="0" borderId="0" xfId="0" applyFont="1"/>
    <xf numFmtId="9" fontId="3" fillId="0" borderId="0" xfId="2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5" fontId="0" fillId="0" borderId="0" xfId="0" applyNumberFormat="1"/>
    <xf numFmtId="0" fontId="15" fillId="0" borderId="0" xfId="0" applyFont="1"/>
    <xf numFmtId="44" fontId="0" fillId="0" borderId="0" xfId="1" applyFont="1"/>
    <xf numFmtId="171" fontId="0" fillId="0" borderId="0" xfId="0" applyNumberFormat="1"/>
    <xf numFmtId="165" fontId="3" fillId="0" borderId="0" xfId="2" applyNumberFormat="1" applyFont="1"/>
    <xf numFmtId="171" fontId="3" fillId="0" borderId="0" xfId="0" applyNumberFormat="1" applyFont="1"/>
    <xf numFmtId="172" fontId="3" fillId="0" borderId="0" xfId="0" applyNumberFormat="1" applyFont="1"/>
    <xf numFmtId="170" fontId="3" fillId="0" borderId="0" xfId="1" applyNumberFormat="1" applyFont="1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center"/>
    </xf>
    <xf numFmtId="44" fontId="3" fillId="0" borderId="0" xfId="1" applyFont="1"/>
    <xf numFmtId="170" fontId="3" fillId="0" borderId="0" xfId="0" applyNumberFormat="1" applyFont="1"/>
    <xf numFmtId="9" fontId="3" fillId="0" borderId="0" xfId="2" applyNumberFormat="1" applyFont="1"/>
    <xf numFmtId="0" fontId="3" fillId="3" borderId="0" xfId="0" applyFont="1" applyFill="1"/>
    <xf numFmtId="170" fontId="3" fillId="2" borderId="0" xfId="1" applyNumberFormat="1" applyFont="1" applyFill="1"/>
    <xf numFmtId="170" fontId="3" fillId="2" borderId="0" xfId="1" applyNumberFormat="1" applyFont="1" applyFill="1" applyAlignment="1">
      <alignment horizontal="right"/>
    </xf>
    <xf numFmtId="0" fontId="16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7" fillId="3" borderId="0" xfId="0" applyFont="1" applyFill="1"/>
    <xf numFmtId="0" fontId="17" fillId="2" borderId="0" xfId="0" applyFont="1" applyFill="1"/>
    <xf numFmtId="165" fontId="16" fillId="0" borderId="0" xfId="2" applyNumberFormat="1" applyFont="1"/>
    <xf numFmtId="170" fontId="4" fillId="2" borderId="0" xfId="1" applyNumberFormat="1" applyFont="1" applyFill="1"/>
    <xf numFmtId="0" fontId="12" fillId="2" borderId="0" xfId="0" applyFont="1" applyFill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3" fillId="0" borderId="0" xfId="0" applyFont="1" applyAlignment="1"/>
    <xf numFmtId="168" fontId="3" fillId="0" borderId="0" xfId="0" applyNumberFormat="1" applyFont="1"/>
    <xf numFmtId="16" fontId="4" fillId="2" borderId="0" xfId="0" applyNumberFormat="1" applyFont="1" applyFill="1"/>
    <xf numFmtId="9" fontId="7" fillId="2" borderId="0" xfId="2" applyFont="1" applyFill="1"/>
    <xf numFmtId="170" fontId="7" fillId="2" borderId="0" xfId="1" applyNumberFormat="1" applyFont="1" applyFill="1"/>
    <xf numFmtId="0" fontId="16" fillId="0" borderId="0" xfId="0" applyFont="1"/>
    <xf numFmtId="173" fontId="3" fillId="0" borderId="0" xfId="2" applyNumberFormat="1" applyFont="1"/>
    <xf numFmtId="3" fontId="3" fillId="2" borderId="0" xfId="0" applyNumberFormat="1" applyFont="1" applyFill="1"/>
    <xf numFmtId="170" fontId="3" fillId="2" borderId="0" xfId="0" applyNumberFormat="1" applyFont="1" applyFill="1"/>
    <xf numFmtId="44" fontId="3" fillId="2" borderId="0" xfId="0" applyNumberFormat="1" applyFont="1" applyFill="1"/>
    <xf numFmtId="0" fontId="10" fillId="3" borderId="4" xfId="0" applyFont="1" applyFill="1" applyBorder="1" applyAlignment="1">
      <alignment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wrapText="1"/>
    </xf>
    <xf numFmtId="0" fontId="3" fillId="2" borderId="6" xfId="0" applyFont="1" applyFill="1" applyBorder="1"/>
    <xf numFmtId="170" fontId="3" fillId="2" borderId="0" xfId="1" applyNumberFormat="1" applyFont="1" applyFill="1" applyBorder="1"/>
    <xf numFmtId="3" fontId="3" fillId="2" borderId="0" xfId="0" applyNumberFormat="1" applyFont="1" applyFill="1" applyBorder="1"/>
    <xf numFmtId="0" fontId="3" fillId="2" borderId="0" xfId="0" applyFont="1" applyFill="1" applyBorder="1"/>
    <xf numFmtId="0" fontId="3" fillId="2" borderId="7" xfId="0" applyFont="1" applyFill="1" applyBorder="1"/>
    <xf numFmtId="165" fontId="3" fillId="2" borderId="7" xfId="2" applyNumberFormat="1" applyFont="1" applyFill="1" applyBorder="1"/>
    <xf numFmtId="0" fontId="3" fillId="6" borderId="6" xfId="0" applyFont="1" applyFill="1" applyBorder="1"/>
    <xf numFmtId="170" fontId="3" fillId="6" borderId="0" xfId="1" applyNumberFormat="1" applyFont="1" applyFill="1" applyBorder="1"/>
    <xf numFmtId="165" fontId="3" fillId="6" borderId="0" xfId="2" applyNumberFormat="1" applyFont="1" applyFill="1" applyBorder="1"/>
    <xf numFmtId="3" fontId="3" fillId="6" borderId="0" xfId="0" applyNumberFormat="1" applyFont="1" applyFill="1" applyBorder="1"/>
    <xf numFmtId="170" fontId="3" fillId="6" borderId="0" xfId="0" applyNumberFormat="1" applyFont="1" applyFill="1" applyBorder="1" applyAlignment="1"/>
    <xf numFmtId="9" fontId="3" fillId="6" borderId="7" xfId="2" applyFont="1" applyFill="1" applyBorder="1"/>
    <xf numFmtId="0" fontId="3" fillId="6" borderId="8" xfId="0" applyFont="1" applyFill="1" applyBorder="1"/>
    <xf numFmtId="170" fontId="3" fillId="6" borderId="9" xfId="1" applyNumberFormat="1" applyFont="1" applyFill="1" applyBorder="1"/>
    <xf numFmtId="3" fontId="3" fillId="6" borderId="9" xfId="0" applyNumberFormat="1" applyFont="1" applyFill="1" applyBorder="1"/>
    <xf numFmtId="170" fontId="3" fillId="6" borderId="9" xfId="1" applyNumberFormat="1" applyFont="1" applyFill="1" applyBorder="1" applyAlignment="1">
      <alignment horizontal="center"/>
    </xf>
    <xf numFmtId="0" fontId="8" fillId="5" borderId="0" xfId="0" applyFont="1" applyFill="1"/>
    <xf numFmtId="9" fontId="3" fillId="6" borderId="0" xfId="2" applyFont="1" applyFill="1" applyBorder="1"/>
    <xf numFmtId="0" fontId="3" fillId="2" borderId="5" xfId="0" applyFont="1" applyFill="1" applyBorder="1"/>
    <xf numFmtId="0" fontId="8" fillId="2" borderId="7" xfId="0" applyFont="1" applyFill="1" applyBorder="1"/>
    <xf numFmtId="9" fontId="8" fillId="5" borderId="8" xfId="2" applyFont="1" applyFill="1" applyBorder="1"/>
    <xf numFmtId="9" fontId="8" fillId="5" borderId="9" xfId="2" applyFont="1" applyFill="1" applyBorder="1" applyAlignment="1">
      <alignment horizontal="right"/>
    </xf>
    <xf numFmtId="0" fontId="8" fillId="5" borderId="7" xfId="0" applyFont="1" applyFill="1" applyBorder="1"/>
    <xf numFmtId="9" fontId="8" fillId="5" borderId="10" xfId="2" applyFont="1" applyFill="1" applyBorder="1" applyAlignment="1">
      <alignment horizontal="right"/>
    </xf>
    <xf numFmtId="165" fontId="3" fillId="5" borderId="1" xfId="2" applyNumberFormat="1" applyFont="1" applyFill="1" applyBorder="1"/>
    <xf numFmtId="9" fontId="8" fillId="5" borderId="2" xfId="2" applyFont="1" applyFill="1" applyBorder="1"/>
    <xf numFmtId="0" fontId="0" fillId="2" borderId="0" xfId="0" applyFill="1"/>
    <xf numFmtId="9" fontId="18" fillId="2" borderId="0" xfId="2" applyNumberFormat="1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164" fontId="5" fillId="5" borderId="0" xfId="0" applyNumberFormat="1" applyFont="1" applyFill="1" applyAlignment="1">
      <alignment horizontal="center"/>
    </xf>
    <xf numFmtId="9" fontId="5" fillId="5" borderId="0" xfId="2" applyNumberFormat="1" applyFont="1" applyFill="1" applyAlignment="1">
      <alignment horizontal="center"/>
    </xf>
    <xf numFmtId="170" fontId="0" fillId="0" borderId="0" xfId="1" applyNumberFormat="1" applyFont="1"/>
    <xf numFmtId="174" fontId="3" fillId="2" borderId="0" xfId="1" applyNumberFormat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3" fontId="3" fillId="2" borderId="0" xfId="14" applyNumberFormat="1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174" fontId="3" fillId="7" borderId="0" xfId="1" applyNumberFormat="1" applyFont="1" applyFill="1" applyAlignment="1">
      <alignment horizontal="center"/>
    </xf>
    <xf numFmtId="9" fontId="3" fillId="7" borderId="0" xfId="2" applyFont="1" applyFill="1" applyAlignment="1">
      <alignment horizontal="center"/>
    </xf>
    <xf numFmtId="3" fontId="3" fillId="7" borderId="0" xfId="14" applyNumberFormat="1" applyFont="1" applyFill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174" fontId="3" fillId="2" borderId="4" xfId="1" applyNumberFormat="1" applyFont="1" applyFill="1" applyBorder="1" applyAlignment="1">
      <alignment horizontal="center"/>
    </xf>
    <xf numFmtId="9" fontId="3" fillId="2" borderId="4" xfId="2" applyFont="1" applyFill="1" applyBorder="1" applyAlignment="1">
      <alignment horizontal="center"/>
    </xf>
    <xf numFmtId="3" fontId="3" fillId="2" borderId="4" xfId="14" applyNumberFormat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174" fontId="3" fillId="2" borderId="9" xfId="1" applyNumberFormat="1" applyFont="1" applyFill="1" applyBorder="1" applyAlignment="1">
      <alignment horizontal="center"/>
    </xf>
    <xf numFmtId="9" fontId="3" fillId="2" borderId="9" xfId="2" applyFont="1" applyFill="1" applyBorder="1" applyAlignment="1">
      <alignment horizontal="center"/>
    </xf>
    <xf numFmtId="3" fontId="3" fillId="2" borderId="9" xfId="14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wrapText="1"/>
    </xf>
    <xf numFmtId="0" fontId="20" fillId="3" borderId="12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 wrapText="1"/>
    </xf>
    <xf numFmtId="0" fontId="21" fillId="2" borderId="0" xfId="0" applyFont="1" applyFill="1"/>
    <xf numFmtId="0" fontId="22" fillId="3" borderId="0" xfId="0" applyFont="1" applyFill="1"/>
    <xf numFmtId="0" fontId="22" fillId="3" borderId="0" xfId="0" applyFont="1" applyFill="1" applyAlignment="1"/>
    <xf numFmtId="0" fontId="23" fillId="2" borderId="0" xfId="0" applyFont="1" applyFill="1"/>
    <xf numFmtId="0" fontId="23" fillId="7" borderId="0" xfId="0" applyFont="1" applyFill="1"/>
    <xf numFmtId="0" fontId="0" fillId="7" borderId="0" xfId="0" applyFill="1"/>
    <xf numFmtId="0" fontId="24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14" fontId="0" fillId="0" borderId="0" xfId="0" applyNumberFormat="1"/>
    <xf numFmtId="165" fontId="0" fillId="8" borderId="6" xfId="2" applyNumberFormat="1" applyFont="1" applyFill="1" applyBorder="1"/>
    <xf numFmtId="165" fontId="0" fillId="9" borderId="15" xfId="2" applyNumberFormat="1" applyFont="1" applyFill="1" applyBorder="1"/>
    <xf numFmtId="165" fontId="0" fillId="0" borderId="3" xfId="2" applyNumberFormat="1" applyFont="1" applyFill="1" applyBorder="1"/>
    <xf numFmtId="165" fontId="0" fillId="0" borderId="4" xfId="2" applyNumberFormat="1" applyFont="1" applyFill="1" applyBorder="1"/>
    <xf numFmtId="165" fontId="0" fillId="10" borderId="4" xfId="0" applyNumberFormat="1" applyFill="1" applyBorder="1"/>
    <xf numFmtId="165" fontId="0" fillId="9" borderId="1" xfId="2" applyNumberFormat="1" applyFont="1" applyFill="1" applyBorder="1"/>
    <xf numFmtId="165" fontId="0" fillId="0" borderId="6" xfId="2" applyNumberFormat="1" applyFont="1" applyFill="1" applyBorder="1"/>
    <xf numFmtId="165" fontId="0" fillId="0" borderId="0" xfId="2" applyNumberFormat="1" applyFont="1" applyFill="1" applyBorder="1"/>
    <xf numFmtId="165" fontId="0" fillId="10" borderId="0" xfId="0" applyNumberFormat="1" applyFill="1" applyBorder="1"/>
    <xf numFmtId="9" fontId="0" fillId="0" borderId="0" xfId="2" applyFont="1" applyFill="1" applyBorder="1"/>
    <xf numFmtId="0" fontId="23" fillId="0" borderId="0" xfId="0" applyFont="1" applyAlignment="1">
      <alignment wrapText="1"/>
    </xf>
    <xf numFmtId="0" fontId="23" fillId="0" borderId="0" xfId="0" applyFont="1"/>
    <xf numFmtId="0" fontId="25" fillId="3" borderId="0" xfId="0" applyFont="1" applyFill="1" applyAlignment="1">
      <alignment wrapText="1"/>
    </xf>
    <xf numFmtId="0" fontId="23" fillId="2" borderId="0" xfId="0" applyFont="1" applyFill="1" applyAlignment="1">
      <alignment wrapText="1"/>
    </xf>
    <xf numFmtId="0" fontId="23" fillId="6" borderId="0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5" fontId="26" fillId="4" borderId="16" xfId="0" applyNumberFormat="1" applyFont="1" applyFill="1" applyBorder="1" applyAlignment="1">
      <alignment horizontal="left" vertical="top" wrapText="1"/>
    </xf>
    <xf numFmtId="176" fontId="26" fillId="4" borderId="16" xfId="0" applyNumberFormat="1" applyFont="1" applyFill="1" applyBorder="1" applyAlignment="1">
      <alignment horizontal="left" vertical="top" wrapText="1"/>
    </xf>
    <xf numFmtId="175" fontId="26" fillId="4" borderId="16" xfId="0" applyNumberFormat="1" applyFont="1" applyFill="1" applyBorder="1" applyAlignment="1">
      <alignment horizontal="left" vertical="top"/>
    </xf>
    <xf numFmtId="176" fontId="26" fillId="4" borderId="16" xfId="0" applyNumberFormat="1" applyFont="1" applyFill="1" applyBorder="1" applyAlignment="1">
      <alignment horizontal="left" vertical="top"/>
    </xf>
    <xf numFmtId="0" fontId="21" fillId="0" borderId="0" xfId="0" applyFont="1"/>
    <xf numFmtId="0" fontId="27" fillId="2" borderId="0" xfId="0" applyFont="1" applyFill="1" applyBorder="1" applyAlignment="1">
      <alignment horizontal="left" vertical="top" wrapText="1"/>
    </xf>
    <xf numFmtId="0" fontId="21" fillId="0" borderId="0" xfId="0" applyFont="1" applyAlignment="1"/>
    <xf numFmtId="0" fontId="28" fillId="4" borderId="0" xfId="0" applyFont="1" applyFill="1" applyAlignment="1">
      <alignment horizontal="left" vertical="top"/>
    </xf>
    <xf numFmtId="0" fontId="13" fillId="0" borderId="0" xfId="0" applyFont="1" applyAlignment="1">
      <alignment vertical="top"/>
    </xf>
    <xf numFmtId="0" fontId="13" fillId="4" borderId="16" xfId="0" applyFont="1" applyFill="1" applyBorder="1" applyAlignment="1">
      <alignment horizontal="left" vertical="top"/>
    </xf>
    <xf numFmtId="0" fontId="26" fillId="4" borderId="16" xfId="0" applyFont="1" applyFill="1" applyBorder="1" applyAlignment="1">
      <alignment horizontal="left" vertical="top"/>
    </xf>
    <xf numFmtId="0" fontId="13" fillId="0" borderId="0" xfId="0" applyFont="1" applyAlignment="1">
      <alignment vertical="top" wrapText="1"/>
    </xf>
    <xf numFmtId="0" fontId="13" fillId="4" borderId="16" xfId="0" applyFont="1" applyFill="1" applyBorder="1" applyAlignment="1">
      <alignment horizontal="left" vertical="top" wrapText="1"/>
    </xf>
    <xf numFmtId="0" fontId="26" fillId="4" borderId="16" xfId="0" applyFont="1" applyFill="1" applyBorder="1" applyAlignment="1">
      <alignment horizontal="left" vertical="top" wrapText="1"/>
    </xf>
    <xf numFmtId="0" fontId="21" fillId="3" borderId="0" xfId="0" applyFont="1" applyFill="1"/>
    <xf numFmtId="0" fontId="29" fillId="2" borderId="0" xfId="0" applyFont="1" applyFill="1"/>
    <xf numFmtId="175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76" fontId="23" fillId="2" borderId="0" xfId="0" applyNumberFormat="1" applyFont="1" applyFill="1" applyAlignment="1">
      <alignment horizontal="center"/>
    </xf>
    <xf numFmtId="177" fontId="23" fillId="2" borderId="0" xfId="0" applyNumberFormat="1" applyFont="1" applyFill="1" applyAlignment="1">
      <alignment horizontal="center"/>
    </xf>
    <xf numFmtId="165" fontId="23" fillId="2" borderId="0" xfId="2" applyNumberFormat="1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165" fontId="23" fillId="6" borderId="0" xfId="2" applyNumberFormat="1" applyFont="1" applyFill="1" applyAlignment="1">
      <alignment horizontal="center"/>
    </xf>
    <xf numFmtId="44" fontId="23" fillId="2" borderId="0" xfId="1" applyFont="1" applyFill="1"/>
    <xf numFmtId="44" fontId="23" fillId="2" borderId="0" xfId="1" applyNumberFormat="1" applyFont="1" applyFill="1"/>
    <xf numFmtId="44" fontId="23" fillId="2" borderId="0" xfId="0" applyNumberFormat="1" applyFont="1" applyFill="1"/>
    <xf numFmtId="44" fontId="32" fillId="2" borderId="0" xfId="1" applyFont="1" applyFill="1"/>
    <xf numFmtId="0" fontId="32" fillId="2" borderId="0" xfId="0" applyFont="1" applyFill="1"/>
    <xf numFmtId="0" fontId="31" fillId="2" borderId="0" xfId="0" applyFont="1" applyFill="1"/>
    <xf numFmtId="44" fontId="23" fillId="2" borderId="6" xfId="0" applyNumberFormat="1" applyFont="1" applyFill="1" applyBorder="1" applyAlignment="1">
      <alignment horizontal="center"/>
    </xf>
    <xf numFmtId="44" fontId="23" fillId="2" borderId="7" xfId="0" applyNumberFormat="1" applyFont="1" applyFill="1" applyBorder="1" applyAlignment="1">
      <alignment horizontal="center"/>
    </xf>
    <xf numFmtId="44" fontId="32" fillId="2" borderId="6" xfId="0" applyNumberFormat="1" applyFont="1" applyFill="1" applyBorder="1" applyAlignment="1">
      <alignment horizontal="center"/>
    </xf>
    <xf numFmtId="44" fontId="32" fillId="2" borderId="7" xfId="0" applyNumberFormat="1" applyFont="1" applyFill="1" applyBorder="1" applyAlignment="1">
      <alignment horizontal="center"/>
    </xf>
    <xf numFmtId="44" fontId="23" fillId="2" borderId="8" xfId="0" applyNumberFormat="1" applyFont="1" applyFill="1" applyBorder="1" applyAlignment="1">
      <alignment horizontal="center"/>
    </xf>
    <xf numFmtId="44" fontId="23" fillId="2" borderId="10" xfId="0" applyNumberFormat="1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30" fillId="3" borderId="5" xfId="0" applyFont="1" applyFill="1" applyBorder="1" applyAlignment="1">
      <alignment horizontal="center"/>
    </xf>
    <xf numFmtId="165" fontId="23" fillId="6" borderId="18" xfId="2" applyNumberFormat="1" applyFont="1" applyFill="1" applyBorder="1" applyAlignment="1">
      <alignment horizontal="center"/>
    </xf>
    <xf numFmtId="165" fontId="23" fillId="6" borderId="19" xfId="2" applyNumberFormat="1" applyFont="1" applyFill="1" applyBorder="1" applyAlignment="1">
      <alignment horizontal="center"/>
    </xf>
    <xf numFmtId="0" fontId="23" fillId="2" borderId="17" xfId="0" applyFont="1" applyFill="1" applyBorder="1"/>
    <xf numFmtId="44" fontId="23" fillId="2" borderId="0" xfId="1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177" fontId="21" fillId="2" borderId="0" xfId="0" applyNumberFormat="1" applyFont="1" applyFill="1"/>
    <xf numFmtId="9" fontId="23" fillId="2" borderId="6" xfId="2" applyFont="1" applyFill="1" applyBorder="1" applyAlignment="1">
      <alignment horizontal="center"/>
    </xf>
    <xf numFmtId="9" fontId="23" fillId="2" borderId="7" xfId="2" applyFont="1" applyFill="1" applyBorder="1" applyAlignment="1">
      <alignment horizontal="center"/>
    </xf>
    <xf numFmtId="9" fontId="33" fillId="2" borderId="6" xfId="2" applyFont="1" applyFill="1" applyBorder="1" applyAlignment="1">
      <alignment horizontal="center"/>
    </xf>
    <xf numFmtId="9" fontId="33" fillId="2" borderId="7" xfId="2" applyFont="1" applyFill="1" applyBorder="1" applyAlignment="1">
      <alignment horizontal="center"/>
    </xf>
    <xf numFmtId="9" fontId="23" fillId="2" borderId="8" xfId="2" applyFont="1" applyFill="1" applyBorder="1" applyAlignment="1">
      <alignment horizontal="center"/>
    </xf>
    <xf numFmtId="9" fontId="23" fillId="2" borderId="10" xfId="2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 wrapText="1"/>
    </xf>
    <xf numFmtId="9" fontId="23" fillId="2" borderId="0" xfId="2" applyFont="1" applyFill="1"/>
    <xf numFmtId="0" fontId="25" fillId="11" borderId="0" xfId="0" applyFont="1" applyFill="1"/>
    <xf numFmtId="0" fontId="25" fillId="11" borderId="0" xfId="0" applyFont="1" applyFill="1" applyAlignment="1">
      <alignment wrapText="1"/>
    </xf>
    <xf numFmtId="178" fontId="23" fillId="2" borderId="0" xfId="1" applyNumberFormat="1" applyFont="1" applyFill="1"/>
    <xf numFmtId="165" fontId="23" fillId="2" borderId="0" xfId="2" applyNumberFormat="1" applyFont="1" applyFill="1"/>
    <xf numFmtId="0" fontId="23" fillId="2" borderId="20" xfId="0" applyFont="1" applyFill="1" applyBorder="1"/>
    <xf numFmtId="178" fontId="23" fillId="2" borderId="20" xfId="1" applyNumberFormat="1" applyFont="1" applyFill="1" applyBorder="1"/>
    <xf numFmtId="165" fontId="23" fillId="2" borderId="20" xfId="2" applyNumberFormat="1" applyFont="1" applyFill="1" applyBorder="1"/>
    <xf numFmtId="178" fontId="31" fillId="2" borderId="0" xfId="1" applyNumberFormat="1" applyFont="1" applyFill="1"/>
    <xf numFmtId="0" fontId="3" fillId="0" borderId="0" xfId="0" applyFont="1" applyAlignment="1">
      <alignment horizontal="center"/>
    </xf>
    <xf numFmtId="0" fontId="17" fillId="12" borderId="0" xfId="0" applyFont="1" applyFill="1"/>
    <xf numFmtId="0" fontId="34" fillId="12" borderId="0" xfId="0" applyFont="1" applyFill="1"/>
    <xf numFmtId="0" fontId="6" fillId="12" borderId="0" xfId="0" applyFont="1" applyFill="1"/>
    <xf numFmtId="0" fontId="6" fillId="12" borderId="0" xfId="0" applyFont="1" applyFill="1" applyAlignment="1">
      <alignment wrapText="1"/>
    </xf>
    <xf numFmtId="0" fontId="9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textRotation="180" readingOrder="1"/>
    </xf>
    <xf numFmtId="0" fontId="19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9" fontId="5" fillId="2" borderId="0" xfId="2" applyFont="1" applyFill="1"/>
    <xf numFmtId="170" fontId="5" fillId="2" borderId="0" xfId="1" applyNumberFormat="1" applyFont="1" applyFill="1"/>
  </cellXfs>
  <cellStyles count="15">
    <cellStyle name="Comma" xfId="14" builtinId="3"/>
    <cellStyle name="Comma 2" xfId="3" xr:uid="{00000000-0005-0000-0000-000001000000}"/>
    <cellStyle name="Comma 3" xfId="4" xr:uid="{00000000-0005-0000-0000-000002000000}"/>
    <cellStyle name="Currency" xfId="1" builtinId="4"/>
    <cellStyle name="Currency 2" xfId="5" xr:uid="{00000000-0005-0000-0000-000004000000}"/>
    <cellStyle name="Currency 3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Percent" xfId="2" builtinId="5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5441499131991"/>
          <c:y val="0.14713127500130371"/>
          <c:w val="0.65390480640181869"/>
          <c:h val="0.83079238768501895"/>
        </c:manualLayout>
      </c:layout>
      <c:doughnutChart>
        <c:varyColors val="1"/>
        <c:ser>
          <c:idx val="1"/>
          <c:order val="0"/>
          <c:dLbls>
            <c:dLbl>
              <c:idx val="2"/>
              <c:layout>
                <c:manualLayout>
                  <c:x val="-6.3694267515923605E-3"/>
                  <c:y val="-9.5485008060150295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FA-4C88-8246-A5713A210485}"/>
                </c:ext>
              </c:extLst>
            </c:dLbl>
            <c:dLbl>
              <c:idx val="3"/>
              <c:layout>
                <c:manualLayout>
                  <c:x val="6.9930069930069982E-3"/>
                  <c:y val="-2.95639251208629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FA-4C88-8246-A5713A210485}"/>
                </c:ext>
              </c:extLst>
            </c:dLbl>
            <c:dLbl>
              <c:idx val="4"/>
              <c:layout>
                <c:manualLayout>
                  <c:x val="-1.6985138004246298E-2"/>
                  <c:y val="-9.313153692946557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FA-4C88-8246-A5713A2104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'Pharmacy sales by dispensary'!$A$3:$A$7</c:f>
              <c:strCache>
                <c:ptCount val="5"/>
                <c:pt idx="0">
                  <c:v>Chain Drugstores</c:v>
                </c:pt>
                <c:pt idx="1">
                  <c:v>Independent Drugstores</c:v>
                </c:pt>
                <c:pt idx="2">
                  <c:v>Supermarkets with Pharmacies</c:v>
                </c:pt>
                <c:pt idx="3">
                  <c:v>Mail Pharmacies</c:v>
                </c:pt>
                <c:pt idx="4">
                  <c:v>Mass Merchants with Pharmacies</c:v>
                </c:pt>
              </c:strCache>
            </c:strRef>
          </c:cat>
          <c:val>
            <c:numRef>
              <c:f>'Pharmacy sales by dispensary'!$C$3:$C$7</c:f>
              <c:numCache>
                <c:formatCode>0%</c:formatCode>
                <c:ptCount val="5"/>
                <c:pt idx="0">
                  <c:v>0.38105189829327768</c:v>
                </c:pt>
                <c:pt idx="1">
                  <c:v>0.14663880181121564</c:v>
                </c:pt>
                <c:pt idx="2">
                  <c:v>9.1605712295367486E-2</c:v>
                </c:pt>
                <c:pt idx="3">
                  <c:v>0.28073841866945315</c:v>
                </c:pt>
                <c:pt idx="4">
                  <c:v>9.9965168930686188E-2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A-4C88-8246-A5713A21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97512700650745E-2"/>
          <c:y val="4.7428500316770754E-2"/>
          <c:w val="0.80110141138331636"/>
          <c:h val="0.839207846863969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'Forecasted Drug expenditures'!$B$4:$C$4</c:f>
              <c:strCache>
                <c:ptCount val="1"/>
                <c:pt idx="0">
                  <c:v>Rx Spending Growth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'Forecasted Drug expenditures'!$A$5:$A$14</c:f>
              <c:strCache>
                <c:ptCount val="10"/>
                <c:pt idx="0">
                  <c:v>2013E</c:v>
                </c:pt>
                <c:pt idx="1">
                  <c:v>2014</c:v>
                </c:pt>
                <c:pt idx="2">
                  <c:v>2015E</c:v>
                </c:pt>
                <c:pt idx="3">
                  <c:v>2016E</c:v>
                </c:pt>
                <c:pt idx="4">
                  <c:v>2017E</c:v>
                </c:pt>
                <c:pt idx="5">
                  <c:v>2018E</c:v>
                </c:pt>
                <c:pt idx="6">
                  <c:v>2019E</c:v>
                </c:pt>
                <c:pt idx="7">
                  <c:v>2020E</c:v>
                </c:pt>
                <c:pt idx="8">
                  <c:v>2021E</c:v>
                </c:pt>
                <c:pt idx="9">
                  <c:v>2022E</c:v>
                </c:pt>
              </c:strCache>
            </c:strRef>
          </c:cat>
          <c:val>
            <c:numRef>
              <c:f>'Forecasted Drug expenditures'!$B$5:$B$14</c:f>
              <c:numCache>
                <c:formatCode>_("$"* #,##0_);_("$"* \(#,##0\);_("$"* "-"??_);_(@_)</c:formatCode>
                <c:ptCount val="10"/>
                <c:pt idx="0">
                  <c:v>271.10000000000002</c:v>
                </c:pt>
                <c:pt idx="1">
                  <c:v>305.10000000000002</c:v>
                </c:pt>
                <c:pt idx="2">
                  <c:v>328.4</c:v>
                </c:pt>
                <c:pt idx="3">
                  <c:v>343.2</c:v>
                </c:pt>
                <c:pt idx="4">
                  <c:v>364.4</c:v>
                </c:pt>
                <c:pt idx="5">
                  <c:v>385.1</c:v>
                </c:pt>
                <c:pt idx="6">
                  <c:v>408.7</c:v>
                </c:pt>
                <c:pt idx="7">
                  <c:v>435.3</c:v>
                </c:pt>
                <c:pt idx="8">
                  <c:v>464.1</c:v>
                </c:pt>
                <c:pt idx="9">
                  <c:v>495.2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5-417D-A981-B657A084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423808"/>
        <c:axId val="364437888"/>
      </c:barChart>
      <c:lineChart>
        <c:grouping val="standard"/>
        <c:varyColors val="0"/>
        <c:ser>
          <c:idx val="0"/>
          <c:order val="1"/>
          <c:tx>
            <c:strRef>
              <c:f>'Forecasted Drug expenditures'!$F$4</c:f>
              <c:strCache>
                <c:ptCount val="1"/>
                <c:pt idx="0">
                  <c:v>Rx as % of NHEs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'Forecasted Drug expenditures'!$A$5:$A$14</c:f>
              <c:strCache>
                <c:ptCount val="10"/>
                <c:pt idx="0">
                  <c:v>2013E</c:v>
                </c:pt>
                <c:pt idx="1">
                  <c:v>2014</c:v>
                </c:pt>
                <c:pt idx="2">
                  <c:v>2015E</c:v>
                </c:pt>
                <c:pt idx="3">
                  <c:v>2016E</c:v>
                </c:pt>
                <c:pt idx="4">
                  <c:v>2017E</c:v>
                </c:pt>
                <c:pt idx="5">
                  <c:v>2018E</c:v>
                </c:pt>
                <c:pt idx="6">
                  <c:v>2019E</c:v>
                </c:pt>
                <c:pt idx="7">
                  <c:v>2020E</c:v>
                </c:pt>
                <c:pt idx="8">
                  <c:v>2021E</c:v>
                </c:pt>
                <c:pt idx="9">
                  <c:v>2022E</c:v>
                </c:pt>
              </c:strCache>
            </c:strRef>
          </c:cat>
          <c:val>
            <c:numRef>
              <c:f>'Forecasted Drug expenditures'!$F$5:$F$14</c:f>
              <c:numCache>
                <c:formatCode>0.0%</c:formatCode>
                <c:ptCount val="10"/>
                <c:pt idx="0">
                  <c:v>9.2871090404576764E-2</c:v>
                </c:pt>
                <c:pt idx="1">
                  <c:v>9.9058441558441568E-2</c:v>
                </c:pt>
                <c:pt idx="2">
                  <c:v>0.10124865114845075</c:v>
                </c:pt>
                <c:pt idx="3">
                  <c:v>0.10086404514195027</c:v>
                </c:pt>
                <c:pt idx="4">
                  <c:v>0.10160040149445157</c:v>
                </c:pt>
                <c:pt idx="5">
                  <c:v>0.10173028661999736</c:v>
                </c:pt>
                <c:pt idx="6">
                  <c:v>0.10166666666666667</c:v>
                </c:pt>
                <c:pt idx="7">
                  <c:v>0.10185315176189808</c:v>
                </c:pt>
                <c:pt idx="8">
                  <c:v>0.10216840946615301</c:v>
                </c:pt>
                <c:pt idx="9">
                  <c:v>0.10262361669498903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85-417D-A981-B657A084B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39808"/>
        <c:axId val="364441600"/>
      </c:lineChart>
      <c:catAx>
        <c:axId val="364423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443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44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Rx</a:t>
                </a:r>
                <a:r>
                  <a:rPr lang="en-US" sz="1050" baseline="0"/>
                  <a:t> spending  w/ Impact of ACA </a:t>
                </a:r>
                <a:r>
                  <a:rPr lang="en-US" sz="1050"/>
                  <a:t> (billions)</a:t>
                </a:r>
              </a:p>
            </c:rich>
          </c:tx>
          <c:layout>
            <c:manualLayout>
              <c:xMode val="edge"/>
              <c:yMode val="edge"/>
              <c:x val="2.4800616958844349E-2"/>
              <c:y val="0.205055829885671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4423808"/>
        <c:crosses val="autoZero"/>
        <c:crossBetween val="between"/>
      </c:valAx>
      <c:catAx>
        <c:axId val="3644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4441600"/>
        <c:crosses val="autoZero"/>
        <c:auto val="0"/>
        <c:lblAlgn val="ctr"/>
        <c:lblOffset val="100"/>
        <c:noMultiLvlLbl val="0"/>
      </c:catAx>
      <c:valAx>
        <c:axId val="364441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Rx</a:t>
                </a:r>
                <a:r>
                  <a:rPr lang="en-US" sz="1050" b="0" baseline="0"/>
                  <a:t> spending as % of NHE w/ Impact of ACA</a:t>
                </a:r>
                <a:endParaRPr lang="en-US" sz="1050" b="0"/>
              </a:p>
            </c:rich>
          </c:tx>
          <c:layout>
            <c:manualLayout>
              <c:xMode val="edge"/>
              <c:yMode val="edge"/>
              <c:x val="0.95083149188892124"/>
              <c:y val="0.17163819564927271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443980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Verdana"/>
          <a:cs typeface="Times New Roman" panose="02020603050405020304" pitchFamily="18" charset="0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144" r="0.750000000000001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14551786795884E-2"/>
          <c:y val="3.5685320356853241E-2"/>
          <c:w val="0.88913151701107784"/>
          <c:h val="0.78714681791536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'Forecasted Drug expenditures'!$J$87</c:f>
              <c:strCache>
                <c:ptCount val="1"/>
                <c:pt idx="0">
                  <c:v>National Health Expenditures (NHE) w/ Impact of ACA</c:v>
                </c:pt>
              </c:strCache>
            </c:strRef>
          </c:tx>
          <c:spPr>
            <a:solidFill>
              <a:schemeClr val="accent3">
                <a:lumMod val="50000"/>
                <a:alpha val="67000"/>
              </a:schemeClr>
            </a:solidFill>
          </c:spPr>
          <c:invertIfNegative val="0"/>
          <c:cat>
            <c:strRef>
              <c:f>'Forecasted Drug expenditures'!$I$88:$I$104</c:f>
              <c:strCach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2012E</c:v>
                </c:pt>
                <c:pt idx="7">
                  <c:v>2013E</c:v>
                </c:pt>
                <c:pt idx="8">
                  <c:v>2014E</c:v>
                </c:pt>
                <c:pt idx="9">
                  <c:v>2015E</c:v>
                </c:pt>
                <c:pt idx="10">
                  <c:v>2016E</c:v>
                </c:pt>
                <c:pt idx="11">
                  <c:v>2017E</c:v>
                </c:pt>
                <c:pt idx="12">
                  <c:v>2018E</c:v>
                </c:pt>
                <c:pt idx="13">
                  <c:v>2019E</c:v>
                </c:pt>
                <c:pt idx="14">
                  <c:v>2020E</c:v>
                </c:pt>
                <c:pt idx="15">
                  <c:v>2021E</c:v>
                </c:pt>
                <c:pt idx="16">
                  <c:v>2022E</c:v>
                </c:pt>
              </c:strCache>
            </c:strRef>
          </c:cat>
          <c:val>
            <c:numRef>
              <c:f>'Forecasted Drug expenditures'!$J$88:$J$104</c:f>
              <c:numCache>
                <c:formatCode>General</c:formatCode>
                <c:ptCount val="17"/>
                <c:pt idx="0">
                  <c:v>2163.3000000000002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2919.1</c:v>
                </c:pt>
                <c:pt idx="8">
                  <c:v>3080</c:v>
                </c:pt>
                <c:pt idx="9">
                  <c:v>3243.5</c:v>
                </c:pt>
                <c:pt idx="10">
                  <c:v>3402.6</c:v>
                </c:pt>
                <c:pt idx="11">
                  <c:v>3586.6</c:v>
                </c:pt>
                <c:pt idx="12">
                  <c:v>3785.5</c:v>
                </c:pt>
                <c:pt idx="13">
                  <c:v>4020</c:v>
                </c:pt>
                <c:pt idx="14">
                  <c:v>4273.8</c:v>
                </c:pt>
                <c:pt idx="15">
                  <c:v>4542.5</c:v>
                </c:pt>
                <c:pt idx="16">
                  <c:v>4825.3999999999996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A-4C22-B517-F175301E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85536"/>
        <c:axId val="376803712"/>
      </c:barChart>
      <c:lineChart>
        <c:grouping val="standard"/>
        <c:varyColors val="0"/>
        <c:ser>
          <c:idx val="1"/>
          <c:order val="1"/>
          <c:tx>
            <c:strRef>
              <c:f>'Forecasted Drug expenditures'!$K$87</c:f>
              <c:strCache>
                <c:ptCount val="1"/>
                <c:pt idx="0">
                  <c:v>Hospital Care % of NHE</c:v>
                </c:pt>
              </c:strCache>
            </c:strRef>
          </c:tx>
          <c:spPr>
            <a:ln w="190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'Forecasted Drug expenditures'!$I$88:$I$104</c:f>
              <c:strCach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2012E</c:v>
                </c:pt>
                <c:pt idx="7">
                  <c:v>2013E</c:v>
                </c:pt>
                <c:pt idx="8">
                  <c:v>2014E</c:v>
                </c:pt>
                <c:pt idx="9">
                  <c:v>2015E</c:v>
                </c:pt>
                <c:pt idx="10">
                  <c:v>2016E</c:v>
                </c:pt>
                <c:pt idx="11">
                  <c:v>2017E</c:v>
                </c:pt>
                <c:pt idx="12">
                  <c:v>2018E</c:v>
                </c:pt>
                <c:pt idx="13">
                  <c:v>2019E</c:v>
                </c:pt>
                <c:pt idx="14">
                  <c:v>2020E</c:v>
                </c:pt>
                <c:pt idx="15">
                  <c:v>2021E</c:v>
                </c:pt>
                <c:pt idx="16">
                  <c:v>2022E</c:v>
                </c:pt>
              </c:strCache>
            </c:strRef>
          </c:cat>
          <c:val>
            <c:numRef>
              <c:f>'Forecasted Drug expenditures'!$K$88:$K$104</c:f>
              <c:numCache>
                <c:formatCode>0.0%</c:formatCode>
                <c:ptCount val="17"/>
                <c:pt idx="0">
                  <c:v>0.30134516710581055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0.31824877530745777</c:v>
                </c:pt>
                <c:pt idx="8">
                  <c:v>0.31590909090909092</c:v>
                </c:pt>
                <c:pt idx="9">
                  <c:v>0.31678742099583784</c:v>
                </c:pt>
                <c:pt idx="10">
                  <c:v>0.32081349556221711</c:v>
                </c:pt>
                <c:pt idx="11">
                  <c:v>0.32289633636312942</c:v>
                </c:pt>
                <c:pt idx="12">
                  <c:v>0.32553163386606787</c:v>
                </c:pt>
                <c:pt idx="13">
                  <c:v>0.32604477611940302</c:v>
                </c:pt>
                <c:pt idx="14">
                  <c:v>0.32696897374701672</c:v>
                </c:pt>
                <c:pt idx="15">
                  <c:v>0.32695652173913042</c:v>
                </c:pt>
                <c:pt idx="16">
                  <c:v>0.32770340282670868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9A-4C22-B517-F175301E5CEA}"/>
            </c:ext>
          </c:extLst>
        </c:ser>
        <c:ser>
          <c:idx val="2"/>
          <c:order val="2"/>
          <c:tx>
            <c:strRef>
              <c:f>'Forecasted Drug expenditures'!$L$87</c:f>
              <c:strCache>
                <c:ptCount val="1"/>
                <c:pt idx="0">
                  <c:v>Physician and Clinical Services % of NHE</c:v>
                </c:pt>
              </c:strCache>
            </c:strRef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'Forecasted Drug expenditures'!$I$88:$I$104</c:f>
              <c:strCach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2012E</c:v>
                </c:pt>
                <c:pt idx="7">
                  <c:v>2013E</c:v>
                </c:pt>
                <c:pt idx="8">
                  <c:v>2014E</c:v>
                </c:pt>
                <c:pt idx="9">
                  <c:v>2015E</c:v>
                </c:pt>
                <c:pt idx="10">
                  <c:v>2016E</c:v>
                </c:pt>
                <c:pt idx="11">
                  <c:v>2017E</c:v>
                </c:pt>
                <c:pt idx="12">
                  <c:v>2018E</c:v>
                </c:pt>
                <c:pt idx="13">
                  <c:v>2019E</c:v>
                </c:pt>
                <c:pt idx="14">
                  <c:v>2020E</c:v>
                </c:pt>
                <c:pt idx="15">
                  <c:v>2021E</c:v>
                </c:pt>
                <c:pt idx="16">
                  <c:v>2022E</c:v>
                </c:pt>
              </c:strCache>
            </c:strRef>
          </c:cat>
          <c:val>
            <c:numRef>
              <c:f>'Forecasted Drug expenditures'!$L$88:$L$104</c:f>
              <c:numCache>
                <c:formatCode>0.0%</c:formatCode>
                <c:ptCount val="17"/>
                <c:pt idx="0">
                  <c:v>0.20283825636758654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0.20170600527559862</c:v>
                </c:pt>
                <c:pt idx="8">
                  <c:v>0.2047727272727273</c:v>
                </c:pt>
                <c:pt idx="9">
                  <c:v>0.20499460459380298</c:v>
                </c:pt>
                <c:pt idx="10">
                  <c:v>0.20513724798683361</c:v>
                </c:pt>
                <c:pt idx="11">
                  <c:v>0.20534768304243572</c:v>
                </c:pt>
                <c:pt idx="12">
                  <c:v>0.20678906353189802</c:v>
                </c:pt>
                <c:pt idx="13">
                  <c:v>0.20761194029850746</c:v>
                </c:pt>
                <c:pt idx="14">
                  <c:v>0.20840937807103749</c:v>
                </c:pt>
                <c:pt idx="15">
                  <c:v>0.20889378095762245</c:v>
                </c:pt>
                <c:pt idx="16">
                  <c:v>0.20972354623450906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69A-4C22-B517-F175301E5CEA}"/>
            </c:ext>
          </c:extLst>
        </c:ser>
        <c:ser>
          <c:idx val="3"/>
          <c:order val="3"/>
          <c:tx>
            <c:strRef>
              <c:f>'Forecasted Drug expenditures'!$M$87</c:f>
              <c:strCache>
                <c:ptCount val="1"/>
                <c:pt idx="0">
                  <c:v>Rx Spending % of NHE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'Forecasted Drug expenditures'!$I$88:$I$104</c:f>
              <c:strCach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2012E</c:v>
                </c:pt>
                <c:pt idx="7">
                  <c:v>2013E</c:v>
                </c:pt>
                <c:pt idx="8">
                  <c:v>2014E</c:v>
                </c:pt>
                <c:pt idx="9">
                  <c:v>2015E</c:v>
                </c:pt>
                <c:pt idx="10">
                  <c:v>2016E</c:v>
                </c:pt>
                <c:pt idx="11">
                  <c:v>2017E</c:v>
                </c:pt>
                <c:pt idx="12">
                  <c:v>2018E</c:v>
                </c:pt>
                <c:pt idx="13">
                  <c:v>2019E</c:v>
                </c:pt>
                <c:pt idx="14">
                  <c:v>2020E</c:v>
                </c:pt>
                <c:pt idx="15">
                  <c:v>2021E</c:v>
                </c:pt>
                <c:pt idx="16">
                  <c:v>2022E</c:v>
                </c:pt>
              </c:strCache>
            </c:strRef>
          </c:cat>
          <c:val>
            <c:numRef>
              <c:f>'Forecasted Drug expenditures'!$M$88:$M$104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9.2871090404576764E-2</c:v>
                </c:pt>
                <c:pt idx="8">
                  <c:v>9.9058441558441568E-2</c:v>
                </c:pt>
                <c:pt idx="9">
                  <c:v>0.10124865114845075</c:v>
                </c:pt>
                <c:pt idx="10">
                  <c:v>0.10086404514195027</c:v>
                </c:pt>
                <c:pt idx="11">
                  <c:v>0.10160040149445157</c:v>
                </c:pt>
                <c:pt idx="12">
                  <c:v>0.10173028661999736</c:v>
                </c:pt>
                <c:pt idx="13">
                  <c:v>0.10166666666666667</c:v>
                </c:pt>
                <c:pt idx="14">
                  <c:v>0.10185315176189808</c:v>
                </c:pt>
                <c:pt idx="15">
                  <c:v>0.10216840946615301</c:v>
                </c:pt>
                <c:pt idx="16">
                  <c:v>0.10262361669498903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69A-4C22-B517-F175301E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05248"/>
        <c:axId val="376806784"/>
      </c:lineChart>
      <c:catAx>
        <c:axId val="37678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76803712"/>
        <c:crosses val="autoZero"/>
        <c:auto val="1"/>
        <c:lblAlgn val="ctr"/>
        <c:lblOffset val="100"/>
        <c:tickLblSkip val="1"/>
        <c:noMultiLvlLbl val="0"/>
      </c:catAx>
      <c:valAx>
        <c:axId val="376803712"/>
        <c:scaling>
          <c:orientation val="minMax"/>
          <c:max val="5500"/>
          <c:min val="1500"/>
        </c:scaling>
        <c:delete val="0"/>
        <c:axPos val="l"/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76785536"/>
        <c:crosses val="autoZero"/>
        <c:crossBetween val="between"/>
      </c:valAx>
      <c:catAx>
        <c:axId val="3768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6806784"/>
        <c:crosses val="autoZero"/>
        <c:auto val="1"/>
        <c:lblAlgn val="ctr"/>
        <c:lblOffset val="100"/>
        <c:noMultiLvlLbl val="0"/>
      </c:catAx>
      <c:valAx>
        <c:axId val="376806784"/>
        <c:scaling>
          <c:orientation val="minMax"/>
          <c:max val="0.35000000000000026"/>
          <c:min val="5.0000000000000024E-2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76805248"/>
        <c:crosses val="max"/>
        <c:crossBetween val="between"/>
        <c:majorUnit val="5.0000000000000024E-2"/>
        <c:minorUnit val="1.0000000000000005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1084987615984589E-2"/>
          <c:y val="0.89135611569680551"/>
          <c:w val="0.84837652335711566"/>
          <c:h val="8.9179275125820565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Calibri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29155730533675"/>
          <c:y val="0"/>
        </c:manualLayout>
      </c:layout>
      <c:overlay val="0"/>
      <c:txPr>
        <a:bodyPr/>
        <a:lstStyle/>
        <a:p>
          <a:pPr>
            <a:defRPr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6351706036747"/>
          <c:y val="0.12315981335666375"/>
          <c:w val="0.86208092738408093"/>
          <c:h val="0.80229148439778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'Traditional vs Specialty Costs'!$A$4</c:f>
              <c:strCache>
                <c:ptCount val="1"/>
                <c:pt idx="0">
                  <c:v>Traditional Rx costs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'Traditional vs Specialty Costs'!$A$6:$A$11</c:f>
              <c:strCache>
                <c:ptCount val="6"/>
                <c:pt idx="0">
                  <c:v>2011A</c:v>
                </c:pt>
                <c:pt idx="1">
                  <c:v>2012A</c:v>
                </c:pt>
                <c:pt idx="2">
                  <c:v>2013A</c:v>
                </c:pt>
                <c:pt idx="3">
                  <c:v>2014E</c:v>
                </c:pt>
                <c:pt idx="4">
                  <c:v>2015E</c:v>
                </c:pt>
                <c:pt idx="5">
                  <c:v>2016E</c:v>
                </c:pt>
              </c:strCache>
            </c:strRef>
          </c:cat>
          <c:val>
            <c:numRef>
              <c:f>'Traditional vs Specialty Costs'!$B$6:$B$11</c:f>
              <c:numCache>
                <c:formatCode>0.0%</c:formatCode>
                <c:ptCount val="6"/>
                <c:pt idx="0">
                  <c:v>1E-3</c:v>
                </c:pt>
                <c:pt idx="1">
                  <c:v>-1.4999999999999999E-2</c:v>
                </c:pt>
                <c:pt idx="2">
                  <c:v>2.4E-2</c:v>
                </c:pt>
                <c:pt idx="3">
                  <c:v>0.02</c:v>
                </c:pt>
                <c:pt idx="4">
                  <c:v>1.9E-2</c:v>
                </c:pt>
                <c:pt idx="5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A48-BAE0-EFDB9635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297920"/>
        <c:axId val="377299712"/>
      </c:barChart>
      <c:catAx>
        <c:axId val="3772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77299712"/>
        <c:crosses val="autoZero"/>
        <c:auto val="1"/>
        <c:lblAlgn val="ctr"/>
        <c:lblOffset val="100"/>
        <c:noMultiLvlLbl val="0"/>
      </c:catAx>
      <c:valAx>
        <c:axId val="3772997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7297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'Traditional vs Specialty Costs'!$A$13</c:f>
              <c:strCache>
                <c:ptCount val="1"/>
                <c:pt idx="0">
                  <c:v>Specialty Rx costs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'Traditional vs Specialty Costs'!$A$15:$A$20</c:f>
              <c:strCache>
                <c:ptCount val="6"/>
                <c:pt idx="0">
                  <c:v>2011A</c:v>
                </c:pt>
                <c:pt idx="1">
                  <c:v>2012A</c:v>
                </c:pt>
                <c:pt idx="2">
                  <c:v>2013A</c:v>
                </c:pt>
                <c:pt idx="3">
                  <c:v>2014E</c:v>
                </c:pt>
                <c:pt idx="4">
                  <c:v>2015E</c:v>
                </c:pt>
                <c:pt idx="5">
                  <c:v>2016E</c:v>
                </c:pt>
              </c:strCache>
            </c:strRef>
          </c:cat>
          <c:val>
            <c:numRef>
              <c:f>'Traditional vs Specialty Costs'!$B$15:$B$20</c:f>
              <c:numCache>
                <c:formatCode>0.0%</c:formatCode>
                <c:ptCount val="6"/>
                <c:pt idx="0">
                  <c:v>0.17100000000000001</c:v>
                </c:pt>
                <c:pt idx="1">
                  <c:v>0.184</c:v>
                </c:pt>
                <c:pt idx="2">
                  <c:v>0.19</c:v>
                </c:pt>
                <c:pt idx="3">
                  <c:v>0.14099999999999999</c:v>
                </c:pt>
                <c:pt idx="4">
                  <c:v>0.18</c:v>
                </c:pt>
                <c:pt idx="5">
                  <c:v>0.182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9-4A2E-8662-1730A3E8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15328"/>
        <c:axId val="377316864"/>
      </c:barChart>
      <c:catAx>
        <c:axId val="3773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316864"/>
        <c:crosses val="autoZero"/>
        <c:auto val="1"/>
        <c:lblAlgn val="ctr"/>
        <c:lblOffset val="100"/>
        <c:noMultiLvlLbl val="0"/>
      </c:catAx>
      <c:valAx>
        <c:axId val="3773168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7315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'Specialty Drug Spend'!$A$5:$A$6</c:f>
              <c:numCache>
                <c:formatCode>General</c:formatCode>
                <c:ptCount val="2"/>
                <c:pt idx="0">
                  <c:v>2010</c:v>
                </c:pt>
                <c:pt idx="1">
                  <c:v>2020</c:v>
                </c:pt>
              </c:numCache>
            </c:numRef>
          </c:cat>
          <c:val>
            <c:numRef>
              <c:f>'Specialty Drug Spend'!$B$5:$B$6</c:f>
              <c:numCache>
                <c:formatCode>0%</c:formatCode>
                <c:ptCount val="2"/>
                <c:pt idx="0">
                  <c:v>0.18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5-4EAC-AFD6-EF6C6FF9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394688"/>
        <c:axId val="377396224"/>
      </c:barChart>
      <c:catAx>
        <c:axId val="3773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396224"/>
        <c:crosses val="autoZero"/>
        <c:auto val="1"/>
        <c:lblAlgn val="ctr"/>
        <c:lblOffset val="100"/>
        <c:noMultiLvlLbl val="0"/>
      </c:catAx>
      <c:valAx>
        <c:axId val="377396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739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9158383035122588E-2"/>
          <c:y val="0.16180740338492183"/>
          <c:w val="0.71183586147159095"/>
          <c:h val="0.7500699912510936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'spec pharm rx vs cost'!$B$4</c:f>
              <c:strCache>
                <c:ptCount val="1"/>
                <c:pt idx="0">
                  <c:v>Specialty Drugs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'spec pharm rx vs cost'!$A$5:$A$6</c:f>
              <c:strCache>
                <c:ptCount val="2"/>
                <c:pt idx="0">
                  <c:v>Prescriptions written</c:v>
                </c:pt>
                <c:pt idx="1">
                  <c:v>Prescription drug expenditures</c:v>
                </c:pt>
              </c:strCache>
            </c:strRef>
          </c:cat>
          <c:val>
            <c:numRef>
              <c:f>'spec pharm rx vs cost'!$B$5:$B$6</c:f>
              <c:numCache>
                <c:formatCode>0%</c:formatCode>
                <c:ptCount val="2"/>
                <c:pt idx="0">
                  <c:v>0.01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6-46B5-B4AA-EE9255E0DAA6}"/>
            </c:ext>
          </c:extLst>
        </c:ser>
        <c:ser>
          <c:idx val="1"/>
          <c:order val="1"/>
          <c:tx>
            <c:strRef>
              <c:f>'spec pharm rx vs cost'!$C$4</c:f>
              <c:strCache>
                <c:ptCount val="1"/>
                <c:pt idx="0">
                  <c:v>Traditional Drugs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'spec pharm rx vs cost'!$A$5:$A$6</c:f>
              <c:strCache>
                <c:ptCount val="2"/>
                <c:pt idx="0">
                  <c:v>Prescriptions written</c:v>
                </c:pt>
                <c:pt idx="1">
                  <c:v>Prescription drug expenditures</c:v>
                </c:pt>
              </c:strCache>
            </c:strRef>
          </c:cat>
          <c:val>
            <c:numRef>
              <c:f>'spec pharm rx vs cost'!$C$5:$C$6</c:f>
              <c:numCache>
                <c:formatCode>0%</c:formatCode>
                <c:ptCount val="2"/>
                <c:pt idx="0">
                  <c:v>0.99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6-46B5-B4AA-EE9255E0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752576"/>
        <c:axId val="377791232"/>
        <c:axId val="0"/>
      </c:bar3DChart>
      <c:catAx>
        <c:axId val="377752576"/>
        <c:scaling>
          <c:orientation val="minMax"/>
        </c:scaling>
        <c:delete val="0"/>
        <c:axPos val="t"/>
        <c:numFmt formatCode="General" sourceLinked="0"/>
        <c:majorTickMark val="out"/>
        <c:minorTickMark val="none"/>
        <c:tickLblPos val="nextTo"/>
        <c:crossAx val="377791232"/>
        <c:crosses val="autoZero"/>
        <c:auto val="1"/>
        <c:lblAlgn val="ctr"/>
        <c:lblOffset val="100"/>
        <c:noMultiLvlLbl val="0"/>
      </c:catAx>
      <c:valAx>
        <c:axId val="377791232"/>
        <c:scaling>
          <c:orientation val="maxMin"/>
        </c:scaling>
        <c:delete val="1"/>
        <c:axPos val="l"/>
        <c:numFmt formatCode="0%" sourceLinked="1"/>
        <c:majorTickMark val="out"/>
        <c:minorTickMark val="none"/>
        <c:tickLblPos val="none"/>
        <c:crossAx val="377752576"/>
        <c:crosses val="autoZero"/>
        <c:crossBetween val="between"/>
      </c:valAx>
      <c:spPr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Pharmacy Revenues from Specialty Pharmaceuticals in</a:t>
            </a:r>
            <a:r>
              <a:rPr lang="en-US" sz="1400" baseline="0"/>
              <a:t> 2013: $63B</a:t>
            </a:r>
            <a:r>
              <a:rPr lang="en-US" sz="14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472697010434671"/>
          <c:y val="0.22518481395104947"/>
          <c:w val="0.52763553336320812"/>
          <c:h val="0.73832967412021866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9"/>
            <c:spPr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A08-43F3-89C8-5C57964BD636}"/>
              </c:ext>
            </c:extLst>
          </c:dPt>
          <c:dLbls>
            <c:dLbl>
              <c:idx val="0"/>
              <c:layout>
                <c:manualLayout>
                  <c:x val="4.8777073597507633E-3"/>
                  <c:y val="-4.8566051085975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other retail, mail, and specialty pharmacies,  </a:t>
                    </a:r>
                  </a:p>
                  <a:p>
                    <a:r>
                      <a:rPr lang="en-US"/>
                      <a:t>$20.10 (32%)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A08-43F3-89C8-5C57964BD6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Express Scripts,  $17.60 (28%)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A08-43F3-89C8-5C57964BD6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CVS Caremark,  $16.00</a:t>
                    </a:r>
                    <a:r>
                      <a:rPr lang="en-US" baseline="0"/>
                      <a:t> (</a:t>
                    </a:r>
                    <a:r>
                      <a:rPr lang="en-US"/>
                      <a:t>25%)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A08-43F3-89C8-5C57964BD6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Walgreens,  $6.30</a:t>
                    </a:r>
                    <a:r>
                      <a:rPr lang="en-US" baseline="0"/>
                      <a:t> (</a:t>
                    </a:r>
                    <a:r>
                      <a:rPr lang="en-US"/>
                      <a:t>10%)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A08-43F3-89C8-5C57964BD6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Diplomat,  $1.40 (2%)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A08-43F3-89C8-5C57964BD6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Omnicare,  </a:t>
                    </a:r>
                  </a:p>
                  <a:p>
                    <a:r>
                      <a:rPr lang="en-US"/>
                      <a:t>$1.20 (2%)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A08-43F3-89C8-5C57964BD6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Avella,  </a:t>
                    </a:r>
                  </a:p>
                  <a:p>
                    <a:r>
                      <a:rPr lang="en-US"/>
                      <a:t>$0.60 (1%)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A08-43F3-89C8-5C57964BD63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'Pharmacy Specialty'!$A$5:$A$11</c:f>
              <c:strCache>
                <c:ptCount val="7"/>
                <c:pt idx="0">
                  <c:v>All other retail, mail, and specialty pharmacies</c:v>
                </c:pt>
                <c:pt idx="1">
                  <c:v>Express Scripts</c:v>
                </c:pt>
                <c:pt idx="2">
                  <c:v>CVS Caremark</c:v>
                </c:pt>
                <c:pt idx="3">
                  <c:v>Walgreens</c:v>
                </c:pt>
                <c:pt idx="4">
                  <c:v>Diplomat</c:v>
                </c:pt>
                <c:pt idx="5">
                  <c:v>Omnicare</c:v>
                </c:pt>
                <c:pt idx="6">
                  <c:v>Avella</c:v>
                </c:pt>
              </c:strCache>
            </c:strRef>
          </c:cat>
          <c:val>
            <c:numRef>
              <c:f>'Pharmacy Specialty'!$B$5:$B$11</c:f>
              <c:numCache>
                <c:formatCode>_("$"* #,##0.00_);_("$"* \(#,##0.00\);_("$"* "-"??_);_(@_)</c:formatCode>
                <c:ptCount val="7"/>
                <c:pt idx="0">
                  <c:v>20.100000000000001</c:v>
                </c:pt>
                <c:pt idx="1">
                  <c:v>17.600000000000001</c:v>
                </c:pt>
                <c:pt idx="2">
                  <c:v>16</c:v>
                </c:pt>
                <c:pt idx="3">
                  <c:v>6.3</c:v>
                </c:pt>
                <c:pt idx="4">
                  <c:v>1.4</c:v>
                </c:pt>
                <c:pt idx="5">
                  <c:v>1.2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8-43F3-89C8-5C57964BD6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02420242024198E-2"/>
          <c:y val="4.4645290709299366E-2"/>
          <c:w val="0.95159515951595153"/>
          <c:h val="0.85883290372257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'Drug Approvals Share'!$B$5</c:f>
              <c:strCache>
                <c:ptCount val="1"/>
                <c:pt idx="0">
                  <c:v>Conventional Drug Approvals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'Drug Approvals Share'!$A$6:$A$13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'Drug Approvals Share'!$B$6:$B$13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12</c:v>
                </c:pt>
                <c:pt idx="6">
                  <c:v>17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4B09-9DD6-4BAD91F8B5C0}"/>
            </c:ext>
          </c:extLst>
        </c:ser>
        <c:ser>
          <c:idx val="2"/>
          <c:order val="1"/>
          <c:tx>
            <c:strRef>
              <c:f>'Drug Approvals Share'!$C$5</c:f>
              <c:strCache>
                <c:ptCount val="1"/>
                <c:pt idx="0">
                  <c:v>Specialty Drug Approvals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'Drug Approvals Share'!$A$6:$A$13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'Drug Approvals Share'!$C$6:$C$13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C-4B09-9DD6-4BAD91F8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673472"/>
        <c:axId val="361675008"/>
      </c:barChart>
      <c:catAx>
        <c:axId val="3616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1675008"/>
        <c:crosses val="autoZero"/>
        <c:auto val="1"/>
        <c:lblAlgn val="ctr"/>
        <c:lblOffset val="100"/>
        <c:noMultiLvlLbl val="0"/>
      </c:catAx>
      <c:valAx>
        <c:axId val="361675008"/>
        <c:scaling>
          <c:orientation val="minMax"/>
        </c:scaling>
        <c:delete val="1"/>
        <c:axPos val="l"/>
        <c:majorGridlines>
          <c:spPr>
            <a:ln>
              <a:solidFill>
                <a:schemeClr val="bg1">
                  <a:lumMod val="75000"/>
                  <a:alpha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361673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085020313054994"/>
          <c:y val="0.12010442873871097"/>
          <c:w val="0.29819633931897138"/>
          <c:h val="0.12444153762539495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30994152046785E-2"/>
          <c:y val="3.322007910040882E-2"/>
          <c:w val="0.94853801169590668"/>
          <c:h val="0.8776442897608920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'Rx Demographics'!$AA$38</c:f>
              <c:strCache>
                <c:ptCount val="1"/>
                <c:pt idx="0">
                  <c:v>Traditional Drugs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8575">
              <a:solidFill>
                <a:schemeClr val="accent3">
                  <a:lumMod val="75000"/>
                </a:schemeClr>
              </a:solidFill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$261B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72D6-46A0-8393-9C9899D6F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$398B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2D6-46A0-8393-9C9899D6F31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'Rx Demographics'!$Y$39:$Y$40</c:f>
              <c:strCache>
                <c:ptCount val="2"/>
                <c:pt idx="0">
                  <c:v>2012E</c:v>
                </c:pt>
                <c:pt idx="1">
                  <c:v>2020E</c:v>
                </c:pt>
              </c:strCache>
            </c:strRef>
          </c:cat>
          <c:val>
            <c:numRef>
              <c:f>'Rx Demographics'!$AA$39:$AA$40</c:f>
              <c:numCache>
                <c:formatCode>0%</c:formatCode>
                <c:ptCount val="2"/>
                <c:pt idx="0">
                  <c:v>0.20880000000000001</c:v>
                </c:pt>
                <c:pt idx="1">
                  <c:v>0.29849999999999999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6-46A0-8393-9C9899D6F314}"/>
            </c:ext>
          </c:extLst>
        </c:ser>
        <c:ser>
          <c:idx val="0"/>
          <c:order val="1"/>
          <c:tx>
            <c:strRef>
              <c:f>'Rx Demographics'!$Z$38</c:f>
              <c:strCache>
                <c:ptCount val="1"/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8575">
              <a:solidFill>
                <a:schemeClr val="accent3">
                  <a:lumMod val="75000"/>
                </a:schemeClr>
              </a:solidFill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/>
                      <a:t>20%, $51B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2D6-46A0-8393-9C9899D6F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 b="1"/>
                      <a:t>25%, $101B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2D6-46A0-8393-9C9899D6F31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'Rx Demographics'!$Y$39:$Y$40</c:f>
              <c:strCache>
                <c:ptCount val="2"/>
                <c:pt idx="0">
                  <c:v>2012E</c:v>
                </c:pt>
                <c:pt idx="1">
                  <c:v>2020E</c:v>
                </c:pt>
              </c:strCache>
            </c:strRef>
          </c:cat>
          <c:val>
            <c:numRef>
              <c:f>'Rx Demographics'!$Z$39:$Z$40</c:f>
              <c:numCache>
                <c:formatCode>0%</c:formatCode>
                <c:ptCount val="2"/>
                <c:pt idx="0">
                  <c:v>5.2200000000000003E-2</c:v>
                </c:pt>
                <c:pt idx="1">
                  <c:v>9.9500000000000005E-2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6-46A0-8393-9C9899D6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129664"/>
        <c:axId val="364168320"/>
      </c:barChart>
      <c:catAx>
        <c:axId val="36412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168320"/>
        <c:crosses val="autoZero"/>
        <c:auto val="1"/>
        <c:lblAlgn val="ctr"/>
        <c:lblOffset val="100"/>
        <c:noMultiLvlLbl val="0"/>
      </c:catAx>
      <c:valAx>
        <c:axId val="3641683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364129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'Rx Demographics'!$I$26</c:f>
              <c:strCache>
                <c:ptCount val="1"/>
                <c:pt idx="0">
                  <c:v> Age 65 and older as % of U.S.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'Rx Demographics'!$H$27:$H$33</c:f>
              <c:strCach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2020E</c:v>
                </c:pt>
                <c:pt idx="4">
                  <c:v>2030E</c:v>
                </c:pt>
                <c:pt idx="5">
                  <c:v>2040E</c:v>
                </c:pt>
                <c:pt idx="6">
                  <c:v>2050E</c:v>
                </c:pt>
              </c:strCache>
            </c:strRef>
          </c:cat>
          <c:val>
            <c:numRef>
              <c:f>'Rx Demographics'!$I$27:$I$33</c:f>
              <c:numCache>
                <c:formatCode>0%</c:formatCode>
                <c:ptCount val="7"/>
                <c:pt idx="0">
                  <c:v>0.12561556412358427</c:v>
                </c:pt>
                <c:pt idx="1">
                  <c:v>0.1243391230531997</c:v>
                </c:pt>
                <c:pt idx="2">
                  <c:v>0.12967263239291318</c:v>
                </c:pt>
                <c:pt idx="3">
                  <c:v>0.16053488791075071</c:v>
                </c:pt>
                <c:pt idx="4">
                  <c:v>0.19301527673861649</c:v>
                </c:pt>
                <c:pt idx="5">
                  <c:v>0.2002645891753983</c:v>
                </c:pt>
                <c:pt idx="6">
                  <c:v>0.20169682232911312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8-4CEB-A759-C4D00AE6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38656"/>
        <c:axId val="377240192"/>
      </c:lineChart>
      <c:catAx>
        <c:axId val="3772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240192"/>
        <c:crosses val="autoZero"/>
        <c:auto val="1"/>
        <c:lblAlgn val="ctr"/>
        <c:lblOffset val="100"/>
        <c:noMultiLvlLbl val="0"/>
      </c:catAx>
      <c:valAx>
        <c:axId val="3772401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crossAx val="37723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20911452197194"/>
          <c:y val="0.16192278182102623"/>
          <c:w val="0.64458975391010764"/>
          <c:h val="0.81830779817197152"/>
        </c:manualLayout>
      </c:layout>
      <c:doughnutChart>
        <c:varyColors val="1"/>
        <c:ser>
          <c:idx val="1"/>
          <c:order val="0"/>
          <c:dLbls>
            <c:dLbl>
              <c:idx val="2"/>
              <c:layout>
                <c:manualLayout>
                  <c:x val="7.6255740301452556E-3"/>
                  <c:y val="-5.912785024172586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4-4DFE-9E9C-4240332C1614}"/>
                </c:ext>
              </c:extLst>
            </c:dLbl>
            <c:dLbl>
              <c:idx val="3"/>
              <c:layout>
                <c:manualLayout>
                  <c:x val="-0.1562765159501589"/>
                  <c:y val="-0.1005173454109339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E4-4DFE-9E9C-4240332C1614}"/>
                </c:ext>
              </c:extLst>
            </c:dLbl>
            <c:dLbl>
              <c:idx val="4"/>
              <c:layout>
                <c:manualLayout>
                  <c:x val="-7.6699437700043374E-3"/>
                  <c:y val="-4.4415723724887022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E4-4DFE-9E9C-4240332C16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'Pharmacy sales by dispensary'!$G$3:$G$7</c:f>
              <c:strCache>
                <c:ptCount val="5"/>
                <c:pt idx="0">
                  <c:v>Chain Drugstores</c:v>
                </c:pt>
                <c:pt idx="1">
                  <c:v>Independent Drugstores</c:v>
                </c:pt>
                <c:pt idx="2">
                  <c:v>Supermarkets with Pharmacies</c:v>
                </c:pt>
                <c:pt idx="3">
                  <c:v>Mail Pharmacies</c:v>
                </c:pt>
                <c:pt idx="4">
                  <c:v>Mass Merchants with Pharmacies</c:v>
                </c:pt>
              </c:strCache>
            </c:strRef>
          </c:cat>
          <c:val>
            <c:numRef>
              <c:f>'Pharmacy sales by dispensary'!$I$3:$I$7</c:f>
              <c:numCache>
                <c:formatCode>0%</c:formatCode>
                <c:ptCount val="5"/>
                <c:pt idx="0">
                  <c:v>0.3758862941520848</c:v>
                </c:pt>
                <c:pt idx="1">
                  <c:v>0.34144278930592598</c:v>
                </c:pt>
                <c:pt idx="2">
                  <c:v>0.13884732973394914</c:v>
                </c:pt>
                <c:pt idx="3">
                  <c:v>6.1959279255838157E-3</c:v>
                </c:pt>
                <c:pt idx="4">
                  <c:v>0.13762765888245626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4-4DFE-9E9C-4240332C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815783508913735E-2"/>
          <c:y val="0.10340676256643858"/>
          <c:w val="0.96170583115752895"/>
          <c:h val="0.7618743129336487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'Independent pharmacy'!$A$2</c:f>
              <c:strCache>
                <c:ptCount val="1"/>
                <c:pt idx="0">
                  <c:v>Number of Independent Pharmacies 1990-2012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'Independent pharmacy'!$A$6:$A$28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'Independent pharmacy'!$B$6:$B$28</c:f>
              <c:numCache>
                <c:formatCode>General</c:formatCode>
                <c:ptCount val="23"/>
                <c:pt idx="0">
                  <c:v>32.5</c:v>
                </c:pt>
                <c:pt idx="1">
                  <c:v>30.5</c:v>
                </c:pt>
                <c:pt idx="2">
                  <c:v>27.3</c:v>
                </c:pt>
                <c:pt idx="3">
                  <c:v>26.2</c:v>
                </c:pt>
                <c:pt idx="4">
                  <c:v>24.9</c:v>
                </c:pt>
                <c:pt idx="5">
                  <c:v>23.1</c:v>
                </c:pt>
                <c:pt idx="6">
                  <c:v>22</c:v>
                </c:pt>
                <c:pt idx="7">
                  <c:v>20.8</c:v>
                </c:pt>
                <c:pt idx="8">
                  <c:v>20.6</c:v>
                </c:pt>
                <c:pt idx="9">
                  <c:v>20.7</c:v>
                </c:pt>
                <c:pt idx="10">
                  <c:v>20.9</c:v>
                </c:pt>
                <c:pt idx="11">
                  <c:v>20.6</c:v>
                </c:pt>
                <c:pt idx="12">
                  <c:v>19.7</c:v>
                </c:pt>
                <c:pt idx="13">
                  <c:v>20.6</c:v>
                </c:pt>
                <c:pt idx="14">
                  <c:v>20.8</c:v>
                </c:pt>
                <c:pt idx="15">
                  <c:v>20.6</c:v>
                </c:pt>
                <c:pt idx="16">
                  <c:v>21.9</c:v>
                </c:pt>
                <c:pt idx="17">
                  <c:v>21.6</c:v>
                </c:pt>
                <c:pt idx="18">
                  <c:v>20.3</c:v>
                </c:pt>
                <c:pt idx="19">
                  <c:v>20.8</c:v>
                </c:pt>
                <c:pt idx="20">
                  <c:v>20.8</c:v>
                </c:pt>
                <c:pt idx="21">
                  <c:v>20.6</c:v>
                </c:pt>
                <c:pt idx="22" formatCode="0.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7-41B7-89DE-3C2D231A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2"/>
        <c:axId val="377437184"/>
        <c:axId val="377455360"/>
      </c:barChart>
      <c:catAx>
        <c:axId val="377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455360"/>
        <c:crosses val="autoZero"/>
        <c:auto val="1"/>
        <c:lblAlgn val="ctr"/>
        <c:lblOffset val="100"/>
        <c:noMultiLvlLbl val="0"/>
      </c:catAx>
      <c:valAx>
        <c:axId val="37745536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one"/>
        <c:crossAx val="3774371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Equivalent Mail Prescriptions and Growth, 2002-2012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953328442224013E-2"/>
          <c:y val="0.24456806209074006"/>
          <c:w val="0.90087308785261955"/>
          <c:h val="0.573988290328061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'Equivalent Mail Prescr'!$B$5</c:f>
              <c:strCache>
                <c:ptCount val="1"/>
                <c:pt idx="0">
                  <c:v>Number of Equivalent Mail Prescriptions (billions)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0"/>
                  <c:y val="9.56165446120056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DA-4321-8DAF-BA9046F50DEE}"/>
                </c:ext>
              </c:extLst>
            </c:dLbl>
            <c:dLbl>
              <c:idx val="5"/>
              <c:layout>
                <c:manualLayout>
                  <c:x val="0"/>
                  <c:y val="6.07581615963273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DA-4321-8DAF-BA9046F50DEE}"/>
                </c:ext>
              </c:extLst>
            </c:dLbl>
            <c:numFmt formatCode="&quot;$&quot;#,##0.0" sourceLinked="0"/>
            <c:spPr>
              <a:noFill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'Equivalent Mail Prescr'!$A$6:$A$16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'Equivalent Mail Prescr'!$B$6:$B$16</c:f>
              <c:numCache>
                <c:formatCode>General</c:formatCode>
                <c:ptCount val="11"/>
                <c:pt idx="0">
                  <c:v>0.54</c:v>
                </c:pt>
                <c:pt idx="1">
                  <c:v>0.62</c:v>
                </c:pt>
                <c:pt idx="2">
                  <c:v>0.67</c:v>
                </c:pt>
                <c:pt idx="3">
                  <c:v>0.72</c:v>
                </c:pt>
                <c:pt idx="4">
                  <c:v>0.74</c:v>
                </c:pt>
                <c:pt idx="5">
                  <c:v>0.8</c:v>
                </c:pt>
                <c:pt idx="6">
                  <c:v>0.81</c:v>
                </c:pt>
                <c:pt idx="7">
                  <c:v>0.81</c:v>
                </c:pt>
                <c:pt idx="8">
                  <c:v>0.82</c:v>
                </c:pt>
                <c:pt idx="9">
                  <c:v>0.81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A-4321-8DAF-BA9046F50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5"/>
        <c:axId val="377488896"/>
        <c:axId val="377569664"/>
      </c:barChart>
      <c:lineChart>
        <c:grouping val="standard"/>
        <c:varyColors val="0"/>
        <c:ser>
          <c:idx val="2"/>
          <c:order val="1"/>
          <c:tx>
            <c:strRef>
              <c:f>'Equivalent Mail Prescr'!$C$5</c:f>
              <c:strCache>
                <c:ptCount val="1"/>
                <c:pt idx="0">
                  <c:v>% change from previous year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5"/>
              <c:layout>
                <c:manualLayout>
                  <c:x val="-3.8493205377203618E-2"/>
                  <c:y val="-9.3124032988656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DA-4321-8DAF-BA9046F50DEE}"/>
                </c:ext>
              </c:extLst>
            </c:dLbl>
            <c:dLbl>
              <c:idx val="9"/>
              <c:numFmt formatCode="0.0%" sourceLinked="0"/>
              <c:spPr>
                <a:gradFill flip="none" rotWithShape="1">
                  <a:gsLst>
                    <a:gs pos="53000">
                      <a:schemeClr val="accent3">
                        <a:lumMod val="60000"/>
                        <a:lumOff val="40000"/>
                      </a:schemeClr>
                    </a:gs>
                    <a:gs pos="100000">
                      <a:schemeClr val="bg1">
                        <a:alpha val="0"/>
                      </a:schemeClr>
                    </a:gs>
                  </a:gsLst>
                  <a:path path="shape">
                    <a:fillToRect l="50000" t="50000" r="50000" b="50000"/>
                  </a:path>
                  <a:tileRect/>
                </a:gradFill>
              </c:spPr>
              <c:txPr>
                <a:bodyPr/>
                <a:lstStyle/>
                <a:p>
                  <a:pPr algn="ctr">
                    <a:defRPr lang="en-US" sz="11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ADA-4321-8DAF-BA9046F50DEE}"/>
                </c:ext>
              </c:extLst>
            </c:dLbl>
            <c:numFmt formatCode="0.0%" sourceLinked="0"/>
            <c:spPr>
              <a:gradFill flip="none" rotWithShape="1">
                <a:gsLst>
                  <a:gs pos="53000">
                    <a:schemeClr val="accent3">
                      <a:lumMod val="60000"/>
                      <a:lumOff val="40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</c:spPr>
            <c:txPr>
              <a:bodyPr/>
              <a:lstStyle/>
              <a:p>
                <a:pPr algn="ctr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'Equivalent Mail Prescr'!$A$6:$A$16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'Equivalent Mail Prescr'!$C$6:$C$16</c:f>
              <c:numCache>
                <c:formatCode>General</c:formatCode>
                <c:ptCount val="11"/>
                <c:pt idx="0">
                  <c:v>8.1000000000000003E-2</c:v>
                </c:pt>
                <c:pt idx="1">
                  <c:v>8.5999999999999993E-2</c:v>
                </c:pt>
                <c:pt idx="2">
                  <c:v>0.13200000000000001</c:v>
                </c:pt>
                <c:pt idx="3">
                  <c:v>4.2000000000000003E-2</c:v>
                </c:pt>
                <c:pt idx="4">
                  <c:v>0.04</c:v>
                </c:pt>
                <c:pt idx="5">
                  <c:v>0.10800000000000001</c:v>
                </c:pt>
                <c:pt idx="6">
                  <c:v>1.9E-2</c:v>
                </c:pt>
                <c:pt idx="7">
                  <c:v>0</c:v>
                </c:pt>
                <c:pt idx="8">
                  <c:v>1.1000000000000001E-2</c:v>
                </c:pt>
                <c:pt idx="9">
                  <c:v>-1.4999999999999999E-2</c:v>
                </c:pt>
                <c:pt idx="10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A-4321-8DAF-BA9046F50D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7572736"/>
        <c:axId val="377571200"/>
      </c:lineChart>
      <c:catAx>
        <c:axId val="3774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77569664"/>
        <c:crosses val="autoZero"/>
        <c:auto val="1"/>
        <c:lblAlgn val="ctr"/>
        <c:lblOffset val="100"/>
        <c:noMultiLvlLbl val="0"/>
      </c:catAx>
      <c:valAx>
        <c:axId val="377569664"/>
        <c:scaling>
          <c:orientation val="minMax"/>
          <c:min val="0"/>
        </c:scaling>
        <c:delete val="0"/>
        <c:axPos val="l"/>
        <c:numFmt formatCode="&quot;$&quot;#,##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377488896"/>
        <c:crossesAt val="1"/>
        <c:crossBetween val="between"/>
      </c:valAx>
      <c:valAx>
        <c:axId val="377571200"/>
        <c:scaling>
          <c:orientation val="minMax"/>
          <c:max val="0.14000000000000001"/>
          <c:min val="-2.0000000000000011E-2"/>
        </c:scaling>
        <c:delete val="0"/>
        <c:axPos val="r"/>
        <c:numFmt formatCode="0%" sourceLinked="0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77572736"/>
        <c:crosses val="max"/>
        <c:crossBetween val="between"/>
      </c:valAx>
      <c:catAx>
        <c:axId val="3775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77571200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84903903141215E-2"/>
          <c:y val="0.11213314265548616"/>
          <c:w val="0.90105918211836422"/>
          <c:h val="0.805466380337188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'Generic copay adv for mail'!$A$4:$A$6</c:f>
              <c:strCache>
                <c:ptCount val="3"/>
                <c:pt idx="0">
                  <c:v>Retail (30-day)</c:v>
                </c:pt>
                <c:pt idx="1">
                  <c:v>Retail (90-day)</c:v>
                </c:pt>
                <c:pt idx="2">
                  <c:v>Mail (90-day)</c:v>
                </c:pt>
              </c:strCache>
            </c:strRef>
          </c:cat>
          <c:val>
            <c:numRef>
              <c:f>'Generic copay adv for mail'!$B$4:$B$6</c:f>
              <c:numCache>
                <c:formatCode>_("$"* #,##0_);_("$"* \(#,##0\);_("$"* "-"??_);_(@_)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6-44C6-AC6B-E23C28E6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602816"/>
        <c:axId val="377611776"/>
      </c:barChart>
      <c:catAx>
        <c:axId val="3776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7611776"/>
        <c:crosses val="autoZero"/>
        <c:auto val="1"/>
        <c:lblAlgn val="ctr"/>
        <c:lblOffset val="100"/>
        <c:noMultiLvlLbl val="0"/>
      </c:catAx>
      <c:valAx>
        <c:axId val="377611776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7760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84903903141215E-2"/>
          <c:y val="0.11213314265548616"/>
          <c:w val="0.90105918211836422"/>
          <c:h val="0.805466380337188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'Generic copay adv for mail'!$A$9:$A$11</c:f>
              <c:strCache>
                <c:ptCount val="3"/>
                <c:pt idx="0">
                  <c:v>Retail (30-day)</c:v>
                </c:pt>
                <c:pt idx="1">
                  <c:v>Retail (90-day)</c:v>
                </c:pt>
                <c:pt idx="2">
                  <c:v>Mail (90-day)</c:v>
                </c:pt>
              </c:strCache>
            </c:strRef>
          </c:cat>
          <c:val>
            <c:numRef>
              <c:f>'Generic copay adv for mail'!$B$9:$B$11</c:f>
              <c:numCache>
                <c:formatCode>0%</c:formatCode>
                <c:ptCount val="3"/>
                <c:pt idx="0">
                  <c:v>0.35</c:v>
                </c:pt>
                <c:pt idx="1">
                  <c:v>0.37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E-473B-B597-0289A54E3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971840"/>
        <c:axId val="377973376"/>
      </c:barChart>
      <c:catAx>
        <c:axId val="3779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7973376"/>
        <c:crosses val="autoZero"/>
        <c:auto val="1"/>
        <c:lblAlgn val="ctr"/>
        <c:lblOffset val="100"/>
        <c:noMultiLvlLbl val="0"/>
      </c:catAx>
      <c:valAx>
        <c:axId val="377973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7797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4291509015919E-2"/>
          <c:y val="9.8331123133733545E-2"/>
          <c:w val="0.89814756110031657"/>
          <c:h val="0.749100541132281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9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3010-4FA0-9E19-6B2F5A4FBDC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010-4FA0-9E19-6B2F5A4FBDC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3010-4FA0-9E19-6B2F5A4FBDCD}"/>
              </c:ext>
            </c:extLst>
          </c:dPt>
          <c:cat>
            <c:strRef>
              <c:f>'Retail Clinics'!$A$6:$A$17</c:f>
              <c:strCach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2013E</c:v>
                </c:pt>
                <c:pt idx="10">
                  <c:v>2014E</c:v>
                </c:pt>
                <c:pt idx="11">
                  <c:v>2015E</c:v>
                </c:pt>
              </c:strCache>
            </c:strRef>
          </c:cat>
          <c:val>
            <c:numRef>
              <c:f>'Retail Clinics'!$B$6:$B$17</c:f>
              <c:numCache>
                <c:formatCode>#,##0</c:formatCode>
                <c:ptCount val="12"/>
                <c:pt idx="0">
                  <c:v>50</c:v>
                </c:pt>
                <c:pt idx="1">
                  <c:v>200</c:v>
                </c:pt>
                <c:pt idx="2">
                  <c:v>900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1350</c:v>
                </c:pt>
                <c:pt idx="8">
                  <c:v>1400</c:v>
                </c:pt>
                <c:pt idx="9">
                  <c:v>1750</c:v>
                </c:pt>
                <c:pt idx="10">
                  <c:v>2250</c:v>
                </c:pt>
                <c:pt idx="1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0-4FA0-9E19-6B2F5A4F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039296"/>
        <c:axId val="378041088"/>
      </c:barChart>
      <c:catAx>
        <c:axId val="378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041088"/>
        <c:crosses val="autoZero"/>
        <c:auto val="1"/>
        <c:lblAlgn val="ctr"/>
        <c:lblOffset val="100"/>
        <c:noMultiLvlLbl val="0"/>
      </c:catAx>
      <c:valAx>
        <c:axId val="378041088"/>
        <c:scaling>
          <c:orientation val="minMax"/>
          <c:max val="3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78039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 vs 2012 drug trend'!$B$2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 vs 2012 drug trend'!$A$3:$A$5</c:f>
              <c:strCache>
                <c:ptCount val="3"/>
                <c:pt idx="0">
                  <c:v>Traditional</c:v>
                </c:pt>
                <c:pt idx="1">
                  <c:v>Specialty</c:v>
                </c:pt>
                <c:pt idx="2">
                  <c:v>Total</c:v>
                </c:pt>
              </c:strCache>
            </c:strRef>
          </c:cat>
          <c:val>
            <c:numRef>
              <c:f>'2013 vs 2012 drug trend'!$B$3:$B$5</c:f>
              <c:numCache>
                <c:formatCode>0.0%</c:formatCode>
                <c:ptCount val="3"/>
                <c:pt idx="0">
                  <c:v>-1.2E-2</c:v>
                </c:pt>
                <c:pt idx="1">
                  <c:v>0.21</c:v>
                </c:pt>
                <c:pt idx="2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DAB-AD45-DD8C25A78FF7}"/>
            </c:ext>
          </c:extLst>
        </c:ser>
        <c:ser>
          <c:idx val="1"/>
          <c:order val="1"/>
          <c:tx>
            <c:strRef>
              <c:f>'2013 vs 2012 drug trend'!$C$2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 vs 2012 drug trend'!$A$3:$A$5</c:f>
              <c:strCache>
                <c:ptCount val="3"/>
                <c:pt idx="0">
                  <c:v>Traditional</c:v>
                </c:pt>
                <c:pt idx="1">
                  <c:v>Specialty</c:v>
                </c:pt>
                <c:pt idx="2">
                  <c:v>Total</c:v>
                </c:pt>
              </c:strCache>
            </c:strRef>
          </c:cat>
          <c:val>
            <c:numRef>
              <c:f>'2013 vs 2012 drug trend'!$C$3:$C$5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0.14299999999999999</c:v>
                </c:pt>
                <c:pt idx="2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DAB-AD45-DD8C25A7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065664"/>
        <c:axId val="378067968"/>
      </c:barChart>
      <c:catAx>
        <c:axId val="3780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78067968"/>
        <c:crosses val="autoZero"/>
        <c:auto val="1"/>
        <c:lblAlgn val="ctr"/>
        <c:lblOffset val="100"/>
        <c:noMultiLvlLbl val="0"/>
      </c:catAx>
      <c:valAx>
        <c:axId val="378067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8065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044263335628007"/>
          <c:y val="0.9318238268996869"/>
          <c:w val="0.22207754125436838"/>
          <c:h val="5.5168043019012881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49D4-4A31-AAF3-B8575BF4B711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9D4-4A31-AAF3-B8575BF4B7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 vs 2012 drug trend'!$A$33:$A$37</c:f>
              <c:strCache>
                <c:ptCount val="5"/>
                <c:pt idx="0">
                  <c:v>Utilization</c:v>
                </c:pt>
                <c:pt idx="1">
                  <c:v>Drug Mix</c:v>
                </c:pt>
                <c:pt idx="2">
                  <c:v>Quantity</c:v>
                </c:pt>
                <c:pt idx="3">
                  <c:v>Unit Cost</c:v>
                </c:pt>
                <c:pt idx="4">
                  <c:v>Total</c:v>
                </c:pt>
              </c:strCache>
            </c:strRef>
          </c:cat>
          <c:val>
            <c:numRef>
              <c:f>'2013 vs 2012 drug trend'!$B$33:$B$37</c:f>
              <c:numCache>
                <c:formatCode>0.0%</c:formatCode>
                <c:ptCount val="5"/>
                <c:pt idx="0">
                  <c:v>5.0000000000000001E-3</c:v>
                </c:pt>
                <c:pt idx="1">
                  <c:v>-3.1E-2</c:v>
                </c:pt>
                <c:pt idx="2">
                  <c:v>4.0000000000000001E-3</c:v>
                </c:pt>
                <c:pt idx="3">
                  <c:v>4.4999999999999998E-2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4-4A31-AAF3-B8575BF4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129792"/>
        <c:axId val="378139776"/>
      </c:barChart>
      <c:catAx>
        <c:axId val="37812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100" b="1"/>
            </a:pPr>
            <a:endParaRPr lang="en-US"/>
          </a:p>
        </c:txPr>
        <c:crossAx val="378139776"/>
        <c:crosses val="autoZero"/>
        <c:auto val="1"/>
        <c:lblAlgn val="ctr"/>
        <c:lblOffset val="100"/>
        <c:noMultiLvlLbl val="0"/>
      </c:catAx>
      <c:valAx>
        <c:axId val="3781397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7812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55DC-4C82-AD09-7DEF221AFBCB}"/>
              </c:ext>
            </c:extLst>
          </c:dPt>
          <c:dLbls>
            <c:dLbl>
              <c:idx val="0"/>
              <c:layout>
                <c:manualLayout>
                  <c:x val="1.844167819271573E-3"/>
                  <c:y val="-1.3266998341625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DC-4C82-AD09-7DEF221AFBCB}"/>
                </c:ext>
              </c:extLst>
            </c:dLbl>
            <c:dLbl>
              <c:idx val="2"/>
              <c:layout>
                <c:manualLayout>
                  <c:x val="0"/>
                  <c:y val="-1.658374792703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DC-4C82-AD09-7DEF221AFBCB}"/>
                </c:ext>
              </c:extLst>
            </c:dLbl>
            <c:dLbl>
              <c:idx val="4"/>
              <c:layout>
                <c:manualLayout>
                  <c:x val="0"/>
                  <c:y val="-1.658374792703151E-2"/>
                </c:manualLayout>
              </c:layout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DC-4C82-AD09-7DEF221AFB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 vs 2012 drug trend'!$A$33:$A$37</c:f>
              <c:strCache>
                <c:ptCount val="5"/>
                <c:pt idx="0">
                  <c:v>Utilization</c:v>
                </c:pt>
                <c:pt idx="1">
                  <c:v>Drug Mix</c:v>
                </c:pt>
                <c:pt idx="2">
                  <c:v>Quantity</c:v>
                </c:pt>
                <c:pt idx="3">
                  <c:v>Unit Cost</c:v>
                </c:pt>
                <c:pt idx="4">
                  <c:v>Total</c:v>
                </c:pt>
              </c:strCache>
            </c:strRef>
          </c:cat>
          <c:val>
            <c:numRef>
              <c:f>'2013 vs 2012 drug trend'!$B$63:$B$67</c:f>
              <c:numCache>
                <c:formatCode>0.0%</c:formatCode>
                <c:ptCount val="5"/>
                <c:pt idx="0">
                  <c:v>7.0000000000000001E-3</c:v>
                </c:pt>
                <c:pt idx="1">
                  <c:v>-0.05</c:v>
                </c:pt>
                <c:pt idx="2">
                  <c:v>6.0000000000000001E-3</c:v>
                </c:pt>
                <c:pt idx="3">
                  <c:v>0.03</c:v>
                </c:pt>
                <c:pt idx="4">
                  <c:v>-7.0000000000000001E-3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DC-4C82-AD09-7DEF221A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64800"/>
        <c:axId val="311966336"/>
      </c:barChart>
      <c:catAx>
        <c:axId val="3119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100" b="1"/>
            </a:pPr>
            <a:endParaRPr lang="en-US"/>
          </a:p>
        </c:txPr>
        <c:crossAx val="311966336"/>
        <c:crosses val="autoZero"/>
        <c:auto val="1"/>
        <c:lblAlgn val="ctr"/>
        <c:lblOffset val="100"/>
        <c:noMultiLvlLbl val="0"/>
      </c:catAx>
      <c:valAx>
        <c:axId val="3119663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11964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57DE-4D8B-9BA7-2B8E60737D83}"/>
              </c:ext>
            </c:extLst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7DE-4D8B-9BA7-2B8E60737D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'2013 vs 2012 drug trend'!$A$33:$A$37</c:f>
              <c:strCache>
                <c:ptCount val="5"/>
                <c:pt idx="0">
                  <c:v>Utilization</c:v>
                </c:pt>
                <c:pt idx="1">
                  <c:v>Drug Mix</c:v>
                </c:pt>
                <c:pt idx="2">
                  <c:v>Quantity</c:v>
                </c:pt>
                <c:pt idx="3">
                  <c:v>Unit Cost</c:v>
                </c:pt>
                <c:pt idx="4">
                  <c:v>Total</c:v>
                </c:pt>
              </c:strCache>
            </c:strRef>
          </c:cat>
          <c:val>
            <c:numRef>
              <c:f>'2013 vs 2012 drug trend'!$B$92:$B$96</c:f>
              <c:numCache>
                <c:formatCode>0.0%</c:formatCode>
                <c:ptCount val="5"/>
                <c:pt idx="0">
                  <c:v>0.03</c:v>
                </c:pt>
                <c:pt idx="1">
                  <c:v>3.0000000000000001E-3</c:v>
                </c:pt>
                <c:pt idx="2">
                  <c:v>-3.0000000000000001E-3</c:v>
                </c:pt>
                <c:pt idx="3">
                  <c:v>0.10299999999999999</c:v>
                </c:pt>
                <c:pt idx="4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E-4D8B-9BA7-2B8E6073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986816"/>
        <c:axId val="312000896"/>
      </c:barChart>
      <c:catAx>
        <c:axId val="31198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100" b="1"/>
            </a:pPr>
            <a:endParaRPr lang="en-US"/>
          </a:p>
        </c:txPr>
        <c:crossAx val="312000896"/>
        <c:crosses val="autoZero"/>
        <c:auto val="1"/>
        <c:lblAlgn val="ctr"/>
        <c:lblOffset val="100"/>
        <c:noMultiLvlLbl val="0"/>
      </c:catAx>
      <c:valAx>
        <c:axId val="3120008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1198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3684-4E4F-BF7D-CE42A290E8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684-4E4F-BF7D-CE42A290E8A2}"/>
              </c:ext>
            </c:extLst>
          </c:dPt>
          <c:cat>
            <c:numRef>
              <c:f>'2013 vs 2012 drug trend'!$B$122:$C$122</c:f>
              <c:numCache>
                <c:formatCode>General</c:formatCode>
                <c:ptCount val="2"/>
                <c:pt idx="0">
                  <c:v>2012</c:v>
                </c:pt>
                <c:pt idx="1">
                  <c:v>2013</c:v>
                </c:pt>
              </c:numCache>
            </c:numRef>
          </c:cat>
          <c:val>
            <c:numRef>
              <c:f>'2013 vs 2012 drug trend'!$B$123:$C$123</c:f>
              <c:numCache>
                <c:formatCode>_("$"* #,##0_);_("$"* \(#,##0\);_("$"* "-"??_);_(@_)</c:formatCode>
                <c:ptCount val="2"/>
                <c:pt idx="0">
                  <c:v>2450</c:v>
                </c:pt>
                <c:pt idx="1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4-4E4F-BF7D-CE42A290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612608"/>
        <c:axId val="316614144"/>
      </c:barChart>
      <c:catAx>
        <c:axId val="3166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316614144"/>
        <c:crosses val="autoZero"/>
        <c:auto val="1"/>
        <c:lblAlgn val="ctr"/>
        <c:lblOffset val="100"/>
        <c:noMultiLvlLbl val="0"/>
      </c:catAx>
      <c:valAx>
        <c:axId val="316614144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1661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Change-in Rx by Format 08-12'!$A$4:$A$9</c:f>
              <c:strCache>
                <c:ptCount val="6"/>
                <c:pt idx="0">
                  <c:v>Mass merchants w/ pharmacies</c:v>
                </c:pt>
                <c:pt idx="1">
                  <c:v>Chain drugstores</c:v>
                </c:pt>
                <c:pt idx="2">
                  <c:v>Supermarkets w/ pharmacies</c:v>
                </c:pt>
                <c:pt idx="3">
                  <c:v>Mail pharmacies</c:v>
                </c:pt>
                <c:pt idx="4">
                  <c:v>Independent drugstores</c:v>
                </c:pt>
                <c:pt idx="5">
                  <c:v>Total prescriptions</c:v>
                </c:pt>
              </c:strCache>
            </c:strRef>
          </c:cat>
          <c:val>
            <c:numRef>
              <c:f>' Change-in Rx by Format 08-12'!$B$4:$B$9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7.6999999999999999E-2</c:v>
                </c:pt>
                <c:pt idx="2">
                  <c:v>6.6000000000000003E-2</c:v>
                </c:pt>
                <c:pt idx="3">
                  <c:v>4.0000000000000001E-3</c:v>
                </c:pt>
                <c:pt idx="4">
                  <c:v>-2.3E-2</c:v>
                </c:pt>
                <c:pt idx="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4-4E26-99DB-F9D6B8998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566208"/>
        <c:axId val="361567744"/>
      </c:barChart>
      <c:catAx>
        <c:axId val="361566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361567744"/>
        <c:crosses val="autoZero"/>
        <c:auto val="1"/>
        <c:lblAlgn val="ctr"/>
        <c:lblOffset val="100"/>
        <c:noMultiLvlLbl val="0"/>
      </c:catAx>
      <c:valAx>
        <c:axId val="36156774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361566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'Rebates by Employer'!$D$2</c:f>
              <c:strCache>
                <c:ptCount val="1"/>
                <c:pt idx="0">
                  <c:v>Small Employer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'Rebates by Employer'!$B$3:$B$6</c:f>
              <c:strCache>
                <c:ptCount val="4"/>
                <c:pt idx="0">
                  <c:v>Flat guaranteed amount per script/brand script/formulary brand script</c:v>
                </c:pt>
                <c:pt idx="1">
                  <c:v>Percentage share of actual rebates without guarantee </c:v>
                </c:pt>
                <c:pt idx="2">
                  <c:v>Percentage share of actual rebates with minimum guarantee </c:v>
                </c:pt>
                <c:pt idx="3">
                  <c:v>Do not receive rebates</c:v>
                </c:pt>
              </c:strCache>
            </c:strRef>
          </c:cat>
          <c:val>
            <c:numRef>
              <c:f>'Rebates by Employer'!$D$3:$D$6</c:f>
              <c:numCache>
                <c:formatCode>0.0%</c:formatCode>
                <c:ptCount val="4"/>
                <c:pt idx="0">
                  <c:v>0.23799999999999999</c:v>
                </c:pt>
                <c:pt idx="1">
                  <c:v>0.25600000000000001</c:v>
                </c:pt>
                <c:pt idx="2">
                  <c:v>8.3000000000000004E-2</c:v>
                </c:pt>
                <c:pt idx="3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D-4580-93C5-3776BD2D4170}"/>
            </c:ext>
          </c:extLst>
        </c:ser>
        <c:ser>
          <c:idx val="0"/>
          <c:order val="1"/>
          <c:tx>
            <c:strRef>
              <c:f>'Rebates by Employer'!$C$2</c:f>
              <c:strCache>
                <c:ptCount val="1"/>
                <c:pt idx="0">
                  <c:v>Large Employer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5.1345755693581747E-2"/>
                  <c:y val="-2.522863199431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4D-4580-93C5-3776BD2D417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'Rebates by Employer'!$B$3:$B$6</c:f>
              <c:strCache>
                <c:ptCount val="4"/>
                <c:pt idx="0">
                  <c:v>Flat guaranteed amount per script/brand script/formulary brand script</c:v>
                </c:pt>
                <c:pt idx="1">
                  <c:v>Percentage share of actual rebates without guarantee </c:v>
                </c:pt>
                <c:pt idx="2">
                  <c:v>Percentage share of actual rebates with minimum guarantee </c:v>
                </c:pt>
                <c:pt idx="3">
                  <c:v>Do not receive rebates</c:v>
                </c:pt>
              </c:strCache>
            </c:strRef>
          </c:cat>
          <c:val>
            <c:numRef>
              <c:f>'Rebates by Employer'!$C$3:$C$6</c:f>
              <c:numCache>
                <c:formatCode>0.0%</c:formatCode>
                <c:ptCount val="4"/>
                <c:pt idx="0">
                  <c:v>0.42299999999999999</c:v>
                </c:pt>
                <c:pt idx="1">
                  <c:v>0.17699999999999999</c:v>
                </c:pt>
                <c:pt idx="2">
                  <c:v>0.27700000000000002</c:v>
                </c:pt>
                <c:pt idx="3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D-4580-93C5-3776BD2D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4560"/>
        <c:axId val="316836096"/>
      </c:barChart>
      <c:catAx>
        <c:axId val="31683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16836096"/>
        <c:crosses val="autoZero"/>
        <c:auto val="1"/>
        <c:lblAlgn val="ctr"/>
        <c:lblOffset val="100"/>
        <c:noMultiLvlLbl val="0"/>
      </c:catAx>
      <c:valAx>
        <c:axId val="316836096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one"/>
        <c:crossAx val="316834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25328351445803E-2"/>
          <c:y val="9.3015928006846813E-2"/>
          <c:w val="0.90631047018295585"/>
          <c:h val="0.65076910646046227"/>
        </c:manualLayout>
      </c:layout>
      <c:lineChart>
        <c:grouping val="standard"/>
        <c:varyColors val="0"/>
        <c:ser>
          <c:idx val="3"/>
          <c:order val="0"/>
          <c:spPr>
            <a:ln>
              <a:solidFill>
                <a:schemeClr val="tx1"/>
              </a:solidFill>
            </a:ln>
          </c:spPr>
          <c:marker>
            <c:spPr>
              <a:noFill/>
              <a:ln cap="rnd">
                <a:noFill/>
                <a:prstDash val="solid"/>
              </a:ln>
            </c:spPr>
          </c:marker>
          <c:val>
            <c:numRef>
              <c:f>'Same Store Rx'!$G$4:$G$35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1-4D96-81D2-6F9E7A9E59D1}"/>
            </c:ext>
          </c:extLst>
        </c:ser>
        <c:ser>
          <c:idx val="1"/>
          <c:order val="1"/>
          <c:tx>
            <c:strRef>
              <c:f>'Same Store Rx'!$C$3</c:f>
              <c:strCache>
                <c:ptCount val="1"/>
                <c:pt idx="0">
                  <c:v>RAD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'Same Store Rx'!$A$4:$A$35</c:f>
              <c:numCache>
                <c:formatCode>m/d/yyyy</c:formatCode>
                <c:ptCount val="32"/>
                <c:pt idx="0">
                  <c:v>40939</c:v>
                </c:pt>
                <c:pt idx="1">
                  <c:v>40968</c:v>
                </c:pt>
                <c:pt idx="2">
                  <c:v>40999</c:v>
                </c:pt>
                <c:pt idx="3">
                  <c:v>41029</c:v>
                </c:pt>
                <c:pt idx="4">
                  <c:v>41060</c:v>
                </c:pt>
                <c:pt idx="5">
                  <c:v>41090</c:v>
                </c:pt>
                <c:pt idx="6">
                  <c:v>41121</c:v>
                </c:pt>
                <c:pt idx="7">
                  <c:v>41152</c:v>
                </c:pt>
                <c:pt idx="8">
                  <c:v>41182</c:v>
                </c:pt>
                <c:pt idx="9">
                  <c:v>41213</c:v>
                </c:pt>
                <c:pt idx="10">
                  <c:v>41243</c:v>
                </c:pt>
                <c:pt idx="11">
                  <c:v>41274</c:v>
                </c:pt>
                <c:pt idx="12">
                  <c:v>41305</c:v>
                </c:pt>
                <c:pt idx="13">
                  <c:v>41333</c:v>
                </c:pt>
                <c:pt idx="14">
                  <c:v>41364</c:v>
                </c:pt>
                <c:pt idx="15">
                  <c:v>41394</c:v>
                </c:pt>
                <c:pt idx="16">
                  <c:v>41425</c:v>
                </c:pt>
                <c:pt idx="17">
                  <c:v>41455</c:v>
                </c:pt>
                <c:pt idx="18">
                  <c:v>41486</c:v>
                </c:pt>
                <c:pt idx="19">
                  <c:v>41517</c:v>
                </c:pt>
                <c:pt idx="20">
                  <c:v>41547</c:v>
                </c:pt>
                <c:pt idx="21">
                  <c:v>41578</c:v>
                </c:pt>
                <c:pt idx="22">
                  <c:v>41608</c:v>
                </c:pt>
                <c:pt idx="23">
                  <c:v>41639</c:v>
                </c:pt>
                <c:pt idx="24">
                  <c:v>41670</c:v>
                </c:pt>
                <c:pt idx="25">
                  <c:v>41698</c:v>
                </c:pt>
                <c:pt idx="26">
                  <c:v>41729</c:v>
                </c:pt>
                <c:pt idx="27">
                  <c:v>41759</c:v>
                </c:pt>
                <c:pt idx="28">
                  <c:v>41790</c:v>
                </c:pt>
                <c:pt idx="29">
                  <c:v>41820</c:v>
                </c:pt>
                <c:pt idx="30">
                  <c:v>41851</c:v>
                </c:pt>
                <c:pt idx="31">
                  <c:v>41882</c:v>
                </c:pt>
              </c:numCache>
            </c:numRef>
          </c:cat>
          <c:val>
            <c:numRef>
              <c:f>'Same Store Rx'!$C$4:$C$35</c:f>
              <c:numCache>
                <c:formatCode>0.0%</c:formatCode>
                <c:ptCount val="32"/>
                <c:pt idx="0">
                  <c:v>1.6E-2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3.7999999999999999E-2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4.4999999999999998E-2</c:v>
                </c:pt>
                <c:pt idx="7">
                  <c:v>4.4999999999999998E-2</c:v>
                </c:pt>
                <c:pt idx="8">
                  <c:v>4.3999999999999997E-2</c:v>
                </c:pt>
                <c:pt idx="9">
                  <c:v>4.7E-2</c:v>
                </c:pt>
                <c:pt idx="10">
                  <c:v>2.1999999999999999E-2</c:v>
                </c:pt>
                <c:pt idx="11">
                  <c:v>4.3999999999999997E-2</c:v>
                </c:pt>
                <c:pt idx="12">
                  <c:v>0.05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-2E-3</c:v>
                </c:pt>
                <c:pt idx="16">
                  <c:v>-3.0000000000000001E-3</c:v>
                </c:pt>
                <c:pt idx="17">
                  <c:v>-2E-3</c:v>
                </c:pt>
                <c:pt idx="18">
                  <c:v>4.0000000000000001E-3</c:v>
                </c:pt>
                <c:pt idx="19">
                  <c:v>-2E-3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1E-3</c:v>
                </c:pt>
                <c:pt idx="23">
                  <c:v>-0.02</c:v>
                </c:pt>
                <c:pt idx="24">
                  <c:v>-2.1999999999999999E-2</c:v>
                </c:pt>
                <c:pt idx="25">
                  <c:v>-1.4E-2</c:v>
                </c:pt>
                <c:pt idx="26">
                  <c:v>1.0999999999999999E-2</c:v>
                </c:pt>
                <c:pt idx="27">
                  <c:v>2.3E-2</c:v>
                </c:pt>
                <c:pt idx="28">
                  <c:v>3.2000000000000001E-2</c:v>
                </c:pt>
                <c:pt idx="29">
                  <c:v>3.5000000000000003E-2</c:v>
                </c:pt>
                <c:pt idx="30">
                  <c:v>3.9E-2</c:v>
                </c:pt>
                <c:pt idx="31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1-4D96-81D2-6F9E7A9E59D1}"/>
            </c:ext>
          </c:extLst>
        </c:ser>
        <c:ser>
          <c:idx val="0"/>
          <c:order val="2"/>
          <c:tx>
            <c:strRef>
              <c:f>'Same Store Rx'!$B$3</c:f>
              <c:strCache>
                <c:ptCount val="1"/>
                <c:pt idx="0">
                  <c:v>CVS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'Same Store Rx'!$A$4:$A$35</c:f>
              <c:numCache>
                <c:formatCode>m/d/yyyy</c:formatCode>
                <c:ptCount val="32"/>
                <c:pt idx="0">
                  <c:v>40939</c:v>
                </c:pt>
                <c:pt idx="1">
                  <c:v>40968</c:v>
                </c:pt>
                <c:pt idx="2">
                  <c:v>40999</c:v>
                </c:pt>
                <c:pt idx="3">
                  <c:v>41029</c:v>
                </c:pt>
                <c:pt idx="4">
                  <c:v>41060</c:v>
                </c:pt>
                <c:pt idx="5">
                  <c:v>41090</c:v>
                </c:pt>
                <c:pt idx="6">
                  <c:v>41121</c:v>
                </c:pt>
                <c:pt idx="7">
                  <c:v>41152</c:v>
                </c:pt>
                <c:pt idx="8">
                  <c:v>41182</c:v>
                </c:pt>
                <c:pt idx="9">
                  <c:v>41213</c:v>
                </c:pt>
                <c:pt idx="10">
                  <c:v>41243</c:v>
                </c:pt>
                <c:pt idx="11">
                  <c:v>41274</c:v>
                </c:pt>
                <c:pt idx="12">
                  <c:v>41305</c:v>
                </c:pt>
                <c:pt idx="13">
                  <c:v>41333</c:v>
                </c:pt>
                <c:pt idx="14">
                  <c:v>41364</c:v>
                </c:pt>
                <c:pt idx="15">
                  <c:v>41394</c:v>
                </c:pt>
                <c:pt idx="16">
                  <c:v>41425</c:v>
                </c:pt>
                <c:pt idx="17">
                  <c:v>41455</c:v>
                </c:pt>
                <c:pt idx="18">
                  <c:v>41486</c:v>
                </c:pt>
                <c:pt idx="19">
                  <c:v>41517</c:v>
                </c:pt>
                <c:pt idx="20">
                  <c:v>41547</c:v>
                </c:pt>
                <c:pt idx="21">
                  <c:v>41578</c:v>
                </c:pt>
                <c:pt idx="22">
                  <c:v>41608</c:v>
                </c:pt>
                <c:pt idx="23">
                  <c:v>41639</c:v>
                </c:pt>
                <c:pt idx="24">
                  <c:v>41670</c:v>
                </c:pt>
                <c:pt idx="25">
                  <c:v>41698</c:v>
                </c:pt>
                <c:pt idx="26">
                  <c:v>41729</c:v>
                </c:pt>
                <c:pt idx="27">
                  <c:v>41759</c:v>
                </c:pt>
                <c:pt idx="28">
                  <c:v>41790</c:v>
                </c:pt>
                <c:pt idx="29">
                  <c:v>41820</c:v>
                </c:pt>
                <c:pt idx="30">
                  <c:v>41851</c:v>
                </c:pt>
                <c:pt idx="31">
                  <c:v>41882</c:v>
                </c:pt>
              </c:numCache>
            </c:numRef>
          </c:cat>
          <c:val>
            <c:numRef>
              <c:f>'Same Store Rx'!$B$4:$B$35</c:f>
              <c:numCache>
                <c:formatCode>0.0%</c:formatCode>
                <c:ptCount val="32"/>
                <c:pt idx="0">
                  <c:v>9.1999999999999998E-2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9.8000000000000004E-2</c:v>
                </c:pt>
                <c:pt idx="4">
                  <c:v>9.8000000000000004E-2</c:v>
                </c:pt>
                <c:pt idx="5">
                  <c:v>9.8000000000000004E-2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4.5999999999999999E-2</c:v>
                </c:pt>
                <c:pt idx="13">
                  <c:v>4.5999999999999999E-2</c:v>
                </c:pt>
                <c:pt idx="14">
                  <c:v>4.5999999999999999E-2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2.1000000000000001E-2</c:v>
                </c:pt>
                <c:pt idx="25">
                  <c:v>2.1000000000000001E-2</c:v>
                </c:pt>
                <c:pt idx="26">
                  <c:v>2.1000000000000001E-2</c:v>
                </c:pt>
                <c:pt idx="27">
                  <c:v>3.9E-2</c:v>
                </c:pt>
                <c:pt idx="28">
                  <c:v>3.9E-2</c:v>
                </c:pt>
                <c:pt idx="29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1-4D96-81D2-6F9E7A9E59D1}"/>
            </c:ext>
          </c:extLst>
        </c:ser>
        <c:ser>
          <c:idx val="2"/>
          <c:order val="3"/>
          <c:tx>
            <c:strRef>
              <c:f>'Same Store Rx'!$D$3</c:f>
              <c:strCache>
                <c:ptCount val="1"/>
                <c:pt idx="0">
                  <c:v>WAG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'Same Store Rx'!$A$4:$A$35</c:f>
              <c:numCache>
                <c:formatCode>m/d/yyyy</c:formatCode>
                <c:ptCount val="32"/>
                <c:pt idx="0">
                  <c:v>40939</c:v>
                </c:pt>
                <c:pt idx="1">
                  <c:v>40968</c:v>
                </c:pt>
                <c:pt idx="2">
                  <c:v>40999</c:v>
                </c:pt>
                <c:pt idx="3">
                  <c:v>41029</c:v>
                </c:pt>
                <c:pt idx="4">
                  <c:v>41060</c:v>
                </c:pt>
                <c:pt idx="5">
                  <c:v>41090</c:v>
                </c:pt>
                <c:pt idx="6">
                  <c:v>41121</c:v>
                </c:pt>
                <c:pt idx="7">
                  <c:v>41152</c:v>
                </c:pt>
                <c:pt idx="8">
                  <c:v>41182</c:v>
                </c:pt>
                <c:pt idx="9">
                  <c:v>41213</c:v>
                </c:pt>
                <c:pt idx="10">
                  <c:v>41243</c:v>
                </c:pt>
                <c:pt idx="11">
                  <c:v>41274</c:v>
                </c:pt>
                <c:pt idx="12">
                  <c:v>41305</c:v>
                </c:pt>
                <c:pt idx="13">
                  <c:v>41333</c:v>
                </c:pt>
                <c:pt idx="14">
                  <c:v>41364</c:v>
                </c:pt>
                <c:pt idx="15">
                  <c:v>41394</c:v>
                </c:pt>
                <c:pt idx="16">
                  <c:v>41425</c:v>
                </c:pt>
                <c:pt idx="17">
                  <c:v>41455</c:v>
                </c:pt>
                <c:pt idx="18">
                  <c:v>41486</c:v>
                </c:pt>
                <c:pt idx="19">
                  <c:v>41517</c:v>
                </c:pt>
                <c:pt idx="20">
                  <c:v>41547</c:v>
                </c:pt>
                <c:pt idx="21">
                  <c:v>41578</c:v>
                </c:pt>
                <c:pt idx="22">
                  <c:v>41608</c:v>
                </c:pt>
                <c:pt idx="23">
                  <c:v>41639</c:v>
                </c:pt>
                <c:pt idx="24">
                  <c:v>41670</c:v>
                </c:pt>
                <c:pt idx="25">
                  <c:v>41698</c:v>
                </c:pt>
                <c:pt idx="26">
                  <c:v>41729</c:v>
                </c:pt>
                <c:pt idx="27">
                  <c:v>41759</c:v>
                </c:pt>
                <c:pt idx="28">
                  <c:v>41790</c:v>
                </c:pt>
                <c:pt idx="29">
                  <c:v>41820</c:v>
                </c:pt>
                <c:pt idx="30">
                  <c:v>41851</c:v>
                </c:pt>
                <c:pt idx="31">
                  <c:v>41882</c:v>
                </c:pt>
              </c:numCache>
            </c:numRef>
          </c:cat>
          <c:val>
            <c:numRef>
              <c:f>'Same Store Rx'!$F$4:$F$35</c:f>
              <c:numCache>
                <c:formatCode>0.0%</c:formatCode>
                <c:ptCount val="32"/>
                <c:pt idx="0">
                  <c:v>-9.8999999999999991E-2</c:v>
                </c:pt>
                <c:pt idx="1">
                  <c:v>-9.5000000000000001E-2</c:v>
                </c:pt>
                <c:pt idx="2">
                  <c:v>-9.2999999999999999E-2</c:v>
                </c:pt>
                <c:pt idx="3">
                  <c:v>-8.4000000000000005E-2</c:v>
                </c:pt>
                <c:pt idx="4">
                  <c:v>-8.8999999999999996E-2</c:v>
                </c:pt>
                <c:pt idx="5">
                  <c:v>-9.6000000000000002E-2</c:v>
                </c:pt>
                <c:pt idx="6">
                  <c:v>-7.3999999999999996E-2</c:v>
                </c:pt>
                <c:pt idx="7">
                  <c:v>-6.7000000000000004E-2</c:v>
                </c:pt>
                <c:pt idx="8">
                  <c:v>-6.7999999999999991E-2</c:v>
                </c:pt>
                <c:pt idx="9">
                  <c:v>-5.4000000000000006E-2</c:v>
                </c:pt>
                <c:pt idx="10">
                  <c:v>-2.6000000000000002E-2</c:v>
                </c:pt>
                <c:pt idx="11">
                  <c:v>0</c:v>
                </c:pt>
                <c:pt idx="12">
                  <c:v>0.11600000000000001</c:v>
                </c:pt>
                <c:pt idx="13">
                  <c:v>6.5000000000000002E-2</c:v>
                </c:pt>
                <c:pt idx="14">
                  <c:v>7.400000000000001E-2</c:v>
                </c:pt>
                <c:pt idx="15">
                  <c:v>6.3E-2</c:v>
                </c:pt>
                <c:pt idx="16">
                  <c:v>7.4999999999999997E-2</c:v>
                </c:pt>
                <c:pt idx="17">
                  <c:v>7.3000000000000009E-2</c:v>
                </c:pt>
                <c:pt idx="18">
                  <c:v>7.3000000000000009E-2</c:v>
                </c:pt>
                <c:pt idx="19">
                  <c:v>7.3999999999999996E-2</c:v>
                </c:pt>
                <c:pt idx="20">
                  <c:v>6.7000000000000004E-2</c:v>
                </c:pt>
                <c:pt idx="21">
                  <c:v>7.1000000000000008E-2</c:v>
                </c:pt>
                <c:pt idx="22">
                  <c:v>3.6999999999999998E-2</c:v>
                </c:pt>
                <c:pt idx="23">
                  <c:v>2.4E-2</c:v>
                </c:pt>
                <c:pt idx="24">
                  <c:v>-4.0000000000000001E-3</c:v>
                </c:pt>
                <c:pt idx="25">
                  <c:v>2.1999999999999999E-2</c:v>
                </c:pt>
                <c:pt idx="26">
                  <c:v>4.1999999999999996E-2</c:v>
                </c:pt>
                <c:pt idx="27">
                  <c:v>4.3000000000000003E-2</c:v>
                </c:pt>
                <c:pt idx="28">
                  <c:v>5.6000000000000008E-2</c:v>
                </c:pt>
                <c:pt idx="29">
                  <c:v>4.7E-2</c:v>
                </c:pt>
                <c:pt idx="30">
                  <c:v>4.2999999999999997E-2</c:v>
                </c:pt>
                <c:pt idx="31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1-4D96-81D2-6F9E7A9E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73280"/>
        <c:axId val="280275200"/>
      </c:lineChart>
      <c:dateAx>
        <c:axId val="280273280"/>
        <c:scaling>
          <c:orientation val="minMax"/>
          <c:max val="32"/>
          <c:min val="1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80275200"/>
        <c:crossesAt val="-15"/>
        <c:auto val="0"/>
        <c:lblOffset val="100"/>
        <c:baseTimeUnit val="months"/>
        <c:majorUnit val="3"/>
        <c:minorUnit val="1"/>
      </c:dateAx>
      <c:valAx>
        <c:axId val="280275200"/>
        <c:scaling>
          <c:orientation val="minMax"/>
        </c:scaling>
        <c:delete val="0"/>
        <c:axPos val="l"/>
        <c:majorGridlines>
          <c:spPr>
            <a:ln w="15875" cap="sq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80273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egendEntry>
        <c:idx val="0"/>
        <c:delete val="1"/>
      </c:legendEntry>
      <c:overlay val="0"/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5370709778575"/>
          <c:y val="0.10872883216545426"/>
          <c:w val="0.8473100108593149"/>
          <c:h val="0.71995453678107046"/>
        </c:manualLayout>
      </c:layout>
      <c:lineChart>
        <c:grouping val="standard"/>
        <c:varyColors val="0"/>
        <c:ser>
          <c:idx val="0"/>
          <c:order val="0"/>
          <c:tx>
            <c:strRef>
              <c:f>'AWP billed to employers'!$B$4</c:f>
              <c:strCache>
                <c:ptCount val="1"/>
                <c:pt idx="0">
                  <c:v>Community Retail Pharmacy</c:v>
                </c:pt>
              </c:strCache>
            </c:strRef>
          </c:tx>
          <c:cat>
            <c:strRef>
              <c:f>'AWP billed to employers'!$A$5:$A$18</c:f>
              <c:strCach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2005-6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'AWP billed to employers'!$B$5:$B$18</c:f>
              <c:numCache>
                <c:formatCode>0%</c:formatCode>
                <c:ptCount val="14"/>
                <c:pt idx="0">
                  <c:v>0.87</c:v>
                </c:pt>
                <c:pt idx="1">
                  <c:v>0.86499999999999999</c:v>
                </c:pt>
                <c:pt idx="2">
                  <c:v>0.86</c:v>
                </c:pt>
                <c:pt idx="3">
                  <c:v>0.85699999999999998</c:v>
                </c:pt>
                <c:pt idx="4">
                  <c:v>0.85499999999999998</c:v>
                </c:pt>
                <c:pt idx="5">
                  <c:v>0.85199999999999998</c:v>
                </c:pt>
                <c:pt idx="6">
                  <c:v>0.84699999999999998</c:v>
                </c:pt>
                <c:pt idx="7">
                  <c:v>0.84</c:v>
                </c:pt>
                <c:pt idx="8">
                  <c:v>0.84</c:v>
                </c:pt>
                <c:pt idx="9">
                  <c:v>0.83799999999999997</c:v>
                </c:pt>
                <c:pt idx="10">
                  <c:v>0.83</c:v>
                </c:pt>
                <c:pt idx="11">
                  <c:v>0.84199999999999997</c:v>
                </c:pt>
                <c:pt idx="12">
                  <c:v>0.84199999999999997</c:v>
                </c:pt>
                <c:pt idx="13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086-946D-885C7720DA60}"/>
            </c:ext>
          </c:extLst>
        </c:ser>
        <c:ser>
          <c:idx val="1"/>
          <c:order val="1"/>
          <c:tx>
            <c:strRef>
              <c:f>'AWP billed to employers'!$C$4</c:f>
              <c:strCache>
                <c:ptCount val="1"/>
                <c:pt idx="0">
                  <c:v>Mail Pharmacy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'AWP billed to employers'!$A$5:$A$18</c:f>
              <c:strCach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2005-6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strCache>
            </c:strRef>
          </c:cat>
          <c:val>
            <c:numRef>
              <c:f>'AWP billed to employers'!$C$5:$C$18</c:f>
              <c:numCache>
                <c:formatCode>0%</c:formatCode>
                <c:ptCount val="14"/>
                <c:pt idx="0">
                  <c:v>0.82499999999999996</c:v>
                </c:pt>
                <c:pt idx="1">
                  <c:v>0.82</c:v>
                </c:pt>
                <c:pt idx="2">
                  <c:v>0.81499999999999995</c:v>
                </c:pt>
                <c:pt idx="3">
                  <c:v>0.80300000000000005</c:v>
                </c:pt>
                <c:pt idx="4">
                  <c:v>0.79700000000000004</c:v>
                </c:pt>
                <c:pt idx="5">
                  <c:v>0.79</c:v>
                </c:pt>
                <c:pt idx="6">
                  <c:v>0.78</c:v>
                </c:pt>
                <c:pt idx="7">
                  <c:v>0.77</c:v>
                </c:pt>
                <c:pt idx="8">
                  <c:v>0.76500000000000001</c:v>
                </c:pt>
                <c:pt idx="9">
                  <c:v>0.76</c:v>
                </c:pt>
                <c:pt idx="10">
                  <c:v>0.76500000000000001</c:v>
                </c:pt>
                <c:pt idx="11">
                  <c:v>0.77</c:v>
                </c:pt>
                <c:pt idx="12">
                  <c:v>0.76500000000000001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B-4086-946D-885C7720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00704"/>
        <c:axId val="317056128"/>
      </c:lineChart>
      <c:catAx>
        <c:axId val="31700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7056128"/>
        <c:crosses val="autoZero"/>
        <c:auto val="1"/>
        <c:lblAlgn val="ctr"/>
        <c:lblOffset val="100"/>
        <c:noMultiLvlLbl val="0"/>
      </c:catAx>
      <c:valAx>
        <c:axId val="317056128"/>
        <c:scaling>
          <c:orientation val="minMax"/>
          <c:max val="0.9"/>
          <c:min val="0.7000000000000005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7000704"/>
        <c:crosses val="autoZero"/>
        <c:crossBetween val="between"/>
        <c:majorUnit val="5.0000000000000024E-2"/>
      </c:valAx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'Pharmacy Gross Margin &amp; Sales'!$A$3</c:f>
              <c:strCache>
                <c:ptCount val="1"/>
                <c:pt idx="0">
                  <c:v>Pharmacies and Drugstores gross margin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'Pharmacy Gross Margin &amp; Sales'!$B$2:$U$2</c:f>
              <c:numCache>
                <c:formatCode>General</c:formatCode>
                <c:ptCount val="2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</c:numCache>
            </c:numRef>
          </c:cat>
          <c:val>
            <c:numRef>
              <c:f>'Pharmacy Gross Margin &amp; Sales'!$B$3:$U$3</c:f>
              <c:numCache>
                <c:formatCode>0.0%</c:formatCode>
                <c:ptCount val="20"/>
                <c:pt idx="0">
                  <c:v>0.26500000000000001</c:v>
                </c:pt>
                <c:pt idx="1">
                  <c:v>0.26100000000000001</c:v>
                </c:pt>
                <c:pt idx="2">
                  <c:v>0.251</c:v>
                </c:pt>
                <c:pt idx="3">
                  <c:v>0.25700000000000001</c:v>
                </c:pt>
                <c:pt idx="4">
                  <c:v>0.26700000000000002</c:v>
                </c:pt>
                <c:pt idx="5">
                  <c:v>0.26600000000000001</c:v>
                </c:pt>
                <c:pt idx="6">
                  <c:v>0.25600000000000001</c:v>
                </c:pt>
                <c:pt idx="7">
                  <c:v>0.255</c:v>
                </c:pt>
                <c:pt idx="8">
                  <c:v>0.25800000000000001</c:v>
                </c:pt>
                <c:pt idx="9">
                  <c:v>0.25900000000000001</c:v>
                </c:pt>
                <c:pt idx="10">
                  <c:v>0.26500000000000001</c:v>
                </c:pt>
                <c:pt idx="11">
                  <c:v>0.26200000000000001</c:v>
                </c:pt>
                <c:pt idx="12">
                  <c:v>0.25600000000000001</c:v>
                </c:pt>
                <c:pt idx="13">
                  <c:v>0.253</c:v>
                </c:pt>
                <c:pt idx="14">
                  <c:v>0.23899999999999999</c:v>
                </c:pt>
                <c:pt idx="15">
                  <c:v>0.23300000000000001</c:v>
                </c:pt>
                <c:pt idx="16">
                  <c:v>0.23600000000000002</c:v>
                </c:pt>
                <c:pt idx="17">
                  <c:v>0.23800000000000002</c:v>
                </c:pt>
                <c:pt idx="18">
                  <c:v>0.23499999999999999</c:v>
                </c:pt>
                <c:pt idx="19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7-4EB7-8703-8BD2DF64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76800"/>
        <c:axId val="312502144"/>
      </c:lineChart>
      <c:catAx>
        <c:axId val="3124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502144"/>
        <c:crosses val="autoZero"/>
        <c:auto val="1"/>
        <c:lblAlgn val="ctr"/>
        <c:lblOffset val="100"/>
        <c:noMultiLvlLbl val="0"/>
      </c:catAx>
      <c:valAx>
        <c:axId val="3125021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12476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27858685805865E-2"/>
          <c:y val="7.1012111437877501E-2"/>
          <c:w val="0.84474593330700998"/>
          <c:h val="0.79016993960092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'Pharmacy Gross Margin &amp; Sales'!$A$29</c:f>
              <c:strCache>
                <c:ptCount val="1"/>
                <c:pt idx="0">
                  <c:v>Pharmacies and Drugstores gross profit</c:v>
                </c:pt>
              </c:strCache>
            </c:strRef>
          </c:tx>
          <c:spPr>
            <a:solidFill>
              <a:srgbClr val="9BBB59">
                <a:lumMod val="75000"/>
                <a:alpha val="67000"/>
              </a:srgbClr>
            </a:solidFill>
          </c:spPr>
          <c:invertIfNegative val="0"/>
          <c:cat>
            <c:numRef>
              <c:f>'Pharmacy Gross Margin &amp; Sales'!$C$28:$U$28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'Pharmacy Gross Margin &amp; Sales'!$C$29:$U$29</c:f>
              <c:numCache>
                <c:formatCode>_("$"* #,##0_);_("$"* \(#,##0\);_("$"* "-"??_);_(@_)</c:formatCode>
                <c:ptCount val="19"/>
                <c:pt idx="0">
                  <c:v>21429</c:v>
                </c:pt>
                <c:pt idx="1">
                  <c:v>21549</c:v>
                </c:pt>
                <c:pt idx="2">
                  <c:v>23567</c:v>
                </c:pt>
                <c:pt idx="3">
                  <c:v>26345</c:v>
                </c:pt>
                <c:pt idx="4">
                  <c:v>28873</c:v>
                </c:pt>
                <c:pt idx="5">
                  <c:v>31013</c:v>
                </c:pt>
                <c:pt idx="6">
                  <c:v>33375</c:v>
                </c:pt>
                <c:pt idx="7">
                  <c:v>36611</c:v>
                </c:pt>
                <c:pt idx="8">
                  <c:v>39932</c:v>
                </c:pt>
                <c:pt idx="9">
                  <c:v>43791</c:v>
                </c:pt>
                <c:pt idx="10">
                  <c:v>44362</c:v>
                </c:pt>
                <c:pt idx="11">
                  <c:v>45814</c:v>
                </c:pt>
                <c:pt idx="12">
                  <c:v>48323</c:v>
                </c:pt>
                <c:pt idx="13">
                  <c:v>48313</c:v>
                </c:pt>
                <c:pt idx="14">
                  <c:v>49204</c:v>
                </c:pt>
                <c:pt idx="15">
                  <c:v>51292</c:v>
                </c:pt>
                <c:pt idx="16">
                  <c:v>53034</c:v>
                </c:pt>
                <c:pt idx="17">
                  <c:v>54596</c:v>
                </c:pt>
                <c:pt idx="18">
                  <c:v>55775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AD1-AD18-53433711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37888"/>
        <c:axId val="317251968"/>
      </c:barChart>
      <c:lineChart>
        <c:grouping val="standard"/>
        <c:varyColors val="0"/>
        <c:ser>
          <c:idx val="1"/>
          <c:order val="1"/>
          <c:tx>
            <c:strRef>
              <c:f>'Pharmacy Gross Margin &amp; Sales'!$A$30</c:f>
              <c:strCache>
                <c:ptCount val="1"/>
                <c:pt idx="0">
                  <c:v>Y/Y growth in gross profit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[4]CMS_Incentive_Payments!$A$35:$A$47</c:f>
              <c:numCache>
                <c:formatCode>General</c:formatCode>
                <c:ptCount val="13"/>
                <c:pt idx="0">
                  <c:v>40695</c:v>
                </c:pt>
                <c:pt idx="1">
                  <c:v>40725</c:v>
                </c:pt>
                <c:pt idx="2">
                  <c:v>40756</c:v>
                </c:pt>
                <c:pt idx="3">
                  <c:v>40787</c:v>
                </c:pt>
                <c:pt idx="4">
                  <c:v>40817</c:v>
                </c:pt>
                <c:pt idx="5">
                  <c:v>40848</c:v>
                </c:pt>
                <c:pt idx="6">
                  <c:v>40878</c:v>
                </c:pt>
                <c:pt idx="7">
                  <c:v>40920</c:v>
                </c:pt>
                <c:pt idx="8">
                  <c:v>40951</c:v>
                </c:pt>
                <c:pt idx="9">
                  <c:v>40969</c:v>
                </c:pt>
                <c:pt idx="10">
                  <c:v>41011</c:v>
                </c:pt>
                <c:pt idx="11">
                  <c:v>41053</c:v>
                </c:pt>
                <c:pt idx="12">
                  <c:v>41061</c:v>
                </c:pt>
              </c:numCache>
            </c:numRef>
          </c:cat>
          <c:val>
            <c:numRef>
              <c:f>'Pharmacy Gross Margin &amp; Sales'!$C$30:$U$30</c:f>
              <c:numCache>
                <c:formatCode>0.0%</c:formatCode>
                <c:ptCount val="19"/>
                <c:pt idx="0">
                  <c:v>1.3239396661780756E-2</c:v>
                </c:pt>
                <c:pt idx="1">
                  <c:v>5.5998880022398723E-3</c:v>
                </c:pt>
                <c:pt idx="2">
                  <c:v>9.3647036985474941E-2</c:v>
                </c:pt>
                <c:pt idx="3">
                  <c:v>0.11787669198455464</c:v>
                </c:pt>
                <c:pt idx="4">
                  <c:v>9.5957487189219925E-2</c:v>
                </c:pt>
                <c:pt idx="5">
                  <c:v>7.4117687805215882E-2</c:v>
                </c:pt>
                <c:pt idx="6">
                  <c:v>7.6161609647567241E-2</c:v>
                </c:pt>
                <c:pt idx="7">
                  <c:v>9.6958801498127301E-2</c:v>
                </c:pt>
                <c:pt idx="8">
                  <c:v>9.071044221682012E-2</c:v>
                </c:pt>
                <c:pt idx="9">
                  <c:v>9.6639286787538747E-2</c:v>
                </c:pt>
                <c:pt idx="10">
                  <c:v>1.3039208969879645E-2</c:v>
                </c:pt>
                <c:pt idx="11">
                  <c:v>3.2730715477210293E-2</c:v>
                </c:pt>
                <c:pt idx="12">
                  <c:v>5.4764919020386715E-2</c:v>
                </c:pt>
                <c:pt idx="13">
                  <c:v>-2.0694079423877465E-4</c:v>
                </c:pt>
                <c:pt idx="14">
                  <c:v>1.8442241218719513E-2</c:v>
                </c:pt>
                <c:pt idx="15">
                  <c:v>4.2435574343549387E-2</c:v>
                </c:pt>
                <c:pt idx="16">
                  <c:v>3.3962411292209227E-2</c:v>
                </c:pt>
                <c:pt idx="17">
                  <c:v>2.9452803861673704E-2</c:v>
                </c:pt>
                <c:pt idx="18">
                  <c:v>2.1594988643856672E-2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3-4AD1-AD18-53433711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53504"/>
        <c:axId val="317255040"/>
      </c:lineChart>
      <c:catAx>
        <c:axId val="31723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251968"/>
        <c:crosses val="autoZero"/>
        <c:auto val="1"/>
        <c:lblAlgn val="ctr"/>
        <c:lblOffset val="100"/>
        <c:tickLblSkip val="1"/>
        <c:noMultiLvlLbl val="0"/>
      </c:catAx>
      <c:valAx>
        <c:axId val="317251968"/>
        <c:scaling>
          <c:orientation val="minMax"/>
          <c:min val="25"/>
        </c:scaling>
        <c:delete val="0"/>
        <c:axPos val="l"/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237888"/>
        <c:crosses val="autoZero"/>
        <c:crossBetween val="between"/>
      </c:valAx>
      <c:catAx>
        <c:axId val="3172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7255040"/>
        <c:crosses val="autoZero"/>
        <c:auto val="1"/>
        <c:lblAlgn val="ctr"/>
        <c:lblOffset val="100"/>
        <c:noMultiLvlLbl val="0"/>
      </c:catAx>
      <c:valAx>
        <c:axId val="3172550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7253504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10532774312408E-2"/>
          <c:y val="4.2599589478715311E-2"/>
          <c:w val="0.88817994341616391"/>
          <c:h val="0.8229096738367914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D381-4C8A-BE23-AB438E69F3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381-4C8A-BE23-AB438E69F3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D381-4C8A-BE23-AB438E69F3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381-4C8A-BE23-AB438E69F30F}"/>
              </c:ext>
            </c:extLst>
          </c:dPt>
          <c:cat>
            <c:strRef>
              <c:f>'Pharmacy Gross Margins 2012'!$A$3:$A$6</c:f>
              <c:strCache>
                <c:ptCount val="4"/>
                <c:pt idx="0">
                  <c:v>CVS retail</c:v>
                </c:pt>
                <c:pt idx="1">
                  <c:v>RAD</c:v>
                </c:pt>
                <c:pt idx="2">
                  <c:v>WAG</c:v>
                </c:pt>
                <c:pt idx="3">
                  <c:v>Industry Average</c:v>
                </c:pt>
              </c:strCache>
            </c:strRef>
          </c:cat>
          <c:val>
            <c:numRef>
              <c:f>'Pharmacy Gross Margins 2012'!$B$3:$B$6</c:f>
              <c:numCache>
                <c:formatCode>0.0%</c:formatCode>
                <c:ptCount val="4"/>
                <c:pt idx="0">
                  <c:v>0.3</c:v>
                </c:pt>
                <c:pt idx="1">
                  <c:v>0.2601</c:v>
                </c:pt>
                <c:pt idx="2">
                  <c:v>0.28389999999999999</c:v>
                </c:pt>
                <c:pt idx="3">
                  <c:v>0.24199999999999999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1-4C8A-BE23-AB438E69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34272"/>
        <c:axId val="317335808"/>
      </c:barChart>
      <c:catAx>
        <c:axId val="31733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7335808"/>
        <c:crosses val="autoZero"/>
        <c:auto val="1"/>
        <c:lblAlgn val="ctr"/>
        <c:lblOffset val="100"/>
        <c:noMultiLvlLbl val="0"/>
      </c:catAx>
      <c:valAx>
        <c:axId val="317335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1733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99805365738994"/>
          <c:y val="0.15169645209789695"/>
          <c:w val="0.51391954860268019"/>
          <c:h val="0.80733372599469866"/>
        </c:manualLayout>
      </c:layout>
      <c:doughnutChart>
        <c:varyColors val="1"/>
        <c:ser>
          <c:idx val="0"/>
          <c:order val="0"/>
          <c:dLbls>
            <c:dLbl>
              <c:idx val="4"/>
              <c:layout>
                <c:manualLayout>
                  <c:x val="-0.12530592266275087"/>
                  <c:y val="-0.15993846583071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F4-4630-8BD2-AD586021C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'Source of Rx pmt 2012'!$A$3:$A$7</c:f>
              <c:strCache>
                <c:ptCount val="5"/>
                <c:pt idx="0">
                  <c:v>Private Health Insurance</c:v>
                </c:pt>
                <c:pt idx="1">
                  <c:v>Medicare</c:v>
                </c:pt>
                <c:pt idx="2">
                  <c:v>Medicaid</c:v>
                </c:pt>
                <c:pt idx="3">
                  <c:v>Out-of-Pocket</c:v>
                </c:pt>
                <c:pt idx="4">
                  <c:v>All other third-party payers</c:v>
                </c:pt>
              </c:strCache>
            </c:strRef>
          </c:cat>
          <c:val>
            <c:numRef>
              <c:f>'Source of Rx pmt 2012'!$B$3:$B$7</c:f>
              <c:numCache>
                <c:formatCode>0%</c:formatCode>
                <c:ptCount val="5"/>
                <c:pt idx="0">
                  <c:v>0.44</c:v>
                </c:pt>
                <c:pt idx="1">
                  <c:v>0.26</c:v>
                </c:pt>
                <c:pt idx="2">
                  <c:v>0.08</c:v>
                </c:pt>
                <c:pt idx="3">
                  <c:v>0.18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4-4630-8BD2-AD586021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'Source of Rx pmt 2012'!$B$28</c:f>
              <c:strCache>
                <c:ptCount val="1"/>
                <c:pt idx="0">
                  <c:v>Consumer Out of Pocket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of Rx pmt 2012'!$A$29:$A$34</c:f>
              <c:strCache>
                <c:ptCount val="6"/>
                <c:pt idx="0">
                  <c:v>1972</c:v>
                </c:pt>
                <c:pt idx="1">
                  <c:v>1982</c:v>
                </c:pt>
                <c:pt idx="2">
                  <c:v>1992</c:v>
                </c:pt>
                <c:pt idx="3">
                  <c:v>2002</c:v>
                </c:pt>
                <c:pt idx="4">
                  <c:v>2012</c:v>
                </c:pt>
                <c:pt idx="5">
                  <c:v>2022E</c:v>
                </c:pt>
              </c:strCache>
            </c:strRef>
          </c:cat>
          <c:val>
            <c:numRef>
              <c:f>'Source of Rx pmt 2012'!$B$29:$B$34</c:f>
              <c:numCache>
                <c:formatCode>0%</c:formatCode>
                <c:ptCount val="6"/>
                <c:pt idx="0">
                  <c:v>0.8</c:v>
                </c:pt>
                <c:pt idx="1">
                  <c:v>0.69</c:v>
                </c:pt>
                <c:pt idx="2">
                  <c:v>0.5</c:v>
                </c:pt>
                <c:pt idx="3">
                  <c:v>0.26</c:v>
                </c:pt>
                <c:pt idx="4">
                  <c:v>0.16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0-454E-AA58-C33C6523ADC1}"/>
            </c:ext>
          </c:extLst>
        </c:ser>
        <c:ser>
          <c:idx val="1"/>
          <c:order val="1"/>
          <c:tx>
            <c:strRef>
              <c:f>'Source of Rx pmt 2012'!$C$28</c:f>
              <c:strCache>
                <c:ptCount val="1"/>
                <c:pt idx="0">
                  <c:v>Employer-Sponsored Private Insurance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of Rx pmt 2012'!$A$29:$A$34</c:f>
              <c:strCache>
                <c:ptCount val="6"/>
                <c:pt idx="0">
                  <c:v>1972</c:v>
                </c:pt>
                <c:pt idx="1">
                  <c:v>1982</c:v>
                </c:pt>
                <c:pt idx="2">
                  <c:v>1992</c:v>
                </c:pt>
                <c:pt idx="3">
                  <c:v>2002</c:v>
                </c:pt>
                <c:pt idx="4">
                  <c:v>2012</c:v>
                </c:pt>
                <c:pt idx="5">
                  <c:v>2022E</c:v>
                </c:pt>
              </c:strCache>
            </c:strRef>
          </c:cat>
          <c:val>
            <c:numRef>
              <c:f>'Source of Rx pmt 2012'!$C$29:$C$34</c:f>
              <c:numCache>
                <c:formatCode>0%</c:formatCode>
                <c:ptCount val="6"/>
                <c:pt idx="0">
                  <c:v>0.11</c:v>
                </c:pt>
                <c:pt idx="1">
                  <c:v>0.19</c:v>
                </c:pt>
                <c:pt idx="2">
                  <c:v>0.34</c:v>
                </c:pt>
                <c:pt idx="3">
                  <c:v>0.54</c:v>
                </c:pt>
                <c:pt idx="4">
                  <c:v>0.47</c:v>
                </c:pt>
                <c:pt idx="5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0-454E-AA58-C33C6523ADC1}"/>
            </c:ext>
          </c:extLst>
        </c:ser>
        <c:ser>
          <c:idx val="2"/>
          <c:order val="2"/>
          <c:tx>
            <c:strRef>
              <c:f>'Source of Rx pmt 2012'!$D$28</c:f>
              <c:strCache>
                <c:ptCount val="1"/>
                <c:pt idx="0">
                  <c:v>Public Funds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of Rx pmt 2012'!$A$29:$A$34</c:f>
              <c:strCache>
                <c:ptCount val="6"/>
                <c:pt idx="0">
                  <c:v>1972</c:v>
                </c:pt>
                <c:pt idx="1">
                  <c:v>1982</c:v>
                </c:pt>
                <c:pt idx="2">
                  <c:v>1992</c:v>
                </c:pt>
                <c:pt idx="3">
                  <c:v>2002</c:v>
                </c:pt>
                <c:pt idx="4">
                  <c:v>2012</c:v>
                </c:pt>
                <c:pt idx="5">
                  <c:v>2022E</c:v>
                </c:pt>
              </c:strCache>
            </c:strRef>
          </c:cat>
          <c:val>
            <c:numRef>
              <c:f>'Source of Rx pmt 2012'!$D$29:$D$34</c:f>
              <c:numCache>
                <c:formatCode>0%</c:formatCode>
                <c:ptCount val="6"/>
                <c:pt idx="0">
                  <c:v>0.09</c:v>
                </c:pt>
                <c:pt idx="1">
                  <c:v>0.11</c:v>
                </c:pt>
                <c:pt idx="2">
                  <c:v>0.15</c:v>
                </c:pt>
                <c:pt idx="3">
                  <c:v>0.2</c:v>
                </c:pt>
                <c:pt idx="4">
                  <c:v>0.34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0-454E-AA58-C33C6523ADC1}"/>
            </c:ext>
          </c:extLst>
        </c:ser>
        <c:ser>
          <c:idx val="3"/>
          <c:order val="3"/>
          <c:tx>
            <c:strRef>
              <c:f>'Source of Rx pmt 2012'!$E$28</c:f>
              <c:strCache>
                <c:ptCount val="1"/>
                <c:pt idx="0">
                  <c:v>Individually Purcased Private Insurance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0-454E-AA58-C33C6523AD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D0-454E-AA58-C33C6523AD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0-454E-AA58-C33C6523ADC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D0-454E-AA58-C33C6523ADC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'Source of Rx pmt 2012'!$A$29:$A$34</c:f>
              <c:strCache>
                <c:ptCount val="6"/>
                <c:pt idx="0">
                  <c:v>1972</c:v>
                </c:pt>
                <c:pt idx="1">
                  <c:v>1982</c:v>
                </c:pt>
                <c:pt idx="2">
                  <c:v>1992</c:v>
                </c:pt>
                <c:pt idx="3">
                  <c:v>2002</c:v>
                </c:pt>
                <c:pt idx="4">
                  <c:v>2012</c:v>
                </c:pt>
                <c:pt idx="5">
                  <c:v>2022E</c:v>
                </c:pt>
              </c:strCache>
            </c:strRef>
          </c:cat>
          <c:val>
            <c:numRef>
              <c:f>'Source of Rx pmt 2012'!$E$29:$E$34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D0-454E-AA58-C33C6523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735296"/>
        <c:axId val="361736832"/>
      </c:barChart>
      <c:catAx>
        <c:axId val="36173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1736832"/>
        <c:crosses val="autoZero"/>
        <c:auto val="1"/>
        <c:lblAlgn val="ctr"/>
        <c:lblOffset val="100"/>
        <c:noMultiLvlLbl val="0"/>
      </c:catAx>
      <c:valAx>
        <c:axId val="361736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173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8036023707153"/>
          <c:y val="4.7428500316770754E-2"/>
          <c:w val="0.77643405469258064"/>
          <c:h val="0.839207846863969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 format Rx sales'!$A$3</c:f>
              <c:strCache>
                <c:ptCount val="1"/>
                <c:pt idx="0">
                  <c:v>Number of Equivalent Prescriptions (billions)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 format Rx sales'!$B$2:$M$2</c:f>
              <c:strCach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2013E</c:v>
                </c:pt>
              </c:strCache>
            </c:strRef>
          </c:cat>
          <c:val>
            <c:numRef>
              <c:f>'3 format Rx sales'!$B$3:$M$3</c:f>
              <c:numCache>
                <c:formatCode>General</c:formatCode>
                <c:ptCount val="12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3.7</c:v>
                </c:pt>
                <c:pt idx="4">
                  <c:v>3.9</c:v>
                </c:pt>
                <c:pt idx="5">
                  <c:v>4</c:v>
                </c:pt>
                <c:pt idx="6">
                  <c:v>4.0999999999999996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B-4D33-9AD3-BB50E498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851136"/>
        <c:axId val="361852928"/>
      </c:barChart>
      <c:lineChart>
        <c:grouping val="standard"/>
        <c:varyColors val="0"/>
        <c:ser>
          <c:idx val="0"/>
          <c:order val="1"/>
          <c:tx>
            <c:strRef>
              <c:f>'3 format Rx sales'!$A$4</c:f>
              <c:strCache>
                <c:ptCount val="1"/>
                <c:pt idx="0">
                  <c:v>% change Y/Y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'3 format Rx sales'!$B$2:$M$2</c:f>
              <c:strCache>
                <c:ptCount val="1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2013E</c:v>
                </c:pt>
              </c:strCache>
            </c:strRef>
          </c:cat>
          <c:val>
            <c:numRef>
              <c:f>'3 format Rx sales'!$B$4:$M$4</c:f>
              <c:numCache>
                <c:formatCode>0.0%</c:formatCode>
                <c:ptCount val="12"/>
                <c:pt idx="0">
                  <c:v>4.7E-2</c:v>
                </c:pt>
                <c:pt idx="1">
                  <c:v>1.0999999999999999E-2</c:v>
                </c:pt>
                <c:pt idx="2">
                  <c:v>0.03</c:v>
                </c:pt>
                <c:pt idx="3">
                  <c:v>6.0000000000000001E-3</c:v>
                </c:pt>
                <c:pt idx="4">
                  <c:v>4.2999999999999997E-2</c:v>
                </c:pt>
                <c:pt idx="5">
                  <c:v>4.1000000000000002E-2</c:v>
                </c:pt>
                <c:pt idx="6">
                  <c:v>0.01</c:v>
                </c:pt>
                <c:pt idx="7">
                  <c:v>1.7999999999999999E-2</c:v>
                </c:pt>
                <c:pt idx="8">
                  <c:v>1.0999999999999999E-2</c:v>
                </c:pt>
                <c:pt idx="9">
                  <c:v>3.0000000000000001E-3</c:v>
                </c:pt>
                <c:pt idx="10">
                  <c:v>1.2E-2</c:v>
                </c:pt>
                <c:pt idx="11">
                  <c:v>1.9E-2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6B-4D33-9AD3-BB50E4986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854848"/>
        <c:axId val="361856384"/>
      </c:lineChart>
      <c:catAx>
        <c:axId val="361851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1852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185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Equivalent Prescriptions (billions)</a:t>
                </a:r>
              </a:p>
            </c:rich>
          </c:tx>
          <c:layout>
            <c:manualLayout>
              <c:xMode val="edge"/>
              <c:yMode val="edge"/>
              <c:x val="2.7397217371174957E-2"/>
              <c:y val="0.17963209340211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1851136"/>
        <c:crosses val="autoZero"/>
        <c:crossBetween val="between"/>
      </c:valAx>
      <c:catAx>
        <c:axId val="3618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1856384"/>
        <c:crosses val="autoZero"/>
        <c:auto val="0"/>
        <c:lblAlgn val="ctr"/>
        <c:lblOffset val="100"/>
        <c:noMultiLvlLbl val="0"/>
      </c:catAx>
      <c:valAx>
        <c:axId val="3618563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change Y/Y</a:t>
                </a:r>
              </a:p>
            </c:rich>
          </c:tx>
          <c:layout>
            <c:manualLayout>
              <c:xMode val="edge"/>
              <c:yMode val="edge"/>
              <c:x val="0.96251600845614138"/>
              <c:y val="0.3439546565300028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6185484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anose="02020603050405020304" pitchFamily="18" charset="0"/>
          <a:ea typeface="Verdana"/>
          <a:cs typeface="Times New Roman" panose="02020603050405020304" pitchFamily="18" charset="0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144" r="0.750000000000001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76157801138965E-2"/>
          <c:y val="3.9373596241103946E-2"/>
          <c:w val="0.92716897742892779"/>
          <c:h val="0.75130486690907194"/>
        </c:manualLayout>
      </c:layout>
      <c:lineChart>
        <c:grouping val="standard"/>
        <c:varyColors val="0"/>
        <c:ser>
          <c:idx val="0"/>
          <c:order val="0"/>
          <c:tx>
            <c:strRef>
              <c:f>'Forecasted Drug expenditures'!$B$4:$C$4</c:f>
              <c:strCache>
                <c:ptCount val="1"/>
                <c:pt idx="0">
                  <c:v>Rx Spending Growth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'Forecasted Drug expenditures'!$A$7:$A$16</c:f>
              <c:strCache>
                <c:ptCount val="10"/>
                <c:pt idx="0">
                  <c:v>2015E</c:v>
                </c:pt>
                <c:pt idx="1">
                  <c:v>2016E</c:v>
                </c:pt>
                <c:pt idx="2">
                  <c:v>2017E</c:v>
                </c:pt>
                <c:pt idx="3">
                  <c:v>2018E</c:v>
                </c:pt>
                <c:pt idx="4">
                  <c:v>2019E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'Forecasted Drug expenditures'!$C$7:$C$16</c:f>
              <c:numCache>
                <c:formatCode>0.0%</c:formatCode>
                <c:ptCount val="10"/>
                <c:pt idx="0">
                  <c:v>7.6368403802032025E-2</c:v>
                </c:pt>
                <c:pt idx="1">
                  <c:v>4.5066991473812434E-2</c:v>
                </c:pt>
                <c:pt idx="2">
                  <c:v>6.1771561771561734E-2</c:v>
                </c:pt>
                <c:pt idx="3">
                  <c:v>5.6805708013172529E-2</c:v>
                </c:pt>
                <c:pt idx="4">
                  <c:v>6.128278369254736E-2</c:v>
                </c:pt>
                <c:pt idx="5">
                  <c:v>6.5084413995595947E-2</c:v>
                </c:pt>
                <c:pt idx="6">
                  <c:v>6.6161268090971781E-2</c:v>
                </c:pt>
                <c:pt idx="7">
                  <c:v>6.7011419952596407E-2</c:v>
                </c:pt>
                <c:pt idx="8">
                  <c:v>6.6841680129240633E-2</c:v>
                </c:pt>
                <c:pt idx="9">
                  <c:v>6.8143100511073307E-2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7-49C5-A4D3-053E1C7E9F49}"/>
            </c:ext>
          </c:extLst>
        </c:ser>
        <c:ser>
          <c:idx val="1"/>
          <c:order val="1"/>
          <c:tx>
            <c:strRef>
              <c:f>'Forecasted Drug expenditures'!$D$4:$E$4</c:f>
              <c:strCache>
                <c:ptCount val="1"/>
                <c:pt idx="0">
                  <c:v>National Health Expenditures (NHE) Growth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'Forecasted Drug expenditures'!$A$7:$A$16</c:f>
              <c:strCache>
                <c:ptCount val="10"/>
                <c:pt idx="0">
                  <c:v>2015E</c:v>
                </c:pt>
                <c:pt idx="1">
                  <c:v>2016E</c:v>
                </c:pt>
                <c:pt idx="2">
                  <c:v>2017E</c:v>
                </c:pt>
                <c:pt idx="3">
                  <c:v>2018E</c:v>
                </c:pt>
                <c:pt idx="4">
                  <c:v>2019E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'Forecasted Drug expenditures'!$E$7:$E$16</c:f>
              <c:numCache>
                <c:formatCode>0.0%</c:formatCode>
                <c:ptCount val="10"/>
                <c:pt idx="0">
                  <c:v>5.3084415584415678E-2</c:v>
                </c:pt>
                <c:pt idx="1">
                  <c:v>4.905195005395413E-2</c:v>
                </c:pt>
                <c:pt idx="2">
                  <c:v>5.4076294598248476E-2</c:v>
                </c:pt>
                <c:pt idx="3">
                  <c:v>5.5456421123069255E-2</c:v>
                </c:pt>
                <c:pt idx="4">
                  <c:v>6.1946902654867353E-2</c:v>
                </c:pt>
                <c:pt idx="5">
                  <c:v>6.3134328358209091E-2</c:v>
                </c:pt>
                <c:pt idx="6">
                  <c:v>6.2871449295708759E-2</c:v>
                </c:pt>
                <c:pt idx="7">
                  <c:v>6.2278481012658204E-2</c:v>
                </c:pt>
                <c:pt idx="8">
                  <c:v>6.0927591495005595E-2</c:v>
                </c:pt>
                <c:pt idx="9">
                  <c:v>5.9714028987772227E-2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7-49C5-A4D3-053E1C7E9F49}"/>
            </c:ext>
          </c:extLst>
        </c:ser>
        <c:ser>
          <c:idx val="2"/>
          <c:order val="2"/>
          <c:tx>
            <c:strRef>
              <c:f>'Forecasted Drug expenditures'!$H$4</c:f>
              <c:strCache>
                <c:ptCount val="1"/>
                <c:pt idx="0">
                  <c:v>Nominal U.S. GDP Growth</c:v>
                </c:pt>
              </c:strCache>
            </c:strRef>
          </c:tx>
          <c:marker>
            <c:symbol val="none"/>
          </c:marker>
          <c:cat>
            <c:strRef>
              <c:f>'Forecasted Drug expenditures'!$A$7:$A$16</c:f>
              <c:strCache>
                <c:ptCount val="10"/>
                <c:pt idx="0">
                  <c:v>2015E</c:v>
                </c:pt>
                <c:pt idx="1">
                  <c:v>2016E</c:v>
                </c:pt>
                <c:pt idx="2">
                  <c:v>2017E</c:v>
                </c:pt>
                <c:pt idx="3">
                  <c:v>2018E</c:v>
                </c:pt>
                <c:pt idx="4">
                  <c:v>2019E</c:v>
                </c:pt>
                <c:pt idx="5">
                  <c:v>2020E</c:v>
                </c:pt>
                <c:pt idx="6">
                  <c:v>2021E</c:v>
                </c:pt>
                <c:pt idx="7">
                  <c:v>2022E</c:v>
                </c:pt>
                <c:pt idx="8">
                  <c:v>2023E</c:v>
                </c:pt>
                <c:pt idx="9">
                  <c:v>2024E</c:v>
                </c:pt>
              </c:strCache>
            </c:strRef>
          </c:cat>
          <c:val>
            <c:numRef>
              <c:f>'Forecasted Drug expenditures'!$H$7:$H$16</c:f>
              <c:numCache>
                <c:formatCode>0.0%</c:formatCode>
                <c:ptCount val="10"/>
                <c:pt idx="0">
                  <c:v>3.2000000000000001E-2</c:v>
                </c:pt>
                <c:pt idx="1">
                  <c:v>4.7E-2</c:v>
                </c:pt>
                <c:pt idx="2">
                  <c:v>5.2999999999999999E-2</c:v>
                </c:pt>
                <c:pt idx="3">
                  <c:v>5.2999999999999999E-2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4.9000000000000002E-2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7-49C5-A4D3-053E1C7E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44064"/>
        <c:axId val="364345600"/>
      </c:lineChart>
      <c:catAx>
        <c:axId val="3643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45600"/>
        <c:crosses val="autoZero"/>
        <c:auto val="1"/>
        <c:lblAlgn val="ctr"/>
        <c:lblOffset val="100"/>
        <c:noMultiLvlLbl val="0"/>
      </c:catAx>
      <c:valAx>
        <c:axId val="364345600"/>
        <c:scaling>
          <c:orientation val="minMax"/>
          <c:min val="3.500000000000001E-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64344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9768038742259439E-2"/>
          <c:y val="0.8723371033716143"/>
          <c:w val="0.89999994468552402"/>
          <c:h val="6.072186429609622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'Forecasted Drug expenditures'!$B$20:$C$20</c:f>
              <c:strCache>
                <c:ptCount val="1"/>
                <c:pt idx="0">
                  <c:v>Rx Spending w/o Impact of ACA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'Forecasted Drug expenditures'!$A$29:$A$37</c:f>
              <c:strCache>
                <c:ptCount val="9"/>
                <c:pt idx="0">
                  <c:v>2014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</c:strCache>
            </c:strRef>
          </c:cat>
          <c:val>
            <c:numRef>
              <c:f>'Forecasted Drug expenditures'!$C$29:$C$37</c:f>
              <c:numCache>
                <c:formatCode>0.0%</c:formatCode>
                <c:ptCount val="9"/>
                <c:pt idx="0">
                  <c:v>2.2562141491395682E-2</c:v>
                </c:pt>
                <c:pt idx="1">
                  <c:v>5.1234106207928454E-2</c:v>
                </c:pt>
                <c:pt idx="2">
                  <c:v>5.9409462824617565E-2</c:v>
                </c:pt>
                <c:pt idx="3">
                  <c:v>6.2793821356615043E-2</c:v>
                </c:pt>
                <c:pt idx="4">
                  <c:v>6.4770932069510234E-2</c:v>
                </c:pt>
                <c:pt idx="5">
                  <c:v>6.7359050445103819E-2</c:v>
                </c:pt>
                <c:pt idx="6">
                  <c:v>6.866833472338052E-2</c:v>
                </c:pt>
                <c:pt idx="7">
                  <c:v>6.9198751300728389E-2</c:v>
                </c:pt>
                <c:pt idx="8">
                  <c:v>6.9829683698296785E-2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0-40DD-A8FE-FE950253F5B4}"/>
            </c:ext>
          </c:extLst>
        </c:ser>
        <c:ser>
          <c:idx val="1"/>
          <c:order val="1"/>
          <c:tx>
            <c:strRef>
              <c:f>'Forecasted Drug expenditures'!$D$20:$E$20</c:f>
              <c:strCache>
                <c:ptCount val="1"/>
                <c:pt idx="0">
                  <c:v>National Health Expenditures w/o Impact of ACA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'Forecasted Drug expenditures'!$A$29:$A$37</c:f>
              <c:strCache>
                <c:ptCount val="9"/>
                <c:pt idx="0">
                  <c:v>2014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</c:strCache>
            </c:strRef>
          </c:cat>
          <c:val>
            <c:numRef>
              <c:f>'Forecasted Drug expenditures'!$E$29:$E$37</c:f>
              <c:numCache>
                <c:formatCode>0.0%</c:formatCode>
                <c:ptCount val="9"/>
                <c:pt idx="0">
                  <c:v>4.512802887094014E-2</c:v>
                </c:pt>
                <c:pt idx="1">
                  <c:v>5.0513022888713399E-2</c:v>
                </c:pt>
                <c:pt idx="2">
                  <c:v>5.7600801402454271E-2</c:v>
                </c:pt>
                <c:pt idx="3">
                  <c:v>6.204120293630111E-2</c:v>
                </c:pt>
                <c:pt idx="4">
                  <c:v>6.5858416945373532E-2</c:v>
                </c:pt>
                <c:pt idx="5">
                  <c:v>6.6155897811364106E-2</c:v>
                </c:pt>
                <c:pt idx="6">
                  <c:v>6.6857969734873457E-2</c:v>
                </c:pt>
                <c:pt idx="7">
                  <c:v>6.5288857215108465E-2</c:v>
                </c:pt>
                <c:pt idx="8">
                  <c:v>6.6531431407669706E-2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0-40DD-A8FE-FE950253F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3120"/>
        <c:axId val="364374656"/>
      </c:lineChart>
      <c:catAx>
        <c:axId val="3643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74656"/>
        <c:crosses val="autoZero"/>
        <c:auto val="1"/>
        <c:lblAlgn val="ctr"/>
        <c:lblOffset val="100"/>
        <c:noMultiLvlLbl val="0"/>
      </c:catAx>
      <c:valAx>
        <c:axId val="36437465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6437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'Forecasted Drug expenditures'!$B$20:$C$20</c:f>
              <c:strCache>
                <c:ptCount val="1"/>
                <c:pt idx="0">
                  <c:v>Rx Spending w/o Impact of ACA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'Forecasted Drug expenditures'!$A$29:$A$37</c:f>
              <c:strCache>
                <c:ptCount val="9"/>
                <c:pt idx="0">
                  <c:v>2014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</c:strCache>
            </c:strRef>
          </c:cat>
          <c:val>
            <c:numRef>
              <c:f>'Forecasted Drug expenditures'!$C$29:$C$37</c:f>
              <c:numCache>
                <c:formatCode>0.0%</c:formatCode>
                <c:ptCount val="9"/>
                <c:pt idx="0">
                  <c:v>2.2562141491395682E-2</c:v>
                </c:pt>
                <c:pt idx="1">
                  <c:v>5.1234106207928454E-2</c:v>
                </c:pt>
                <c:pt idx="2">
                  <c:v>5.9409462824617565E-2</c:v>
                </c:pt>
                <c:pt idx="3">
                  <c:v>6.2793821356615043E-2</c:v>
                </c:pt>
                <c:pt idx="4">
                  <c:v>6.4770932069510234E-2</c:v>
                </c:pt>
                <c:pt idx="5">
                  <c:v>6.7359050445103819E-2</c:v>
                </c:pt>
                <c:pt idx="6">
                  <c:v>6.866833472338052E-2</c:v>
                </c:pt>
                <c:pt idx="7">
                  <c:v>6.9198751300728389E-2</c:v>
                </c:pt>
                <c:pt idx="8">
                  <c:v>6.9829683698296785E-2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8-430B-9D9D-564E3CEBE924}"/>
            </c:ext>
          </c:extLst>
        </c:ser>
        <c:ser>
          <c:idx val="1"/>
          <c:order val="1"/>
          <c:tx>
            <c:strRef>
              <c:f>'Forecasted Drug expenditures'!$B$4:$C$4</c:f>
              <c:strCache>
                <c:ptCount val="1"/>
                <c:pt idx="0">
                  <c:v>Rx Spending Growth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'Forecasted Drug expenditures'!$A$29:$A$37</c:f>
              <c:strCache>
                <c:ptCount val="9"/>
                <c:pt idx="0">
                  <c:v>2014</c:v>
                </c:pt>
                <c:pt idx="1">
                  <c:v>2015E</c:v>
                </c:pt>
                <c:pt idx="2">
                  <c:v>2016E</c:v>
                </c:pt>
                <c:pt idx="3">
                  <c:v>2017E</c:v>
                </c:pt>
                <c:pt idx="4">
                  <c:v>2018E</c:v>
                </c:pt>
                <c:pt idx="5">
                  <c:v>2019E</c:v>
                </c:pt>
                <c:pt idx="6">
                  <c:v>2020E</c:v>
                </c:pt>
                <c:pt idx="7">
                  <c:v>2021E</c:v>
                </c:pt>
                <c:pt idx="8">
                  <c:v>2022E</c:v>
                </c:pt>
              </c:strCache>
            </c:strRef>
          </c:cat>
          <c:val>
            <c:numRef>
              <c:f>'Forecasted Drug expenditures'!$C$6:$C$14</c:f>
              <c:numCache>
                <c:formatCode>0.0%</c:formatCode>
                <c:ptCount val="9"/>
                <c:pt idx="0">
                  <c:v>0.12541497602360741</c:v>
                </c:pt>
                <c:pt idx="1">
                  <c:v>7.6368403802032025E-2</c:v>
                </c:pt>
                <c:pt idx="2">
                  <c:v>4.5066991473812434E-2</c:v>
                </c:pt>
                <c:pt idx="3">
                  <c:v>6.1771561771561734E-2</c:v>
                </c:pt>
                <c:pt idx="4">
                  <c:v>5.6805708013172529E-2</c:v>
                </c:pt>
                <c:pt idx="5">
                  <c:v>6.128278369254736E-2</c:v>
                </c:pt>
                <c:pt idx="6">
                  <c:v>6.5084413995595947E-2</c:v>
                </c:pt>
                <c:pt idx="7">
                  <c:v>6.6161268090971781E-2</c:v>
                </c:pt>
                <c:pt idx="8">
                  <c:v>6.7011419952596407E-2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8-430B-9D9D-564E3CEB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91040"/>
        <c:axId val="364396928"/>
      </c:lineChart>
      <c:catAx>
        <c:axId val="36439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4396928"/>
        <c:crosses val="autoZero"/>
        <c:auto val="1"/>
        <c:lblAlgn val="ctr"/>
        <c:lblOffset val="100"/>
        <c:noMultiLvlLbl val="0"/>
      </c:catAx>
      <c:valAx>
        <c:axId val="36439692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6439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221672</xdr:colOff>
      <xdr:row>9</xdr:row>
      <xdr:rowOff>65810</xdr:rowOff>
    </xdr:from>
    <xdr:to>
      <xdr:col>6</xdr:col>
      <xdr:colOff>526472</xdr:colOff>
      <xdr:row>31</xdr:row>
      <xdr:rowOff>170586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781915</xdr:colOff>
      <xdr:row>9</xdr:row>
      <xdr:rowOff>36368</xdr:rowOff>
    </xdr:from>
    <xdr:to>
      <xdr:col>13</xdr:col>
      <xdr:colOff>865</xdr:colOff>
      <xdr:row>31</xdr:row>
      <xdr:rowOff>141144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109536</xdr:rowOff>
    </xdr:from>
    <xdr:to>
      <xdr:col>17</xdr:col>
      <xdr:colOff>209550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19</xdr:row>
      <xdr:rowOff>28575</xdr:rowOff>
    </xdr:from>
    <xdr:to>
      <xdr:col>17</xdr:col>
      <xdr:colOff>523875</xdr:colOff>
      <xdr:row>37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38</xdr:row>
      <xdr:rowOff>152400</xdr:rowOff>
    </xdr:from>
    <xdr:to>
      <xdr:col>17</xdr:col>
      <xdr:colOff>514350</xdr:colOff>
      <xdr:row>57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59</xdr:row>
      <xdr:rowOff>47625</xdr:rowOff>
    </xdr:from>
    <xdr:to>
      <xdr:col>11</xdr:col>
      <xdr:colOff>180976</xdr:colOff>
      <xdr:row>82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12</xdr:col>
      <xdr:colOff>238125</xdr:colOff>
      <xdr:row>134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0.87525</cdr:y>
    </cdr:from>
    <cdr:to>
      <cdr:x>0.07864</cdr:x>
      <cdr:y>0.91751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3375"/>
          <a:ext cx="63817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in millions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9525</xdr:rowOff>
    </xdr:from>
    <xdr:to>
      <xdr:col>11</xdr:col>
      <xdr:colOff>85725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114300</xdr:rowOff>
    </xdr:from>
    <xdr:to>
      <xdr:col>19</xdr:col>
      <xdr:colOff>28575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66674</xdr:rowOff>
    </xdr:from>
    <xdr:to>
      <xdr:col>10</xdr:col>
      <xdr:colOff>47625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3</xdr:row>
      <xdr:rowOff>95250</xdr:rowOff>
    </xdr:from>
    <xdr:to>
      <xdr:col>11</xdr:col>
      <xdr:colOff>200024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8</xdr:col>
      <xdr:colOff>514340</xdr:colOff>
      <xdr:row>24</xdr:row>
      <xdr:rowOff>9509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591050" y="4381500"/>
          <a:ext cx="2952740" cy="20000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i="1"/>
            <a:t>Source: National Center for Policy Analysis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85725</xdr:rowOff>
    </xdr:from>
    <xdr:to>
      <xdr:col>12</xdr:col>
      <xdr:colOff>438150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0.95222</cdr:y>
    </cdr:from>
    <cdr:to>
      <cdr:x>0.41951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986212"/>
          <a:ext cx="24574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i="1"/>
            <a:t>Source:</a:t>
          </a:r>
          <a:r>
            <a:rPr lang="en-US" sz="900" i="1" baseline="0"/>
            <a:t> Pembroke Consulting</a:t>
          </a:r>
          <a:endParaRPr lang="en-US" sz="900" i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14287</xdr:rowOff>
    </xdr:from>
    <xdr:to>
      <xdr:col>14</xdr:col>
      <xdr:colOff>238125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14</xdr:col>
      <xdr:colOff>247654</xdr:colOff>
      <xdr:row>25</xdr:row>
      <xdr:rowOff>66685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3048000" y="4572000"/>
          <a:ext cx="5734054" cy="2571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800" i="1"/>
            <a:t>Source:  "Medical Cost Trend: Behind the Numbers, 2014," PricewaterhouseCoopers Health Research Institute, June 2013, Figure 6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533400</xdr:colOff>
      <xdr:row>40</xdr:row>
      <xdr:rowOff>185737</xdr:rowOff>
    </xdr:from>
    <xdr:to>
      <xdr:col>30</xdr:col>
      <xdr:colOff>457200</xdr:colOff>
      <xdr:row>63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342899</xdr:colOff>
      <xdr:row>39</xdr:row>
      <xdr:rowOff>128587</xdr:rowOff>
    </xdr:from>
    <xdr:to>
      <xdr:col>18</xdr:col>
      <xdr:colOff>38099</xdr:colOff>
      <xdr:row>63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pSpPr/>
      </xdr:nvGrpSpPr>
      <xdr:grpSpPr>
        <a:xfrm>
          <a:off x="9052559" y="7314247"/>
          <a:ext cx="6926580" cy="4334828"/>
          <a:chOff x="8705849" y="7843837"/>
          <a:chExt cx="6734175" cy="454818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GraphicFramePr/>
        </xdr:nvGraphicFramePr>
        <xdr:xfrm>
          <a:off x="8705849" y="7843837"/>
          <a:ext cx="6734175" cy="45481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CxnSpPr/>
        </xdr:nvCxnSpPr>
        <xdr:spPr>
          <a:xfrm>
            <a:off x="11420475" y="9734550"/>
            <a:ext cx="9525" cy="20193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0.00945</cdr:x>
      <cdr:y>0.7334</cdr:y>
    </cdr:from>
    <cdr:to>
      <cdr:x>0.17425</cdr:x>
      <cdr:y>0.91846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51283" y="3084160"/>
          <a:ext cx="894740" cy="778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13% of population is aged 65+</a:t>
          </a:r>
        </a:p>
      </cdr:txBody>
    </cdr:sp>
  </cdr:relSizeAnchor>
  <cdr:relSizeAnchor xmlns:cdr="http://schemas.openxmlformats.org/drawingml/2006/chartDrawing">
    <cdr:from>
      <cdr:x>0.47573</cdr:x>
      <cdr:y>0.73359</cdr:y>
    </cdr:from>
    <cdr:to>
      <cdr:x>0.64053</cdr:x>
      <cdr:y>0.86705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2582857" y="3084939"/>
          <a:ext cx="894741" cy="561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16% of population is aged 65+</a:t>
          </a:r>
        </a:p>
      </cdr:txBody>
    </cdr:sp>
  </cdr:relSizeAnchor>
  <cdr:relSizeAnchor xmlns:cdr="http://schemas.openxmlformats.org/drawingml/2006/chartDrawing">
    <cdr:from>
      <cdr:x>0.01287</cdr:x>
      <cdr:y>0.37222</cdr:y>
    </cdr:from>
    <cdr:to>
      <cdr:x>0.15322</cdr:x>
      <cdr:y>0.57833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9850" y="1565275"/>
          <a:ext cx="762000" cy="866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spend on Rx for ages 65+</a:t>
          </a:r>
        </a:p>
      </cdr:txBody>
    </cdr:sp>
  </cdr:relSizeAnchor>
  <cdr:relSizeAnchor xmlns:cdr="http://schemas.openxmlformats.org/drawingml/2006/chartDrawing">
    <cdr:from>
      <cdr:x>0.85848</cdr:x>
      <cdr:y>0.14119</cdr:y>
    </cdr:from>
    <cdr:to>
      <cdr:x>0.99883</cdr:x>
      <cdr:y>0.3473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660900" y="593725"/>
          <a:ext cx="762000" cy="8667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spend on Rx for ages 65+</a:t>
          </a:r>
        </a:p>
      </cdr:txBody>
    </cdr:sp>
  </cdr:relSizeAnchor>
  <cdr:relSizeAnchor xmlns:cdr="http://schemas.openxmlformats.org/drawingml/2006/chartDrawing">
    <cdr:from>
      <cdr:x>0.13684</cdr:x>
      <cdr:y>0.38618</cdr:y>
    </cdr:from>
    <cdr:to>
      <cdr:x>0.16491</cdr:x>
      <cdr:y>0.48584</cdr:y>
    </cdr:to>
    <cdr:sp macro="" textlink="">
      <cdr:nvSpPr>
        <cdr:cNvPr id="5" name="Left Brace 4"/>
        <cdr:cNvSpPr/>
      </cdr:nvSpPr>
      <cdr:spPr>
        <a:xfrm xmlns:a="http://schemas.openxmlformats.org/drawingml/2006/main">
          <a:off x="742951" y="1624013"/>
          <a:ext cx="152400" cy="419100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0.83509</cdr:x>
      <cdr:y>0.13703</cdr:y>
    </cdr:from>
    <cdr:to>
      <cdr:x>0.8614</cdr:x>
      <cdr:y>0.32503</cdr:y>
    </cdr:to>
    <cdr:sp macro="" textlink="">
      <cdr:nvSpPr>
        <cdr:cNvPr id="6" name="Right Brace 5"/>
        <cdr:cNvSpPr/>
      </cdr:nvSpPr>
      <cdr:spPr>
        <a:xfrm xmlns:a="http://schemas.openxmlformats.org/drawingml/2006/main">
          <a:off x="4533900" y="576263"/>
          <a:ext cx="142875" cy="790575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0.33489</cdr:x>
      <cdr:y>0.1839</cdr:y>
    </cdr:from>
    <cdr:to>
      <cdr:x>0.68061</cdr:x>
      <cdr:y>0.43371</cdr:y>
    </cdr:to>
    <cdr:sp macro="" textlink="">
      <cdr:nvSpPr>
        <cdr:cNvPr id="19" name="TextBox 1"/>
        <cdr:cNvSpPr txBox="1"/>
      </cdr:nvSpPr>
      <cdr:spPr>
        <a:xfrm xmlns:a="http://schemas.openxmlformats.org/drawingml/2006/main" rot="19869574">
          <a:off x="1818211" y="773332"/>
          <a:ext cx="1877000" cy="1050523"/>
        </a:xfrm>
        <a:custGeom xmlns:a="http://schemas.openxmlformats.org/drawingml/2006/main">
          <a:avLst/>
          <a:gdLst>
            <a:gd name="connsiteX0" fmla="*/ 0 w 1504950"/>
            <a:gd name="connsiteY0" fmla="*/ 0 h 666751"/>
            <a:gd name="connsiteX1" fmla="*/ 1504950 w 1504950"/>
            <a:gd name="connsiteY1" fmla="*/ 0 h 666751"/>
            <a:gd name="connsiteX2" fmla="*/ 1504950 w 1504950"/>
            <a:gd name="connsiteY2" fmla="*/ 666751 h 666751"/>
            <a:gd name="connsiteX3" fmla="*/ 0 w 1504950"/>
            <a:gd name="connsiteY3" fmla="*/ 666751 h 666751"/>
            <a:gd name="connsiteX4" fmla="*/ 0 w 1504950"/>
            <a:gd name="connsiteY4" fmla="*/ 0 h 666751"/>
            <a:gd name="connsiteX0" fmla="*/ 0 w 1504950"/>
            <a:gd name="connsiteY0" fmla="*/ 857250 h 1524001"/>
            <a:gd name="connsiteX1" fmla="*/ 1485900 w 1504950"/>
            <a:gd name="connsiteY1" fmla="*/ 0 h 1524001"/>
            <a:gd name="connsiteX2" fmla="*/ 1504950 w 1504950"/>
            <a:gd name="connsiteY2" fmla="*/ 1524001 h 1524001"/>
            <a:gd name="connsiteX3" fmla="*/ 0 w 1504950"/>
            <a:gd name="connsiteY3" fmla="*/ 1524001 h 1524001"/>
            <a:gd name="connsiteX4" fmla="*/ 0 w 1504950"/>
            <a:gd name="connsiteY4" fmla="*/ 857250 h 1524001"/>
            <a:gd name="connsiteX0" fmla="*/ 0 w 1504950"/>
            <a:gd name="connsiteY0" fmla="*/ 895350 h 1562101"/>
            <a:gd name="connsiteX1" fmla="*/ 1485900 w 1504950"/>
            <a:gd name="connsiteY1" fmla="*/ 0 h 1562101"/>
            <a:gd name="connsiteX2" fmla="*/ 1504950 w 1504950"/>
            <a:gd name="connsiteY2" fmla="*/ 1562101 h 1562101"/>
            <a:gd name="connsiteX3" fmla="*/ 0 w 1504950"/>
            <a:gd name="connsiteY3" fmla="*/ 1562101 h 1562101"/>
            <a:gd name="connsiteX4" fmla="*/ 0 w 1504950"/>
            <a:gd name="connsiteY4" fmla="*/ 895350 h 1562101"/>
            <a:gd name="connsiteX0" fmla="*/ 0 w 1524000"/>
            <a:gd name="connsiteY0" fmla="*/ 1057275 h 1562101"/>
            <a:gd name="connsiteX1" fmla="*/ 1504950 w 1524000"/>
            <a:gd name="connsiteY1" fmla="*/ 0 h 1562101"/>
            <a:gd name="connsiteX2" fmla="*/ 1524000 w 1524000"/>
            <a:gd name="connsiteY2" fmla="*/ 1562101 h 1562101"/>
            <a:gd name="connsiteX3" fmla="*/ 19050 w 1524000"/>
            <a:gd name="connsiteY3" fmla="*/ 1562101 h 1562101"/>
            <a:gd name="connsiteX4" fmla="*/ 0 w 1524000"/>
            <a:gd name="connsiteY4" fmla="*/ 1057275 h 1562101"/>
            <a:gd name="connsiteX0" fmla="*/ 9525 w 1533525"/>
            <a:gd name="connsiteY0" fmla="*/ 1057275 h 1562101"/>
            <a:gd name="connsiteX1" fmla="*/ 1514475 w 1533525"/>
            <a:gd name="connsiteY1" fmla="*/ 0 h 1562101"/>
            <a:gd name="connsiteX2" fmla="*/ 1533525 w 1533525"/>
            <a:gd name="connsiteY2" fmla="*/ 1562101 h 1562101"/>
            <a:gd name="connsiteX3" fmla="*/ 0 w 1533525"/>
            <a:gd name="connsiteY3" fmla="*/ 1466851 h 1562101"/>
            <a:gd name="connsiteX4" fmla="*/ 9525 w 1533525"/>
            <a:gd name="connsiteY4" fmla="*/ 1057275 h 1562101"/>
            <a:gd name="connsiteX0" fmla="*/ 9525 w 1514475"/>
            <a:gd name="connsiteY0" fmla="*/ 1057275 h 1466851"/>
            <a:gd name="connsiteX1" fmla="*/ 1514475 w 1514475"/>
            <a:gd name="connsiteY1" fmla="*/ 0 h 1466851"/>
            <a:gd name="connsiteX2" fmla="*/ 1514475 w 1514475"/>
            <a:gd name="connsiteY2" fmla="*/ 809626 h 1466851"/>
            <a:gd name="connsiteX3" fmla="*/ 0 w 1514475"/>
            <a:gd name="connsiteY3" fmla="*/ 1466851 h 1466851"/>
            <a:gd name="connsiteX4" fmla="*/ 9525 w 1514475"/>
            <a:gd name="connsiteY4" fmla="*/ 1057275 h 14668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14475" h="1466851">
              <a:moveTo>
                <a:pt x="9525" y="1057275"/>
              </a:moveTo>
              <a:lnTo>
                <a:pt x="1514475" y="0"/>
              </a:lnTo>
              <a:lnTo>
                <a:pt x="1514475" y="809626"/>
              </a:lnTo>
              <a:lnTo>
                <a:pt x="0" y="1466851"/>
              </a:lnTo>
              <a:lnTo>
                <a:pt x="9525" y="1057275"/>
              </a:lnTo>
              <a:close/>
            </a:path>
          </a:pathLst>
        </a:cu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Ages 65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&amp; up = 36% of total U.S. Rx spend growth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0.36893</cdr:x>
      <cdr:y>0.28503</cdr:y>
    </cdr:from>
    <cdr:to>
      <cdr:x>0.63749</cdr:x>
      <cdr:y>0.36076</cdr:y>
    </cdr:to>
    <cdr:sp macro="" textlink="">
      <cdr:nvSpPr>
        <cdr:cNvPr id="3" name="Right Arrow 2"/>
        <cdr:cNvSpPr/>
      </cdr:nvSpPr>
      <cdr:spPr>
        <a:xfrm xmlns:a="http://schemas.openxmlformats.org/drawingml/2006/main" rot="19845379">
          <a:off x="2003001" y="1198620"/>
          <a:ext cx="1458070" cy="318472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3">
            <a:lumMod val="40000"/>
            <a:lumOff val="60000"/>
          </a:schemeClr>
        </a:solidFill>
        <a:ln xmlns:a="http://schemas.openxmlformats.org/drawingml/2006/main">
          <a:solidFill>
            <a:schemeClr val="accent3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0.12898</cdr:x>
      <cdr:y>0.05273</cdr:y>
    </cdr:from>
    <cdr:to>
      <cdr:x>0.89013</cdr:x>
      <cdr:y>0.14453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1525" y="257154"/>
          <a:ext cx="4552950" cy="44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2013 Pharmacy</a:t>
          </a: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Revenues in U.S. = $287 billion</a:t>
          </a:r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0.23197</cdr:x>
      <cdr:y>0.69843</cdr:y>
    </cdr:from>
    <cdr:to>
      <cdr:x>0.40311</cdr:x>
      <cdr:y>0.84293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1562101" y="3176588"/>
          <a:ext cx="1152525" cy="65722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1587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first of the baby boomers turns</a:t>
          </a:r>
          <a:r>
            <a:rPr lang="en-US" sz="9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65 in 2011</a:t>
          </a:r>
          <a:endParaRPr lang="en-US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3</xdr:row>
      <xdr:rowOff>80961</xdr:rowOff>
    </xdr:from>
    <xdr:to>
      <xdr:col>16</xdr:col>
      <xdr:colOff>0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0.02418</cdr:y>
    </cdr:from>
    <cdr:to>
      <cdr:x>0.15927</cdr:x>
      <cdr:y>0.0947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9008"/>
          <a:ext cx="1212120" cy="259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Times New Roman" panose="02020603050405020304" pitchFamily="18" charset="0"/>
              <a:cs typeface="Times New Roman" panose="02020603050405020304" pitchFamily="18" charset="0"/>
            </a:rPr>
            <a:t>(thousands)</a:t>
          </a:r>
        </a:p>
      </cdr:txBody>
    </cdr:sp>
  </cdr:relSizeAnchor>
  <cdr:relSizeAnchor xmlns:cdr="http://schemas.openxmlformats.org/drawingml/2006/chartDrawing">
    <cdr:from>
      <cdr:x>0</cdr:x>
      <cdr:y>0.94567</cdr:y>
    </cdr:from>
    <cdr:to>
      <cdr:x>0.96867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3481394"/>
          <a:ext cx="7067550" cy="20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Source:</a:t>
          </a:r>
          <a:r>
            <a:rPr lang="en-US" sz="9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Pembroke Consulting, 2011-12 NACDS Chain Pharmacy Industry Profile, IMS Health, 2013-14, HDMA Factbook</a:t>
          </a:r>
          <a:endParaRPr lang="en-US" sz="9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0.06008</cdr:x>
      <cdr:y>0.13066</cdr:y>
    </cdr:from>
    <cdr:to>
      <cdr:x>0.93492</cdr:x>
      <cdr:y>0.35058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D4DF34D4-77DC-41AA-ADB7-3799B5BFB999}"/>
            </a:ext>
          </a:extLst>
        </cdr:cNvPr>
        <cdr:cNvCxnSpPr/>
      </cdr:nvCxnSpPr>
      <cdr:spPr>
        <a:xfrm xmlns:a="http://schemas.openxmlformats.org/drawingml/2006/main">
          <a:off x="457200" y="481014"/>
          <a:ext cx="6657975" cy="8096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prstDash val="dash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0.5194</cdr:x>
      <cdr:y>0.24191</cdr:y>
    </cdr:from>
    <cdr:to>
      <cdr:x>0.63955</cdr:x>
      <cdr:y>0.4903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952875" y="8905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0.51189</cdr:x>
      <cdr:y>0.15395</cdr:y>
    </cdr:from>
    <cdr:to>
      <cdr:x>0.58073</cdr:x>
      <cdr:y>0.22898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895724" y="566739"/>
          <a:ext cx="5238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35%</a:t>
          </a:r>
        </a:p>
      </cdr:txBody>
    </cdr:sp>
  </cdr:relSizeAnchor>
  <cdr:relSizeAnchor xmlns:cdr="http://schemas.openxmlformats.org/drawingml/2006/chartDrawing">
    <cdr:from>
      <cdr:x>0.48185</cdr:x>
      <cdr:y>0.15136</cdr:y>
    </cdr:from>
    <cdr:to>
      <cdr:x>0.50814</cdr:x>
      <cdr:y>0.23157</cdr:y>
    </cdr:to>
    <cdr:sp macro="" textlink="">
      <cdr:nvSpPr>
        <cdr:cNvPr id="10" name="Down Arrow 9"/>
        <cdr:cNvSpPr/>
      </cdr:nvSpPr>
      <cdr:spPr>
        <a:xfrm xmlns:a="http://schemas.openxmlformats.org/drawingml/2006/main">
          <a:off x="3667125" y="557214"/>
          <a:ext cx="200025" cy="29527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138111</xdr:rowOff>
    </xdr:from>
    <xdr:to>
      <xdr:col>17</xdr:col>
      <xdr:colOff>457200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0.9451</cdr:y>
    </cdr:from>
    <cdr:to>
      <cdr:x>0.92403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43294"/>
          <a:ext cx="7067550" cy="20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/>
            <a:t>Source:</a:t>
          </a:r>
          <a:r>
            <a:rPr lang="en-US" sz="900" i="1" baseline="0"/>
            <a:t> Pembroke Consulting, IMS Health</a:t>
          </a:r>
          <a:endParaRPr lang="en-US" sz="900" i="1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12</xdr:row>
      <xdr:rowOff>100010</xdr:rowOff>
    </xdr:from>
    <xdr:to>
      <xdr:col>16</xdr:col>
      <xdr:colOff>66675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476249</xdr:colOff>
      <xdr:row>12</xdr:row>
      <xdr:rowOff>123825</xdr:rowOff>
    </xdr:from>
    <xdr:to>
      <xdr:col>8</xdr:col>
      <xdr:colOff>104774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0.35806</cdr:x>
      <cdr:y>0.05125</cdr:y>
    </cdr:from>
    <cdr:to>
      <cdr:x>0.69677</cdr:x>
      <cdr:y>0.11432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4550" y="185739"/>
          <a:ext cx="20002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0.13833</cdr:x>
      <cdr:y>0.01154</cdr:y>
    </cdr:from>
    <cdr:to>
      <cdr:x>0.94106</cdr:x>
      <cdr:y>0.0973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0649" y="46899"/>
          <a:ext cx="3891826" cy="348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Consumer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Copayment for a Generic Rx, 2013</a:t>
          </a:r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0.35806</cdr:x>
      <cdr:y>0.05125</cdr:y>
    </cdr:from>
    <cdr:to>
      <cdr:x>0.69677</cdr:x>
      <cdr:y>0.11432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14550" y="185739"/>
          <a:ext cx="20002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0.18548</cdr:x>
      <cdr:y>0.0092</cdr:y>
    </cdr:from>
    <cdr:to>
      <cdr:x>0.97436</cdr:x>
      <cdr:y>0.09005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95715" y="36980"/>
          <a:ext cx="3809636" cy="324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Percentage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of AWP Billed to Employer, 2013</a:t>
          </a:r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147637</xdr:rowOff>
    </xdr:from>
    <xdr:to>
      <xdr:col>13</xdr:col>
      <xdr:colOff>276225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0.0211</cdr:x>
      <cdr:y>0.9102</cdr:y>
    </cdr:from>
    <cdr:to>
      <cdr:x>0.57468</cdr:x>
      <cdr:y>0.97279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3825" y="3186113"/>
          <a:ext cx="32480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i="1"/>
            <a:t>Source:</a:t>
          </a:r>
          <a:r>
            <a:rPr lang="en-US" sz="900" i="1" baseline="0"/>
            <a:t> Pembroke Consulting, Merchant Medicine, Accenture</a:t>
          </a:r>
          <a:endParaRPr lang="en-US" sz="9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0.38661</cdr:x>
      <cdr:y>0.02451</cdr:y>
    </cdr:from>
    <cdr:to>
      <cdr:x>0.62134</cdr:x>
      <cdr:y>0.14674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08395" y="105288"/>
          <a:ext cx="1280091" cy="525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Locations</a:t>
          </a:r>
        </a:p>
        <a:p xmlns:a="http://schemas.openxmlformats.org/drawingml/2006/main">
          <a:pPr algn="ctr"/>
          <a:r>
            <a:rPr lang="en-US" sz="1200" b="0">
              <a:latin typeface="Times New Roman" panose="02020603050405020304" pitchFamily="18" charset="0"/>
              <a:cs typeface="Times New Roman" panose="02020603050405020304" pitchFamily="18" charset="0"/>
            </a:rPr>
            <a:t>Total</a:t>
          </a:r>
          <a:r>
            <a:rPr lang="en-US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= 61,492</a:t>
          </a:r>
          <a:endParaRPr lang="en-US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0.22376</cdr:x>
      <cdr:y>0.27575</cdr:y>
    </cdr:from>
    <cdr:to>
      <cdr:x>0.25557</cdr:x>
      <cdr:y>0.30599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1EC0865-E714-417E-933C-0539EA8CD09C}"/>
            </a:ext>
          </a:extLst>
        </cdr:cNvPr>
        <cdr:cNvCxnSpPr/>
      </cdr:nvCxnSpPr>
      <cdr:spPr>
        <a:xfrm xmlns:a="http://schemas.openxmlformats.org/drawingml/2006/main">
          <a:off x="1218335" y="1184565"/>
          <a:ext cx="173182" cy="1298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6</xdr:row>
      <xdr:rowOff>19050</xdr:rowOff>
    </xdr:from>
    <xdr:to>
      <xdr:col>11</xdr:col>
      <xdr:colOff>238125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37</xdr:row>
      <xdr:rowOff>171450</xdr:rowOff>
    </xdr:from>
    <xdr:to>
      <xdr:col>11</xdr:col>
      <xdr:colOff>304800</xdr:colOff>
      <xdr:row>58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67</xdr:row>
      <xdr:rowOff>57150</xdr:rowOff>
    </xdr:from>
    <xdr:to>
      <xdr:col>11</xdr:col>
      <xdr:colOff>247650</xdr:colOff>
      <xdr:row>87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97</xdr:row>
      <xdr:rowOff>47625</xdr:rowOff>
    </xdr:from>
    <xdr:to>
      <xdr:col>11</xdr:col>
      <xdr:colOff>247650</xdr:colOff>
      <xdr:row>117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504824</xdr:colOff>
      <xdr:row>124</xdr:row>
      <xdr:rowOff>114300</xdr:rowOff>
    </xdr:from>
    <xdr:to>
      <xdr:col>11</xdr:col>
      <xdr:colOff>266699</xdr:colOff>
      <xdr:row>143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533400</xdr:colOff>
      <xdr:row>126</xdr:row>
      <xdr:rowOff>114300</xdr:rowOff>
    </xdr:from>
    <xdr:to>
      <xdr:col>7</xdr:col>
      <xdr:colOff>400050</xdr:colOff>
      <xdr:row>135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CxnSpPr/>
      </xdr:nvCxnSpPr>
      <xdr:spPr>
        <a:xfrm flipV="1">
          <a:off x="2628900" y="24117300"/>
          <a:ext cx="2305050" cy="174307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0.44272</cdr:x>
      <cdr:y>0.41799</cdr:y>
    </cdr:from>
    <cdr:to>
      <cdr:x>0.54597</cdr:x>
      <cdr:y>0.5582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1328" y="1504949"/>
          <a:ext cx="695324" cy="504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17% increase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66675</xdr:rowOff>
    </xdr:from>
    <xdr:to>
      <xdr:col>13</xdr:col>
      <xdr:colOff>371475</xdr:colOff>
      <xdr:row>23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733425" y="447675"/>
          <a:ext cx="7562850" cy="40576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122762</xdr:colOff>
      <xdr:row>6</xdr:row>
      <xdr:rowOff>85103</xdr:rowOff>
    </xdr:from>
    <xdr:to>
      <xdr:col>13</xdr:col>
      <xdr:colOff>235096</xdr:colOff>
      <xdr:row>10</xdr:row>
      <xdr:rowOff>8903</xdr:rowOff>
    </xdr:to>
    <xdr:sp macro="" textlink="">
      <xdr:nvSpPr>
        <xdr:cNvPr id="10" name="Flowchart: Extract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/>
      </xdr:nvSpPr>
      <xdr:spPr>
        <a:xfrm rot="15838890">
          <a:off x="4103229" y="-2142764"/>
          <a:ext cx="685800" cy="7427534"/>
        </a:xfrm>
        <a:prstGeom prst="flowChartExtra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9</xdr:row>
      <xdr:rowOff>133350</xdr:rowOff>
    </xdr:from>
    <xdr:to>
      <xdr:col>5</xdr:col>
      <xdr:colOff>114300</xdr:colOff>
      <xdr:row>23</xdr:row>
      <xdr:rowOff>171450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>
          <a:off x="3152775" y="1847850"/>
          <a:ext cx="9525" cy="2705100"/>
        </a:xfrm>
        <a:prstGeom prst="line">
          <a:avLst/>
        </a:prstGeom>
        <a:ln>
          <a:solidFill>
            <a:schemeClr val="bg1">
              <a:lumMod val="50000"/>
              <a:alpha val="68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8</xdr:row>
      <xdr:rowOff>85725</xdr:rowOff>
    </xdr:from>
    <xdr:to>
      <xdr:col>9</xdr:col>
      <xdr:colOff>504825</xdr:colOff>
      <xdr:row>23</xdr:row>
      <xdr:rowOff>161925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>
          <a:off x="5972175" y="1609725"/>
          <a:ext cx="19050" cy="2933700"/>
        </a:xfrm>
        <a:prstGeom prst="line">
          <a:avLst/>
        </a:prstGeom>
        <a:ln>
          <a:solidFill>
            <a:schemeClr val="bg1">
              <a:lumMod val="50000"/>
              <a:alpha val="68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371475</xdr:colOff>
      <xdr:row>11</xdr:row>
      <xdr:rowOff>57150</xdr:rowOff>
    </xdr:from>
    <xdr:to>
      <xdr:col>5</xdr:col>
      <xdr:colOff>0</xdr:colOff>
      <xdr:row>21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 txBox="1"/>
      </xdr:nvSpPr>
      <xdr:spPr>
        <a:xfrm>
          <a:off x="981075" y="2152650"/>
          <a:ext cx="2066925" cy="192405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Lunesta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Restasis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Nexium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Copaxone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Actonel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Nasonex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Lumigan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Intuniv</a:t>
          </a: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371475</xdr:colOff>
      <xdr:row>21</xdr:row>
      <xdr:rowOff>142875</xdr:rowOff>
    </xdr:from>
    <xdr:to>
      <xdr:col>5</xdr:col>
      <xdr:colOff>0</xdr:colOff>
      <xdr:row>23</xdr:row>
      <xdr:rowOff>104775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SpPr txBox="1"/>
      </xdr:nvSpPr>
      <xdr:spPr>
        <a:xfrm>
          <a:off x="981075" y="4143375"/>
          <a:ext cx="2066925" cy="3429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2014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323850</xdr:colOff>
      <xdr:row>6</xdr:row>
      <xdr:rowOff>57150</xdr:rowOff>
    </xdr:from>
    <xdr:to>
      <xdr:col>4</xdr:col>
      <xdr:colOff>561975</xdr:colOff>
      <xdr:row>8</xdr:row>
      <xdr:rowOff>19050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SpPr txBox="1"/>
      </xdr:nvSpPr>
      <xdr:spPr>
        <a:xfrm>
          <a:off x="933450" y="1200150"/>
          <a:ext cx="20669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84.9% - 86.2%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66675</xdr:colOff>
      <xdr:row>2</xdr:row>
      <xdr:rowOff>152400</xdr:rowOff>
    </xdr:from>
    <xdr:to>
      <xdr:col>13</xdr:col>
      <xdr:colOff>0</xdr:colOff>
      <xdr:row>4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SpPr txBox="1"/>
      </xdr:nvSpPr>
      <xdr:spPr>
        <a:xfrm>
          <a:off x="6162675" y="533400"/>
          <a:ext cx="17621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86.7% - 90.0%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457201</xdr:colOff>
      <xdr:row>4</xdr:row>
      <xdr:rowOff>142875</xdr:rowOff>
    </xdr:from>
    <xdr:to>
      <xdr:col>8</xdr:col>
      <xdr:colOff>590551</xdr:colOff>
      <xdr:row>6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SpPr txBox="1"/>
      </xdr:nvSpPr>
      <xdr:spPr>
        <a:xfrm>
          <a:off x="3505201" y="904875"/>
          <a:ext cx="1962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86% - 88.5%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542925</xdr:colOff>
      <xdr:row>9</xdr:row>
      <xdr:rowOff>161925</xdr:rowOff>
    </xdr:from>
    <xdr:to>
      <xdr:col>9</xdr:col>
      <xdr:colOff>171450</xdr:colOff>
      <xdr:row>21</xdr:row>
      <xdr:rowOff>66675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SpPr txBox="1"/>
      </xdr:nvSpPr>
      <xdr:spPr>
        <a:xfrm>
          <a:off x="3590925" y="1876425"/>
          <a:ext cx="2066925" cy="219075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Lovaza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Namenda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Welchol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Abilify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Zyvox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Epipen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Aggrenox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Gleevec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Androgel</a:t>
          </a:r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1%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Avodart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Tracleer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Celebrex</a:t>
          </a: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552450</xdr:colOff>
      <xdr:row>21</xdr:row>
      <xdr:rowOff>142875</xdr:rowOff>
    </xdr:from>
    <xdr:to>
      <xdr:col>9</xdr:col>
      <xdr:colOff>180975</xdr:colOff>
      <xdr:row>23</xdr:row>
      <xdr:rowOff>104775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SpPr txBox="1"/>
      </xdr:nvSpPr>
      <xdr:spPr>
        <a:xfrm>
          <a:off x="3600450" y="4143375"/>
          <a:ext cx="2066925" cy="3429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2015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19050</xdr:colOff>
      <xdr:row>9</xdr:row>
      <xdr:rowOff>19049</xdr:rowOff>
    </xdr:from>
    <xdr:to>
      <xdr:col>13</xdr:col>
      <xdr:colOff>257175</xdr:colOff>
      <xdr:row>21</xdr:row>
      <xdr:rowOff>47625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SpPr txBox="1"/>
      </xdr:nvSpPr>
      <xdr:spPr>
        <a:xfrm>
          <a:off x="6115050" y="1733549"/>
          <a:ext cx="2066925" cy="2314576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Crestor</a:t>
          </a:r>
        </a:p>
        <a:p>
          <a:pPr algn="ctr"/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Advair</a:t>
          </a:r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Diskus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Benicar/Benicar-HCT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Seroquel XR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Zetia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Azor</a:t>
          </a:r>
        </a:p>
        <a:p>
          <a:pPr algn="ctr"/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Relpax</a:t>
          </a: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38100</xdr:colOff>
      <xdr:row>21</xdr:row>
      <xdr:rowOff>123825</xdr:rowOff>
    </xdr:from>
    <xdr:to>
      <xdr:col>13</xdr:col>
      <xdr:colOff>276225</xdr:colOff>
      <xdr:row>23</xdr:row>
      <xdr:rowOff>85725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SpPr txBox="1"/>
      </xdr:nvSpPr>
      <xdr:spPr>
        <a:xfrm>
          <a:off x="6134100" y="4124325"/>
          <a:ext cx="2066925" cy="3429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2016</a:t>
          </a: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485775</xdr:colOff>
      <xdr:row>16</xdr:row>
      <xdr:rowOff>76200</xdr:rowOff>
    </xdr:to>
    <xdr:pic>
      <xdr:nvPicPr>
        <xdr:cNvPr id="2" name="Picture 1" descr="PBM chart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5972175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23</xdr:row>
      <xdr:rowOff>76200</xdr:rowOff>
    </xdr:from>
    <xdr:to>
      <xdr:col>7</xdr:col>
      <xdr:colOff>561975</xdr:colOff>
      <xdr:row>53</xdr:row>
      <xdr:rowOff>152400</xdr:rowOff>
    </xdr:to>
    <xdr:pic>
      <xdr:nvPicPr>
        <xdr:cNvPr id="2" name="Picture 1" descr="http://2.bp.blogspot.com/-OwEJpF8rysc/VAXIR8Sis_I/AAAAAAAAF-I/i7MX5-LrnTw/s1600/The_Fastest-Growing_Private_Specialty_Pharmacies_2013.pn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5029200"/>
          <a:ext cx="8267700" cy="579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128587</xdr:rowOff>
    </xdr:from>
    <xdr:to>
      <xdr:col>4</xdr:col>
      <xdr:colOff>295275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25</xdr:row>
      <xdr:rowOff>41353</xdr:rowOff>
    </xdr:from>
    <xdr:ext cx="4237784" cy="1930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86650" y="4803853"/>
          <a:ext cx="4237784" cy="1930321"/>
        </a:xfrm>
        <a:prstGeom prst="rect">
          <a:avLst/>
        </a:prstGeom>
      </xdr:spPr>
    </xdr:pic>
    <xdr:clientData/>
  </xdr:oneCellAnchor>
  <xdr:twoCellAnchor>
    <xdr:from>
      <xdr:col>7</xdr:col>
      <xdr:colOff>390524</xdr:colOff>
      <xdr:row>2</xdr:row>
      <xdr:rowOff>33336</xdr:rowOff>
    </xdr:from>
    <xdr:to>
      <xdr:col>18</xdr:col>
      <xdr:colOff>133350</xdr:colOff>
      <xdr:row>21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0.00295</cdr:x>
      <cdr:y>0.89189</cdr:y>
    </cdr:from>
    <cdr:to>
      <cdr:x>0.66174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3300414"/>
          <a:ext cx="4248149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Source: Company reports. </a:t>
          </a:r>
        </a:p>
        <a:p xmlns:a="http://schemas.openxmlformats.org/drawingml/2006/main"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Walgreens data calendar adjusted for number of weekdays.</a:t>
          </a:r>
          <a:r>
            <a:rPr lang="en-US" sz="9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 i="1">
              <a:latin typeface="Times New Roman" panose="02020603050405020304" pitchFamily="18" charset="0"/>
              <a:cs typeface="Times New Roman" panose="02020603050405020304" pitchFamily="18" charset="0"/>
            </a:rPr>
            <a:t>CVS reported quarterly.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80962</xdr:rowOff>
    </xdr:from>
    <xdr:to>
      <xdr:col>14</xdr:col>
      <xdr:colOff>9526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12</xdr:col>
      <xdr:colOff>358182</xdr:colOff>
      <xdr:row>27</xdr:row>
      <xdr:rowOff>2751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2743200" y="4762500"/>
          <a:ext cx="5234982" cy="38375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AWP = Average wholesale price</a:t>
          </a:r>
        </a:p>
        <a:p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Source: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Prescription Drug Benefit Cost and Plan Design Report, Pharmacy Benefit Management Institute, various years.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0.00963</cdr:x>
      <cdr:y>0.24911</cdr:y>
    </cdr:from>
    <cdr:to>
      <cdr:x>0.0626</cdr:x>
      <cdr:y>0.60667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500059" y="1552575"/>
          <a:ext cx="14287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Percentage of AWP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17</xdr:row>
      <xdr:rowOff>47624</xdr:rowOff>
    </xdr:from>
    <xdr:to>
      <xdr:col>12</xdr:col>
      <xdr:colOff>247650</xdr:colOff>
      <xdr:row>40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859405" y="2897504"/>
          <a:ext cx="6517005" cy="3918586"/>
          <a:chOff x="2781300" y="2800349"/>
          <a:chExt cx="6353175" cy="3810001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876550" y="3733800"/>
            <a:ext cx="857250" cy="257175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   $182.7      </a:t>
            </a:r>
          </a:p>
          <a:p>
            <a:pPr algn="l"/>
            <a:r>
              <a: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</a:t>
            </a:r>
            <a:r>
              <a:rPr lang="en-US" sz="1100" b="0">
                <a:latin typeface="Times New Roman" panose="02020603050405020304" pitchFamily="18" charset="0"/>
                <a:cs typeface="Times New Roman" panose="02020603050405020304" pitchFamily="18" charset="0"/>
              </a:rPr>
              <a:t>billion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8229600" y="2800349"/>
            <a:ext cx="847725" cy="349567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   $282.6    </a:t>
            </a:r>
          </a:p>
          <a:p>
            <a:pPr algn="l"/>
            <a:r>
              <a: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</a:t>
            </a:r>
            <a:r>
              <a:rPr lang="en-US" sz="1100" b="0">
                <a:latin typeface="Times New Roman" panose="02020603050405020304" pitchFamily="18" charset="0"/>
                <a:cs typeface="Times New Roman" panose="02020603050405020304" pitchFamily="18" charset="0"/>
              </a:rPr>
              <a:t>billion</a:t>
            </a:r>
          </a:p>
          <a:p>
            <a:pPr algn="l"/>
            <a:endParaRPr lang="en-US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3752850" y="3362325"/>
            <a:ext cx="857250" cy="400050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Mail</a:t>
            </a:r>
            <a:r>
              <a:rPr lang="en-US" sz="10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Pharmacies</a:t>
            </a:r>
          </a:p>
          <a:p>
            <a:pPr algn="l"/>
            <a:r>
              <a:rPr lang="en-US" sz="10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</a:t>
            </a:r>
          </a:p>
          <a:p>
            <a:pPr algn="l"/>
            <a:r>
              <a:rPr lang="en-US" sz="10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</a:t>
            </a:r>
            <a:r>
              <a:rPr lang="en-US" sz="10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billion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/>
        </xdr:nvSpPr>
        <xdr:spPr>
          <a:xfrm>
            <a:off x="4600575" y="3076575"/>
            <a:ext cx="857250" cy="304800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ctr" anchorCtr="0"/>
          <a:lstStyle/>
          <a:p>
            <a:pPr algn="l"/>
            <a:r>
              <a:rPr lang="en-US" sz="10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Chain drugstores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5448300" y="2905124"/>
            <a:ext cx="933450" cy="200025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ctr" anchorCtr="0"/>
          <a:lstStyle/>
          <a:p>
            <a:pPr algn="l"/>
            <a:r>
              <a:rPr lang="en-US" sz="1000" b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Mass</a:t>
            </a:r>
            <a:r>
              <a:rPr lang="en-US" sz="10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merchants w/ pharmacies</a:t>
            </a:r>
          </a:p>
          <a:p>
            <a:pPr algn="l"/>
            <a:endPara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6381750" y="2819400"/>
            <a:ext cx="857250" cy="85725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ctr" anchorCtr="0"/>
          <a:lstStyle/>
          <a:p>
            <a:pPr algn="l"/>
            <a:r>
              <a:rPr lang="en-US" sz="10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Independent pharmacies</a:t>
            </a:r>
          </a:p>
          <a:p>
            <a:pPr algn="l"/>
            <a:endParaRPr lang="en-US" sz="1000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7229475" y="2802256"/>
            <a:ext cx="990600" cy="45719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rtlCol="0" anchor="ctr" anchorCtr="0"/>
          <a:lstStyle/>
          <a:p>
            <a:pPr algn="l"/>
            <a:r>
              <a:rPr lang="en-US" sz="1000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Supermarkets w/ pharmacies</a:t>
            </a:r>
          </a:p>
          <a:p>
            <a:pPr algn="l"/>
            <a:endParaRPr lang="en-US" sz="1000" b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Up Arrow Callout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3876675" y="3781425"/>
            <a:ext cx="533400" cy="561975"/>
          </a:xfrm>
          <a:prstGeom prst="upArrowCallou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  48%</a:t>
            </a:r>
          </a:p>
        </xdr:txBody>
      </xdr:sp>
      <xdr:sp macro="" textlink="">
        <xdr:nvSpPr>
          <xdr:cNvPr id="16" name="Up Arrow Callout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4772025" y="3419475"/>
            <a:ext cx="533400" cy="485775"/>
          </a:xfrm>
          <a:prstGeom prst="upArrowCallou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31%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Up Arrow Callout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5591175" y="3181351"/>
            <a:ext cx="533400" cy="476249"/>
          </a:xfrm>
          <a:prstGeom prst="upArrowCallou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   13%</a:t>
            </a:r>
          </a:p>
        </xdr:txBody>
      </xdr:sp>
      <xdr:sp macro="" textlink="">
        <xdr:nvSpPr>
          <xdr:cNvPr id="18" name="Up Arrow Callout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6505575" y="2962276"/>
            <a:ext cx="533400" cy="419100"/>
          </a:xfrm>
          <a:prstGeom prst="upArrowCallou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    5%</a:t>
            </a:r>
          </a:p>
        </xdr:txBody>
      </xdr:sp>
      <xdr:sp macro="" textlink="">
        <xdr:nvSpPr>
          <xdr:cNvPr id="20" name="Up Arrow Callout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/>
        </xdr:nvSpPr>
        <xdr:spPr>
          <a:xfrm>
            <a:off x="7372350" y="2905125"/>
            <a:ext cx="533400" cy="342900"/>
          </a:xfrm>
          <a:prstGeom prst="upArrowCallout">
            <a:avLst/>
          </a:prstGeom>
          <a:solidFill>
            <a:schemeClr val="accent3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    3%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/>
        </xdr:nvCxnSpPr>
        <xdr:spPr>
          <a:xfrm flipV="1">
            <a:off x="4495800" y="4333875"/>
            <a:ext cx="3400425" cy="952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ight Brace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7915275" y="3257550"/>
            <a:ext cx="266700" cy="1076325"/>
          </a:xfrm>
          <a:prstGeom prst="rightBrac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 txBox="1"/>
        </xdr:nvSpPr>
        <xdr:spPr>
          <a:xfrm>
            <a:off x="6953251" y="3619500"/>
            <a:ext cx="1057276" cy="4286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4.5% CAGR</a:t>
            </a:r>
            <a:r>
              <a:rPr lang="en-US" sz="11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, or </a:t>
            </a: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+$100 B</a:t>
            </a: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/>
        </xdr:nvSpPr>
        <xdr:spPr>
          <a:xfrm>
            <a:off x="2781300" y="6334125"/>
            <a:ext cx="981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2002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8153400" y="6343650"/>
            <a:ext cx="98107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2012</a:t>
            </a:r>
          </a:p>
        </xdr:txBody>
      </xdr: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4</xdr:row>
      <xdr:rowOff>119062</xdr:rowOff>
    </xdr:from>
    <xdr:to>
      <xdr:col>11</xdr:col>
      <xdr:colOff>238125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9</xdr:col>
      <xdr:colOff>285750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38100</xdr:colOff>
      <xdr:row>34</xdr:row>
      <xdr:rowOff>0</xdr:rowOff>
    </xdr:from>
    <xdr:ext cx="676275" cy="21025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 txBox="1"/>
      </xdr:nvSpPr>
      <xdr:spPr>
        <a:xfrm>
          <a:off x="1724025" y="7048500"/>
          <a:ext cx="676275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MM's</a:t>
          </a:r>
        </a:p>
      </xdr:txBody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7</xdr:row>
      <xdr:rowOff>128587</xdr:rowOff>
    </xdr:from>
    <xdr:to>
      <xdr:col>9</xdr:col>
      <xdr:colOff>200025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600075</xdr:colOff>
      <xdr:row>23</xdr:row>
      <xdr:rowOff>161925</xdr:rowOff>
    </xdr:from>
    <xdr:ext cx="2648289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600075" y="4543425"/>
          <a:ext cx="264828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Note: Gross</a:t>
          </a:r>
          <a:r>
            <a:rPr lang="en-US" sz="900" baseline="0"/>
            <a:t> margins for companie's respective FY12 </a:t>
          </a:r>
          <a:endParaRPr lang="en-US" sz="9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10</xdr:row>
      <xdr:rowOff>100012</xdr:rowOff>
    </xdr:from>
    <xdr:to>
      <xdr:col>8</xdr:col>
      <xdr:colOff>9524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2</xdr:row>
      <xdr:rowOff>61912</xdr:rowOff>
    </xdr:from>
    <xdr:to>
      <xdr:col>13</xdr:col>
      <xdr:colOff>600074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35</xdr:row>
      <xdr:rowOff>14287</xdr:rowOff>
    </xdr:from>
    <xdr:to>
      <xdr:col>5</xdr:col>
      <xdr:colOff>523875</xdr:colOff>
      <xdr:row>57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0.41703</cdr:x>
      <cdr:y>0.11188</cdr:y>
    </cdr:from>
    <cdr:to>
      <cdr:x>0.44934</cdr:x>
      <cdr:y>0.1534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93BBC8D-3944-42F3-942E-3339215319B1}"/>
            </a:ext>
          </a:extLst>
        </cdr:cNvPr>
        <cdr:cNvCxnSpPr/>
      </cdr:nvCxnSpPr>
      <cdr:spPr>
        <a:xfrm xmlns:a="http://schemas.openxmlformats.org/drawingml/2006/main">
          <a:off x="2705101" y="461963"/>
          <a:ext cx="209550" cy="171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161925</xdr:rowOff>
    </xdr:from>
    <xdr:to>
      <xdr:col>17</xdr:col>
      <xdr:colOff>552450</xdr:colOff>
      <xdr:row>23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733425"/>
          <a:ext cx="10325100" cy="382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152399</xdr:colOff>
      <xdr:row>16</xdr:row>
      <xdr:rowOff>95250</xdr:rowOff>
    </xdr:from>
    <xdr:to>
      <xdr:col>13</xdr:col>
      <xdr:colOff>381000</xdr:colOff>
      <xdr:row>17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857999" y="3143250"/>
          <a:ext cx="14478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Correlation: 0.009%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171450</xdr:rowOff>
    </xdr:from>
    <xdr:to>
      <xdr:col>13</xdr:col>
      <xdr:colOff>219075</xdr:colOff>
      <xdr:row>28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margins%20for%20pharmacies%20and%20drugst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profit%20for%20pharmacies%20and%20drugsto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for%20pharmacies%20and%20drugsto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bolan/Desktop/HCIT%20Industry/Industry/HCIT%20Chart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Margin as % of Sales "/>
    </sheetNames>
    <sheetDataSet>
      <sheetData sheetId="0">
        <row r="19">
          <cell r="C19">
            <v>26.5</v>
          </cell>
          <cell r="D19">
            <v>26.1</v>
          </cell>
          <cell r="E19">
            <v>25.1</v>
          </cell>
          <cell r="F19">
            <v>25.7</v>
          </cell>
          <cell r="G19">
            <v>26.7</v>
          </cell>
          <cell r="H19">
            <v>26.6</v>
          </cell>
          <cell r="I19">
            <v>25.6</v>
          </cell>
          <cell r="J19">
            <v>25.5</v>
          </cell>
          <cell r="K19">
            <v>25.8</v>
          </cell>
          <cell r="L19">
            <v>25.9</v>
          </cell>
          <cell r="M19">
            <v>26.5</v>
          </cell>
          <cell r="N19">
            <v>26.2</v>
          </cell>
          <cell r="O19">
            <v>25.6</v>
          </cell>
          <cell r="P19">
            <v>25.3</v>
          </cell>
          <cell r="Q19">
            <v>23.9</v>
          </cell>
          <cell r="R19">
            <v>23.3</v>
          </cell>
          <cell r="S19">
            <v>23.6</v>
          </cell>
          <cell r="T19">
            <v>23.8</v>
          </cell>
          <cell r="U19">
            <v>23.5</v>
          </cell>
          <cell r="V19">
            <v>24.2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 Margin"/>
    </sheetNames>
    <sheetDataSet>
      <sheetData sheetId="0">
        <row r="19">
          <cell r="C19">
            <v>21149</v>
          </cell>
          <cell r="D19">
            <v>21429</v>
          </cell>
          <cell r="E19">
            <v>21549</v>
          </cell>
          <cell r="F19">
            <v>23567</v>
          </cell>
          <cell r="G19">
            <v>26345</v>
          </cell>
          <cell r="H19">
            <v>28873</v>
          </cell>
          <cell r="I19">
            <v>31013</v>
          </cell>
          <cell r="J19">
            <v>33375</v>
          </cell>
          <cell r="K19">
            <v>36611</v>
          </cell>
          <cell r="L19">
            <v>39932</v>
          </cell>
          <cell r="M19">
            <v>43791</v>
          </cell>
          <cell r="N19">
            <v>44362</v>
          </cell>
          <cell r="O19">
            <v>45814</v>
          </cell>
          <cell r="P19">
            <v>48323</v>
          </cell>
          <cell r="Q19">
            <v>48313</v>
          </cell>
          <cell r="R19">
            <v>49204</v>
          </cell>
          <cell r="S19">
            <v>51292</v>
          </cell>
          <cell r="T19">
            <v>53034</v>
          </cell>
          <cell r="U19">
            <v>54596</v>
          </cell>
          <cell r="V19">
            <v>55775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"/>
    </sheetNames>
    <sheetDataSet>
      <sheetData sheetId="0">
        <row r="38">
          <cell r="C38">
            <v>77791</v>
          </cell>
          <cell r="D38">
            <v>79707</v>
          </cell>
          <cell r="E38">
            <v>81994</v>
          </cell>
          <cell r="F38">
            <v>85840</v>
          </cell>
          <cell r="G38">
            <v>91810</v>
          </cell>
          <cell r="H38">
            <v>98823</v>
          </cell>
          <cell r="I38">
            <v>108415</v>
          </cell>
          <cell r="J38">
            <v>121282</v>
          </cell>
          <cell r="K38">
            <v>130857</v>
          </cell>
          <cell r="L38">
            <v>141772</v>
          </cell>
          <cell r="M38">
            <v>153936</v>
          </cell>
          <cell r="N38">
            <v>165524</v>
          </cell>
          <cell r="O38">
            <v>169231</v>
          </cell>
          <cell r="P38">
            <v>179170</v>
          </cell>
          <cell r="Q38">
            <v>191018</v>
          </cell>
          <cell r="R38">
            <v>202284</v>
          </cell>
          <cell r="S38">
            <v>211035</v>
          </cell>
          <cell r="T38">
            <v>217630</v>
          </cell>
          <cell r="U38">
            <v>222802</v>
          </cell>
          <cell r="V38">
            <v>232003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HR Cost to Physician"/>
      <sheetName val="EHR Market Size"/>
      <sheetName val="HITECH incentives"/>
      <sheetName val="RCM Market Size"/>
      <sheetName val="Practice Size"/>
      <sheetName val="Physician demographics"/>
      <sheetName val="CMS Timeline"/>
      <sheetName val="ePrescribing"/>
      <sheetName val="Total US Health Expenditures"/>
      <sheetName val="Revenue cycle"/>
      <sheetName val="RCM Installed"/>
      <sheetName val="Unemployment"/>
      <sheetName val="CMS Pmt shortfalls"/>
      <sheetName val="Uncompensated care"/>
      <sheetName val="Physician earnings"/>
      <sheetName val="Kaiser Survey"/>
      <sheetName val="HCIT adoption - PP"/>
      <sheetName val="State budget deficit"/>
      <sheetName val="Hospital OM"/>
      <sheetName val="HIE"/>
      <sheetName val="Street Sentiment"/>
      <sheetName val="ESI-Medicaid"/>
      <sheetName val="CMS_Incentive_Pay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C3" t="str">
            <v>Medicaid (Hospital)</v>
          </cell>
        </row>
        <row r="35">
          <cell r="A35">
            <v>40695</v>
          </cell>
        </row>
        <row r="36">
          <cell r="A36">
            <v>40725</v>
          </cell>
        </row>
        <row r="37">
          <cell r="A37">
            <v>40756</v>
          </cell>
        </row>
        <row r="38">
          <cell r="A38">
            <v>40787</v>
          </cell>
        </row>
        <row r="39">
          <cell r="A39">
            <v>40817</v>
          </cell>
        </row>
        <row r="40">
          <cell r="A40">
            <v>40848</v>
          </cell>
        </row>
        <row r="41">
          <cell r="A41">
            <v>40878</v>
          </cell>
        </row>
        <row r="42">
          <cell r="A42">
            <v>40920</v>
          </cell>
        </row>
        <row r="43">
          <cell r="A43">
            <v>40951</v>
          </cell>
        </row>
        <row r="44">
          <cell r="A44">
            <v>40969</v>
          </cell>
        </row>
        <row r="45">
          <cell r="A45">
            <v>41011</v>
          </cell>
        </row>
        <row r="46">
          <cell r="A46">
            <v>41053</v>
          </cell>
        </row>
        <row r="47">
          <cell r="A47">
            <v>41061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8"/>
  <sheetViews>
    <sheetView workbookViewId="0">
      <selection activeCell="G26" sqref="G26"/>
    </sheetView>
  </sheetViews>
  <sheetFormatPr defaultRowHeight="14.4" x14ac:dyDescent="0.3"/>
  <cols>
    <col min="2" max="2" width="19.88671875" bestFit="1" customWidth="1"/>
    <col min="3" max="3" width="30.88671875" customWidth="1"/>
    <col min="4" max="4" width="22.88671875" customWidth="1"/>
  </cols>
  <sheetData>
    <row r="3" spans="2:4" ht="42" customHeight="1" x14ac:dyDescent="0.3">
      <c r="B3" s="224" t="s">
        <v>9</v>
      </c>
      <c r="C3" s="225" t="s">
        <v>459</v>
      </c>
      <c r="D3" s="225" t="s">
        <v>460</v>
      </c>
    </row>
    <row r="4" spans="2:4" ht="6.75" customHeight="1" x14ac:dyDescent="0.3">
      <c r="B4" s="144"/>
      <c r="C4" s="144"/>
      <c r="D4" s="144"/>
    </row>
    <row r="5" spans="2:4" x14ac:dyDescent="0.3">
      <c r="B5" s="144" t="s">
        <v>461</v>
      </c>
      <c r="C5" s="226">
        <v>11.2</v>
      </c>
      <c r="D5" s="227">
        <f>+C5/$C$16</f>
        <v>0.27930174563591015</v>
      </c>
    </row>
    <row r="6" spans="2:4" x14ac:dyDescent="0.3">
      <c r="B6" s="144" t="s">
        <v>462</v>
      </c>
      <c r="C6" s="226">
        <v>10.7</v>
      </c>
      <c r="D6" s="227">
        <f t="shared" ref="D6:D16" si="0">+C6/$C$16</f>
        <v>0.26683291770573558</v>
      </c>
    </row>
    <row r="7" spans="2:4" x14ac:dyDescent="0.3">
      <c r="B7" s="144" t="s">
        <v>463</v>
      </c>
      <c r="C7" s="226">
        <v>9.8000000000000007</v>
      </c>
      <c r="D7" s="227">
        <f t="shared" si="0"/>
        <v>0.24438902743142141</v>
      </c>
    </row>
    <row r="8" spans="2:4" x14ac:dyDescent="0.3">
      <c r="B8" s="144" t="s">
        <v>464</v>
      </c>
      <c r="C8" s="226">
        <v>2.2999999999999998</v>
      </c>
      <c r="D8" s="227">
        <f t="shared" si="0"/>
        <v>5.7356608478802973E-2</v>
      </c>
    </row>
    <row r="9" spans="2:4" x14ac:dyDescent="0.3">
      <c r="B9" s="144" t="s">
        <v>465</v>
      </c>
      <c r="C9" s="226">
        <v>2.1</v>
      </c>
      <c r="D9" s="227">
        <f t="shared" si="0"/>
        <v>5.236907730673316E-2</v>
      </c>
    </row>
    <row r="10" spans="2:4" x14ac:dyDescent="0.3">
      <c r="B10" s="144" t="s">
        <v>466</v>
      </c>
      <c r="C10" s="226">
        <v>1.4</v>
      </c>
      <c r="D10" s="227">
        <f t="shared" si="0"/>
        <v>3.4912718204488769E-2</v>
      </c>
    </row>
    <row r="11" spans="2:4" x14ac:dyDescent="0.3">
      <c r="B11" s="144" t="s">
        <v>467</v>
      </c>
      <c r="C11" s="226">
        <v>0.7</v>
      </c>
      <c r="D11" s="227">
        <f t="shared" si="0"/>
        <v>1.7456359102244384E-2</v>
      </c>
    </row>
    <row r="12" spans="2:4" x14ac:dyDescent="0.3">
      <c r="B12" s="144" t="s">
        <v>468</v>
      </c>
      <c r="C12" s="226">
        <v>0.5</v>
      </c>
      <c r="D12" s="227">
        <f t="shared" si="0"/>
        <v>1.2468827930174561E-2</v>
      </c>
    </row>
    <row r="13" spans="2:4" x14ac:dyDescent="0.3">
      <c r="B13" s="144" t="s">
        <v>469</v>
      </c>
      <c r="C13" s="226">
        <v>0.5</v>
      </c>
      <c r="D13" s="227">
        <f t="shared" si="0"/>
        <v>1.2468827930174561E-2</v>
      </c>
    </row>
    <row r="14" spans="2:4" x14ac:dyDescent="0.3">
      <c r="B14" s="144" t="s">
        <v>470</v>
      </c>
      <c r="C14" s="226">
        <v>0.2</v>
      </c>
      <c r="D14" s="227">
        <f t="shared" si="0"/>
        <v>4.9875311720698244E-3</v>
      </c>
    </row>
    <row r="15" spans="2:4" ht="15" thickBot="1" x14ac:dyDescent="0.35">
      <c r="B15" s="228" t="s">
        <v>471</v>
      </c>
      <c r="C15" s="229">
        <v>0.7</v>
      </c>
      <c r="D15" s="230">
        <f t="shared" si="0"/>
        <v>1.7456359102244384E-2</v>
      </c>
    </row>
    <row r="16" spans="2:4" ht="15" thickTop="1" x14ac:dyDescent="0.3">
      <c r="B16" s="200" t="s">
        <v>7</v>
      </c>
      <c r="C16" s="231">
        <f>SUM(C5:C15)</f>
        <v>40.100000000000009</v>
      </c>
      <c r="D16" s="227">
        <f t="shared" si="0"/>
        <v>1</v>
      </c>
    </row>
    <row r="17" spans="2:4" x14ac:dyDescent="0.3">
      <c r="B17" s="113"/>
      <c r="C17" s="113"/>
      <c r="D17" s="113"/>
    </row>
    <row r="18" spans="2:4" x14ac:dyDescent="0.3">
      <c r="B18" s="113"/>
      <c r="C18" s="113"/>
      <c r="D18" s="11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M112"/>
  <sheetViews>
    <sheetView topLeftCell="F1" workbookViewId="0">
      <selection activeCell="S22" sqref="S22"/>
    </sheetView>
  </sheetViews>
  <sheetFormatPr defaultColWidth="9.109375" defaultRowHeight="13.8" x14ac:dyDescent="0.25"/>
  <cols>
    <col min="1" max="1" width="9.109375" style="5"/>
    <col min="2" max="2" width="49.5546875" style="5" customWidth="1"/>
    <col min="3" max="3" width="10.88671875" style="5" customWidth="1"/>
    <col min="4" max="4" width="30.33203125" style="5" customWidth="1"/>
    <col min="5" max="5" width="22.44140625" style="5" customWidth="1"/>
    <col min="6" max="8" width="34.44140625" style="5" customWidth="1"/>
    <col min="9" max="9" width="12.5546875" style="5" bestFit="1" customWidth="1"/>
    <col min="10" max="10" width="31" style="5" customWidth="1"/>
    <col min="11" max="11" width="12.5546875" style="5" bestFit="1" customWidth="1"/>
    <col min="12" max="12" width="27.5546875" style="5" bestFit="1" customWidth="1"/>
    <col min="13" max="13" width="11.5546875" style="5" bestFit="1" customWidth="1"/>
    <col min="14" max="16384" width="9.109375" style="5"/>
  </cols>
  <sheetData>
    <row r="3" spans="1:8" x14ac:dyDescent="0.25">
      <c r="A3" s="55" t="s">
        <v>474</v>
      </c>
    </row>
    <row r="4" spans="1:8" x14ac:dyDescent="0.25">
      <c r="B4" s="240" t="s">
        <v>475</v>
      </c>
      <c r="C4" s="240"/>
      <c r="D4" s="240" t="s">
        <v>476</v>
      </c>
      <c r="E4" s="240"/>
      <c r="F4" s="232" t="s">
        <v>477</v>
      </c>
      <c r="G4" s="232"/>
      <c r="H4" s="169" t="s">
        <v>472</v>
      </c>
    </row>
    <row r="5" spans="1:8" x14ac:dyDescent="0.25">
      <c r="A5" s="5" t="s">
        <v>118</v>
      </c>
      <c r="B5" s="54">
        <v>271.10000000000002</v>
      </c>
      <c r="C5" s="51"/>
      <c r="D5" s="53">
        <v>2919.1</v>
      </c>
      <c r="E5" s="51"/>
      <c r="F5" s="51">
        <f t="shared" ref="F5:F16" si="0">+B5/D5</f>
        <v>9.2871090404576764E-2</v>
      </c>
      <c r="G5" s="51"/>
      <c r="H5" s="51"/>
    </row>
    <row r="6" spans="1:8" x14ac:dyDescent="0.25">
      <c r="A6" s="5">
        <v>2014</v>
      </c>
      <c r="B6" s="54">
        <v>305.10000000000002</v>
      </c>
      <c r="C6" s="51">
        <f t="shared" ref="C6:E16" si="1">+B6/B5-1</f>
        <v>0.12541497602360741</v>
      </c>
      <c r="D6" s="53">
        <v>3080</v>
      </c>
      <c r="E6" s="51">
        <f t="shared" si="1"/>
        <v>5.5119728683498348E-2</v>
      </c>
      <c r="F6" s="51">
        <f t="shared" si="0"/>
        <v>9.9058441558441568E-2</v>
      </c>
      <c r="G6" s="51"/>
      <c r="H6" s="51">
        <v>3.9E-2</v>
      </c>
    </row>
    <row r="7" spans="1:8" x14ac:dyDescent="0.25">
      <c r="A7" s="5" t="s">
        <v>128</v>
      </c>
      <c r="B7" s="54">
        <v>328.4</v>
      </c>
      <c r="C7" s="51">
        <f t="shared" si="1"/>
        <v>7.6368403802032025E-2</v>
      </c>
      <c r="D7" s="53">
        <v>3243.5</v>
      </c>
      <c r="E7" s="51">
        <f t="shared" si="1"/>
        <v>5.3084415584415678E-2</v>
      </c>
      <c r="F7" s="51">
        <f t="shared" si="0"/>
        <v>0.10124865114845075</v>
      </c>
      <c r="G7" s="51"/>
      <c r="H7" s="51">
        <v>3.2000000000000001E-2</v>
      </c>
    </row>
    <row r="8" spans="1:8" x14ac:dyDescent="0.25">
      <c r="A8" s="5" t="s">
        <v>129</v>
      </c>
      <c r="B8" s="54">
        <v>343.2</v>
      </c>
      <c r="C8" s="51">
        <f t="shared" si="1"/>
        <v>4.5066991473812434E-2</v>
      </c>
      <c r="D8" s="53">
        <v>3402.6</v>
      </c>
      <c r="E8" s="51">
        <f t="shared" si="1"/>
        <v>4.905195005395413E-2</v>
      </c>
      <c r="F8" s="51">
        <f t="shared" si="0"/>
        <v>0.10086404514195027</v>
      </c>
      <c r="G8" s="51"/>
      <c r="H8" s="51">
        <v>4.7E-2</v>
      </c>
    </row>
    <row r="9" spans="1:8" x14ac:dyDescent="0.25">
      <c r="A9" s="5" t="s">
        <v>156</v>
      </c>
      <c r="B9" s="54">
        <v>364.4</v>
      </c>
      <c r="C9" s="51">
        <f t="shared" si="1"/>
        <v>6.1771561771561734E-2</v>
      </c>
      <c r="D9" s="53">
        <v>3586.6</v>
      </c>
      <c r="E9" s="51">
        <f t="shared" si="1"/>
        <v>5.4076294598248476E-2</v>
      </c>
      <c r="F9" s="51">
        <f t="shared" si="0"/>
        <v>0.10160040149445157</v>
      </c>
      <c r="G9" s="51"/>
      <c r="H9" s="51">
        <v>5.2999999999999999E-2</v>
      </c>
    </row>
    <row r="10" spans="1:8" x14ac:dyDescent="0.25">
      <c r="A10" s="5" t="s">
        <v>157</v>
      </c>
      <c r="B10" s="54">
        <v>385.1</v>
      </c>
      <c r="C10" s="51">
        <f t="shared" si="1"/>
        <v>5.6805708013172529E-2</v>
      </c>
      <c r="D10" s="53">
        <v>3785.5</v>
      </c>
      <c r="E10" s="51">
        <f t="shared" si="1"/>
        <v>5.5456421123069255E-2</v>
      </c>
      <c r="F10" s="51">
        <f t="shared" si="0"/>
        <v>0.10173028661999736</v>
      </c>
      <c r="G10" s="51"/>
      <c r="H10" s="51">
        <v>5.2999999999999999E-2</v>
      </c>
    </row>
    <row r="11" spans="1:8" x14ac:dyDescent="0.25">
      <c r="A11" s="5" t="s">
        <v>158</v>
      </c>
      <c r="B11" s="54">
        <v>408.7</v>
      </c>
      <c r="C11" s="51">
        <f t="shared" si="1"/>
        <v>6.128278369254736E-2</v>
      </c>
      <c r="D11" s="53">
        <v>4020</v>
      </c>
      <c r="E11" s="51">
        <f t="shared" si="1"/>
        <v>6.1946902654867353E-2</v>
      </c>
      <c r="F11" s="51">
        <f t="shared" si="0"/>
        <v>0.10166666666666667</v>
      </c>
      <c r="G11" s="51"/>
      <c r="H11" s="51">
        <v>5.1999999999999998E-2</v>
      </c>
    </row>
    <row r="12" spans="1:8" x14ac:dyDescent="0.25">
      <c r="A12" s="5" t="s">
        <v>159</v>
      </c>
      <c r="B12" s="54">
        <v>435.3</v>
      </c>
      <c r="C12" s="51">
        <f t="shared" si="1"/>
        <v>6.5084413995595947E-2</v>
      </c>
      <c r="D12" s="53">
        <v>4273.8</v>
      </c>
      <c r="E12" s="51">
        <f t="shared" si="1"/>
        <v>6.3134328358209091E-2</v>
      </c>
      <c r="F12" s="51">
        <f t="shared" si="0"/>
        <v>0.10185315176189808</v>
      </c>
      <c r="G12" s="51"/>
      <c r="H12" s="51">
        <v>0.05</v>
      </c>
    </row>
    <row r="13" spans="1:8" x14ac:dyDescent="0.25">
      <c r="A13" s="5" t="s">
        <v>160</v>
      </c>
      <c r="B13" s="54">
        <v>464.1</v>
      </c>
      <c r="C13" s="51">
        <f t="shared" si="1"/>
        <v>6.6161268090971781E-2</v>
      </c>
      <c r="D13" s="53">
        <v>4542.5</v>
      </c>
      <c r="E13" s="51">
        <f t="shared" si="1"/>
        <v>6.2871449295708759E-2</v>
      </c>
      <c r="F13" s="51">
        <f t="shared" si="0"/>
        <v>0.10216840946615301</v>
      </c>
      <c r="G13" s="51"/>
      <c r="H13" s="51">
        <v>4.9000000000000002E-2</v>
      </c>
    </row>
    <row r="14" spans="1:8" x14ac:dyDescent="0.25">
      <c r="A14" s="5" t="s">
        <v>81</v>
      </c>
      <c r="B14" s="54">
        <v>495.2</v>
      </c>
      <c r="C14" s="51">
        <f t="shared" si="1"/>
        <v>6.7011419952596407E-2</v>
      </c>
      <c r="D14" s="53">
        <v>4825.3999999999996</v>
      </c>
      <c r="E14" s="51">
        <f t="shared" si="1"/>
        <v>6.2278481012658204E-2</v>
      </c>
      <c r="F14" s="51">
        <f t="shared" si="0"/>
        <v>0.10262361669498903</v>
      </c>
      <c r="G14" s="51"/>
      <c r="H14" s="51">
        <v>4.7E-2</v>
      </c>
    </row>
    <row r="15" spans="1:8" x14ac:dyDescent="0.25">
      <c r="A15" s="5" t="s">
        <v>478</v>
      </c>
      <c r="B15" s="54">
        <v>528.29999999999995</v>
      </c>
      <c r="C15" s="51">
        <f t="shared" si="1"/>
        <v>6.6841680129240633E-2</v>
      </c>
      <c r="D15" s="53">
        <v>5119.3999999999996</v>
      </c>
      <c r="E15" s="51">
        <f t="shared" si="1"/>
        <v>6.0927591495005595E-2</v>
      </c>
      <c r="F15" s="51">
        <f t="shared" si="0"/>
        <v>0.10319568699456967</v>
      </c>
      <c r="G15" s="51"/>
      <c r="H15" s="51">
        <v>4.4999999999999998E-2</v>
      </c>
    </row>
    <row r="16" spans="1:8" x14ac:dyDescent="0.25">
      <c r="A16" s="5" t="s">
        <v>479</v>
      </c>
      <c r="B16" s="54">
        <v>564.29999999999995</v>
      </c>
      <c r="C16" s="51">
        <f t="shared" si="1"/>
        <v>6.8143100511073307E-2</v>
      </c>
      <c r="D16" s="53">
        <v>5425.1</v>
      </c>
      <c r="E16" s="51">
        <f t="shared" si="1"/>
        <v>5.9714028987772227E-2</v>
      </c>
      <c r="F16" s="51">
        <f t="shared" si="0"/>
        <v>0.10401651582459308</v>
      </c>
      <c r="G16" s="51"/>
      <c r="H16" s="51">
        <v>4.4999999999999998E-2</v>
      </c>
    </row>
    <row r="19" spans="1:8" x14ac:dyDescent="0.25">
      <c r="A19" s="55" t="s">
        <v>154</v>
      </c>
    </row>
    <row r="20" spans="1:8" x14ac:dyDescent="0.25">
      <c r="B20" s="240" t="s">
        <v>161</v>
      </c>
      <c r="C20" s="240"/>
      <c r="D20" s="240" t="s">
        <v>162</v>
      </c>
      <c r="E20" s="240"/>
      <c r="F20" s="45" t="s">
        <v>164</v>
      </c>
      <c r="G20" s="232"/>
      <c r="H20" s="169"/>
    </row>
    <row r="21" spans="1:8" x14ac:dyDescent="0.25">
      <c r="A21" s="5">
        <v>2006</v>
      </c>
      <c r="B21" s="5">
        <v>224.1</v>
      </c>
      <c r="D21" s="53">
        <v>2163.3000000000002</v>
      </c>
      <c r="F21" s="51">
        <f>+B21/D21</f>
        <v>0.10359173484953542</v>
      </c>
      <c r="G21" s="51"/>
      <c r="H21" s="51"/>
    </row>
    <row r="22" spans="1:8" x14ac:dyDescent="0.25">
      <c r="A22" s="5">
        <v>2007</v>
      </c>
      <c r="B22" s="5">
        <v>235.9</v>
      </c>
      <c r="C22" s="51">
        <f>+B22/B21-1</f>
        <v>5.2655064703257537E-2</v>
      </c>
      <c r="D22" s="53">
        <v>2298.3000000000002</v>
      </c>
      <c r="E22" s="51">
        <f>+D22/D21-1</f>
        <v>6.2404659547912855E-2</v>
      </c>
      <c r="F22" s="51">
        <f t="shared" ref="F22:F37" si="2">+B22/D22</f>
        <v>0.10264108253926815</v>
      </c>
      <c r="G22" s="51"/>
      <c r="H22" s="51"/>
    </row>
    <row r="23" spans="1:8" x14ac:dyDescent="0.25">
      <c r="A23" s="5">
        <v>2008</v>
      </c>
      <c r="B23" s="5">
        <v>242.6</v>
      </c>
      <c r="C23" s="51">
        <f t="shared" ref="C23:C37" si="3">+B23/B22-1</f>
        <v>2.8401865197117404E-2</v>
      </c>
      <c r="D23" s="53">
        <v>2406.6</v>
      </c>
      <c r="E23" s="51">
        <f t="shared" ref="E23" si="4">+D23/D22-1</f>
        <v>4.7121785667667337E-2</v>
      </c>
      <c r="F23" s="51">
        <f t="shared" si="2"/>
        <v>0.1008061165129228</v>
      </c>
      <c r="G23" s="51"/>
      <c r="H23" s="51"/>
    </row>
    <row r="24" spans="1:8" x14ac:dyDescent="0.25">
      <c r="A24" s="5">
        <v>2009</v>
      </c>
      <c r="B24" s="5">
        <v>254.6</v>
      </c>
      <c r="C24" s="51">
        <f t="shared" si="3"/>
        <v>4.9464138499587751E-2</v>
      </c>
      <c r="D24" s="53">
        <v>2501.1999999999998</v>
      </c>
      <c r="E24" s="51">
        <f t="shared" ref="E24" si="5">+D24/D23-1</f>
        <v>3.930856810437966E-2</v>
      </c>
      <c r="F24" s="51">
        <f t="shared" si="2"/>
        <v>0.10179114025267871</v>
      </c>
      <c r="G24" s="51"/>
      <c r="H24" s="51"/>
    </row>
    <row r="25" spans="1:8" x14ac:dyDescent="0.25">
      <c r="A25" s="5">
        <v>2010</v>
      </c>
      <c r="B25" s="5">
        <v>257.39999999999998</v>
      </c>
      <c r="C25" s="51">
        <f t="shared" si="3"/>
        <v>1.09976433621366E-2</v>
      </c>
      <c r="D25" s="53">
        <v>2598.6</v>
      </c>
      <c r="E25" s="51">
        <f t="shared" ref="E25" si="6">+D25/D24-1</f>
        <v>3.8941308172077527E-2</v>
      </c>
      <c r="F25" s="51">
        <f t="shared" si="2"/>
        <v>9.9053336411914106E-2</v>
      </c>
      <c r="G25" s="51"/>
      <c r="H25" s="51"/>
    </row>
    <row r="26" spans="1:8" x14ac:dyDescent="0.25">
      <c r="A26" s="5">
        <v>2011</v>
      </c>
      <c r="B26" s="52">
        <v>262.3</v>
      </c>
      <c r="C26" s="51">
        <f t="shared" si="3"/>
        <v>1.9036519036519151E-2</v>
      </c>
      <c r="D26" s="53">
        <v>2698.5</v>
      </c>
      <c r="E26" s="51">
        <f t="shared" ref="E26" si="7">+D26/D25-1</f>
        <v>3.8443777418610159E-2</v>
      </c>
      <c r="F26" s="51">
        <f t="shared" si="2"/>
        <v>9.7202149342227165E-2</v>
      </c>
      <c r="G26" s="51"/>
      <c r="H26" s="51"/>
    </row>
    <row r="27" spans="1:8" x14ac:dyDescent="0.25">
      <c r="A27" s="5" t="s">
        <v>155</v>
      </c>
      <c r="B27" s="5">
        <v>259.89999999999998</v>
      </c>
      <c r="C27" s="51">
        <f t="shared" si="3"/>
        <v>-9.1498284407168784E-3</v>
      </c>
      <c r="D27" s="53">
        <v>2805.3</v>
      </c>
      <c r="E27" s="51">
        <f t="shared" ref="E27" si="8">+D27/D26-1</f>
        <v>3.9577543079488686E-2</v>
      </c>
      <c r="F27" s="51">
        <f t="shared" si="2"/>
        <v>9.2646062809681656E-2</v>
      </c>
      <c r="G27" s="51"/>
      <c r="H27" s="51"/>
    </row>
    <row r="28" spans="1:8" x14ac:dyDescent="0.25">
      <c r="A28" s="5" t="s">
        <v>118</v>
      </c>
      <c r="B28" s="5">
        <v>261.5</v>
      </c>
      <c r="C28" s="51">
        <f t="shared" si="3"/>
        <v>6.1562139284341288E-3</v>
      </c>
      <c r="D28" s="53">
        <v>2909.5</v>
      </c>
      <c r="E28" s="51">
        <f t="shared" ref="E28" si="9">+D28/D27-1</f>
        <v>3.7143977471215228E-2</v>
      </c>
      <c r="F28" s="51">
        <f t="shared" si="2"/>
        <v>8.987798590823165E-2</v>
      </c>
      <c r="G28" s="51"/>
      <c r="H28" s="51"/>
    </row>
    <row r="29" spans="1:8" x14ac:dyDescent="0.25">
      <c r="A29" s="5">
        <v>2014</v>
      </c>
      <c r="B29" s="5">
        <v>267.39999999999998</v>
      </c>
      <c r="C29" s="51">
        <f t="shared" si="3"/>
        <v>2.2562141491395682E-2</v>
      </c>
      <c r="D29" s="53">
        <v>3040.8</v>
      </c>
      <c r="E29" s="51">
        <f t="shared" ref="E29" si="10">+D29/D28-1</f>
        <v>4.512802887094014E-2</v>
      </c>
      <c r="F29" s="51">
        <f t="shared" si="2"/>
        <v>8.7937384898710849E-2</v>
      </c>
      <c r="G29" s="51"/>
      <c r="H29" s="51"/>
    </row>
    <row r="30" spans="1:8" x14ac:dyDescent="0.25">
      <c r="A30" s="5" t="s">
        <v>128</v>
      </c>
      <c r="B30" s="5">
        <v>281.10000000000002</v>
      </c>
      <c r="C30" s="51">
        <f t="shared" si="3"/>
        <v>5.1234106207928454E-2</v>
      </c>
      <c r="D30" s="53">
        <v>3194.4</v>
      </c>
      <c r="E30" s="51">
        <f t="shared" ref="E30" si="11">+D30/D29-1</f>
        <v>5.0513022888713399E-2</v>
      </c>
      <c r="F30" s="51">
        <f t="shared" si="2"/>
        <v>8.7997746055597306E-2</v>
      </c>
      <c r="G30" s="51"/>
      <c r="H30" s="51"/>
    </row>
    <row r="31" spans="1:8" x14ac:dyDescent="0.25">
      <c r="A31" s="5" t="s">
        <v>129</v>
      </c>
      <c r="B31" s="5">
        <v>297.8</v>
      </c>
      <c r="C31" s="51">
        <f t="shared" si="3"/>
        <v>5.9409462824617565E-2</v>
      </c>
      <c r="D31" s="53">
        <v>3378.4</v>
      </c>
      <c r="E31" s="51">
        <f t="shared" ref="E31" si="12">+D31/D30-1</f>
        <v>5.7600801402454271E-2</v>
      </c>
      <c r="F31" s="51">
        <f t="shared" si="2"/>
        <v>8.8148235851290557E-2</v>
      </c>
      <c r="G31" s="51"/>
      <c r="H31" s="51"/>
    </row>
    <row r="32" spans="1:8" x14ac:dyDescent="0.25">
      <c r="A32" s="5" t="s">
        <v>156</v>
      </c>
      <c r="B32" s="5">
        <v>316.5</v>
      </c>
      <c r="C32" s="51">
        <f t="shared" si="3"/>
        <v>6.2793821356615043E-2</v>
      </c>
      <c r="D32" s="53">
        <v>3588</v>
      </c>
      <c r="E32" s="51">
        <f t="shared" ref="E32" si="13">+D32/D31-1</f>
        <v>6.204120293630111E-2</v>
      </c>
      <c r="F32" s="51">
        <f t="shared" si="2"/>
        <v>8.821070234113712E-2</v>
      </c>
      <c r="G32" s="51"/>
      <c r="H32" s="51"/>
    </row>
    <row r="33" spans="1:8" x14ac:dyDescent="0.25">
      <c r="A33" s="5" t="s">
        <v>157</v>
      </c>
      <c r="B33" s="5">
        <v>337</v>
      </c>
      <c r="C33" s="51">
        <f t="shared" si="3"/>
        <v>6.4770932069510234E-2</v>
      </c>
      <c r="D33" s="53">
        <v>3824.3</v>
      </c>
      <c r="E33" s="51">
        <f t="shared" ref="E33" si="14">+D33/D32-1</f>
        <v>6.5858416945373532E-2</v>
      </c>
      <c r="F33" s="51">
        <f t="shared" si="2"/>
        <v>8.8120701827785475E-2</v>
      </c>
      <c r="G33" s="51"/>
      <c r="H33" s="51"/>
    </row>
    <row r="34" spans="1:8" x14ac:dyDescent="0.25">
      <c r="A34" s="5" t="s">
        <v>158</v>
      </c>
      <c r="B34" s="5">
        <v>359.7</v>
      </c>
      <c r="C34" s="51">
        <f t="shared" si="3"/>
        <v>6.7359050445103819E-2</v>
      </c>
      <c r="D34" s="53">
        <v>4077.3</v>
      </c>
      <c r="E34" s="51">
        <f t="shared" ref="E34" si="15">+D34/D33-1</f>
        <v>6.6155897811364106E-2</v>
      </c>
      <c r="F34" s="51">
        <f t="shared" si="2"/>
        <v>8.8220145684644244E-2</v>
      </c>
      <c r="G34" s="51"/>
      <c r="H34" s="51"/>
    </row>
    <row r="35" spans="1:8" x14ac:dyDescent="0.25">
      <c r="A35" s="5" t="s">
        <v>159</v>
      </c>
      <c r="B35" s="5">
        <v>384.4</v>
      </c>
      <c r="C35" s="51">
        <f t="shared" si="3"/>
        <v>6.866833472338052E-2</v>
      </c>
      <c r="D35" s="53">
        <v>4349.8999999999996</v>
      </c>
      <c r="E35" s="51">
        <f t="shared" ref="E35" si="16">+D35/D34-1</f>
        <v>6.6857969734873457E-2</v>
      </c>
      <c r="F35" s="51">
        <f t="shared" si="2"/>
        <v>8.8369847582703054E-2</v>
      </c>
      <c r="G35" s="51"/>
      <c r="H35" s="51"/>
    </row>
    <row r="36" spans="1:8" x14ac:dyDescent="0.25">
      <c r="A36" s="5" t="s">
        <v>160</v>
      </c>
      <c r="B36" s="5">
        <v>411</v>
      </c>
      <c r="C36" s="51">
        <f t="shared" si="3"/>
        <v>6.9198751300728389E-2</v>
      </c>
      <c r="D36" s="53">
        <v>4633.8999999999996</v>
      </c>
      <c r="E36" s="51">
        <f t="shared" ref="E36" si="17">+D36/D35-1</f>
        <v>6.5288857215108465E-2</v>
      </c>
      <c r="F36" s="51">
        <f t="shared" si="2"/>
        <v>8.8694188480545555E-2</v>
      </c>
      <c r="G36" s="51"/>
      <c r="H36" s="51"/>
    </row>
    <row r="37" spans="1:8" x14ac:dyDescent="0.25">
      <c r="A37" s="5" t="s">
        <v>81</v>
      </c>
      <c r="B37" s="5">
        <v>439.7</v>
      </c>
      <c r="C37" s="51">
        <f t="shared" si="3"/>
        <v>6.9829683698296785E-2</v>
      </c>
      <c r="D37" s="53">
        <v>4942.2</v>
      </c>
      <c r="E37" s="51">
        <f t="shared" ref="E37" si="18">+D37/D36-1</f>
        <v>6.6531431407669706E-2</v>
      </c>
      <c r="F37" s="51">
        <f t="shared" si="2"/>
        <v>8.8968475577677952E-2</v>
      </c>
      <c r="G37" s="51"/>
      <c r="H37" s="51"/>
    </row>
    <row r="84" spans="1:13" x14ac:dyDescent="0.25">
      <c r="A84" s="55" t="s">
        <v>75</v>
      </c>
      <c r="B84" s="5" t="s">
        <v>163</v>
      </c>
    </row>
    <row r="87" spans="1:13" ht="27.6" x14ac:dyDescent="0.25">
      <c r="B87" s="74" t="s">
        <v>280</v>
      </c>
      <c r="C87" s="5" t="s">
        <v>273</v>
      </c>
      <c r="D87" s="5" t="s">
        <v>275</v>
      </c>
      <c r="E87" s="5" t="s">
        <v>274</v>
      </c>
      <c r="J87" s="46" t="str">
        <f>+B87</f>
        <v>National Health Expenditures (NHE) w/ Impact of ACA</v>
      </c>
      <c r="K87" s="5" t="s">
        <v>277</v>
      </c>
      <c r="L87" s="5" t="s">
        <v>278</v>
      </c>
      <c r="M87" s="5" t="s">
        <v>279</v>
      </c>
    </row>
    <row r="88" spans="1:13" x14ac:dyDescent="0.25">
      <c r="A88" s="5">
        <v>2006</v>
      </c>
      <c r="B88" s="5">
        <v>2163.3000000000002</v>
      </c>
      <c r="C88" s="5">
        <v>651.9</v>
      </c>
      <c r="D88" s="5">
        <v>438.8</v>
      </c>
      <c r="E88" s="59" t="e">
        <f>+#REF!</f>
        <v>#REF!</v>
      </c>
      <c r="I88" s="5">
        <f>+A88</f>
        <v>2006</v>
      </c>
      <c r="J88" s="5">
        <f>+B88</f>
        <v>2163.3000000000002</v>
      </c>
      <c r="K88" s="51">
        <f t="shared" ref="K88:K104" si="19">+C88/B88</f>
        <v>0.30134516710581055</v>
      </c>
      <c r="L88" s="51">
        <f t="shared" ref="L88:L104" si="20">+D88/B88</f>
        <v>0.20283825636758654</v>
      </c>
      <c r="M88" s="51" t="e">
        <f t="shared" ref="M88:M104" si="21">+E88/B88</f>
        <v>#REF!</v>
      </c>
    </row>
    <row r="89" spans="1:13" x14ac:dyDescent="0.25">
      <c r="A89" s="5">
        <v>2007</v>
      </c>
      <c r="B89" s="53" t="e">
        <f>+#REF!</f>
        <v>#REF!</v>
      </c>
      <c r="C89" s="5">
        <v>692.5</v>
      </c>
      <c r="D89" s="5">
        <v>461.8</v>
      </c>
      <c r="E89" s="59" t="e">
        <f>+#REF!</f>
        <v>#REF!</v>
      </c>
      <c r="I89" s="5">
        <f t="shared" ref="I89:I104" si="22">+A89</f>
        <v>2007</v>
      </c>
      <c r="J89" s="5" t="e">
        <f t="shared" ref="J89:J104" si="23">+B89</f>
        <v>#REF!</v>
      </c>
      <c r="K89" s="51" t="e">
        <f t="shared" si="19"/>
        <v>#REF!</v>
      </c>
      <c r="L89" s="51" t="e">
        <f t="shared" si="20"/>
        <v>#REF!</v>
      </c>
      <c r="M89" s="51" t="e">
        <f t="shared" si="21"/>
        <v>#REF!</v>
      </c>
    </row>
    <row r="90" spans="1:13" x14ac:dyDescent="0.25">
      <c r="A90" s="5">
        <v>2008</v>
      </c>
      <c r="B90" s="53" t="e">
        <f>+#REF!</f>
        <v>#REF!</v>
      </c>
      <c r="C90" s="5">
        <v>729.2</v>
      </c>
      <c r="D90" s="5">
        <v>486.4</v>
      </c>
      <c r="E90" s="59" t="e">
        <f>+#REF!</f>
        <v>#REF!</v>
      </c>
      <c r="I90" s="5">
        <f t="shared" si="22"/>
        <v>2008</v>
      </c>
      <c r="J90" s="5" t="e">
        <f t="shared" si="23"/>
        <v>#REF!</v>
      </c>
      <c r="K90" s="51" t="e">
        <f t="shared" si="19"/>
        <v>#REF!</v>
      </c>
      <c r="L90" s="51" t="e">
        <f t="shared" si="20"/>
        <v>#REF!</v>
      </c>
      <c r="M90" s="51" t="e">
        <f t="shared" si="21"/>
        <v>#REF!</v>
      </c>
    </row>
    <row r="91" spans="1:13" x14ac:dyDescent="0.25">
      <c r="A91" s="5">
        <v>2009</v>
      </c>
      <c r="B91" s="53" t="e">
        <f>+#REF!</f>
        <v>#REF!</v>
      </c>
      <c r="C91" s="5">
        <v>777.9</v>
      </c>
      <c r="D91" s="5">
        <v>503.2</v>
      </c>
      <c r="E91" s="59" t="e">
        <f>+#REF!</f>
        <v>#REF!</v>
      </c>
      <c r="I91" s="5">
        <f t="shared" si="22"/>
        <v>2009</v>
      </c>
      <c r="J91" s="5" t="e">
        <f t="shared" si="23"/>
        <v>#REF!</v>
      </c>
      <c r="K91" s="51" t="e">
        <f t="shared" si="19"/>
        <v>#REF!</v>
      </c>
      <c r="L91" s="51" t="e">
        <f t="shared" si="20"/>
        <v>#REF!</v>
      </c>
      <c r="M91" s="51" t="e">
        <f t="shared" si="21"/>
        <v>#REF!</v>
      </c>
    </row>
    <row r="92" spans="1:13" x14ac:dyDescent="0.25">
      <c r="A92" s="5">
        <v>2010</v>
      </c>
      <c r="B92" s="53" t="e">
        <f>+#REF!</f>
        <v>#REF!</v>
      </c>
      <c r="C92" s="5">
        <v>815.9</v>
      </c>
      <c r="D92" s="5">
        <v>519.1</v>
      </c>
      <c r="E92" s="59" t="e">
        <f>+#REF!</f>
        <v>#REF!</v>
      </c>
      <c r="I92" s="5">
        <f t="shared" si="22"/>
        <v>2010</v>
      </c>
      <c r="J92" s="5" t="e">
        <f t="shared" si="23"/>
        <v>#REF!</v>
      </c>
      <c r="K92" s="51" t="e">
        <f t="shared" si="19"/>
        <v>#REF!</v>
      </c>
      <c r="L92" s="51" t="e">
        <f t="shared" si="20"/>
        <v>#REF!</v>
      </c>
      <c r="M92" s="51" t="e">
        <f t="shared" si="21"/>
        <v>#REF!</v>
      </c>
    </row>
    <row r="93" spans="1:13" x14ac:dyDescent="0.25">
      <c r="A93" s="5">
        <v>2011</v>
      </c>
      <c r="B93" s="53" t="e">
        <f>+#REF!</f>
        <v>#REF!</v>
      </c>
      <c r="C93" s="5">
        <v>850.6</v>
      </c>
      <c r="D93" s="5">
        <v>541.1</v>
      </c>
      <c r="E93" s="59" t="e">
        <f>+#REF!</f>
        <v>#REF!</v>
      </c>
      <c r="I93" s="5">
        <f t="shared" si="22"/>
        <v>2011</v>
      </c>
      <c r="J93" s="5" t="e">
        <f t="shared" si="23"/>
        <v>#REF!</v>
      </c>
      <c r="K93" s="51" t="e">
        <f t="shared" si="19"/>
        <v>#REF!</v>
      </c>
      <c r="L93" s="51" t="e">
        <f t="shared" si="20"/>
        <v>#REF!</v>
      </c>
      <c r="M93" s="51" t="e">
        <f t="shared" si="21"/>
        <v>#REF!</v>
      </c>
    </row>
    <row r="94" spans="1:13" x14ac:dyDescent="0.25">
      <c r="A94" s="5" t="s">
        <v>155</v>
      </c>
      <c r="B94" s="53" t="e">
        <f>+#REF!</f>
        <v>#REF!</v>
      </c>
      <c r="C94" s="5">
        <v>892.4</v>
      </c>
      <c r="D94" s="5">
        <v>566.5</v>
      </c>
      <c r="E94" s="59" t="e">
        <f>+#REF!</f>
        <v>#REF!</v>
      </c>
      <c r="I94" s="5" t="str">
        <f t="shared" si="22"/>
        <v>2012E</v>
      </c>
      <c r="J94" s="5" t="e">
        <f t="shared" si="23"/>
        <v>#REF!</v>
      </c>
      <c r="K94" s="51" t="e">
        <f t="shared" si="19"/>
        <v>#REF!</v>
      </c>
      <c r="L94" s="51" t="e">
        <f t="shared" si="20"/>
        <v>#REF!</v>
      </c>
      <c r="M94" s="51" t="e">
        <f t="shared" si="21"/>
        <v>#REF!</v>
      </c>
    </row>
    <row r="95" spans="1:13" x14ac:dyDescent="0.25">
      <c r="A95" s="5" t="s">
        <v>118</v>
      </c>
      <c r="B95" s="53">
        <f t="shared" ref="B95:B104" si="24">+D5</f>
        <v>2919.1</v>
      </c>
      <c r="C95" s="5">
        <v>929</v>
      </c>
      <c r="D95" s="5">
        <v>588.79999999999995</v>
      </c>
      <c r="E95" s="59">
        <f t="shared" ref="E95:E104" si="25">+B5</f>
        <v>271.10000000000002</v>
      </c>
      <c r="I95" s="5" t="str">
        <f t="shared" si="22"/>
        <v>2013E</v>
      </c>
      <c r="J95" s="5">
        <f t="shared" si="23"/>
        <v>2919.1</v>
      </c>
      <c r="K95" s="51">
        <f t="shared" si="19"/>
        <v>0.31824877530745777</v>
      </c>
      <c r="L95" s="51">
        <f t="shared" si="20"/>
        <v>0.20170600527559862</v>
      </c>
      <c r="M95" s="51">
        <f t="shared" si="21"/>
        <v>9.2871090404576764E-2</v>
      </c>
    </row>
    <row r="96" spans="1:13" x14ac:dyDescent="0.25">
      <c r="A96" s="5" t="s">
        <v>127</v>
      </c>
      <c r="B96" s="53">
        <f t="shared" si="24"/>
        <v>3080</v>
      </c>
      <c r="C96" s="5">
        <v>973</v>
      </c>
      <c r="D96" s="5">
        <v>630.70000000000005</v>
      </c>
      <c r="E96" s="59">
        <f t="shared" si="25"/>
        <v>305.10000000000002</v>
      </c>
      <c r="I96" s="5" t="str">
        <f t="shared" si="22"/>
        <v>2014E</v>
      </c>
      <c r="J96" s="5">
        <f t="shared" si="23"/>
        <v>3080</v>
      </c>
      <c r="K96" s="51">
        <f t="shared" si="19"/>
        <v>0.31590909090909092</v>
      </c>
      <c r="L96" s="51">
        <f t="shared" si="20"/>
        <v>0.2047727272727273</v>
      </c>
      <c r="M96" s="51">
        <f t="shared" si="21"/>
        <v>9.9058441558441568E-2</v>
      </c>
    </row>
    <row r="97" spans="1:13" x14ac:dyDescent="0.25">
      <c r="A97" s="5" t="s">
        <v>128</v>
      </c>
      <c r="B97" s="53">
        <f t="shared" si="24"/>
        <v>3243.5</v>
      </c>
      <c r="C97" s="5">
        <v>1027.5</v>
      </c>
      <c r="D97" s="5">
        <v>664.9</v>
      </c>
      <c r="E97" s="59">
        <f t="shared" si="25"/>
        <v>328.4</v>
      </c>
      <c r="I97" s="5" t="str">
        <f t="shared" si="22"/>
        <v>2015E</v>
      </c>
      <c r="J97" s="5">
        <f t="shared" si="23"/>
        <v>3243.5</v>
      </c>
      <c r="K97" s="51">
        <f t="shared" si="19"/>
        <v>0.31678742099583784</v>
      </c>
      <c r="L97" s="51">
        <f t="shared" si="20"/>
        <v>0.20499460459380298</v>
      </c>
      <c r="M97" s="51">
        <f t="shared" si="21"/>
        <v>0.10124865114845075</v>
      </c>
    </row>
    <row r="98" spans="1:13" x14ac:dyDescent="0.25">
      <c r="A98" s="5" t="s">
        <v>129</v>
      </c>
      <c r="B98" s="53">
        <f t="shared" si="24"/>
        <v>3402.6</v>
      </c>
      <c r="C98" s="5">
        <v>1091.5999999999999</v>
      </c>
      <c r="D98" s="5">
        <v>698</v>
      </c>
      <c r="E98" s="59">
        <f t="shared" si="25"/>
        <v>343.2</v>
      </c>
      <c r="I98" s="5" t="str">
        <f t="shared" si="22"/>
        <v>2016E</v>
      </c>
      <c r="J98" s="5">
        <f t="shared" si="23"/>
        <v>3402.6</v>
      </c>
      <c r="K98" s="51">
        <f t="shared" si="19"/>
        <v>0.32081349556221711</v>
      </c>
      <c r="L98" s="51">
        <f t="shared" si="20"/>
        <v>0.20513724798683361</v>
      </c>
      <c r="M98" s="51">
        <f t="shared" si="21"/>
        <v>0.10086404514195027</v>
      </c>
    </row>
    <row r="99" spans="1:13" x14ac:dyDescent="0.25">
      <c r="A99" s="5" t="s">
        <v>156</v>
      </c>
      <c r="B99" s="53">
        <f t="shared" si="24"/>
        <v>3586.6</v>
      </c>
      <c r="C99" s="5">
        <v>1158.0999999999999</v>
      </c>
      <c r="D99" s="5">
        <v>736.5</v>
      </c>
      <c r="E99" s="59">
        <f t="shared" si="25"/>
        <v>364.4</v>
      </c>
      <c r="I99" s="5" t="str">
        <f t="shared" si="22"/>
        <v>2017E</v>
      </c>
      <c r="J99" s="5">
        <f t="shared" si="23"/>
        <v>3586.6</v>
      </c>
      <c r="K99" s="51">
        <f t="shared" si="19"/>
        <v>0.32289633636312942</v>
      </c>
      <c r="L99" s="51">
        <f t="shared" si="20"/>
        <v>0.20534768304243572</v>
      </c>
      <c r="M99" s="51">
        <f t="shared" si="21"/>
        <v>0.10160040149445157</v>
      </c>
    </row>
    <row r="100" spans="1:13" x14ac:dyDescent="0.25">
      <c r="A100" s="5" t="s">
        <v>157</v>
      </c>
      <c r="B100" s="53">
        <f t="shared" si="24"/>
        <v>3785.5</v>
      </c>
      <c r="C100" s="5">
        <v>1232.3</v>
      </c>
      <c r="D100" s="5">
        <v>782.8</v>
      </c>
      <c r="E100" s="59">
        <f t="shared" si="25"/>
        <v>385.1</v>
      </c>
      <c r="I100" s="5" t="str">
        <f t="shared" si="22"/>
        <v>2018E</v>
      </c>
      <c r="J100" s="5">
        <f t="shared" si="23"/>
        <v>3785.5</v>
      </c>
      <c r="K100" s="51">
        <f t="shared" si="19"/>
        <v>0.32553163386606787</v>
      </c>
      <c r="L100" s="51">
        <f t="shared" si="20"/>
        <v>0.20678906353189802</v>
      </c>
      <c r="M100" s="51">
        <f t="shared" si="21"/>
        <v>0.10173028661999736</v>
      </c>
    </row>
    <row r="101" spans="1:13" x14ac:dyDescent="0.25">
      <c r="A101" s="5" t="s">
        <v>158</v>
      </c>
      <c r="B101" s="53">
        <f t="shared" si="24"/>
        <v>4020</v>
      </c>
      <c r="C101" s="5">
        <v>1310.7</v>
      </c>
      <c r="D101" s="5">
        <v>834.6</v>
      </c>
      <c r="E101" s="59">
        <f t="shared" si="25"/>
        <v>408.7</v>
      </c>
      <c r="I101" s="5" t="str">
        <f t="shared" si="22"/>
        <v>2019E</v>
      </c>
      <c r="J101" s="5">
        <f t="shared" si="23"/>
        <v>4020</v>
      </c>
      <c r="K101" s="51">
        <f t="shared" si="19"/>
        <v>0.32604477611940302</v>
      </c>
      <c r="L101" s="51">
        <f t="shared" si="20"/>
        <v>0.20761194029850746</v>
      </c>
      <c r="M101" s="51">
        <f t="shared" si="21"/>
        <v>0.10166666666666667</v>
      </c>
    </row>
    <row r="102" spans="1:13" x14ac:dyDescent="0.25">
      <c r="A102" s="5" t="s">
        <v>159</v>
      </c>
      <c r="B102" s="53">
        <f t="shared" si="24"/>
        <v>4273.8</v>
      </c>
      <c r="C102" s="5">
        <v>1397.4</v>
      </c>
      <c r="D102" s="5">
        <v>890.7</v>
      </c>
      <c r="E102" s="59">
        <f t="shared" si="25"/>
        <v>435.3</v>
      </c>
      <c r="I102" s="5" t="str">
        <f t="shared" si="22"/>
        <v>2020E</v>
      </c>
      <c r="J102" s="5">
        <f t="shared" si="23"/>
        <v>4273.8</v>
      </c>
      <c r="K102" s="51">
        <f t="shared" si="19"/>
        <v>0.32696897374701672</v>
      </c>
      <c r="L102" s="51">
        <f t="shared" si="20"/>
        <v>0.20840937807103749</v>
      </c>
      <c r="M102" s="51">
        <f t="shared" si="21"/>
        <v>0.10185315176189808</v>
      </c>
    </row>
    <row r="103" spans="1:13" x14ac:dyDescent="0.25">
      <c r="A103" s="5" t="s">
        <v>160</v>
      </c>
      <c r="B103" s="53">
        <f t="shared" si="24"/>
        <v>4542.5</v>
      </c>
      <c r="C103" s="5">
        <v>1485.2</v>
      </c>
      <c r="D103" s="5">
        <v>948.9</v>
      </c>
      <c r="E103" s="59">
        <f t="shared" si="25"/>
        <v>464.1</v>
      </c>
      <c r="I103" s="5" t="str">
        <f t="shared" si="22"/>
        <v>2021E</v>
      </c>
      <c r="J103" s="5">
        <f t="shared" si="23"/>
        <v>4542.5</v>
      </c>
      <c r="K103" s="51">
        <f t="shared" si="19"/>
        <v>0.32695652173913042</v>
      </c>
      <c r="L103" s="51">
        <f t="shared" si="20"/>
        <v>0.20889378095762245</v>
      </c>
      <c r="M103" s="51">
        <f t="shared" si="21"/>
        <v>0.10216840946615301</v>
      </c>
    </row>
    <row r="104" spans="1:13" x14ac:dyDescent="0.25">
      <c r="A104" s="5" t="s">
        <v>81</v>
      </c>
      <c r="B104" s="53">
        <f t="shared" si="24"/>
        <v>4825.3999999999996</v>
      </c>
      <c r="C104" s="5">
        <v>1581.3</v>
      </c>
      <c r="D104" s="5">
        <v>1012</v>
      </c>
      <c r="E104" s="59">
        <f t="shared" si="25"/>
        <v>495.2</v>
      </c>
      <c r="I104" s="5" t="str">
        <f t="shared" si="22"/>
        <v>2022E</v>
      </c>
      <c r="J104" s="5">
        <f t="shared" si="23"/>
        <v>4825.3999999999996</v>
      </c>
      <c r="K104" s="51">
        <f t="shared" si="19"/>
        <v>0.32770340282670868</v>
      </c>
      <c r="L104" s="51">
        <f t="shared" si="20"/>
        <v>0.20972354623450906</v>
      </c>
      <c r="M104" s="51">
        <f t="shared" si="21"/>
        <v>0.10262361669498903</v>
      </c>
    </row>
    <row r="105" spans="1:13" x14ac:dyDescent="0.25">
      <c r="B105" s="53"/>
      <c r="E105" s="59"/>
    </row>
    <row r="106" spans="1:13" x14ac:dyDescent="0.25">
      <c r="B106" s="58">
        <f>+B104-B88</f>
        <v>2662.0999999999995</v>
      </c>
      <c r="C106" s="5">
        <f>+C104-C88</f>
        <v>929.4</v>
      </c>
      <c r="D106" s="5">
        <f>+D104-D88</f>
        <v>573.20000000000005</v>
      </c>
      <c r="E106" s="5" t="e">
        <f>+E104-E88</f>
        <v>#REF!</v>
      </c>
    </row>
    <row r="108" spans="1:13" x14ac:dyDescent="0.25">
      <c r="A108" s="5" t="s">
        <v>276</v>
      </c>
      <c r="B108" s="75">
        <f>+B106</f>
        <v>2662.0999999999995</v>
      </c>
    </row>
    <row r="109" spans="1:13" x14ac:dyDescent="0.25">
      <c r="A109" s="5" t="s">
        <v>273</v>
      </c>
      <c r="B109" s="5">
        <f>+C106</f>
        <v>929.4</v>
      </c>
      <c r="C109" s="51">
        <f>+B109/$B$108</f>
        <v>0.34912287291987537</v>
      </c>
    </row>
    <row r="110" spans="1:13" x14ac:dyDescent="0.25">
      <c r="A110" s="5" t="str">
        <f>+D87</f>
        <v>Physician and Clinical Services</v>
      </c>
      <c r="B110" s="5">
        <f>+D106</f>
        <v>573.20000000000005</v>
      </c>
      <c r="C110" s="51">
        <f>+B110/$B$108</f>
        <v>0.2153187333308291</v>
      </c>
    </row>
    <row r="111" spans="1:13" x14ac:dyDescent="0.25">
      <c r="A111" s="5" t="str">
        <f>+E87</f>
        <v>Rx Spending</v>
      </c>
      <c r="B111" s="5" t="e">
        <f>+E106</f>
        <v>#REF!</v>
      </c>
      <c r="C111" s="51" t="e">
        <f>+B111/$B$108</f>
        <v>#REF!</v>
      </c>
    </row>
    <row r="112" spans="1:13" x14ac:dyDescent="0.25">
      <c r="C112" s="51"/>
    </row>
  </sheetData>
  <mergeCells count="4">
    <mergeCell ref="B4:C4"/>
    <mergeCell ref="D4:E4"/>
    <mergeCell ref="B20:C20"/>
    <mergeCell ref="D20:E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K24"/>
  <sheetViews>
    <sheetView workbookViewId="0">
      <selection activeCell="I22" sqref="I22"/>
    </sheetView>
  </sheetViews>
  <sheetFormatPr defaultColWidth="9.109375" defaultRowHeight="13.2" x14ac:dyDescent="0.25"/>
  <cols>
    <col min="1" max="1" width="19" style="7" customWidth="1"/>
    <col min="2" max="2" width="16.44140625" style="7" customWidth="1"/>
    <col min="3" max="3" width="14" style="7" customWidth="1"/>
    <col min="4" max="4" width="11" style="7" customWidth="1"/>
    <col min="5" max="5" width="11.109375" style="7" customWidth="1"/>
    <col min="6" max="8" width="9.109375" style="7"/>
    <col min="9" max="9" width="22.44140625" style="7" bestFit="1" customWidth="1"/>
    <col min="10" max="10" width="16.33203125" style="7" bestFit="1" customWidth="1"/>
    <col min="11" max="16384" width="9.109375" style="7"/>
  </cols>
  <sheetData>
    <row r="1" spans="1:1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39.6" x14ac:dyDescent="0.25">
      <c r="A2" s="9" t="s">
        <v>91</v>
      </c>
      <c r="B2" s="10" t="s">
        <v>92</v>
      </c>
      <c r="C2" s="10" t="s">
        <v>93</v>
      </c>
      <c r="D2" s="10" t="s">
        <v>94</v>
      </c>
      <c r="E2" s="10" t="s">
        <v>95</v>
      </c>
      <c r="F2" s="72"/>
      <c r="G2" s="6"/>
      <c r="H2" s="6"/>
      <c r="I2" s="6"/>
      <c r="J2" s="6"/>
      <c r="K2" s="6"/>
    </row>
    <row r="3" spans="1:11" x14ac:dyDescent="0.25">
      <c r="A3" s="6" t="s">
        <v>261</v>
      </c>
      <c r="B3" s="6" t="s">
        <v>106</v>
      </c>
      <c r="C3" s="70">
        <v>710</v>
      </c>
      <c r="D3" s="12">
        <v>0.36</v>
      </c>
      <c r="E3" s="6">
        <v>346</v>
      </c>
      <c r="F3" s="6"/>
      <c r="G3" s="6"/>
      <c r="H3" s="9" t="s">
        <v>263</v>
      </c>
      <c r="I3" s="9" t="s">
        <v>264</v>
      </c>
      <c r="J3" s="9" t="s">
        <v>265</v>
      </c>
      <c r="K3" s="6"/>
    </row>
    <row r="4" spans="1:11" x14ac:dyDescent="0.25">
      <c r="A4" s="6" t="s">
        <v>96</v>
      </c>
      <c r="B4" s="6" t="s">
        <v>107</v>
      </c>
      <c r="C4" s="70">
        <v>602</v>
      </c>
      <c r="D4" s="12">
        <v>0.77</v>
      </c>
      <c r="E4" s="6">
        <v>95</v>
      </c>
      <c r="F4" s="6"/>
      <c r="G4" s="73">
        <v>2008</v>
      </c>
      <c r="H4" s="6" t="s">
        <v>266</v>
      </c>
      <c r="I4" s="6" t="s">
        <v>267</v>
      </c>
      <c r="J4" s="6">
        <v>521</v>
      </c>
      <c r="K4" s="6"/>
    </row>
    <row r="5" spans="1:11" x14ac:dyDescent="0.25">
      <c r="A5" s="6" t="s">
        <v>98</v>
      </c>
      <c r="B5" s="6" t="s">
        <v>108</v>
      </c>
      <c r="C5" s="70">
        <v>400</v>
      </c>
      <c r="D5" s="12">
        <v>0.68</v>
      </c>
      <c r="E5" s="6">
        <v>80</v>
      </c>
      <c r="F5" s="6"/>
      <c r="G5" s="73">
        <v>2010</v>
      </c>
      <c r="H5" s="6" t="s">
        <v>21</v>
      </c>
      <c r="I5" s="6" t="s">
        <v>268</v>
      </c>
      <c r="J5" s="6">
        <v>257</v>
      </c>
      <c r="K5" s="6"/>
    </row>
    <row r="6" spans="1:11" x14ac:dyDescent="0.25">
      <c r="A6" s="6" t="s">
        <v>97</v>
      </c>
      <c r="B6" s="6" t="s">
        <v>109</v>
      </c>
      <c r="C6" s="70">
        <v>360</v>
      </c>
      <c r="D6" s="12">
        <v>0.95</v>
      </c>
      <c r="E6" s="6">
        <v>79</v>
      </c>
      <c r="F6" s="6"/>
      <c r="G6" s="73">
        <v>2012</v>
      </c>
      <c r="H6" s="6" t="s">
        <v>21</v>
      </c>
      <c r="I6" s="6" t="s">
        <v>269</v>
      </c>
      <c r="J6" s="6">
        <v>144</v>
      </c>
      <c r="K6" s="6"/>
    </row>
    <row r="7" spans="1:11" x14ac:dyDescent="0.25">
      <c r="A7" s="6" t="s">
        <v>99</v>
      </c>
      <c r="B7" s="6" t="s">
        <v>110</v>
      </c>
      <c r="C7" s="70">
        <v>312</v>
      </c>
      <c r="D7" s="12">
        <v>0.91</v>
      </c>
      <c r="E7" s="6">
        <v>90</v>
      </c>
      <c r="F7" s="6"/>
      <c r="G7" s="73">
        <v>2012</v>
      </c>
      <c r="H7" s="6" t="s">
        <v>266</v>
      </c>
      <c r="I7" s="6" t="s">
        <v>271</v>
      </c>
      <c r="J7" s="6">
        <v>19</v>
      </c>
      <c r="K7" s="6"/>
    </row>
    <row r="8" spans="1:11" x14ac:dyDescent="0.25">
      <c r="A8" s="6" t="s">
        <v>100</v>
      </c>
      <c r="B8" s="6" t="s">
        <v>111</v>
      </c>
      <c r="C8" s="70">
        <v>270</v>
      </c>
      <c r="D8" s="12">
        <v>0.85</v>
      </c>
      <c r="E8" s="6">
        <v>78</v>
      </c>
      <c r="F8" s="6"/>
      <c r="G8" s="73">
        <v>2013</v>
      </c>
      <c r="H8" s="6" t="s">
        <v>21</v>
      </c>
      <c r="I8" s="6" t="s">
        <v>270</v>
      </c>
      <c r="J8" s="6">
        <v>76</v>
      </c>
      <c r="K8" s="6"/>
    </row>
    <row r="9" spans="1:11" x14ac:dyDescent="0.25">
      <c r="A9" s="6" t="s">
        <v>102</v>
      </c>
      <c r="B9" s="6" t="s">
        <v>113</v>
      </c>
      <c r="C9" s="70">
        <v>248</v>
      </c>
      <c r="D9" s="12">
        <v>0.43</v>
      </c>
      <c r="E9" s="6">
        <v>71</v>
      </c>
      <c r="F9" s="6"/>
      <c r="G9" s="6"/>
      <c r="H9" s="6"/>
      <c r="I9" s="6"/>
      <c r="J9" s="6"/>
      <c r="K9" s="6"/>
    </row>
    <row r="10" spans="1:11" x14ac:dyDescent="0.25">
      <c r="A10" s="6" t="s">
        <v>101</v>
      </c>
      <c r="B10" s="6" t="s">
        <v>112</v>
      </c>
      <c r="C10" s="70">
        <v>239</v>
      </c>
      <c r="D10" s="12">
        <v>0.9</v>
      </c>
      <c r="E10" s="6">
        <v>71</v>
      </c>
      <c r="F10" s="6"/>
      <c r="G10" s="6"/>
      <c r="H10" s="6"/>
      <c r="I10" s="6"/>
      <c r="J10" s="6"/>
      <c r="K10" s="6"/>
    </row>
    <row r="11" spans="1:11" x14ac:dyDescent="0.25">
      <c r="A11" s="6" t="s">
        <v>103</v>
      </c>
      <c r="B11" s="6" t="s">
        <v>114</v>
      </c>
      <c r="C11" s="70">
        <v>231</v>
      </c>
      <c r="D11" s="12">
        <v>0.56999999999999995</v>
      </c>
      <c r="E11" s="6">
        <v>58</v>
      </c>
      <c r="F11" s="6"/>
      <c r="G11" s="6"/>
      <c r="H11" s="6"/>
      <c r="I11" s="6"/>
      <c r="J11" s="6"/>
      <c r="K11" s="6"/>
    </row>
    <row r="12" spans="1:11" x14ac:dyDescent="0.25">
      <c r="A12" s="6" t="s">
        <v>104</v>
      </c>
      <c r="B12" s="6" t="s">
        <v>115</v>
      </c>
      <c r="C12" s="70">
        <v>111</v>
      </c>
      <c r="D12" s="12">
        <v>0.85</v>
      </c>
      <c r="E12" s="6">
        <v>27</v>
      </c>
      <c r="F12" s="6"/>
      <c r="G12" s="6"/>
      <c r="H12" s="6"/>
      <c r="I12" s="6"/>
      <c r="J12" s="6"/>
      <c r="K12" s="6"/>
    </row>
    <row r="13" spans="1:11" x14ac:dyDescent="0.25">
      <c r="A13" s="71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 t="s">
        <v>262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F21" s="6"/>
      <c r="G21" s="6"/>
      <c r="H21" s="6"/>
      <c r="I21" s="6"/>
      <c r="J21" s="6"/>
      <c r="K21" s="6"/>
    </row>
    <row r="22" spans="1:11" x14ac:dyDescent="0.25">
      <c r="F22" s="6"/>
      <c r="G22" s="6"/>
      <c r="H22" s="6"/>
      <c r="I22" s="6"/>
      <c r="J22" s="6"/>
      <c r="K22" s="6"/>
    </row>
    <row r="23" spans="1:11" x14ac:dyDescent="0.25">
      <c r="F23" s="6"/>
      <c r="G23" s="6"/>
      <c r="H23" s="6"/>
      <c r="I23" s="6"/>
      <c r="J23" s="6"/>
      <c r="K23" s="6"/>
    </row>
    <row r="24" spans="1:11" x14ac:dyDescent="0.25">
      <c r="F24" s="6"/>
      <c r="G24" s="6"/>
      <c r="H24" s="6"/>
      <c r="I24" s="6"/>
      <c r="J24" s="6"/>
      <c r="K24" s="6"/>
    </row>
  </sheetData>
  <sortState xmlns:xlrd2="http://schemas.microsoft.com/office/spreadsheetml/2017/richdata2" ref="A3:C12">
    <sortCondition descending="1" ref="C3:C1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4:B43"/>
  <sheetViews>
    <sheetView workbookViewId="0">
      <selection activeCell="I53" sqref="I53"/>
    </sheetView>
  </sheetViews>
  <sheetFormatPr defaultRowHeight="14.4" x14ac:dyDescent="0.3"/>
  <sheetData>
    <row r="4" spans="1:2" x14ac:dyDescent="0.3">
      <c r="A4" t="s">
        <v>123</v>
      </c>
    </row>
    <row r="6" spans="1:2" x14ac:dyDescent="0.3">
      <c r="A6" t="s">
        <v>124</v>
      </c>
      <c r="B6" s="28">
        <v>1E-3</v>
      </c>
    </row>
    <row r="7" spans="1:2" x14ac:dyDescent="0.3">
      <c r="A7" t="s">
        <v>125</v>
      </c>
      <c r="B7" s="28">
        <v>-1.4999999999999999E-2</v>
      </c>
    </row>
    <row r="8" spans="1:2" x14ac:dyDescent="0.3">
      <c r="A8" t="s">
        <v>126</v>
      </c>
      <c r="B8" s="28">
        <v>2.4E-2</v>
      </c>
    </row>
    <row r="9" spans="1:2" x14ac:dyDescent="0.3">
      <c r="A9" t="s">
        <v>127</v>
      </c>
      <c r="B9" s="28">
        <v>0.02</v>
      </c>
    </row>
    <row r="10" spans="1:2" x14ac:dyDescent="0.3">
      <c r="A10" t="s">
        <v>128</v>
      </c>
      <c r="B10" s="28">
        <v>1.9E-2</v>
      </c>
    </row>
    <row r="11" spans="1:2" x14ac:dyDescent="0.3">
      <c r="A11" t="s">
        <v>129</v>
      </c>
      <c r="B11" s="28">
        <v>1.9E-2</v>
      </c>
    </row>
    <row r="12" spans="1:2" x14ac:dyDescent="0.3">
      <c r="B12" s="47"/>
    </row>
    <row r="13" spans="1:2" x14ac:dyDescent="0.3">
      <c r="A13" t="s">
        <v>130</v>
      </c>
      <c r="B13" s="47"/>
    </row>
    <row r="14" spans="1:2" x14ac:dyDescent="0.3">
      <c r="B14" s="47"/>
    </row>
    <row r="15" spans="1:2" x14ac:dyDescent="0.3">
      <c r="A15" t="s">
        <v>124</v>
      </c>
      <c r="B15" s="28">
        <v>0.17100000000000001</v>
      </c>
    </row>
    <row r="16" spans="1:2" x14ac:dyDescent="0.3">
      <c r="A16" t="s">
        <v>125</v>
      </c>
      <c r="B16" s="28">
        <v>0.184</v>
      </c>
    </row>
    <row r="17" spans="1:2" x14ac:dyDescent="0.3">
      <c r="A17" t="s">
        <v>126</v>
      </c>
      <c r="B17" s="28">
        <v>0.19</v>
      </c>
    </row>
    <row r="18" spans="1:2" x14ac:dyDescent="0.3">
      <c r="A18" t="s">
        <v>127</v>
      </c>
      <c r="B18" s="28">
        <v>0.14099999999999999</v>
      </c>
    </row>
    <row r="19" spans="1:2" x14ac:dyDescent="0.3">
      <c r="A19" t="s">
        <v>128</v>
      </c>
      <c r="B19" s="28">
        <v>0.18</v>
      </c>
    </row>
    <row r="20" spans="1:2" x14ac:dyDescent="0.3">
      <c r="A20" t="s">
        <v>129</v>
      </c>
      <c r="B20" s="28">
        <v>0.182</v>
      </c>
    </row>
    <row r="35" spans="1:1" x14ac:dyDescent="0.3">
      <c r="A35" t="s">
        <v>131</v>
      </c>
    </row>
    <row r="37" spans="1:1" x14ac:dyDescent="0.3">
      <c r="A37" t="s">
        <v>132</v>
      </c>
    </row>
    <row r="40" spans="1:1" x14ac:dyDescent="0.3">
      <c r="A40" t="s">
        <v>133</v>
      </c>
    </row>
    <row r="42" spans="1:1" x14ac:dyDescent="0.3">
      <c r="A42" t="s">
        <v>134</v>
      </c>
    </row>
    <row r="43" spans="1:1" x14ac:dyDescent="0.3">
      <c r="A43" t="s">
        <v>135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3:B6"/>
  <sheetViews>
    <sheetView workbookViewId="0">
      <selection activeCell="O10" sqref="O10"/>
    </sheetView>
  </sheetViews>
  <sheetFormatPr defaultRowHeight="14.4" x14ac:dyDescent="0.3"/>
  <sheetData>
    <row r="3" spans="1:2" x14ac:dyDescent="0.3">
      <c r="A3" t="s">
        <v>136</v>
      </c>
    </row>
    <row r="5" spans="1:2" x14ac:dyDescent="0.3">
      <c r="A5">
        <v>2010</v>
      </c>
      <c r="B5" s="3">
        <v>0.18</v>
      </c>
    </row>
    <row r="6" spans="1:2" x14ac:dyDescent="0.3">
      <c r="A6">
        <v>2020</v>
      </c>
      <c r="B6" s="3">
        <v>0.43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C6"/>
  <sheetViews>
    <sheetView workbookViewId="0">
      <selection activeCell="L33" sqref="L33"/>
    </sheetView>
  </sheetViews>
  <sheetFormatPr defaultRowHeight="14.4" x14ac:dyDescent="0.3"/>
  <cols>
    <col min="1" max="1" width="29" bestFit="1" customWidth="1"/>
    <col min="2" max="2" width="14.5546875" bestFit="1" customWidth="1"/>
    <col min="3" max="3" width="16.109375" bestFit="1" customWidth="1"/>
  </cols>
  <sheetData>
    <row r="3" spans="1:3" x14ac:dyDescent="0.3">
      <c r="A3" t="s">
        <v>169</v>
      </c>
    </row>
    <row r="4" spans="1:3" x14ac:dyDescent="0.3">
      <c r="B4" t="s">
        <v>165</v>
      </c>
      <c r="C4" t="s">
        <v>166</v>
      </c>
    </row>
    <row r="5" spans="1:3" x14ac:dyDescent="0.3">
      <c r="A5" t="s">
        <v>167</v>
      </c>
      <c r="B5" s="3">
        <v>0.01</v>
      </c>
      <c r="C5" s="3">
        <v>0.99</v>
      </c>
    </row>
    <row r="6" spans="1:3" x14ac:dyDescent="0.3">
      <c r="A6" t="s">
        <v>168</v>
      </c>
      <c r="B6" s="3">
        <v>0.25</v>
      </c>
      <c r="C6" s="3">
        <v>0.75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11"/>
  <sheetViews>
    <sheetView workbookViewId="0">
      <selection activeCell="H33" sqref="H33"/>
    </sheetView>
  </sheetViews>
  <sheetFormatPr defaultRowHeight="14.4" x14ac:dyDescent="0.3"/>
  <cols>
    <col min="1" max="1" width="16.88671875" customWidth="1"/>
  </cols>
  <sheetData>
    <row r="2" spans="1:2" x14ac:dyDescent="0.3">
      <c r="A2" s="1" t="s">
        <v>138</v>
      </c>
    </row>
    <row r="3" spans="1:2" x14ac:dyDescent="0.3">
      <c r="A3" s="48" t="s">
        <v>139</v>
      </c>
    </row>
    <row r="4" spans="1:2" x14ac:dyDescent="0.3">
      <c r="A4" s="48"/>
    </row>
    <row r="5" spans="1:2" x14ac:dyDescent="0.3">
      <c r="A5" t="s">
        <v>140</v>
      </c>
      <c r="B5" s="49">
        <v>20.100000000000001</v>
      </c>
    </row>
    <row r="6" spans="1:2" x14ac:dyDescent="0.3">
      <c r="A6" t="s">
        <v>141</v>
      </c>
      <c r="B6" s="49">
        <v>17.600000000000001</v>
      </c>
    </row>
    <row r="7" spans="1:2" x14ac:dyDescent="0.3">
      <c r="A7" t="s">
        <v>13</v>
      </c>
      <c r="B7" s="49">
        <v>16</v>
      </c>
    </row>
    <row r="8" spans="1:2" x14ac:dyDescent="0.3">
      <c r="A8" t="s">
        <v>142</v>
      </c>
      <c r="B8" s="49">
        <v>6.3</v>
      </c>
    </row>
    <row r="9" spans="1:2" x14ac:dyDescent="0.3">
      <c r="A9" t="s">
        <v>143</v>
      </c>
      <c r="B9" s="49">
        <v>1.4</v>
      </c>
    </row>
    <row r="10" spans="1:2" x14ac:dyDescent="0.3">
      <c r="A10" t="s">
        <v>144</v>
      </c>
      <c r="B10" s="49">
        <v>1.2</v>
      </c>
    </row>
    <row r="11" spans="1:2" x14ac:dyDescent="0.3">
      <c r="A11" t="s">
        <v>145</v>
      </c>
      <c r="B11" s="49">
        <v>0.6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C13"/>
  <sheetViews>
    <sheetView workbookViewId="0">
      <selection activeCell="F25" sqref="F25"/>
    </sheetView>
  </sheetViews>
  <sheetFormatPr defaultRowHeight="14.4" x14ac:dyDescent="0.3"/>
  <sheetData>
    <row r="3" spans="1:3" x14ac:dyDescent="0.3">
      <c r="A3" t="s">
        <v>170</v>
      </c>
    </row>
    <row r="5" spans="1:3" x14ac:dyDescent="0.3">
      <c r="B5" t="s">
        <v>171</v>
      </c>
      <c r="C5" t="s">
        <v>137</v>
      </c>
    </row>
    <row r="6" spans="1:3" x14ac:dyDescent="0.3">
      <c r="A6">
        <v>2005</v>
      </c>
      <c r="B6">
        <v>22</v>
      </c>
      <c r="C6">
        <v>6</v>
      </c>
    </row>
    <row r="7" spans="1:3" x14ac:dyDescent="0.3">
      <c r="A7">
        <v>2006</v>
      </c>
      <c r="B7">
        <v>22</v>
      </c>
      <c r="C7">
        <v>7</v>
      </c>
    </row>
    <row r="8" spans="1:3" x14ac:dyDescent="0.3">
      <c r="A8">
        <v>2007</v>
      </c>
      <c r="B8">
        <v>18</v>
      </c>
      <c r="C8">
        <v>8</v>
      </c>
    </row>
    <row r="9" spans="1:3" x14ac:dyDescent="0.3">
      <c r="A9">
        <v>2008</v>
      </c>
      <c r="B9">
        <v>23</v>
      </c>
      <c r="C9">
        <v>8</v>
      </c>
    </row>
    <row r="10" spans="1:3" x14ac:dyDescent="0.3">
      <c r="A10">
        <v>2009</v>
      </c>
      <c r="B10">
        <v>24</v>
      </c>
      <c r="C10">
        <v>10</v>
      </c>
    </row>
    <row r="11" spans="1:3" x14ac:dyDescent="0.3">
      <c r="A11">
        <v>2010</v>
      </c>
      <c r="B11">
        <v>12</v>
      </c>
      <c r="C11">
        <v>14</v>
      </c>
    </row>
    <row r="12" spans="1:3" x14ac:dyDescent="0.3">
      <c r="A12">
        <v>2011</v>
      </c>
      <c r="B12">
        <v>17</v>
      </c>
      <c r="C12">
        <v>18</v>
      </c>
    </row>
    <row r="13" spans="1:3" x14ac:dyDescent="0.3">
      <c r="A13">
        <v>2012</v>
      </c>
      <c r="B13">
        <v>21</v>
      </c>
      <c r="C13">
        <v>22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5:AG66"/>
  <sheetViews>
    <sheetView tabSelected="1" topLeftCell="A4" workbookViewId="0">
      <selection activeCell="A7" sqref="A7:E13"/>
    </sheetView>
  </sheetViews>
  <sheetFormatPr defaultColWidth="9.109375" defaultRowHeight="13.8" x14ac:dyDescent="0.25"/>
  <cols>
    <col min="1" max="1" width="10.109375" style="5" customWidth="1"/>
    <col min="2" max="2" width="21.5546875" style="5" bestFit="1" customWidth="1"/>
    <col min="3" max="3" width="18" style="5" customWidth="1"/>
    <col min="4" max="4" width="14.33203125" style="5" customWidth="1"/>
    <col min="5" max="5" width="16.6640625" style="5" customWidth="1"/>
    <col min="6" max="7" width="9.109375" style="5"/>
    <col min="8" max="8" width="12" style="5" bestFit="1" customWidth="1"/>
    <col min="9" max="9" width="16.109375" style="5" bestFit="1" customWidth="1"/>
    <col min="10" max="10" width="11" style="5" bestFit="1" customWidth="1"/>
    <col min="11" max="11" width="11.5546875" style="5" bestFit="1" customWidth="1"/>
    <col min="12" max="12" width="10" style="5" bestFit="1" customWidth="1"/>
    <col min="13" max="13" width="15.5546875" style="5" bestFit="1" customWidth="1"/>
    <col min="14" max="14" width="16.109375" style="5" bestFit="1" customWidth="1"/>
    <col min="15" max="15" width="13.88671875" style="5" bestFit="1" customWidth="1"/>
    <col min="16" max="18" width="9.109375" style="5"/>
    <col min="19" max="19" width="19.5546875" style="5" bestFit="1" customWidth="1"/>
    <col min="20" max="20" width="18.5546875" style="5" bestFit="1" customWidth="1"/>
    <col min="21" max="21" width="16.88671875" style="5" bestFit="1" customWidth="1"/>
    <col min="22" max="24" width="9.109375" style="5"/>
    <col min="25" max="25" width="13.5546875" style="5" customWidth="1"/>
    <col min="26" max="26" width="15.109375" style="5" customWidth="1"/>
    <col min="27" max="27" width="21.109375" style="5" customWidth="1"/>
    <col min="28" max="28" width="26" style="5" customWidth="1"/>
    <col min="29" max="29" width="28.44140625" style="5" bestFit="1" customWidth="1"/>
    <col min="30" max="30" width="28.109375" style="5" bestFit="1" customWidth="1"/>
    <col min="31" max="31" width="23.88671875" style="5" bestFit="1" customWidth="1"/>
    <col min="32" max="32" width="23.88671875" style="5" customWidth="1"/>
    <col min="33" max="33" width="25" style="5" customWidth="1"/>
    <col min="34" max="16384" width="9.109375" style="5"/>
  </cols>
  <sheetData>
    <row r="5" spans="1:19" x14ac:dyDescent="0.25">
      <c r="A5" s="4"/>
      <c r="B5" s="4"/>
      <c r="C5" s="4"/>
      <c r="D5" s="4"/>
      <c r="E5" s="4"/>
    </row>
    <row r="6" spans="1:19" x14ac:dyDescent="0.25">
      <c r="A6" s="4"/>
      <c r="B6" s="4"/>
      <c r="C6" s="4"/>
      <c r="D6" s="4"/>
      <c r="E6" s="4"/>
    </row>
    <row r="7" spans="1:19" ht="39.6" x14ac:dyDescent="0.25">
      <c r="A7" s="235" t="s">
        <v>312</v>
      </c>
      <c r="B7" s="235" t="s">
        <v>480</v>
      </c>
      <c r="C7" s="235" t="s">
        <v>281</v>
      </c>
      <c r="D7" s="236" t="s">
        <v>288</v>
      </c>
      <c r="E7" s="236" t="s">
        <v>282</v>
      </c>
    </row>
    <row r="8" spans="1:19" x14ac:dyDescent="0.25">
      <c r="A8" s="6" t="s">
        <v>283</v>
      </c>
      <c r="B8" s="6">
        <v>21.3</v>
      </c>
      <c r="C8" s="12">
        <v>0.47799999999999998</v>
      </c>
      <c r="D8" s="70">
        <v>32</v>
      </c>
      <c r="E8" s="12">
        <v>0.01</v>
      </c>
      <c r="H8" s="5" t="s">
        <v>289</v>
      </c>
      <c r="I8" s="5" t="s">
        <v>290</v>
      </c>
      <c r="J8" s="5" t="s">
        <v>291</v>
      </c>
      <c r="K8" s="5" t="s">
        <v>292</v>
      </c>
      <c r="L8" s="5" t="s">
        <v>293</v>
      </c>
      <c r="M8" s="5" t="s">
        <v>294</v>
      </c>
      <c r="N8" s="5" t="s">
        <v>295</v>
      </c>
      <c r="O8" s="5" t="s">
        <v>296</v>
      </c>
    </row>
    <row r="9" spans="1:19" x14ac:dyDescent="0.25">
      <c r="A9" s="76" t="s">
        <v>284</v>
      </c>
      <c r="B9" s="6">
        <v>53.6</v>
      </c>
      <c r="C9" s="12">
        <v>0.433</v>
      </c>
      <c r="D9" s="70">
        <v>75</v>
      </c>
      <c r="E9" s="12">
        <v>0.06</v>
      </c>
      <c r="H9" s="5">
        <v>1900</v>
      </c>
      <c r="I9" s="5">
        <v>1791363</v>
      </c>
      <c r="J9" s="5">
        <v>2186767</v>
      </c>
      <c r="K9" s="5">
        <v>771369</v>
      </c>
      <c r="L9" s="5">
        <v>122362</v>
      </c>
      <c r="M9" s="5">
        <v>4871861</v>
      </c>
      <c r="N9" s="5">
        <v>3080498</v>
      </c>
      <c r="O9" s="5">
        <v>75994575</v>
      </c>
    </row>
    <row r="10" spans="1:19" x14ac:dyDescent="0.25">
      <c r="A10" s="6" t="s">
        <v>285</v>
      </c>
      <c r="B10" s="6">
        <v>111.1</v>
      </c>
      <c r="C10" s="12">
        <v>0.52600000000000002</v>
      </c>
      <c r="D10" s="70">
        <v>151</v>
      </c>
      <c r="E10" s="12">
        <v>0.19</v>
      </c>
      <c r="H10" s="5">
        <v>1910</v>
      </c>
      <c r="I10" s="5">
        <v>2267150</v>
      </c>
      <c r="J10" s="5">
        <v>2793231</v>
      </c>
      <c r="K10" s="5">
        <v>989056</v>
      </c>
      <c r="L10" s="5">
        <v>167237</v>
      </c>
      <c r="M10" s="5">
        <v>6216674</v>
      </c>
      <c r="N10" s="5">
        <v>3949524</v>
      </c>
      <c r="O10" s="5">
        <v>91972266</v>
      </c>
    </row>
    <row r="11" spans="1:19" x14ac:dyDescent="0.25">
      <c r="A11" s="6" t="s">
        <v>286</v>
      </c>
      <c r="B11" s="6">
        <v>81.5</v>
      </c>
      <c r="C11" s="12">
        <v>0.73799999999999999</v>
      </c>
      <c r="D11" s="70">
        <v>533</v>
      </c>
      <c r="E11" s="12">
        <v>0.39</v>
      </c>
      <c r="H11" s="5">
        <v>1920</v>
      </c>
      <c r="I11" s="5">
        <v>2982548</v>
      </c>
      <c r="J11" s="5">
        <v>3463511</v>
      </c>
      <c r="K11" s="5">
        <v>1259339</v>
      </c>
      <c r="L11" s="5">
        <v>210365</v>
      </c>
      <c r="M11" s="5">
        <v>7915763</v>
      </c>
      <c r="N11" s="5">
        <v>4933215</v>
      </c>
      <c r="O11" s="5">
        <v>105710620</v>
      </c>
    </row>
    <row r="12" spans="1:19" x14ac:dyDescent="0.25">
      <c r="A12" s="6" t="s">
        <v>287</v>
      </c>
      <c r="B12" s="14">
        <v>59.2</v>
      </c>
      <c r="C12" s="77">
        <v>0.90300000000000002</v>
      </c>
      <c r="D12" s="78">
        <v>1387</v>
      </c>
      <c r="E12" s="77">
        <v>0.35</v>
      </c>
      <c r="H12" s="5">
        <v>1930</v>
      </c>
      <c r="I12" s="5">
        <v>3751221</v>
      </c>
      <c r="J12" s="5">
        <v>4720609</v>
      </c>
      <c r="K12" s="5">
        <v>1641066</v>
      </c>
      <c r="L12" s="5">
        <v>272130</v>
      </c>
      <c r="M12" s="5">
        <v>10385026</v>
      </c>
      <c r="N12" s="5">
        <v>6633805</v>
      </c>
      <c r="O12" s="5">
        <v>122775046</v>
      </c>
    </row>
    <row r="13" spans="1:19" x14ac:dyDescent="0.25">
      <c r="A13" s="245" t="s">
        <v>7</v>
      </c>
      <c r="B13" s="8">
        <f>SUM(B8:B12)</f>
        <v>326.7</v>
      </c>
      <c r="C13" s="246">
        <f>AVERAGE(C8:C12)</f>
        <v>0.61559999999999993</v>
      </c>
      <c r="D13" s="247">
        <f>MEDIAN(D8:D12)</f>
        <v>151</v>
      </c>
      <c r="E13" s="246">
        <f>SUM(E8:E12)</f>
        <v>1</v>
      </c>
      <c r="H13" s="5">
        <v>1940</v>
      </c>
      <c r="I13" s="5">
        <v>4728340</v>
      </c>
      <c r="J13" s="5">
        <v>6376189</v>
      </c>
      <c r="K13" s="5">
        <v>2278373</v>
      </c>
      <c r="L13" s="5">
        <v>364752</v>
      </c>
      <c r="M13" s="5">
        <v>13747654</v>
      </c>
      <c r="N13" s="5">
        <v>9019314</v>
      </c>
      <c r="O13" s="5">
        <v>131669275</v>
      </c>
    </row>
    <row r="14" spans="1:19" x14ac:dyDescent="0.25">
      <c r="A14" s="6"/>
      <c r="B14" s="6"/>
      <c r="C14" s="12"/>
      <c r="D14" s="6"/>
      <c r="E14" s="12"/>
      <c r="H14" s="5">
        <v>1950</v>
      </c>
      <c r="I14" s="5">
        <v>6059475</v>
      </c>
      <c r="J14" s="5">
        <v>8414885</v>
      </c>
      <c r="K14" s="5">
        <v>3277751</v>
      </c>
      <c r="L14" s="5">
        <v>576901</v>
      </c>
      <c r="M14" s="5">
        <v>18329012</v>
      </c>
      <c r="N14" s="5">
        <v>12269537</v>
      </c>
      <c r="O14" s="5">
        <v>150697361</v>
      </c>
      <c r="R14" s="79">
        <v>2012</v>
      </c>
    </row>
    <row r="15" spans="1:19" x14ac:dyDescent="0.25">
      <c r="A15" s="6"/>
      <c r="B15" s="6"/>
      <c r="C15" s="6"/>
      <c r="D15" s="6"/>
      <c r="E15" s="6"/>
      <c r="H15" s="5">
        <v>1960</v>
      </c>
      <c r="I15" s="5">
        <v>7142452</v>
      </c>
      <c r="J15" s="5">
        <v>10996842</v>
      </c>
      <c r="K15" s="5">
        <v>4633486</v>
      </c>
      <c r="L15" s="5">
        <v>929252</v>
      </c>
      <c r="M15" s="5">
        <v>23702032</v>
      </c>
      <c r="N15" s="5">
        <v>16559580</v>
      </c>
      <c r="O15" s="5">
        <v>179323175</v>
      </c>
      <c r="R15" s="5">
        <v>41200000</v>
      </c>
      <c r="S15" s="5">
        <f>+R15*R16</f>
        <v>37080000</v>
      </c>
    </row>
    <row r="16" spans="1:19" x14ac:dyDescent="0.25">
      <c r="H16" s="5">
        <v>1970</v>
      </c>
      <c r="I16" s="5">
        <v>8616784</v>
      </c>
      <c r="J16" s="5">
        <v>12435456</v>
      </c>
      <c r="K16" s="5">
        <v>6119145</v>
      </c>
      <c r="L16" s="5">
        <v>1510901</v>
      </c>
      <c r="M16" s="5">
        <v>28682286</v>
      </c>
      <c r="N16" s="5">
        <v>20065502</v>
      </c>
      <c r="O16" s="5">
        <v>203211926</v>
      </c>
      <c r="R16" s="44">
        <v>0.9</v>
      </c>
    </row>
    <row r="17" spans="8:33" x14ac:dyDescent="0.25">
      <c r="H17" s="5">
        <v>1980</v>
      </c>
      <c r="I17" s="5">
        <v>10087621</v>
      </c>
      <c r="J17" s="5">
        <v>15580605</v>
      </c>
      <c r="K17" s="5">
        <v>7728755</v>
      </c>
      <c r="L17" s="5">
        <v>2240067</v>
      </c>
      <c r="M17" s="5">
        <v>35637048</v>
      </c>
      <c r="N17" s="5">
        <v>25549427</v>
      </c>
      <c r="O17" s="5">
        <v>226545805</v>
      </c>
      <c r="R17" s="79">
        <v>2050</v>
      </c>
    </row>
    <row r="18" spans="8:33" x14ac:dyDescent="0.25">
      <c r="H18" s="5">
        <v>1990</v>
      </c>
      <c r="I18" s="5">
        <v>10616167</v>
      </c>
      <c r="J18" s="5">
        <v>18106558</v>
      </c>
      <c r="K18" s="5">
        <v>10055108</v>
      </c>
      <c r="L18" s="5">
        <v>3080165</v>
      </c>
      <c r="M18" s="5">
        <v>41857998</v>
      </c>
      <c r="N18" s="5">
        <v>31241831</v>
      </c>
      <c r="O18" s="5">
        <v>248709873</v>
      </c>
      <c r="S18" s="5">
        <f>+N24*R16</f>
        <v>79692275.700000003</v>
      </c>
      <c r="T18" s="5">
        <f>+S18-S15</f>
        <v>42612275.700000003</v>
      </c>
      <c r="AE18" s="44">
        <v>0.04</v>
      </c>
      <c r="AF18" s="44"/>
    </row>
    <row r="19" spans="8:33" x14ac:dyDescent="0.25">
      <c r="H19" s="5">
        <v>2000</v>
      </c>
      <c r="I19" s="5">
        <v>10805447</v>
      </c>
      <c r="J19" s="5">
        <v>18390986</v>
      </c>
      <c r="K19" s="5">
        <v>12361180</v>
      </c>
      <c r="L19" s="5">
        <v>4239587</v>
      </c>
      <c r="M19" s="5">
        <v>45797200</v>
      </c>
      <c r="N19" s="5">
        <v>34991753</v>
      </c>
      <c r="O19" s="5">
        <v>281421906</v>
      </c>
      <c r="T19" s="54">
        <v>1387</v>
      </c>
    </row>
    <row r="20" spans="8:33" x14ac:dyDescent="0.25">
      <c r="H20" s="5">
        <v>2010</v>
      </c>
      <c r="I20" s="5">
        <v>16757689</v>
      </c>
      <c r="J20" s="5">
        <v>21462599</v>
      </c>
      <c r="K20" s="5">
        <v>13014814</v>
      </c>
      <c r="L20" s="5">
        <v>5751299</v>
      </c>
      <c r="M20" s="5">
        <v>56986401</v>
      </c>
      <c r="N20" s="5">
        <v>40228712</v>
      </c>
      <c r="O20" s="5">
        <v>310232863</v>
      </c>
      <c r="R20" s="5" t="s">
        <v>302</v>
      </c>
      <c r="T20" s="59">
        <f>+T18*T19</f>
        <v>59103226395.900002</v>
      </c>
      <c r="Y20" s="241" t="s">
        <v>307</v>
      </c>
      <c r="Z20" s="242"/>
      <c r="AA20" s="242"/>
      <c r="AB20" s="84" t="s">
        <v>308</v>
      </c>
      <c r="AC20" s="84" t="s">
        <v>309</v>
      </c>
      <c r="AD20" s="84" t="s">
        <v>317</v>
      </c>
      <c r="AE20" s="85" t="s">
        <v>310</v>
      </c>
      <c r="AF20" s="85" t="s">
        <v>313</v>
      </c>
      <c r="AG20" s="86" t="s">
        <v>311</v>
      </c>
    </row>
    <row r="21" spans="8:33" x14ac:dyDescent="0.25">
      <c r="H21" s="5">
        <v>2020</v>
      </c>
      <c r="I21" s="5">
        <v>21008851</v>
      </c>
      <c r="J21" s="5">
        <v>32312186</v>
      </c>
      <c r="K21" s="5">
        <v>15895265</v>
      </c>
      <c r="L21" s="5">
        <v>6597019</v>
      </c>
      <c r="M21" s="5">
        <v>75813321</v>
      </c>
      <c r="N21" s="5">
        <v>54804470</v>
      </c>
      <c r="O21" s="5">
        <v>341386665</v>
      </c>
      <c r="Y21" s="93" t="s">
        <v>155</v>
      </c>
      <c r="Z21" s="94">
        <v>260.8</v>
      </c>
      <c r="AA21" s="95">
        <v>-8.365019011406849E-3</v>
      </c>
      <c r="AB21" s="96">
        <f>(R15)/1000000</f>
        <v>41.2</v>
      </c>
      <c r="AC21" s="96">
        <f>+AB21*0.9</f>
        <v>37.080000000000005</v>
      </c>
      <c r="AD21" s="97">
        <f>+T19</f>
        <v>1387</v>
      </c>
      <c r="AE21" s="94">
        <f>(AD21*AC21)/1000</f>
        <v>51.429960000000008</v>
      </c>
      <c r="AF21" s="104">
        <f>+AB21/B13</f>
        <v>0.12610958065503522</v>
      </c>
      <c r="AG21" s="98">
        <f>+AE21/Z21</f>
        <v>0.19720076687116567</v>
      </c>
    </row>
    <row r="22" spans="8:33" x14ac:dyDescent="0.25">
      <c r="H22" s="5">
        <v>2030</v>
      </c>
      <c r="I22" s="5">
        <v>20079650</v>
      </c>
      <c r="J22" s="5">
        <v>38784325</v>
      </c>
      <c r="K22" s="5">
        <v>24562604</v>
      </c>
      <c r="L22" s="5">
        <v>8744986</v>
      </c>
      <c r="M22" s="5">
        <v>92171565</v>
      </c>
      <c r="N22" s="5">
        <v>72091915</v>
      </c>
      <c r="O22" s="5">
        <v>373503674</v>
      </c>
      <c r="R22" s="5" t="s">
        <v>303</v>
      </c>
      <c r="S22" s="54">
        <v>287000000000</v>
      </c>
      <c r="T22" s="54" t="s">
        <v>304</v>
      </c>
      <c r="U22" s="5" t="s">
        <v>305</v>
      </c>
      <c r="X22" s="5">
        <v>1</v>
      </c>
      <c r="Y22" s="87" t="s">
        <v>118</v>
      </c>
      <c r="Z22" s="88">
        <v>262.3</v>
      </c>
      <c r="AA22" s="92">
        <v>5.7515337423312829E-3</v>
      </c>
      <c r="AB22" s="89"/>
      <c r="AC22" s="89"/>
      <c r="AD22" s="243" t="s">
        <v>306</v>
      </c>
      <c r="AE22" s="90"/>
      <c r="AF22" s="90"/>
      <c r="AG22" s="91"/>
    </row>
    <row r="23" spans="8:33" x14ac:dyDescent="0.25">
      <c r="H23" s="5">
        <v>2040</v>
      </c>
      <c r="I23" s="5">
        <v>20512884</v>
      </c>
      <c r="J23" s="5">
        <v>36895223</v>
      </c>
      <c r="K23" s="5">
        <v>30145467</v>
      </c>
      <c r="L23" s="5">
        <v>14197701</v>
      </c>
      <c r="M23" s="5">
        <v>101751275</v>
      </c>
      <c r="N23" s="5">
        <v>81238391</v>
      </c>
      <c r="O23" s="5">
        <v>405655295</v>
      </c>
      <c r="Q23" s="5">
        <f>+R23-$R$14</f>
        <v>8</v>
      </c>
      <c r="R23" s="5">
        <v>2020</v>
      </c>
      <c r="T23" s="59">
        <f>((N21-$R$15)*$T$19)*$R$16</f>
        <v>16982459901</v>
      </c>
      <c r="U23" s="80">
        <f>(($S$22+T23)/$S$22)^(1/Q23)-1</f>
        <v>7.2118543484263054E-3</v>
      </c>
      <c r="V23" s="44">
        <f>+T23/$S$22</f>
        <v>5.9172334149825784E-2</v>
      </c>
      <c r="X23" s="5">
        <v>2</v>
      </c>
      <c r="Y23" s="87" t="s">
        <v>127</v>
      </c>
      <c r="Z23" s="88">
        <v>275.89999999999998</v>
      </c>
      <c r="AA23" s="92">
        <v>5.1849027830727978E-2</v>
      </c>
      <c r="AB23" s="89"/>
      <c r="AC23" s="89"/>
      <c r="AD23" s="243"/>
      <c r="AE23" s="90"/>
      <c r="AF23" s="90"/>
      <c r="AG23" s="91"/>
    </row>
    <row r="24" spans="8:33" x14ac:dyDescent="0.25">
      <c r="H24" s="5">
        <v>2050</v>
      </c>
      <c r="I24" s="5">
        <v>23490423</v>
      </c>
      <c r="J24" s="5">
        <v>40112637</v>
      </c>
      <c r="K24" s="5">
        <v>29393295</v>
      </c>
      <c r="L24" s="5">
        <v>19041041</v>
      </c>
      <c r="M24" s="5">
        <v>112037396</v>
      </c>
      <c r="N24" s="5">
        <v>88546973</v>
      </c>
      <c r="O24" s="5">
        <v>439010253</v>
      </c>
      <c r="Q24" s="5">
        <f t="shared" ref="Q24:Q26" si="0">+R24-$R$14</f>
        <v>18</v>
      </c>
      <c r="R24" s="5">
        <v>2030</v>
      </c>
      <c r="T24" s="59">
        <f t="shared" ref="T24:T26" si="1">((N22-$R$15)*$T$19)*$R$16</f>
        <v>38562377494.5</v>
      </c>
      <c r="U24" s="80">
        <f t="shared" ref="U24:U26" si="2">(($S$22+T24)/$S$22)^(1/Q24)-1</f>
        <v>7.0285777340939326E-3</v>
      </c>
      <c r="V24" s="44">
        <f t="shared" ref="V24:V26" si="3">+T24/$S$22</f>
        <v>0.13436368464982579</v>
      </c>
      <c r="X24" s="5">
        <v>3</v>
      </c>
      <c r="Y24" s="87" t="s">
        <v>128</v>
      </c>
      <c r="Z24" s="88">
        <v>294.89999999999998</v>
      </c>
      <c r="AA24" s="92">
        <v>6.8865530989488999E-2</v>
      </c>
      <c r="AB24" s="89"/>
      <c r="AC24" s="89"/>
      <c r="AD24" s="243"/>
      <c r="AE24" s="90"/>
      <c r="AF24" s="90"/>
      <c r="AG24" s="91"/>
    </row>
    <row r="25" spans="8:33" x14ac:dyDescent="0.25">
      <c r="Q25" s="5">
        <f t="shared" si="0"/>
        <v>28</v>
      </c>
      <c r="R25" s="5">
        <v>2040</v>
      </c>
      <c r="T25" s="59">
        <f t="shared" si="1"/>
        <v>49979923485.300003</v>
      </c>
      <c r="U25" s="80">
        <f t="shared" si="2"/>
        <v>5.7500807061690029E-3</v>
      </c>
      <c r="V25" s="44">
        <f t="shared" si="3"/>
        <v>0.1741460748616725</v>
      </c>
      <c r="X25" s="5">
        <v>4</v>
      </c>
      <c r="Y25" s="87" t="s">
        <v>129</v>
      </c>
      <c r="Z25" s="88">
        <v>311.60000000000002</v>
      </c>
      <c r="AA25" s="92">
        <v>5.662936588674139E-2</v>
      </c>
      <c r="AB25" s="89"/>
      <c r="AC25" s="89"/>
      <c r="AD25" s="243"/>
      <c r="AE25" s="90"/>
      <c r="AF25" s="90"/>
      <c r="AG25" s="91"/>
    </row>
    <row r="26" spans="8:33" x14ac:dyDescent="0.25">
      <c r="I26" s="5" t="s">
        <v>301</v>
      </c>
      <c r="Q26" s="5">
        <f t="shared" si="0"/>
        <v>38</v>
      </c>
      <c r="R26" s="5">
        <v>2050</v>
      </c>
      <c r="T26" s="59">
        <f t="shared" si="1"/>
        <v>59103226395.900002</v>
      </c>
      <c r="U26" s="80">
        <f t="shared" si="2"/>
        <v>4.9399207686382507E-3</v>
      </c>
      <c r="V26" s="44">
        <f t="shared" si="3"/>
        <v>0.20593458674529616</v>
      </c>
      <c r="X26" s="5">
        <v>5</v>
      </c>
      <c r="Y26" s="87" t="s">
        <v>156</v>
      </c>
      <c r="Z26" s="88">
        <v>330.7</v>
      </c>
      <c r="AA26" s="92">
        <v>6.1296534017971638E-2</v>
      </c>
      <c r="AB26" s="89"/>
      <c r="AC26" s="89"/>
      <c r="AD26" s="243"/>
      <c r="AE26" s="90"/>
      <c r="AF26" s="90"/>
      <c r="AG26" s="91"/>
    </row>
    <row r="27" spans="8:33" x14ac:dyDescent="0.25">
      <c r="H27" s="5">
        <v>1990</v>
      </c>
      <c r="I27" s="44">
        <f>+N18/O18</f>
        <v>0.12561556412358427</v>
      </c>
      <c r="X27" s="5">
        <v>6</v>
      </c>
      <c r="Y27" s="87" t="s">
        <v>157</v>
      </c>
      <c r="Z27" s="88">
        <v>350.6</v>
      </c>
      <c r="AA27" s="92">
        <v>6.0175385545812032E-2</v>
      </c>
      <c r="AB27" s="89"/>
      <c r="AC27" s="89"/>
      <c r="AD27" s="243"/>
      <c r="AE27" s="90"/>
      <c r="AF27" s="90"/>
      <c r="AG27" s="91"/>
    </row>
    <row r="28" spans="8:33" x14ac:dyDescent="0.25">
      <c r="H28" s="5">
        <v>2000</v>
      </c>
      <c r="I28" s="44">
        <f t="shared" ref="I28:I33" si="4">+N19/O19</f>
        <v>0.1243391230531997</v>
      </c>
      <c r="X28" s="5">
        <v>7</v>
      </c>
      <c r="Y28" s="87" t="s">
        <v>158</v>
      </c>
      <c r="Z28" s="88">
        <v>372.7</v>
      </c>
      <c r="AA28" s="92">
        <v>6.3034797490016947E-2</v>
      </c>
      <c r="AB28" s="89"/>
      <c r="AC28" s="89"/>
      <c r="AD28" s="243"/>
      <c r="AE28" s="90"/>
      <c r="AF28" s="90"/>
      <c r="AG28" s="91"/>
    </row>
    <row r="29" spans="8:33" x14ac:dyDescent="0.25">
      <c r="H29" s="5">
        <v>2010</v>
      </c>
      <c r="I29" s="44">
        <f t="shared" si="4"/>
        <v>0.12967263239291318</v>
      </c>
      <c r="X29" s="5">
        <v>8</v>
      </c>
      <c r="Y29" s="99" t="s">
        <v>159</v>
      </c>
      <c r="Z29" s="100">
        <v>397.9</v>
      </c>
      <c r="AA29" s="95">
        <v>6.7614703514891294E-2</v>
      </c>
      <c r="AB29" s="101">
        <f>(N21)/1000000</f>
        <v>54.804470000000002</v>
      </c>
      <c r="AC29" s="101">
        <f>+AB29*0.9</f>
        <v>49.324023000000004</v>
      </c>
      <c r="AD29" s="102">
        <f>+AD21*(1.05)^8</f>
        <v>2049.2307005354296</v>
      </c>
      <c r="AE29" s="94">
        <f>(AD29*AC29)/1000</f>
        <v>101.07630220551565</v>
      </c>
      <c r="AF29" s="104">
        <f>+AB29/(O21/1000000)</f>
        <v>0.16053488791075071</v>
      </c>
      <c r="AG29" s="98">
        <f>+AE29/Z29</f>
        <v>0.2540243835273075</v>
      </c>
    </row>
    <row r="30" spans="8:33" ht="9" customHeight="1" x14ac:dyDescent="0.25">
      <c r="H30" s="5" t="s">
        <v>159</v>
      </c>
      <c r="I30" s="44">
        <f t="shared" si="4"/>
        <v>0.16053488791075071</v>
      </c>
      <c r="Y30" s="4"/>
      <c r="Z30" s="62"/>
      <c r="AA30" s="111"/>
      <c r="AB30" s="81"/>
      <c r="AC30" s="81"/>
      <c r="AD30" s="105"/>
      <c r="AE30" s="103"/>
      <c r="AF30" s="103"/>
      <c r="AG30" s="109"/>
    </row>
    <row r="31" spans="8:33" ht="19.5" customHeight="1" x14ac:dyDescent="0.25">
      <c r="H31" s="5" t="s">
        <v>298</v>
      </c>
      <c r="I31" s="44">
        <f t="shared" si="4"/>
        <v>0.19301527673861649</v>
      </c>
      <c r="Y31" s="82"/>
      <c r="Z31" s="30" t="s">
        <v>50</v>
      </c>
      <c r="AA31" s="112">
        <f>(Z29/Z21)^(1/8)-1</f>
        <v>5.4224958990245486E-2</v>
      </c>
      <c r="AB31" s="81"/>
      <c r="AC31" s="81"/>
      <c r="AD31" s="106" t="s">
        <v>314</v>
      </c>
      <c r="AE31" s="107">
        <f>+(AE29-AE21)/(Z29-Z21)</f>
        <v>0.36211774037575234</v>
      </c>
      <c r="AF31" s="108" t="s">
        <v>315</v>
      </c>
      <c r="AG31" s="110" t="s">
        <v>316</v>
      </c>
    </row>
    <row r="32" spans="8:33" x14ac:dyDescent="0.25">
      <c r="H32" s="5" t="s">
        <v>299</v>
      </c>
      <c r="I32" s="44">
        <f t="shared" si="4"/>
        <v>0.2002645891753983</v>
      </c>
      <c r="Y32" s="82"/>
      <c r="AA32" s="4"/>
      <c r="AB32" s="4"/>
      <c r="AC32" s="4"/>
      <c r="AD32" s="4"/>
      <c r="AE32" s="4"/>
      <c r="AF32" s="4"/>
      <c r="AG32" s="4"/>
    </row>
    <row r="33" spans="8:33" x14ac:dyDescent="0.25">
      <c r="H33" s="5" t="s">
        <v>300</v>
      </c>
      <c r="I33" s="44">
        <f t="shared" si="4"/>
        <v>0.20169682232911312</v>
      </c>
      <c r="Y33" s="83"/>
      <c r="Z33" s="83"/>
      <c r="AA33" s="4"/>
      <c r="AB33" s="4"/>
      <c r="AC33" s="4"/>
      <c r="AD33" s="4"/>
      <c r="AE33" s="4"/>
      <c r="AF33" s="4"/>
      <c r="AG33" s="4"/>
    </row>
    <row r="34" spans="8:33" x14ac:dyDescent="0.25">
      <c r="Y34" s="4"/>
      <c r="Z34" s="82"/>
      <c r="AA34" s="4"/>
      <c r="AB34" s="4"/>
      <c r="AC34" s="4"/>
      <c r="AD34" s="4"/>
      <c r="AE34" s="4"/>
      <c r="AF34" s="4"/>
      <c r="AG34" s="4"/>
    </row>
    <row r="38" spans="8:33" ht="14.4" x14ac:dyDescent="0.3">
      <c r="Y38"/>
      <c r="Z38"/>
      <c r="AA38" t="s">
        <v>166</v>
      </c>
      <c r="AB38"/>
      <c r="AC38"/>
      <c r="AD38"/>
      <c r="AE38"/>
    </row>
    <row r="39" spans="8:33" ht="14.4" x14ac:dyDescent="0.3">
      <c r="Y39" t="s">
        <v>155</v>
      </c>
      <c r="Z39" s="3">
        <f>0.2*0.261</f>
        <v>5.2200000000000003E-2</v>
      </c>
      <c r="AA39" s="3">
        <f>0.8*0.261</f>
        <v>0.20880000000000001</v>
      </c>
      <c r="AB39" s="3"/>
      <c r="AC39"/>
      <c r="AD39"/>
      <c r="AE39"/>
    </row>
    <row r="40" spans="8:33" ht="14.4" x14ac:dyDescent="0.3">
      <c r="Y40" t="s">
        <v>159</v>
      </c>
      <c r="Z40" s="3">
        <f>0.25*0.398</f>
        <v>9.9500000000000005E-2</v>
      </c>
      <c r="AA40" s="3">
        <f>0.75*0.398</f>
        <v>0.29849999999999999</v>
      </c>
      <c r="AB40" s="3"/>
      <c r="AC40"/>
      <c r="AD40"/>
      <c r="AE40"/>
    </row>
    <row r="41" spans="8:33" ht="14.4" x14ac:dyDescent="0.3">
      <c r="Y41"/>
      <c r="Z41"/>
      <c r="AA41"/>
      <c r="AB41" s="113"/>
      <c r="AC41" s="113"/>
      <c r="AD41" s="113"/>
      <c r="AE41" s="113"/>
    </row>
    <row r="42" spans="8:33" ht="14.4" x14ac:dyDescent="0.3">
      <c r="Y42"/>
      <c r="Z42"/>
      <c r="AA42"/>
      <c r="AB42" s="113"/>
      <c r="AC42" s="113"/>
      <c r="AD42" s="113"/>
      <c r="AE42" s="113"/>
    </row>
    <row r="43" spans="8:33" ht="14.4" x14ac:dyDescent="0.3">
      <c r="Y43"/>
      <c r="Z43"/>
      <c r="AA43"/>
      <c r="AB43" s="113"/>
      <c r="AC43" s="113"/>
      <c r="AD43" s="113"/>
      <c r="AE43" s="113"/>
    </row>
    <row r="44" spans="8:33" ht="14.4" x14ac:dyDescent="0.3">
      <c r="Y44"/>
      <c r="Z44"/>
      <c r="AA44"/>
      <c r="AB44" s="113"/>
      <c r="AC44" s="113"/>
      <c r="AD44" s="113"/>
      <c r="AE44" s="113"/>
    </row>
    <row r="45" spans="8:33" ht="14.4" x14ac:dyDescent="0.3">
      <c r="Y45"/>
      <c r="Z45"/>
      <c r="AA45"/>
      <c r="AB45" s="113"/>
      <c r="AC45" s="113"/>
      <c r="AD45" s="113"/>
      <c r="AE45" s="113"/>
    </row>
    <row r="46" spans="8:33" ht="14.4" x14ac:dyDescent="0.3">
      <c r="Y46"/>
      <c r="Z46"/>
      <c r="AA46"/>
      <c r="AB46" s="113"/>
      <c r="AC46" s="113"/>
      <c r="AD46" s="113"/>
      <c r="AE46" s="113"/>
    </row>
    <row r="47" spans="8:33" ht="14.4" x14ac:dyDescent="0.3">
      <c r="Y47"/>
      <c r="Z47"/>
      <c r="AA47"/>
      <c r="AB47" s="113"/>
      <c r="AC47" s="113"/>
      <c r="AD47" s="113"/>
      <c r="AE47" s="113"/>
    </row>
    <row r="48" spans="8:33" ht="14.4" x14ac:dyDescent="0.3">
      <c r="Y48"/>
      <c r="Z48"/>
      <c r="AA48"/>
      <c r="AB48" s="113"/>
      <c r="AC48" s="113"/>
      <c r="AD48" s="113"/>
      <c r="AE48" s="113"/>
    </row>
    <row r="49" spans="25:31" ht="14.4" x14ac:dyDescent="0.3">
      <c r="Y49"/>
      <c r="Z49"/>
      <c r="AA49"/>
      <c r="AB49" s="113"/>
      <c r="AC49" s="113"/>
      <c r="AD49" s="113"/>
      <c r="AE49" s="113"/>
    </row>
    <row r="50" spans="25:31" ht="14.4" x14ac:dyDescent="0.3">
      <c r="Y50"/>
      <c r="Z50"/>
      <c r="AA50"/>
      <c r="AB50" s="113"/>
      <c r="AC50" s="113"/>
      <c r="AD50" s="113"/>
      <c r="AE50" s="113"/>
    </row>
    <row r="51" spans="25:31" ht="14.4" x14ac:dyDescent="0.3">
      <c r="Y51"/>
      <c r="Z51"/>
      <c r="AA51"/>
      <c r="AB51" s="113"/>
      <c r="AC51" s="113"/>
      <c r="AD51" s="113"/>
      <c r="AE51" s="113"/>
    </row>
    <row r="52" spans="25:31" ht="14.4" x14ac:dyDescent="0.3">
      <c r="Y52"/>
      <c r="Z52"/>
      <c r="AA52"/>
      <c r="AB52" s="113"/>
      <c r="AC52" s="113"/>
      <c r="AD52" s="113"/>
      <c r="AE52" s="113"/>
    </row>
    <row r="53" spans="25:31" ht="14.4" x14ac:dyDescent="0.3">
      <c r="Y53"/>
      <c r="Z53"/>
      <c r="AA53"/>
      <c r="AB53" s="113"/>
      <c r="AC53" s="113"/>
      <c r="AD53" s="113"/>
      <c r="AE53" s="113"/>
    </row>
    <row r="54" spans="25:31" ht="14.4" x14ac:dyDescent="0.3">
      <c r="Y54"/>
      <c r="Z54"/>
      <c r="AA54"/>
      <c r="AB54" s="113"/>
      <c r="AC54" s="113"/>
      <c r="AD54" s="113"/>
      <c r="AE54" s="113"/>
    </row>
    <row r="55" spans="25:31" ht="14.4" x14ac:dyDescent="0.3">
      <c r="Y55"/>
      <c r="Z55"/>
      <c r="AA55"/>
      <c r="AB55" s="113"/>
      <c r="AC55" s="113"/>
      <c r="AD55" s="113"/>
      <c r="AE55" s="113"/>
    </row>
    <row r="56" spans="25:31" ht="14.4" x14ac:dyDescent="0.3">
      <c r="Y56"/>
      <c r="Z56"/>
      <c r="AA56"/>
      <c r="AB56" s="113"/>
      <c r="AC56" s="113"/>
      <c r="AD56" s="113"/>
      <c r="AE56" s="113"/>
    </row>
    <row r="57" spans="25:31" ht="14.4" x14ac:dyDescent="0.3">
      <c r="Y57"/>
      <c r="Z57"/>
      <c r="AA57"/>
      <c r="AB57" s="113"/>
      <c r="AC57" s="113"/>
      <c r="AD57" s="113"/>
      <c r="AE57" s="113"/>
    </row>
    <row r="58" spans="25:31" ht="14.4" x14ac:dyDescent="0.3">
      <c r="Y58"/>
      <c r="Z58"/>
      <c r="AA58"/>
      <c r="AB58" s="113"/>
      <c r="AC58" s="113"/>
      <c r="AD58" s="113"/>
      <c r="AE58" s="113"/>
    </row>
    <row r="59" spans="25:31" ht="14.4" x14ac:dyDescent="0.3">
      <c r="Y59"/>
      <c r="Z59"/>
      <c r="AA59"/>
      <c r="AB59" s="113"/>
      <c r="AC59" s="113"/>
      <c r="AD59" s="113"/>
      <c r="AE59" s="113"/>
    </row>
    <row r="60" spans="25:31" x14ac:dyDescent="0.25">
      <c r="AB60" s="4"/>
      <c r="AC60" s="4"/>
      <c r="AD60" s="4"/>
      <c r="AE60" s="4"/>
    </row>
    <row r="61" spans="25:31" x14ac:dyDescent="0.25">
      <c r="AB61" s="4"/>
      <c r="AC61" s="4"/>
      <c r="AD61" s="4"/>
      <c r="AE61" s="4"/>
    </row>
    <row r="62" spans="25:31" x14ac:dyDescent="0.25">
      <c r="AB62" s="4"/>
      <c r="AC62" s="4"/>
      <c r="AD62" s="4"/>
      <c r="AE62" s="4"/>
    </row>
    <row r="63" spans="25:31" x14ac:dyDescent="0.25">
      <c r="AB63" s="4"/>
      <c r="AC63" s="4"/>
      <c r="AD63" s="4"/>
      <c r="AE63" s="4"/>
    </row>
    <row r="64" spans="25:31" x14ac:dyDescent="0.25">
      <c r="AB64" s="4"/>
      <c r="AC64" s="4"/>
      <c r="AD64" s="4"/>
      <c r="AE64" s="4"/>
    </row>
    <row r="66" spans="11:11" x14ac:dyDescent="0.25">
      <c r="K66" s="5" t="s">
        <v>297</v>
      </c>
    </row>
  </sheetData>
  <mergeCells count="2">
    <mergeCell ref="Y20:AA20"/>
    <mergeCell ref="AD22:AD2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F38" sqref="F38"/>
    </sheetView>
  </sheetViews>
  <sheetFormatPr defaultColWidth="9.109375" defaultRowHeight="13.8" x14ac:dyDescent="0.25"/>
  <cols>
    <col min="1" max="16384" width="9.109375" style="5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C29"/>
  <sheetViews>
    <sheetView workbookViewId="0">
      <selection activeCell="H29" sqref="H29"/>
    </sheetView>
  </sheetViews>
  <sheetFormatPr defaultRowHeight="14.4" x14ac:dyDescent="0.3"/>
  <sheetData>
    <row r="2" spans="1:2" x14ac:dyDescent="0.3">
      <c r="A2" s="1" t="s">
        <v>146</v>
      </c>
    </row>
    <row r="3" spans="1:2" x14ac:dyDescent="0.3">
      <c r="A3" s="48" t="s">
        <v>147</v>
      </c>
    </row>
    <row r="5" spans="1:2" x14ac:dyDescent="0.3">
      <c r="A5" s="48" t="s">
        <v>148</v>
      </c>
      <c r="B5" t="s">
        <v>149</v>
      </c>
    </row>
    <row r="6" spans="1:2" x14ac:dyDescent="0.3">
      <c r="A6">
        <v>1990</v>
      </c>
      <c r="B6">
        <v>32.5</v>
      </c>
    </row>
    <row r="7" spans="1:2" x14ac:dyDescent="0.3">
      <c r="A7">
        <v>1991</v>
      </c>
      <c r="B7">
        <v>30.5</v>
      </c>
    </row>
    <row r="8" spans="1:2" x14ac:dyDescent="0.3">
      <c r="A8">
        <v>1992</v>
      </c>
      <c r="B8">
        <v>27.3</v>
      </c>
    </row>
    <row r="9" spans="1:2" x14ac:dyDescent="0.3">
      <c r="A9">
        <v>1993</v>
      </c>
      <c r="B9">
        <v>26.2</v>
      </c>
    </row>
    <row r="10" spans="1:2" x14ac:dyDescent="0.3">
      <c r="A10">
        <v>1994</v>
      </c>
      <c r="B10">
        <v>24.9</v>
      </c>
    </row>
    <row r="11" spans="1:2" x14ac:dyDescent="0.3">
      <c r="A11">
        <v>1995</v>
      </c>
      <c r="B11">
        <v>23.1</v>
      </c>
    </row>
    <row r="12" spans="1:2" x14ac:dyDescent="0.3">
      <c r="A12">
        <v>1996</v>
      </c>
      <c r="B12">
        <v>22</v>
      </c>
    </row>
    <row r="13" spans="1:2" x14ac:dyDescent="0.3">
      <c r="A13">
        <v>1997</v>
      </c>
      <c r="B13">
        <v>20.8</v>
      </c>
    </row>
    <row r="14" spans="1:2" x14ac:dyDescent="0.3">
      <c r="A14">
        <v>1998</v>
      </c>
      <c r="B14">
        <v>20.6</v>
      </c>
    </row>
    <row r="15" spans="1:2" x14ac:dyDescent="0.3">
      <c r="A15">
        <v>1999</v>
      </c>
      <c r="B15">
        <v>20.7</v>
      </c>
    </row>
    <row r="16" spans="1:2" x14ac:dyDescent="0.3">
      <c r="A16">
        <v>2000</v>
      </c>
      <c r="B16">
        <v>20.9</v>
      </c>
    </row>
    <row r="17" spans="1:3" x14ac:dyDescent="0.3">
      <c r="A17">
        <v>2001</v>
      </c>
      <c r="B17">
        <v>20.6</v>
      </c>
    </row>
    <row r="18" spans="1:3" x14ac:dyDescent="0.3">
      <c r="A18">
        <v>2002</v>
      </c>
      <c r="B18">
        <v>19.7</v>
      </c>
    </row>
    <row r="19" spans="1:3" x14ac:dyDescent="0.3">
      <c r="A19">
        <v>2003</v>
      </c>
      <c r="B19">
        <v>20.6</v>
      </c>
    </row>
    <row r="20" spans="1:3" x14ac:dyDescent="0.3">
      <c r="A20">
        <v>2004</v>
      </c>
      <c r="B20">
        <v>20.8</v>
      </c>
    </row>
    <row r="21" spans="1:3" x14ac:dyDescent="0.3">
      <c r="A21">
        <v>2005</v>
      </c>
      <c r="B21">
        <v>20.6</v>
      </c>
    </row>
    <row r="22" spans="1:3" x14ac:dyDescent="0.3">
      <c r="A22">
        <v>2006</v>
      </c>
      <c r="B22">
        <v>21.9</v>
      </c>
    </row>
    <row r="23" spans="1:3" x14ac:dyDescent="0.3">
      <c r="A23">
        <v>2007</v>
      </c>
      <c r="B23">
        <v>21.6</v>
      </c>
    </row>
    <row r="24" spans="1:3" x14ac:dyDescent="0.3">
      <c r="A24">
        <v>2008</v>
      </c>
      <c r="B24">
        <v>20.3</v>
      </c>
    </row>
    <row r="25" spans="1:3" x14ac:dyDescent="0.3">
      <c r="A25">
        <v>2009</v>
      </c>
      <c r="B25">
        <v>20.8</v>
      </c>
    </row>
    <row r="26" spans="1:3" x14ac:dyDescent="0.3">
      <c r="A26">
        <v>2010</v>
      </c>
      <c r="B26">
        <v>20.8</v>
      </c>
    </row>
    <row r="27" spans="1:3" x14ac:dyDescent="0.3">
      <c r="A27">
        <v>2011</v>
      </c>
      <c r="B27">
        <v>20.6</v>
      </c>
    </row>
    <row r="28" spans="1:3" x14ac:dyDescent="0.3">
      <c r="A28">
        <v>2012</v>
      </c>
      <c r="B28" s="50">
        <v>21</v>
      </c>
    </row>
    <row r="29" spans="1:3" x14ac:dyDescent="0.3">
      <c r="C29" s="3">
        <f>+B28/B6-1</f>
        <v>-0.35384615384615381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I8"/>
  <sheetViews>
    <sheetView zoomScale="110" zoomScaleNormal="110" workbookViewId="0">
      <selection activeCell="B6" sqref="B6"/>
    </sheetView>
  </sheetViews>
  <sheetFormatPr defaultRowHeight="14.4" x14ac:dyDescent="0.3"/>
  <cols>
    <col min="1" max="1" width="30.88671875" bestFit="1" customWidth="1"/>
    <col min="3" max="3" width="9.88671875" bestFit="1" customWidth="1"/>
    <col min="7" max="7" width="30.88671875" bestFit="1" customWidth="1"/>
    <col min="8" max="8" width="12.88671875" bestFit="1" customWidth="1"/>
    <col min="9" max="9" width="13.44140625" bestFit="1" customWidth="1"/>
  </cols>
  <sheetData>
    <row r="2" spans="1:9" x14ac:dyDescent="0.3">
      <c r="A2" s="1" t="s">
        <v>0</v>
      </c>
      <c r="B2" s="1" t="s">
        <v>1</v>
      </c>
      <c r="C2" t="s">
        <v>8</v>
      </c>
      <c r="G2" s="1" t="s">
        <v>0</v>
      </c>
      <c r="H2" s="1" t="s">
        <v>258</v>
      </c>
      <c r="I2" t="s">
        <v>259</v>
      </c>
    </row>
    <row r="3" spans="1:9" x14ac:dyDescent="0.3">
      <c r="A3" t="s">
        <v>2</v>
      </c>
      <c r="B3">
        <v>109.4</v>
      </c>
      <c r="C3" s="3">
        <f>+B3/$B$8</f>
        <v>0.38105189829327768</v>
      </c>
      <c r="G3" t="s">
        <v>2</v>
      </c>
      <c r="H3" s="56">
        <v>23114</v>
      </c>
      <c r="I3" s="3">
        <f>+H3/$H$8</f>
        <v>0.3758862941520848</v>
      </c>
    </row>
    <row r="4" spans="1:9" x14ac:dyDescent="0.3">
      <c r="A4" t="s">
        <v>3</v>
      </c>
      <c r="B4">
        <v>42.1</v>
      </c>
      <c r="C4" s="3">
        <f t="shared" ref="C4:C8" si="0">+B4/$B$8</f>
        <v>0.14663880181121564</v>
      </c>
      <c r="G4" t="s">
        <v>3</v>
      </c>
      <c r="H4" s="56">
        <v>20996</v>
      </c>
      <c r="I4" s="3">
        <f t="shared" ref="I4:I8" si="1">+H4/$H$8</f>
        <v>0.34144278930592598</v>
      </c>
    </row>
    <row r="5" spans="1:9" x14ac:dyDescent="0.3">
      <c r="A5" t="s">
        <v>4</v>
      </c>
      <c r="B5">
        <v>26.3</v>
      </c>
      <c r="C5" s="3">
        <f t="shared" si="0"/>
        <v>9.1605712295367486E-2</v>
      </c>
      <c r="G5" t="s">
        <v>4</v>
      </c>
      <c r="H5" s="56">
        <v>8538</v>
      </c>
      <c r="I5" s="3">
        <f t="shared" si="1"/>
        <v>0.13884732973394914</v>
      </c>
    </row>
    <row r="6" spans="1:9" x14ac:dyDescent="0.3">
      <c r="A6" t="s">
        <v>5</v>
      </c>
      <c r="B6">
        <v>80.599999999999994</v>
      </c>
      <c r="C6" s="3">
        <f t="shared" si="0"/>
        <v>0.28073841866945315</v>
      </c>
      <c r="G6" t="s">
        <v>5</v>
      </c>
      <c r="H6" s="56">
        <v>381</v>
      </c>
      <c r="I6" s="3">
        <f t="shared" si="1"/>
        <v>6.1959279255838157E-3</v>
      </c>
    </row>
    <row r="7" spans="1:9" x14ac:dyDescent="0.3">
      <c r="A7" t="s">
        <v>6</v>
      </c>
      <c r="B7">
        <v>28.7</v>
      </c>
      <c r="C7" s="3">
        <f t="shared" si="0"/>
        <v>9.9965168930686188E-2</v>
      </c>
      <c r="G7" t="s">
        <v>6</v>
      </c>
      <c r="H7" s="56">
        <v>8463</v>
      </c>
      <c r="I7" s="3">
        <f t="shared" si="1"/>
        <v>0.13762765888245626</v>
      </c>
    </row>
    <row r="8" spans="1:9" x14ac:dyDescent="0.3">
      <c r="A8" s="2" t="s">
        <v>7</v>
      </c>
      <c r="B8" s="1">
        <f>SUM(B3:B7)</f>
        <v>287.09999999999997</v>
      </c>
      <c r="C8" s="3">
        <f t="shared" si="0"/>
        <v>1</v>
      </c>
      <c r="G8" s="2" t="s">
        <v>7</v>
      </c>
      <c r="H8" s="56">
        <f>SUM(H3:H7)</f>
        <v>61492</v>
      </c>
      <c r="I8" s="3">
        <f t="shared" si="1"/>
        <v>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C16"/>
  <sheetViews>
    <sheetView workbookViewId="0">
      <selection activeCell="D34" sqref="D34"/>
    </sheetView>
  </sheetViews>
  <sheetFormatPr defaultRowHeight="14.4" x14ac:dyDescent="0.3"/>
  <sheetData>
    <row r="2" spans="1:3" x14ac:dyDescent="0.3">
      <c r="A2" s="1" t="s">
        <v>150</v>
      </c>
    </row>
    <row r="3" spans="1:3" x14ac:dyDescent="0.3">
      <c r="A3" s="48" t="s">
        <v>139</v>
      </c>
    </row>
    <row r="5" spans="1:3" x14ac:dyDescent="0.3">
      <c r="A5" s="48" t="s">
        <v>148</v>
      </c>
      <c r="B5" t="s">
        <v>151</v>
      </c>
      <c r="C5" t="s">
        <v>152</v>
      </c>
    </row>
    <row r="6" spans="1:3" x14ac:dyDescent="0.3">
      <c r="A6">
        <v>2002</v>
      </c>
      <c r="B6">
        <v>0.54</v>
      </c>
      <c r="C6">
        <v>8.1000000000000003E-2</v>
      </c>
    </row>
    <row r="7" spans="1:3" x14ac:dyDescent="0.3">
      <c r="A7">
        <v>2003</v>
      </c>
      <c r="B7">
        <v>0.62</v>
      </c>
      <c r="C7">
        <v>8.5999999999999993E-2</v>
      </c>
    </row>
    <row r="8" spans="1:3" x14ac:dyDescent="0.3">
      <c r="A8">
        <v>2004</v>
      </c>
      <c r="B8">
        <v>0.67</v>
      </c>
      <c r="C8">
        <v>0.13200000000000001</v>
      </c>
    </row>
    <row r="9" spans="1:3" x14ac:dyDescent="0.3">
      <c r="A9">
        <v>2005</v>
      </c>
      <c r="B9">
        <v>0.72</v>
      </c>
      <c r="C9">
        <v>4.2000000000000003E-2</v>
      </c>
    </row>
    <row r="10" spans="1:3" x14ac:dyDescent="0.3">
      <c r="A10">
        <v>2006</v>
      </c>
      <c r="B10">
        <v>0.74</v>
      </c>
      <c r="C10">
        <v>0.04</v>
      </c>
    </row>
    <row r="11" spans="1:3" x14ac:dyDescent="0.3">
      <c r="A11">
        <v>2007</v>
      </c>
      <c r="B11">
        <v>0.8</v>
      </c>
      <c r="C11">
        <v>0.10800000000000001</v>
      </c>
    </row>
    <row r="12" spans="1:3" x14ac:dyDescent="0.3">
      <c r="A12">
        <v>2008</v>
      </c>
      <c r="B12">
        <v>0.81</v>
      </c>
      <c r="C12">
        <v>1.9E-2</v>
      </c>
    </row>
    <row r="13" spans="1:3" x14ac:dyDescent="0.3">
      <c r="A13">
        <v>2009</v>
      </c>
      <c r="B13">
        <v>0.81</v>
      </c>
      <c r="C13">
        <v>0</v>
      </c>
    </row>
    <row r="14" spans="1:3" x14ac:dyDescent="0.3">
      <c r="A14">
        <v>2010</v>
      </c>
      <c r="B14">
        <v>0.82</v>
      </c>
      <c r="C14">
        <v>1.1000000000000001E-2</v>
      </c>
    </row>
    <row r="15" spans="1:3" x14ac:dyDescent="0.3">
      <c r="A15">
        <v>2011</v>
      </c>
      <c r="B15">
        <v>0.81</v>
      </c>
      <c r="C15">
        <v>-1.4999999999999999E-2</v>
      </c>
    </row>
    <row r="16" spans="1:3" x14ac:dyDescent="0.3">
      <c r="A16">
        <v>2012</v>
      </c>
      <c r="B16">
        <v>0.82</v>
      </c>
      <c r="C16">
        <v>8.0000000000000002E-3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B11"/>
  <sheetViews>
    <sheetView topLeftCell="A7" workbookViewId="0">
      <selection activeCell="J11" sqref="J11"/>
    </sheetView>
  </sheetViews>
  <sheetFormatPr defaultRowHeight="14.4" x14ac:dyDescent="0.3"/>
  <cols>
    <col min="1" max="1" width="14" bestFit="1" customWidth="1"/>
  </cols>
  <sheetData>
    <row r="3" spans="1:2" x14ac:dyDescent="0.3">
      <c r="A3" t="s">
        <v>397</v>
      </c>
    </row>
    <row r="4" spans="1:2" x14ac:dyDescent="0.3">
      <c r="A4" t="s">
        <v>320</v>
      </c>
      <c r="B4" s="119">
        <v>11</v>
      </c>
    </row>
    <row r="5" spans="1:2" x14ac:dyDescent="0.3">
      <c r="A5" t="s">
        <v>318</v>
      </c>
      <c r="B5" s="119">
        <v>8</v>
      </c>
    </row>
    <row r="6" spans="1:2" x14ac:dyDescent="0.3">
      <c r="A6" t="s">
        <v>319</v>
      </c>
      <c r="B6" s="119">
        <v>7</v>
      </c>
    </row>
    <row r="8" spans="1:2" x14ac:dyDescent="0.3">
      <c r="A8" t="s">
        <v>403</v>
      </c>
    </row>
    <row r="9" spans="1:2" x14ac:dyDescent="0.3">
      <c r="A9" t="s">
        <v>320</v>
      </c>
      <c r="B9" s="3">
        <v>0.35</v>
      </c>
    </row>
    <row r="10" spans="1:2" x14ac:dyDescent="0.3">
      <c r="A10" t="s">
        <v>318</v>
      </c>
      <c r="B10" s="3">
        <v>0.37</v>
      </c>
    </row>
    <row r="11" spans="1:2" x14ac:dyDescent="0.3">
      <c r="A11" t="s">
        <v>319</v>
      </c>
      <c r="B11" s="3">
        <v>0.39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B17"/>
  <sheetViews>
    <sheetView workbookViewId="0">
      <selection activeCell="G27" sqref="G27"/>
    </sheetView>
  </sheetViews>
  <sheetFormatPr defaultRowHeight="14.4" x14ac:dyDescent="0.3"/>
  <sheetData>
    <row r="2" spans="1:2" x14ac:dyDescent="0.3">
      <c r="A2" s="1" t="s">
        <v>153</v>
      </c>
    </row>
    <row r="3" spans="1:2" x14ac:dyDescent="0.3">
      <c r="A3" s="48"/>
    </row>
    <row r="5" spans="1:2" x14ac:dyDescent="0.3">
      <c r="A5" s="48" t="s">
        <v>148</v>
      </c>
    </row>
    <row r="6" spans="1:2" x14ac:dyDescent="0.3">
      <c r="A6">
        <v>2004</v>
      </c>
      <c r="B6" s="56">
        <v>50</v>
      </c>
    </row>
    <row r="7" spans="1:2" x14ac:dyDescent="0.3">
      <c r="A7">
        <v>2005</v>
      </c>
      <c r="B7" s="56">
        <v>200</v>
      </c>
    </row>
    <row r="8" spans="1:2" x14ac:dyDescent="0.3">
      <c r="A8">
        <v>2006</v>
      </c>
      <c r="B8" s="56">
        <v>900</v>
      </c>
    </row>
    <row r="9" spans="1:2" x14ac:dyDescent="0.3">
      <c r="A9">
        <v>2007</v>
      </c>
      <c r="B9" s="56">
        <v>1100</v>
      </c>
    </row>
    <row r="10" spans="1:2" x14ac:dyDescent="0.3">
      <c r="A10">
        <v>2008</v>
      </c>
      <c r="B10" s="56">
        <v>1100</v>
      </c>
    </row>
    <row r="11" spans="1:2" x14ac:dyDescent="0.3">
      <c r="A11">
        <v>2009</v>
      </c>
      <c r="B11" s="56">
        <v>1100</v>
      </c>
    </row>
    <row r="12" spans="1:2" x14ac:dyDescent="0.3">
      <c r="A12">
        <v>2010</v>
      </c>
      <c r="B12" s="56">
        <v>1200</v>
      </c>
    </row>
    <row r="13" spans="1:2" x14ac:dyDescent="0.3">
      <c r="A13">
        <v>2011</v>
      </c>
      <c r="B13" s="56">
        <v>1350</v>
      </c>
    </row>
    <row r="14" spans="1:2" x14ac:dyDescent="0.3">
      <c r="A14">
        <v>2012</v>
      </c>
      <c r="B14" s="56">
        <v>1400</v>
      </c>
    </row>
    <row r="15" spans="1:2" x14ac:dyDescent="0.3">
      <c r="A15" t="s">
        <v>118</v>
      </c>
      <c r="B15" s="56">
        <v>1750</v>
      </c>
    </row>
    <row r="16" spans="1:2" x14ac:dyDescent="0.3">
      <c r="A16" t="s">
        <v>127</v>
      </c>
      <c r="B16" s="56">
        <v>2250</v>
      </c>
    </row>
    <row r="17" spans="1:2" x14ac:dyDescent="0.3">
      <c r="A17" t="s">
        <v>128</v>
      </c>
      <c r="B17" s="56">
        <v>2900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23"/>
  <sheetViews>
    <sheetView topLeftCell="A7" workbookViewId="0">
      <selection activeCell="O41" sqref="O41"/>
    </sheetView>
  </sheetViews>
  <sheetFormatPr defaultColWidth="9.109375" defaultRowHeight="13.8" x14ac:dyDescent="0.25"/>
  <cols>
    <col min="1" max="1" width="10.5546875" style="5" bestFit="1" customWidth="1"/>
    <col min="2" max="3" width="10.44140625" style="5" bestFit="1" customWidth="1"/>
    <col min="4" max="16384" width="9.109375" style="5"/>
  </cols>
  <sheetData>
    <row r="1" spans="1:3" x14ac:dyDescent="0.25">
      <c r="A1" s="55" t="s">
        <v>252</v>
      </c>
    </row>
    <row r="2" spans="1:3" x14ac:dyDescent="0.25">
      <c r="B2" s="57">
        <v>2012</v>
      </c>
      <c r="C2" s="57">
        <v>2013</v>
      </c>
    </row>
    <row r="3" spans="1:3" x14ac:dyDescent="0.25">
      <c r="A3" s="5" t="s">
        <v>172</v>
      </c>
      <c r="B3" s="51">
        <v>-1.2E-2</v>
      </c>
      <c r="C3" s="51">
        <v>-7.0000000000000001E-3</v>
      </c>
    </row>
    <row r="4" spans="1:3" x14ac:dyDescent="0.25">
      <c r="A4" s="5" t="s">
        <v>173</v>
      </c>
      <c r="B4" s="51">
        <v>0.21</v>
      </c>
      <c r="C4" s="51">
        <v>0.14299999999999999</v>
      </c>
    </row>
    <row r="5" spans="1:3" x14ac:dyDescent="0.25">
      <c r="A5" s="5" t="s">
        <v>7</v>
      </c>
      <c r="B5" s="51">
        <v>2.5999999999999999E-2</v>
      </c>
      <c r="C5" s="51">
        <v>2.4E-2</v>
      </c>
    </row>
    <row r="28" spans="1:1" x14ac:dyDescent="0.25">
      <c r="A28" s="5" t="s">
        <v>174</v>
      </c>
    </row>
    <row r="32" spans="1:1" x14ac:dyDescent="0.25">
      <c r="A32" s="55" t="s">
        <v>180</v>
      </c>
    </row>
    <row r="33" spans="1:2" x14ac:dyDescent="0.25">
      <c r="A33" s="5" t="s">
        <v>175</v>
      </c>
      <c r="B33" s="51">
        <v>5.0000000000000001E-3</v>
      </c>
    </row>
    <row r="34" spans="1:2" x14ac:dyDescent="0.25">
      <c r="A34" s="5" t="s">
        <v>176</v>
      </c>
      <c r="B34" s="51">
        <v>-3.1E-2</v>
      </c>
    </row>
    <row r="35" spans="1:2" x14ac:dyDescent="0.25">
      <c r="A35" s="5" t="s">
        <v>177</v>
      </c>
      <c r="B35" s="51">
        <v>4.0000000000000001E-3</v>
      </c>
    </row>
    <row r="36" spans="1:2" x14ac:dyDescent="0.25">
      <c r="A36" s="5" t="s">
        <v>178</v>
      </c>
      <c r="B36" s="51">
        <v>4.4999999999999998E-2</v>
      </c>
    </row>
    <row r="37" spans="1:2" x14ac:dyDescent="0.25">
      <c r="A37" s="5" t="s">
        <v>7</v>
      </c>
      <c r="B37" s="51">
        <v>2.4E-2</v>
      </c>
    </row>
    <row r="62" spans="1:2" x14ac:dyDescent="0.25">
      <c r="A62" s="55" t="s">
        <v>179</v>
      </c>
    </row>
    <row r="63" spans="1:2" x14ac:dyDescent="0.25">
      <c r="A63" s="5" t="s">
        <v>175</v>
      </c>
      <c r="B63" s="51">
        <v>7.0000000000000001E-3</v>
      </c>
    </row>
    <row r="64" spans="1:2" x14ac:dyDescent="0.25">
      <c r="A64" s="5" t="s">
        <v>176</v>
      </c>
      <c r="B64" s="51">
        <v>-0.05</v>
      </c>
    </row>
    <row r="65" spans="1:2" x14ac:dyDescent="0.25">
      <c r="A65" s="5" t="s">
        <v>177</v>
      </c>
      <c r="B65" s="51">
        <v>6.0000000000000001E-3</v>
      </c>
    </row>
    <row r="66" spans="1:2" x14ac:dyDescent="0.25">
      <c r="A66" s="5" t="s">
        <v>178</v>
      </c>
      <c r="B66" s="51">
        <v>0.03</v>
      </c>
    </row>
    <row r="67" spans="1:2" x14ac:dyDescent="0.25">
      <c r="A67" s="5" t="s">
        <v>7</v>
      </c>
      <c r="B67" s="51">
        <v>-7.0000000000000001E-3</v>
      </c>
    </row>
    <row r="91" spans="1:2" x14ac:dyDescent="0.25">
      <c r="A91" s="55" t="s">
        <v>181</v>
      </c>
    </row>
    <row r="92" spans="1:2" x14ac:dyDescent="0.25">
      <c r="A92" s="5" t="s">
        <v>175</v>
      </c>
      <c r="B92" s="51">
        <v>0.03</v>
      </c>
    </row>
    <row r="93" spans="1:2" x14ac:dyDescent="0.25">
      <c r="A93" s="5" t="s">
        <v>176</v>
      </c>
      <c r="B93" s="51">
        <v>3.0000000000000001E-3</v>
      </c>
    </row>
    <row r="94" spans="1:2" x14ac:dyDescent="0.25">
      <c r="A94" s="5" t="s">
        <v>177</v>
      </c>
      <c r="B94" s="51">
        <v>-3.0000000000000001E-3</v>
      </c>
    </row>
    <row r="95" spans="1:2" x14ac:dyDescent="0.25">
      <c r="A95" s="5" t="s">
        <v>178</v>
      </c>
      <c r="B95" s="51">
        <v>0.10299999999999999</v>
      </c>
    </row>
    <row r="96" spans="1:2" x14ac:dyDescent="0.25">
      <c r="A96" s="5" t="s">
        <v>7</v>
      </c>
      <c r="B96" s="51">
        <v>0.14299999999999999</v>
      </c>
    </row>
    <row r="120" spans="1:4" x14ac:dyDescent="0.25">
      <c r="A120" s="5" t="s">
        <v>183</v>
      </c>
    </row>
    <row r="122" spans="1:4" x14ac:dyDescent="0.25">
      <c r="B122" s="5">
        <v>2012</v>
      </c>
      <c r="C122" s="5">
        <v>2013</v>
      </c>
      <c r="D122" s="5" t="s">
        <v>182</v>
      </c>
    </row>
    <row r="123" spans="1:4" x14ac:dyDescent="0.25">
      <c r="B123" s="54">
        <v>2450</v>
      </c>
      <c r="C123" s="54">
        <v>2860</v>
      </c>
      <c r="D123" s="60">
        <f>+C123/B123-1</f>
        <v>0.16734693877551021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E34"/>
  <sheetViews>
    <sheetView workbookViewId="0">
      <selection activeCell="B39" sqref="B39"/>
    </sheetView>
  </sheetViews>
  <sheetFormatPr defaultColWidth="9.109375" defaultRowHeight="13.8" x14ac:dyDescent="0.25"/>
  <cols>
    <col min="1" max="1" width="21" style="5" bestFit="1" customWidth="1"/>
    <col min="2" max="2" width="35.109375" style="5" bestFit="1" customWidth="1"/>
    <col min="3" max="3" width="18.44140625" style="5" bestFit="1" customWidth="1"/>
    <col min="4" max="4" width="13.6640625" style="5" bestFit="1" customWidth="1"/>
    <col min="5" max="5" width="19.88671875" style="5" bestFit="1" customWidth="1"/>
    <col min="6" max="16384" width="9.109375" style="5"/>
  </cols>
  <sheetData>
    <row r="3" spans="1:5" x14ac:dyDescent="0.25">
      <c r="A3" s="34" t="s">
        <v>184</v>
      </c>
      <c r="B3" s="34" t="s">
        <v>185</v>
      </c>
      <c r="C3" s="34" t="s">
        <v>239</v>
      </c>
      <c r="D3" s="34" t="s">
        <v>186</v>
      </c>
      <c r="E3" s="34" t="s">
        <v>187</v>
      </c>
    </row>
    <row r="4" spans="1:5" x14ac:dyDescent="0.25">
      <c r="A4" s="4" t="s">
        <v>188</v>
      </c>
      <c r="B4" s="4" t="s">
        <v>207</v>
      </c>
      <c r="C4" s="62">
        <v>405</v>
      </c>
      <c r="D4" s="66" t="s">
        <v>224</v>
      </c>
      <c r="E4" s="65" t="s">
        <v>234</v>
      </c>
    </row>
    <row r="5" spans="1:5" x14ac:dyDescent="0.25">
      <c r="A5" s="4" t="s">
        <v>189</v>
      </c>
      <c r="B5" s="4" t="s">
        <v>208</v>
      </c>
      <c r="C5" s="62">
        <v>262</v>
      </c>
      <c r="D5" s="66" t="s">
        <v>224</v>
      </c>
      <c r="E5" s="65" t="s">
        <v>235</v>
      </c>
    </row>
    <row r="6" spans="1:5" x14ac:dyDescent="0.25">
      <c r="A6" s="4" t="s">
        <v>190</v>
      </c>
      <c r="B6" s="4" t="s">
        <v>209</v>
      </c>
      <c r="C6" s="62">
        <v>1400</v>
      </c>
      <c r="D6" s="66" t="s">
        <v>224</v>
      </c>
      <c r="E6" s="65" t="s">
        <v>235</v>
      </c>
    </row>
    <row r="7" spans="1:5" x14ac:dyDescent="0.25">
      <c r="A7" s="4" t="s">
        <v>240</v>
      </c>
      <c r="B7" s="4" t="s">
        <v>210</v>
      </c>
      <c r="C7" s="62">
        <v>460</v>
      </c>
      <c r="D7" s="66" t="s">
        <v>224</v>
      </c>
      <c r="E7" s="65" t="s">
        <v>234</v>
      </c>
    </row>
    <row r="8" spans="1:5" x14ac:dyDescent="0.25">
      <c r="A8" s="4" t="s">
        <v>191</v>
      </c>
      <c r="B8" s="4" t="s">
        <v>211</v>
      </c>
      <c r="C8" s="62">
        <v>27</v>
      </c>
      <c r="D8" s="66" t="s">
        <v>224</v>
      </c>
      <c r="E8" s="65" t="s">
        <v>234</v>
      </c>
    </row>
    <row r="9" spans="1:5" x14ac:dyDescent="0.25">
      <c r="A9" s="4" t="s">
        <v>241</v>
      </c>
      <c r="B9" s="4" t="s">
        <v>211</v>
      </c>
      <c r="C9" s="62">
        <v>367</v>
      </c>
      <c r="D9" s="66" t="s">
        <v>224</v>
      </c>
      <c r="E9" s="65" t="s">
        <v>234</v>
      </c>
    </row>
    <row r="10" spans="1:5" x14ac:dyDescent="0.25">
      <c r="A10" s="4" t="s">
        <v>192</v>
      </c>
      <c r="B10" s="4" t="s">
        <v>207</v>
      </c>
      <c r="C10" s="62">
        <v>1500</v>
      </c>
      <c r="D10" s="66" t="s">
        <v>225</v>
      </c>
      <c r="E10" s="65" t="s">
        <v>234</v>
      </c>
    </row>
    <row r="11" spans="1:5" x14ac:dyDescent="0.25">
      <c r="A11" s="4" t="s">
        <v>193</v>
      </c>
      <c r="B11" s="4" t="s">
        <v>212</v>
      </c>
      <c r="C11" s="63" t="s">
        <v>223</v>
      </c>
      <c r="D11" s="66" t="s">
        <v>225</v>
      </c>
      <c r="E11" s="65" t="s">
        <v>234</v>
      </c>
    </row>
    <row r="12" spans="1:5" x14ac:dyDescent="0.25">
      <c r="A12" s="4" t="s">
        <v>194</v>
      </c>
      <c r="B12" s="4" t="s">
        <v>213</v>
      </c>
      <c r="C12" s="62">
        <v>33</v>
      </c>
      <c r="D12" s="66" t="s">
        <v>226</v>
      </c>
      <c r="E12" s="65" t="s">
        <v>236</v>
      </c>
    </row>
    <row r="13" spans="1:5" x14ac:dyDescent="0.25">
      <c r="A13" s="4" t="s">
        <v>195</v>
      </c>
      <c r="B13" s="4" t="s">
        <v>214</v>
      </c>
      <c r="C13" s="62">
        <v>477</v>
      </c>
      <c r="D13" s="66" t="s">
        <v>226</v>
      </c>
      <c r="E13" s="65" t="s">
        <v>234</v>
      </c>
    </row>
    <row r="14" spans="1:5" x14ac:dyDescent="0.25">
      <c r="A14" s="4" t="s">
        <v>242</v>
      </c>
      <c r="B14" s="4" t="s">
        <v>212</v>
      </c>
      <c r="C14" s="62">
        <v>2000</v>
      </c>
      <c r="D14" s="66" t="s">
        <v>226</v>
      </c>
      <c r="E14" s="65" t="s">
        <v>235</v>
      </c>
    </row>
    <row r="15" spans="1:5" x14ac:dyDescent="0.25">
      <c r="A15" s="4" t="s">
        <v>243</v>
      </c>
      <c r="B15" s="4" t="s">
        <v>212</v>
      </c>
      <c r="C15" s="62">
        <v>2000</v>
      </c>
      <c r="D15" s="66" t="s">
        <v>227</v>
      </c>
      <c r="E15" s="65" t="s">
        <v>235</v>
      </c>
    </row>
    <row r="16" spans="1:5" x14ac:dyDescent="0.25">
      <c r="A16" s="4" t="s">
        <v>196</v>
      </c>
      <c r="B16" s="4" t="s">
        <v>215</v>
      </c>
      <c r="C16" s="62">
        <v>298</v>
      </c>
      <c r="D16" s="66" t="s">
        <v>227</v>
      </c>
      <c r="E16" s="65" t="s">
        <v>234</v>
      </c>
    </row>
    <row r="17" spans="1:5" x14ac:dyDescent="0.25">
      <c r="A17" s="4" t="s">
        <v>197</v>
      </c>
      <c r="B17" s="4" t="s">
        <v>216</v>
      </c>
      <c r="C17" s="62">
        <v>182</v>
      </c>
      <c r="D17" s="66" t="s">
        <v>228</v>
      </c>
      <c r="E17" s="65" t="s">
        <v>234</v>
      </c>
    </row>
    <row r="18" spans="1:5" x14ac:dyDescent="0.25">
      <c r="A18" s="4" t="s">
        <v>198</v>
      </c>
      <c r="B18" s="4" t="s">
        <v>210</v>
      </c>
      <c r="C18" s="62">
        <v>176</v>
      </c>
      <c r="D18" s="66" t="s">
        <v>228</v>
      </c>
      <c r="E18" s="65" t="s">
        <v>237</v>
      </c>
    </row>
    <row r="19" spans="1:5" x14ac:dyDescent="0.25">
      <c r="A19" s="4" t="s">
        <v>199</v>
      </c>
      <c r="B19" s="4" t="s">
        <v>217</v>
      </c>
      <c r="C19" s="62">
        <v>2300</v>
      </c>
      <c r="D19" s="66" t="s">
        <v>229</v>
      </c>
      <c r="E19" s="65" t="s">
        <v>235</v>
      </c>
    </row>
    <row r="20" spans="1:5" x14ac:dyDescent="0.25">
      <c r="A20" s="4" t="s">
        <v>244</v>
      </c>
      <c r="B20" s="4" t="s">
        <v>218</v>
      </c>
      <c r="C20" s="62">
        <v>1300</v>
      </c>
      <c r="D20" s="66" t="s">
        <v>229</v>
      </c>
      <c r="E20" s="65" t="s">
        <v>238</v>
      </c>
    </row>
    <row r="21" spans="1:5" x14ac:dyDescent="0.25">
      <c r="A21" s="4" t="s">
        <v>200</v>
      </c>
      <c r="B21" s="4" t="s">
        <v>219</v>
      </c>
      <c r="C21" s="62">
        <v>428</v>
      </c>
      <c r="D21" s="66" t="s">
        <v>230</v>
      </c>
      <c r="E21" s="65" t="s">
        <v>234</v>
      </c>
    </row>
    <row r="22" spans="1:5" x14ac:dyDescent="0.25">
      <c r="A22" s="4" t="s">
        <v>201</v>
      </c>
      <c r="B22" s="4" t="s">
        <v>220</v>
      </c>
      <c r="C22" s="62">
        <v>789</v>
      </c>
      <c r="D22" s="66" t="s">
        <v>231</v>
      </c>
      <c r="E22" s="65" t="s">
        <v>234</v>
      </c>
    </row>
    <row r="23" spans="1:5" x14ac:dyDescent="0.25">
      <c r="A23" s="4" t="s">
        <v>202</v>
      </c>
      <c r="B23" s="4" t="s">
        <v>207</v>
      </c>
      <c r="C23" s="62">
        <v>275</v>
      </c>
      <c r="D23" s="66" t="s">
        <v>231</v>
      </c>
      <c r="E23" s="65" t="s">
        <v>234</v>
      </c>
    </row>
    <row r="24" spans="1:5" x14ac:dyDescent="0.25">
      <c r="A24" s="4" t="s">
        <v>203</v>
      </c>
      <c r="B24" s="4" t="s">
        <v>221</v>
      </c>
      <c r="C24" s="62">
        <v>1200</v>
      </c>
      <c r="D24" s="66" t="s">
        <v>231</v>
      </c>
      <c r="E24" s="65" t="s">
        <v>234</v>
      </c>
    </row>
    <row r="25" spans="1:5" x14ac:dyDescent="0.25">
      <c r="A25" s="4" t="s">
        <v>204</v>
      </c>
      <c r="B25" s="4" t="s">
        <v>218</v>
      </c>
      <c r="C25" s="62">
        <v>1100</v>
      </c>
      <c r="D25" s="66" t="s">
        <v>231</v>
      </c>
      <c r="E25" s="65" t="s">
        <v>234</v>
      </c>
    </row>
    <row r="26" spans="1:5" x14ac:dyDescent="0.25">
      <c r="A26" s="4" t="s">
        <v>205</v>
      </c>
      <c r="B26" s="4" t="s">
        <v>222</v>
      </c>
      <c r="C26" s="62">
        <v>858</v>
      </c>
      <c r="D26" s="66" t="s">
        <v>232</v>
      </c>
      <c r="E26" s="65" t="s">
        <v>235</v>
      </c>
    </row>
    <row r="27" spans="1:5" x14ac:dyDescent="0.25">
      <c r="A27" s="4" t="s">
        <v>206</v>
      </c>
      <c r="B27" s="4" t="s">
        <v>213</v>
      </c>
      <c r="C27" s="62">
        <v>3200</v>
      </c>
      <c r="D27" s="66" t="s">
        <v>233</v>
      </c>
      <c r="E27" s="65" t="s">
        <v>235</v>
      </c>
    </row>
    <row r="28" spans="1:5" x14ac:dyDescent="0.25">
      <c r="A28" s="4"/>
      <c r="B28" s="4"/>
      <c r="C28" s="4"/>
      <c r="D28" s="4"/>
      <c r="E28" s="4"/>
    </row>
    <row r="29" spans="1:5" x14ac:dyDescent="0.25">
      <c r="A29" s="64" t="s">
        <v>245</v>
      </c>
      <c r="B29" s="4"/>
      <c r="C29" s="4"/>
      <c r="D29" s="4"/>
      <c r="E29" s="4"/>
    </row>
    <row r="30" spans="1:5" x14ac:dyDescent="0.25">
      <c r="A30" s="4" t="s">
        <v>246</v>
      </c>
      <c r="B30" s="4"/>
      <c r="C30" s="4"/>
      <c r="D30" s="4"/>
      <c r="E30" s="4"/>
    </row>
    <row r="31" spans="1:5" x14ac:dyDescent="0.25">
      <c r="A31" s="4" t="s">
        <v>247</v>
      </c>
      <c r="B31" s="4"/>
      <c r="C31" s="4"/>
      <c r="D31" s="4"/>
      <c r="E31" s="4"/>
    </row>
    <row r="32" spans="1:5" x14ac:dyDescent="0.25">
      <c r="A32" s="4" t="s">
        <v>248</v>
      </c>
      <c r="B32" s="4"/>
      <c r="C32" s="4"/>
      <c r="D32" s="4"/>
      <c r="E32" s="4"/>
    </row>
    <row r="33" spans="1:5" x14ac:dyDescent="0.25">
      <c r="A33" s="4" t="s">
        <v>249</v>
      </c>
      <c r="B33" s="4"/>
      <c r="C33" s="4"/>
      <c r="D33" s="4"/>
      <c r="E33" s="4"/>
    </row>
    <row r="34" spans="1:5" x14ac:dyDescent="0.25">
      <c r="A34" s="4" t="s">
        <v>250</v>
      </c>
      <c r="B34" s="4"/>
      <c r="C34" s="4"/>
      <c r="D34" s="4"/>
      <c r="E34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7"/>
  <sheetViews>
    <sheetView workbookViewId="0">
      <selection activeCell="H33" sqref="H33"/>
    </sheetView>
  </sheetViews>
  <sheetFormatPr defaultRowHeight="14.4" x14ac:dyDescent="0.3"/>
  <sheetData>
    <row r="27" spans="2:2" x14ac:dyDescent="0.3">
      <c r="B27" t="s">
        <v>251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8"/>
  <sheetViews>
    <sheetView workbookViewId="0">
      <selection activeCell="C27" sqref="C27"/>
    </sheetView>
  </sheetViews>
  <sheetFormatPr defaultRowHeight="14.4" x14ac:dyDescent="0.3"/>
  <sheetData>
    <row r="18" spans="1:1" x14ac:dyDescent="0.3">
      <c r="A18" t="s">
        <v>253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N29"/>
  <sheetViews>
    <sheetView workbookViewId="0">
      <selection activeCell="B3" sqref="B3:J22"/>
    </sheetView>
  </sheetViews>
  <sheetFormatPr defaultRowHeight="14.4" x14ac:dyDescent="0.3"/>
  <cols>
    <col min="2" max="2" width="21.109375" bestFit="1" customWidth="1"/>
    <col min="3" max="3" width="3.88671875" customWidth="1"/>
  </cols>
  <sheetData>
    <row r="3" spans="2:14" x14ac:dyDescent="0.3">
      <c r="B3" s="142" t="s">
        <v>352</v>
      </c>
      <c r="C3" s="142"/>
      <c r="D3" s="143" t="s">
        <v>353</v>
      </c>
      <c r="E3" s="143"/>
      <c r="F3" s="143"/>
      <c r="G3" s="143"/>
      <c r="H3" s="143"/>
      <c r="I3" s="143"/>
      <c r="J3" s="143"/>
      <c r="K3" s="141"/>
      <c r="L3" s="141"/>
      <c r="M3" s="141"/>
      <c r="N3" s="141"/>
    </row>
    <row r="4" spans="2:14" ht="6.75" customHeight="1" x14ac:dyDescent="0.3">
      <c r="B4" s="144"/>
      <c r="C4" s="144"/>
      <c r="D4" s="144"/>
      <c r="E4" s="144"/>
      <c r="F4" s="144"/>
      <c r="G4" s="144"/>
      <c r="H4" s="144"/>
      <c r="I4" s="144"/>
      <c r="J4" s="144"/>
      <c r="K4" s="141"/>
      <c r="L4" s="141"/>
      <c r="M4" s="141"/>
      <c r="N4" s="141"/>
    </row>
    <row r="5" spans="2:14" x14ac:dyDescent="0.3">
      <c r="B5" s="147" t="s">
        <v>369</v>
      </c>
      <c r="C5" s="144"/>
      <c r="D5" s="144"/>
      <c r="E5" s="144"/>
      <c r="F5" s="144"/>
      <c r="G5" s="144"/>
      <c r="H5" s="144"/>
      <c r="I5" s="144"/>
      <c r="J5" s="144"/>
      <c r="K5" s="141"/>
      <c r="L5" s="141"/>
      <c r="M5" s="141"/>
      <c r="N5" s="141"/>
    </row>
    <row r="6" spans="2:14" x14ac:dyDescent="0.3">
      <c r="B6" s="144" t="s">
        <v>354</v>
      </c>
      <c r="C6" s="144"/>
      <c r="D6" s="144" t="s">
        <v>362</v>
      </c>
      <c r="E6" s="144"/>
      <c r="F6" s="144"/>
      <c r="G6" s="144"/>
      <c r="H6" s="144"/>
      <c r="I6" s="144"/>
      <c r="J6" s="144"/>
      <c r="K6" s="141"/>
      <c r="L6" s="141"/>
      <c r="M6" s="141"/>
      <c r="N6" s="141"/>
    </row>
    <row r="7" spans="2:14" x14ac:dyDescent="0.3">
      <c r="B7" s="144"/>
      <c r="C7" s="144"/>
      <c r="D7" s="144"/>
      <c r="E7" s="144"/>
      <c r="F7" s="144"/>
      <c r="G7" s="144"/>
      <c r="H7" s="144"/>
      <c r="I7" s="144"/>
      <c r="J7" s="144"/>
      <c r="K7" s="141"/>
      <c r="L7" s="141"/>
      <c r="M7" s="141"/>
      <c r="N7" s="141"/>
    </row>
    <row r="8" spans="2:14" x14ac:dyDescent="0.3">
      <c r="B8" s="145" t="s">
        <v>358</v>
      </c>
      <c r="C8" s="145"/>
      <c r="D8" s="145" t="s">
        <v>366</v>
      </c>
      <c r="E8" s="145"/>
      <c r="F8" s="145"/>
      <c r="G8" s="145"/>
      <c r="H8" s="145"/>
      <c r="I8" s="145"/>
      <c r="J8" s="145"/>
      <c r="K8" s="141"/>
      <c r="L8" s="141"/>
      <c r="M8" s="141"/>
      <c r="N8" s="141"/>
    </row>
    <row r="9" spans="2:14" x14ac:dyDescent="0.3">
      <c r="B9" s="146"/>
      <c r="C9" s="145"/>
      <c r="D9" s="145" t="s">
        <v>367</v>
      </c>
      <c r="E9" s="145"/>
      <c r="F9" s="145"/>
      <c r="G9" s="145"/>
      <c r="H9" s="145"/>
      <c r="I9" s="145"/>
      <c r="J9" s="145"/>
      <c r="K9" s="141"/>
      <c r="L9" s="141"/>
      <c r="M9" s="141"/>
      <c r="N9" s="141"/>
    </row>
    <row r="10" spans="2:14" x14ac:dyDescent="0.3">
      <c r="B10" s="144"/>
      <c r="C10" s="144"/>
      <c r="D10" s="144"/>
      <c r="E10" s="144"/>
      <c r="F10" s="144"/>
      <c r="G10" s="144"/>
      <c r="H10" s="144"/>
      <c r="I10" s="144"/>
      <c r="J10" s="144"/>
      <c r="K10" s="141"/>
      <c r="L10" s="141"/>
      <c r="M10" s="141"/>
      <c r="N10" s="141"/>
    </row>
    <row r="11" spans="2:14" x14ac:dyDescent="0.3">
      <c r="B11" s="147" t="s">
        <v>368</v>
      </c>
      <c r="C11" s="144"/>
      <c r="D11" s="144"/>
      <c r="E11" s="144"/>
      <c r="F11" s="144"/>
      <c r="G11" s="144"/>
      <c r="H11" s="144"/>
      <c r="I11" s="144"/>
      <c r="J11" s="144"/>
      <c r="K11" s="141"/>
      <c r="L11" s="141"/>
      <c r="M11" s="141"/>
      <c r="N11" s="141"/>
    </row>
    <row r="12" spans="2:14" x14ac:dyDescent="0.3">
      <c r="B12" s="145" t="s">
        <v>355</v>
      </c>
      <c r="C12" s="145"/>
      <c r="D12" s="145" t="s">
        <v>359</v>
      </c>
      <c r="E12" s="145"/>
      <c r="F12" s="145"/>
      <c r="G12" s="145"/>
      <c r="H12" s="145"/>
      <c r="I12" s="145"/>
      <c r="J12" s="145"/>
      <c r="K12" s="141"/>
      <c r="L12" s="141"/>
      <c r="M12" s="141"/>
      <c r="N12" s="141"/>
    </row>
    <row r="13" spans="2:14" x14ac:dyDescent="0.3">
      <c r="B13" s="146"/>
      <c r="C13" s="145"/>
      <c r="D13" s="145" t="s">
        <v>360</v>
      </c>
      <c r="E13" s="145"/>
      <c r="F13" s="145"/>
      <c r="G13" s="145"/>
      <c r="H13" s="145"/>
      <c r="I13" s="145"/>
      <c r="J13" s="145"/>
      <c r="K13" s="141"/>
      <c r="L13" s="141"/>
      <c r="M13" s="141"/>
      <c r="N13" s="141"/>
    </row>
    <row r="14" spans="2:14" x14ac:dyDescent="0.3">
      <c r="B14" s="145"/>
      <c r="C14" s="145"/>
      <c r="D14" s="145" t="s">
        <v>363</v>
      </c>
      <c r="E14" s="145"/>
      <c r="F14" s="145"/>
      <c r="G14" s="145"/>
      <c r="H14" s="145"/>
      <c r="I14" s="145"/>
      <c r="J14" s="145"/>
      <c r="K14" s="141"/>
      <c r="L14" s="141"/>
      <c r="M14" s="141"/>
      <c r="N14" s="141"/>
    </row>
    <row r="15" spans="2:14" x14ac:dyDescent="0.3">
      <c r="B15" s="145"/>
      <c r="C15" s="145"/>
      <c r="D15" s="145"/>
      <c r="E15" s="145"/>
      <c r="F15" s="145"/>
      <c r="G15" s="145"/>
      <c r="H15" s="145"/>
      <c r="I15" s="145"/>
      <c r="J15" s="145"/>
      <c r="K15" s="141"/>
      <c r="L15" s="141"/>
      <c r="M15" s="141"/>
      <c r="N15" s="141"/>
    </row>
    <row r="16" spans="2:14" x14ac:dyDescent="0.3">
      <c r="B16" s="144" t="s">
        <v>356</v>
      </c>
      <c r="C16" s="144"/>
      <c r="D16" s="144" t="s">
        <v>359</v>
      </c>
      <c r="E16" s="144"/>
      <c r="F16" s="144"/>
      <c r="G16" s="144"/>
      <c r="H16" s="144"/>
      <c r="I16" s="144"/>
      <c r="J16" s="144"/>
      <c r="K16" s="141"/>
      <c r="L16" s="141"/>
      <c r="M16" s="141"/>
      <c r="N16" s="141"/>
    </row>
    <row r="17" spans="2:14" x14ac:dyDescent="0.3">
      <c r="B17" s="144"/>
      <c r="C17" s="144"/>
      <c r="D17" s="144" t="s">
        <v>360</v>
      </c>
      <c r="E17" s="144"/>
      <c r="F17" s="144"/>
      <c r="G17" s="144"/>
      <c r="H17" s="144"/>
      <c r="I17" s="144"/>
      <c r="J17" s="144"/>
      <c r="K17" s="141"/>
      <c r="L17" s="141"/>
      <c r="M17" s="141"/>
      <c r="N17" s="141"/>
    </row>
    <row r="18" spans="2:14" x14ac:dyDescent="0.3">
      <c r="B18" s="144"/>
      <c r="C18" s="144"/>
      <c r="D18" s="144" t="s">
        <v>361</v>
      </c>
      <c r="E18" s="144"/>
      <c r="F18" s="144"/>
      <c r="G18" s="144"/>
      <c r="H18" s="144"/>
      <c r="I18" s="144"/>
      <c r="J18" s="144"/>
      <c r="K18" s="141"/>
      <c r="L18" s="141"/>
      <c r="M18" s="141"/>
      <c r="N18" s="141"/>
    </row>
    <row r="19" spans="2:14" x14ac:dyDescent="0.3">
      <c r="B19" s="144"/>
      <c r="C19" s="144"/>
      <c r="D19" s="144"/>
      <c r="E19" s="144"/>
      <c r="F19" s="144"/>
      <c r="G19" s="144"/>
      <c r="H19" s="144"/>
      <c r="I19" s="144"/>
      <c r="J19" s="144"/>
      <c r="K19" s="141"/>
      <c r="L19" s="141"/>
      <c r="M19" s="141"/>
      <c r="N19" s="141"/>
    </row>
    <row r="20" spans="2:14" x14ac:dyDescent="0.3">
      <c r="B20" s="145" t="s">
        <v>357</v>
      </c>
      <c r="C20" s="145"/>
      <c r="D20" s="145" t="s">
        <v>364</v>
      </c>
      <c r="E20" s="145"/>
      <c r="F20" s="145"/>
      <c r="G20" s="145"/>
      <c r="H20" s="145"/>
      <c r="I20" s="145"/>
      <c r="J20" s="145"/>
      <c r="K20" s="141"/>
      <c r="L20" s="141"/>
      <c r="M20" s="141"/>
      <c r="N20" s="141"/>
    </row>
    <row r="21" spans="2:14" x14ac:dyDescent="0.3">
      <c r="B21" s="146"/>
      <c r="C21" s="145"/>
      <c r="D21" s="145" t="s">
        <v>365</v>
      </c>
      <c r="E21" s="145"/>
      <c r="F21" s="145"/>
      <c r="G21" s="145"/>
      <c r="H21" s="145"/>
      <c r="I21" s="145"/>
      <c r="J21" s="145"/>
      <c r="K21" s="141"/>
      <c r="L21" s="141"/>
      <c r="M21" s="141"/>
      <c r="N21" s="141"/>
    </row>
    <row r="22" spans="2:14" x14ac:dyDescent="0.3">
      <c r="B22" s="145"/>
      <c r="C22" s="145"/>
      <c r="D22" s="145"/>
      <c r="E22" s="145"/>
      <c r="F22" s="145"/>
      <c r="G22" s="145"/>
      <c r="H22" s="145"/>
      <c r="I22" s="145"/>
      <c r="J22" s="145"/>
      <c r="K22" s="141"/>
      <c r="L22" s="141"/>
      <c r="M22" s="141"/>
      <c r="N22" s="141"/>
    </row>
    <row r="23" spans="2:14" x14ac:dyDescent="0.3">
      <c r="K23" s="141"/>
      <c r="L23" s="141"/>
      <c r="M23" s="141"/>
      <c r="N23" s="141"/>
    </row>
    <row r="24" spans="2:14" x14ac:dyDescent="0.3">
      <c r="K24" s="141"/>
      <c r="L24" s="141"/>
      <c r="M24" s="141"/>
      <c r="N24" s="141"/>
    </row>
    <row r="25" spans="2:14" x14ac:dyDescent="0.3">
      <c r="B25" s="144"/>
      <c r="C25" s="144"/>
      <c r="D25" s="144"/>
      <c r="E25" s="144"/>
      <c r="F25" s="144"/>
      <c r="G25" s="144"/>
      <c r="H25" s="144"/>
      <c r="I25" s="144"/>
      <c r="J25" s="144"/>
      <c r="K25" s="141"/>
      <c r="L25" s="141"/>
      <c r="M25" s="141"/>
      <c r="N25" s="141"/>
    </row>
    <row r="26" spans="2:14" x14ac:dyDescent="0.3">
      <c r="B26" s="144"/>
      <c r="C26" s="144"/>
      <c r="D26" s="144"/>
      <c r="E26" s="144"/>
      <c r="F26" s="144"/>
      <c r="G26" s="144"/>
      <c r="H26" s="144"/>
      <c r="I26" s="144"/>
      <c r="J26" s="144"/>
      <c r="K26" s="141"/>
      <c r="L26" s="141"/>
      <c r="M26" s="141"/>
      <c r="N26" s="141"/>
    </row>
    <row r="27" spans="2:14" x14ac:dyDescent="0.3"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</row>
    <row r="28" spans="2:14" x14ac:dyDescent="0.3"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</row>
    <row r="29" spans="2:14" x14ac:dyDescent="0.3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3:J21"/>
  <sheetViews>
    <sheetView workbookViewId="0">
      <selection activeCell="A20" sqref="A20:I20"/>
    </sheetView>
  </sheetViews>
  <sheetFormatPr defaultColWidth="9.109375" defaultRowHeight="13.8" x14ac:dyDescent="0.25"/>
  <cols>
    <col min="1" max="16384" width="9.109375" style="5"/>
  </cols>
  <sheetData>
    <row r="3" spans="1:10" ht="17.399999999999999" x14ac:dyDescent="0.3">
      <c r="A3" s="61"/>
      <c r="B3" s="67"/>
      <c r="C3" s="67"/>
      <c r="D3" s="67"/>
      <c r="E3" s="67"/>
      <c r="F3" s="67"/>
      <c r="G3" s="67"/>
      <c r="H3" s="67"/>
      <c r="I3" s="67"/>
      <c r="J3" s="68"/>
    </row>
    <row r="4" spans="1:10" ht="17.399999999999999" x14ac:dyDescent="0.3">
      <c r="A4" s="67" t="s">
        <v>254</v>
      </c>
      <c r="B4" s="67"/>
      <c r="C4" s="67"/>
      <c r="D4" s="67"/>
      <c r="E4" s="67"/>
      <c r="F4" s="67"/>
      <c r="G4" s="67"/>
      <c r="H4" s="67"/>
      <c r="I4" s="67"/>
      <c r="J4" s="68"/>
    </row>
    <row r="6" spans="1:10" ht="17.399999999999999" x14ac:dyDescent="0.3">
      <c r="A6" s="61"/>
      <c r="B6" s="67"/>
      <c r="C6" s="67"/>
      <c r="D6" s="67"/>
      <c r="E6" s="67"/>
      <c r="F6" s="67"/>
      <c r="G6" s="67"/>
      <c r="H6" s="67"/>
      <c r="I6" s="67"/>
    </row>
    <row r="7" spans="1:10" ht="17.399999999999999" x14ac:dyDescent="0.3">
      <c r="A7" s="67" t="s">
        <v>255</v>
      </c>
      <c r="B7" s="67"/>
      <c r="C7" s="67"/>
      <c r="D7" s="67"/>
      <c r="E7" s="67"/>
      <c r="F7" s="67"/>
      <c r="G7" s="67"/>
      <c r="H7" s="67"/>
      <c r="I7" s="67"/>
    </row>
    <row r="9" spans="1:10" ht="17.399999999999999" x14ac:dyDescent="0.3">
      <c r="A9" s="61"/>
      <c r="B9" s="67"/>
      <c r="C9" s="67"/>
      <c r="D9" s="67"/>
      <c r="E9" s="67"/>
      <c r="F9" s="67"/>
      <c r="G9" s="67"/>
      <c r="H9" s="67"/>
      <c r="I9" s="67"/>
    </row>
    <row r="10" spans="1:10" ht="17.399999999999999" x14ac:dyDescent="0.3">
      <c r="A10" s="67" t="s">
        <v>256</v>
      </c>
      <c r="B10" s="67"/>
      <c r="C10" s="67"/>
      <c r="D10" s="67"/>
      <c r="E10" s="67"/>
      <c r="F10" s="67"/>
      <c r="G10" s="67"/>
      <c r="H10" s="67"/>
      <c r="I10" s="67"/>
    </row>
    <row r="13" spans="1:10" ht="17.399999999999999" x14ac:dyDescent="0.3">
      <c r="A13" s="61"/>
      <c r="B13" s="67"/>
      <c r="C13" s="67"/>
      <c r="D13" s="67"/>
      <c r="E13" s="67"/>
      <c r="F13" s="67"/>
      <c r="G13" s="67"/>
      <c r="H13" s="67"/>
      <c r="I13" s="67"/>
    </row>
    <row r="14" spans="1:10" ht="17.399999999999999" x14ac:dyDescent="0.3">
      <c r="A14" s="67" t="s">
        <v>272</v>
      </c>
      <c r="B14" s="67"/>
      <c r="C14" s="67"/>
      <c r="D14" s="67"/>
      <c r="E14" s="67"/>
      <c r="F14" s="67"/>
      <c r="G14" s="67"/>
      <c r="H14" s="67"/>
      <c r="I14" s="67"/>
    </row>
    <row r="20" spans="1:9" ht="17.399999999999999" x14ac:dyDescent="0.3">
      <c r="A20" s="234" t="s">
        <v>473</v>
      </c>
      <c r="B20" s="233"/>
      <c r="C20" s="233"/>
      <c r="D20" s="233"/>
      <c r="E20" s="233"/>
      <c r="F20" s="233"/>
      <c r="G20" s="233"/>
      <c r="H20" s="233"/>
      <c r="I20" s="233"/>
    </row>
    <row r="21" spans="1:9" x14ac:dyDescent="0.25">
      <c r="E21" s="5" t="s">
        <v>260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1"/>
  <sheetViews>
    <sheetView workbookViewId="0">
      <selection activeCell="A2" sqref="A2:G18"/>
    </sheetView>
  </sheetViews>
  <sheetFormatPr defaultColWidth="9.109375" defaultRowHeight="13.8" x14ac:dyDescent="0.25"/>
  <cols>
    <col min="1" max="1" width="33.5546875" style="5" customWidth="1"/>
    <col min="2" max="2" width="11.5546875" style="5" customWidth="1"/>
    <col min="3" max="3" width="14.5546875" style="5" customWidth="1"/>
    <col min="4" max="4" width="13.6640625" style="5" customWidth="1"/>
    <col min="5" max="5" width="14.109375" style="5" customWidth="1"/>
    <col min="6" max="6" width="16" style="5" customWidth="1"/>
    <col min="7" max="7" width="14.6640625" style="5" customWidth="1"/>
    <col min="8" max="16384" width="9.109375" style="5"/>
  </cols>
  <sheetData>
    <row r="1" spans="1:8" ht="25.5" customHeight="1" thickBot="1" x14ac:dyDescent="0.3">
      <c r="A1" s="244" t="s">
        <v>321</v>
      </c>
      <c r="B1" s="244"/>
      <c r="C1" s="244"/>
      <c r="D1" s="244"/>
      <c r="E1" s="244"/>
      <c r="F1" s="244"/>
      <c r="G1" s="244"/>
      <c r="H1" s="4"/>
    </row>
    <row r="2" spans="1:8" ht="49.5" customHeight="1" thickBot="1" x14ac:dyDescent="0.3">
      <c r="A2" s="138" t="s">
        <v>91</v>
      </c>
      <c r="B2" s="139" t="s">
        <v>322</v>
      </c>
      <c r="C2" s="139" t="s">
        <v>323</v>
      </c>
      <c r="D2" s="139" t="s">
        <v>324</v>
      </c>
      <c r="E2" s="139" t="s">
        <v>325</v>
      </c>
      <c r="F2" s="139" t="s">
        <v>326</v>
      </c>
      <c r="G2" s="140" t="s">
        <v>327</v>
      </c>
      <c r="H2" s="4"/>
    </row>
    <row r="3" spans="1:8" x14ac:dyDescent="0.25">
      <c r="A3" s="4" t="s">
        <v>328</v>
      </c>
      <c r="B3" s="66">
        <v>1974</v>
      </c>
      <c r="C3" s="120">
        <v>1515.1</v>
      </c>
      <c r="D3" s="121">
        <v>1.62</v>
      </c>
      <c r="E3" s="122">
        <v>1006</v>
      </c>
      <c r="F3" s="66" t="s">
        <v>329</v>
      </c>
      <c r="G3" s="66" t="s">
        <v>330</v>
      </c>
      <c r="H3" s="4"/>
    </row>
    <row r="4" spans="1:8" x14ac:dyDescent="0.25">
      <c r="A4" s="123" t="s">
        <v>145</v>
      </c>
      <c r="B4" s="124">
        <v>1995</v>
      </c>
      <c r="C4" s="125">
        <v>570</v>
      </c>
      <c r="D4" s="126">
        <v>2.34</v>
      </c>
      <c r="E4" s="127">
        <v>360</v>
      </c>
      <c r="F4" s="124" t="s">
        <v>329</v>
      </c>
      <c r="G4" s="124" t="s">
        <v>331</v>
      </c>
      <c r="H4" s="4"/>
    </row>
    <row r="5" spans="1:8" x14ac:dyDescent="0.25">
      <c r="A5" s="4" t="s">
        <v>332</v>
      </c>
      <c r="B5" s="66">
        <v>2006</v>
      </c>
      <c r="C5" s="120">
        <v>216.1</v>
      </c>
      <c r="D5" s="121">
        <v>1.69</v>
      </c>
      <c r="E5" s="122">
        <v>75</v>
      </c>
      <c r="F5" s="66" t="s">
        <v>329</v>
      </c>
      <c r="G5" s="66" t="s">
        <v>330</v>
      </c>
      <c r="H5" s="4"/>
    </row>
    <row r="6" spans="1:8" x14ac:dyDescent="0.25">
      <c r="A6" s="123" t="s">
        <v>333</v>
      </c>
      <c r="B6" s="124">
        <v>2004</v>
      </c>
      <c r="C6" s="125">
        <v>202.2</v>
      </c>
      <c r="D6" s="126">
        <v>1.49</v>
      </c>
      <c r="E6" s="127">
        <v>150</v>
      </c>
      <c r="F6" s="124" t="s">
        <v>329</v>
      </c>
      <c r="G6" s="124" t="s">
        <v>330</v>
      </c>
      <c r="H6" s="4"/>
    </row>
    <row r="7" spans="1:8" x14ac:dyDescent="0.25">
      <c r="A7" s="4" t="s">
        <v>334</v>
      </c>
      <c r="B7" s="66">
        <v>2002</v>
      </c>
      <c r="C7" s="120">
        <v>121.7</v>
      </c>
      <c r="D7" s="121">
        <v>0.81</v>
      </c>
      <c r="E7" s="122">
        <v>78</v>
      </c>
      <c r="F7" s="66" t="s">
        <v>335</v>
      </c>
      <c r="G7" s="66" t="s">
        <v>336</v>
      </c>
      <c r="H7" s="4"/>
    </row>
    <row r="8" spans="1:8" x14ac:dyDescent="0.25">
      <c r="A8" s="123" t="s">
        <v>337</v>
      </c>
      <c r="B8" s="124">
        <v>2009</v>
      </c>
      <c r="C8" s="125">
        <v>101.4</v>
      </c>
      <c r="D8" s="126">
        <v>17.34</v>
      </c>
      <c r="E8" s="127">
        <v>70</v>
      </c>
      <c r="F8" s="124" t="s">
        <v>329</v>
      </c>
      <c r="G8" s="124" t="s">
        <v>330</v>
      </c>
      <c r="H8" s="4"/>
    </row>
    <row r="9" spans="1:8" x14ac:dyDescent="0.25">
      <c r="A9" s="4" t="s">
        <v>338</v>
      </c>
      <c r="B9" s="66">
        <v>2000</v>
      </c>
      <c r="C9" s="120">
        <v>94.6</v>
      </c>
      <c r="D9" s="121">
        <v>3.25</v>
      </c>
      <c r="E9" s="122">
        <v>84</v>
      </c>
      <c r="F9" s="66" t="s">
        <v>329</v>
      </c>
      <c r="G9" s="66" t="s">
        <v>339</v>
      </c>
      <c r="H9" s="4"/>
    </row>
    <row r="10" spans="1:8" x14ac:dyDescent="0.25">
      <c r="A10" s="123" t="s">
        <v>340</v>
      </c>
      <c r="B10" s="124">
        <v>2002</v>
      </c>
      <c r="C10" s="125">
        <v>81.599999999999994</v>
      </c>
      <c r="D10" s="126">
        <v>0.47</v>
      </c>
      <c r="E10" s="127">
        <v>43</v>
      </c>
      <c r="F10" s="124" t="s">
        <v>329</v>
      </c>
      <c r="G10" s="124" t="s">
        <v>330</v>
      </c>
      <c r="H10" s="4"/>
    </row>
    <row r="11" spans="1:8" x14ac:dyDescent="0.25">
      <c r="A11" s="4" t="s">
        <v>341</v>
      </c>
      <c r="B11" s="66">
        <v>1982</v>
      </c>
      <c r="C11" s="120">
        <v>79.3</v>
      </c>
      <c r="D11" s="121">
        <v>0.74</v>
      </c>
      <c r="E11" s="122">
        <v>299</v>
      </c>
      <c r="F11" s="66" t="s">
        <v>342</v>
      </c>
      <c r="G11" s="66" t="s">
        <v>336</v>
      </c>
      <c r="H11" s="4"/>
    </row>
    <row r="12" spans="1:8" x14ac:dyDescent="0.25">
      <c r="A12" s="123" t="s">
        <v>343</v>
      </c>
      <c r="B12" s="124">
        <v>2008</v>
      </c>
      <c r="C12" s="125">
        <v>32.799999999999997</v>
      </c>
      <c r="D12" s="126">
        <v>2.2799999999999998</v>
      </c>
      <c r="E12" s="127">
        <v>60</v>
      </c>
      <c r="F12" s="124" t="s">
        <v>329</v>
      </c>
      <c r="G12" s="124" t="s">
        <v>330</v>
      </c>
      <c r="H12" s="4"/>
    </row>
    <row r="13" spans="1:8" x14ac:dyDescent="0.25">
      <c r="A13" s="4" t="s">
        <v>344</v>
      </c>
      <c r="B13" s="66">
        <v>1994</v>
      </c>
      <c r="C13" s="120">
        <v>32.700000000000003</v>
      </c>
      <c r="D13" s="121">
        <v>0.72</v>
      </c>
      <c r="E13" s="122">
        <v>26</v>
      </c>
      <c r="F13" s="66" t="s">
        <v>342</v>
      </c>
      <c r="G13" s="66" t="s">
        <v>336</v>
      </c>
      <c r="H13" s="4"/>
    </row>
    <row r="14" spans="1:8" x14ac:dyDescent="0.25">
      <c r="A14" s="123" t="s">
        <v>345</v>
      </c>
      <c r="B14" s="124">
        <v>2003</v>
      </c>
      <c r="C14" s="125">
        <v>22.4</v>
      </c>
      <c r="D14" s="126">
        <v>0.68</v>
      </c>
      <c r="E14" s="127">
        <v>47</v>
      </c>
      <c r="F14" s="124" t="s">
        <v>342</v>
      </c>
      <c r="G14" s="124" t="s">
        <v>336</v>
      </c>
      <c r="H14" s="4"/>
    </row>
    <row r="15" spans="1:8" x14ac:dyDescent="0.25">
      <c r="A15" s="4" t="s">
        <v>346</v>
      </c>
      <c r="B15" s="66">
        <v>2008</v>
      </c>
      <c r="C15" s="120">
        <v>6.2</v>
      </c>
      <c r="D15" s="121">
        <v>0.76</v>
      </c>
      <c r="E15" s="122">
        <v>22</v>
      </c>
      <c r="F15" s="66" t="s">
        <v>342</v>
      </c>
      <c r="G15" s="66" t="s">
        <v>336</v>
      </c>
      <c r="H15" s="4"/>
    </row>
    <row r="16" spans="1:8" x14ac:dyDescent="0.25">
      <c r="A16" s="128"/>
      <c r="B16" s="129" t="s">
        <v>347</v>
      </c>
      <c r="C16" s="130">
        <f>AVERAGE(C3:C15)</f>
        <v>236.62307692307689</v>
      </c>
      <c r="D16" s="131">
        <f t="shared" ref="D16:E16" si="0">AVERAGE(D3:D15)</f>
        <v>2.6299999999999994</v>
      </c>
      <c r="E16" s="132">
        <f t="shared" si="0"/>
        <v>178.46153846153845</v>
      </c>
      <c r="F16" s="129"/>
      <c r="G16" s="129"/>
      <c r="H16" s="4"/>
    </row>
    <row r="17" spans="1:8" x14ac:dyDescent="0.25">
      <c r="A17" s="133"/>
      <c r="B17" s="134" t="s">
        <v>348</v>
      </c>
      <c r="C17" s="135">
        <v>98</v>
      </c>
      <c r="D17" s="136">
        <v>1.56</v>
      </c>
      <c r="E17" s="137">
        <f t="shared" ref="E17" si="1">MEDIAN(E3:E15)</f>
        <v>75</v>
      </c>
      <c r="F17" s="134"/>
      <c r="G17" s="134"/>
      <c r="H17" s="4"/>
    </row>
    <row r="18" spans="1:8" x14ac:dyDescent="0.25">
      <c r="A18" s="71" t="s">
        <v>349</v>
      </c>
      <c r="B18" s="66"/>
      <c r="C18" s="120"/>
      <c r="D18" s="121"/>
      <c r="E18" s="122"/>
      <c r="F18" s="66"/>
      <c r="G18" s="66"/>
      <c r="H18" s="4"/>
    </row>
    <row r="19" spans="1:8" x14ac:dyDescent="0.25">
      <c r="A19" s="71" t="s">
        <v>350</v>
      </c>
      <c r="B19" s="66"/>
      <c r="C19" s="120"/>
      <c r="D19" s="121"/>
      <c r="E19" s="122"/>
      <c r="F19" s="66"/>
      <c r="G19" s="66"/>
      <c r="H19" s="4"/>
    </row>
    <row r="20" spans="1:8" x14ac:dyDescent="0.25">
      <c r="A20" s="71" t="s">
        <v>351</v>
      </c>
      <c r="B20" s="4"/>
      <c r="C20" s="4"/>
      <c r="D20" s="4"/>
      <c r="E20" s="4"/>
      <c r="F20" s="4"/>
      <c r="G20" s="4"/>
      <c r="H20" s="4"/>
    </row>
    <row r="21" spans="1:8" x14ac:dyDescent="0.25">
      <c r="A21" s="4"/>
      <c r="B21" s="4"/>
      <c r="C21" s="4"/>
      <c r="D21" s="4"/>
      <c r="E21" s="4"/>
      <c r="F21" s="4"/>
      <c r="G21" s="4"/>
      <c r="H21" s="4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3:G25"/>
  <sheetViews>
    <sheetView workbookViewId="0">
      <selection activeCell="E36" sqref="E36"/>
    </sheetView>
  </sheetViews>
  <sheetFormatPr defaultColWidth="9.109375" defaultRowHeight="13.2" x14ac:dyDescent="0.25"/>
  <cols>
    <col min="1" max="1" width="22.88671875" style="7" customWidth="1"/>
    <col min="2" max="2" width="9.109375" style="7"/>
    <col min="3" max="3" width="16.33203125" style="7" customWidth="1"/>
    <col min="4" max="4" width="12.33203125" style="7" customWidth="1"/>
    <col min="5" max="5" width="27.33203125" style="7" customWidth="1"/>
    <col min="6" max="16384" width="9.109375" style="7"/>
  </cols>
  <sheetData>
    <row r="3" spans="1:5" ht="52.8" x14ac:dyDescent="0.25">
      <c r="A3" s="9" t="s">
        <v>9</v>
      </c>
      <c r="B3" s="9" t="s">
        <v>10</v>
      </c>
      <c r="C3" s="10" t="s">
        <v>17</v>
      </c>
      <c r="D3" s="10" t="s">
        <v>11</v>
      </c>
      <c r="E3" s="9" t="s">
        <v>12</v>
      </c>
    </row>
    <row r="4" spans="1:5" x14ac:dyDescent="0.25">
      <c r="A4" s="6" t="s">
        <v>13</v>
      </c>
      <c r="B4" s="6" t="s">
        <v>14</v>
      </c>
      <c r="C4" s="16">
        <f>+C5+C6</f>
        <v>65.099999999999994</v>
      </c>
      <c r="D4" s="17">
        <f>+C4/$C$18</f>
        <v>0.227145847871598</v>
      </c>
      <c r="E4" s="6"/>
    </row>
    <row r="5" spans="1:5" x14ac:dyDescent="0.25">
      <c r="A5" s="11" t="s">
        <v>15</v>
      </c>
      <c r="B5" s="6"/>
      <c r="C5" s="18">
        <v>44.9</v>
      </c>
      <c r="D5" s="114">
        <f>+C5/$C$18</f>
        <v>0.15666434054431261</v>
      </c>
      <c r="E5" s="6" t="s">
        <v>18</v>
      </c>
    </row>
    <row r="6" spans="1:5" x14ac:dyDescent="0.25">
      <c r="A6" s="11" t="s">
        <v>16</v>
      </c>
      <c r="B6" s="6"/>
      <c r="C6" s="18">
        <v>20.2</v>
      </c>
      <c r="D6" s="114">
        <f>+C6/$C$18</f>
        <v>7.0481507327285406E-2</v>
      </c>
      <c r="E6" s="6" t="s">
        <v>19</v>
      </c>
    </row>
    <row r="7" spans="1:5" x14ac:dyDescent="0.25">
      <c r="A7" s="6" t="s">
        <v>20</v>
      </c>
      <c r="B7" s="6" t="s">
        <v>21</v>
      </c>
      <c r="C7" s="18">
        <v>44.8</v>
      </c>
      <c r="D7" s="17">
        <f>+C7/$C$18</f>
        <v>0.15631542219120723</v>
      </c>
      <c r="E7" s="6" t="s">
        <v>18</v>
      </c>
    </row>
    <row r="8" spans="1:5" x14ac:dyDescent="0.25">
      <c r="A8" s="6" t="s">
        <v>22</v>
      </c>
      <c r="B8" s="6" t="s">
        <v>23</v>
      </c>
      <c r="C8" s="18">
        <v>37.200000000000003</v>
      </c>
      <c r="D8" s="17">
        <f t="shared" ref="D8:D18" si="0">+C8/$C$18</f>
        <v>0.1297976273551989</v>
      </c>
      <c r="E8" s="6" t="s">
        <v>19</v>
      </c>
    </row>
    <row r="9" spans="1:5" x14ac:dyDescent="0.25">
      <c r="A9" s="6" t="s">
        <v>26</v>
      </c>
      <c r="B9" s="6" t="s">
        <v>24</v>
      </c>
      <c r="C9" s="18">
        <v>18.5</v>
      </c>
      <c r="D9" s="17">
        <f t="shared" si="0"/>
        <v>6.4549895324494067E-2</v>
      </c>
      <c r="E9" s="6" t="s">
        <v>25</v>
      </c>
    </row>
    <row r="10" spans="1:5" x14ac:dyDescent="0.25">
      <c r="A10" s="6" t="s">
        <v>27</v>
      </c>
      <c r="B10" s="6" t="s">
        <v>28</v>
      </c>
      <c r="C10" s="18">
        <v>17.2</v>
      </c>
      <c r="D10" s="17">
        <f t="shared" si="0"/>
        <v>6.0013956734124206E-2</v>
      </c>
      <c r="E10" s="6" t="s">
        <v>18</v>
      </c>
    </row>
    <row r="11" spans="1:5" x14ac:dyDescent="0.25">
      <c r="A11" s="6" t="s">
        <v>29</v>
      </c>
      <c r="B11" s="6" t="s">
        <v>30</v>
      </c>
      <c r="C11" s="18">
        <v>8.1999999999999993</v>
      </c>
      <c r="D11" s="17">
        <f t="shared" si="0"/>
        <v>2.861130495464061E-2</v>
      </c>
      <c r="E11" s="6" t="s">
        <v>31</v>
      </c>
    </row>
    <row r="12" spans="1:5" x14ac:dyDescent="0.25">
      <c r="A12" s="6" t="s">
        <v>32</v>
      </c>
      <c r="B12" s="6" t="s">
        <v>33</v>
      </c>
      <c r="C12" s="18">
        <v>3.8</v>
      </c>
      <c r="D12" s="17">
        <f t="shared" si="0"/>
        <v>1.3258897418004185E-2</v>
      </c>
      <c r="E12" s="6" t="s">
        <v>31</v>
      </c>
    </row>
    <row r="13" spans="1:5" x14ac:dyDescent="0.25">
      <c r="A13" s="6" t="s">
        <v>34</v>
      </c>
      <c r="B13" s="6" t="s">
        <v>35</v>
      </c>
      <c r="C13" s="18">
        <v>3.8</v>
      </c>
      <c r="D13" s="17">
        <f t="shared" si="0"/>
        <v>1.3258897418004185E-2</v>
      </c>
      <c r="E13" s="6" t="s">
        <v>19</v>
      </c>
    </row>
    <row r="14" spans="1:5" x14ac:dyDescent="0.25">
      <c r="A14" s="6" t="s">
        <v>36</v>
      </c>
      <c r="B14" s="6" t="s">
        <v>37</v>
      </c>
      <c r="C14" s="18">
        <v>3.3</v>
      </c>
      <c r="D14" s="17">
        <f t="shared" si="0"/>
        <v>1.1514305652477319E-2</v>
      </c>
      <c r="E14" s="6" t="s">
        <v>25</v>
      </c>
    </row>
    <row r="15" spans="1:5" x14ac:dyDescent="0.25">
      <c r="A15" s="6" t="s">
        <v>38</v>
      </c>
      <c r="B15" s="6" t="s">
        <v>39</v>
      </c>
      <c r="C15" s="18">
        <v>2.1</v>
      </c>
      <c r="D15" s="17">
        <f t="shared" si="0"/>
        <v>7.32728541521284E-3</v>
      </c>
      <c r="E15" s="6" t="s">
        <v>25</v>
      </c>
    </row>
    <row r="16" spans="1:5" x14ac:dyDescent="0.25">
      <c r="A16" s="6" t="s">
        <v>40</v>
      </c>
      <c r="B16" s="6"/>
      <c r="C16" s="18">
        <v>40.5</v>
      </c>
      <c r="D16" s="17">
        <f t="shared" si="0"/>
        <v>0.14131193300767619</v>
      </c>
      <c r="E16" s="6" t="s">
        <v>41</v>
      </c>
    </row>
    <row r="17" spans="1:7" x14ac:dyDescent="0.25">
      <c r="A17" s="6" t="s">
        <v>42</v>
      </c>
      <c r="B17" s="14"/>
      <c r="C17" s="19">
        <v>42.1</v>
      </c>
      <c r="D17" s="20">
        <f t="shared" si="0"/>
        <v>0.14689462665736217</v>
      </c>
      <c r="E17" s="6" t="s">
        <v>43</v>
      </c>
    </row>
    <row r="18" spans="1:7" x14ac:dyDescent="0.25">
      <c r="A18" s="15" t="s">
        <v>7</v>
      </c>
      <c r="B18" s="8"/>
      <c r="C18" s="21">
        <f>SUM(C5:C17)</f>
        <v>286.60000000000002</v>
      </c>
      <c r="D18" s="22">
        <f t="shared" si="0"/>
        <v>1</v>
      </c>
      <c r="E18" s="8"/>
    </row>
    <row r="19" spans="1:7" x14ac:dyDescent="0.25">
      <c r="A19" s="6"/>
      <c r="B19" s="6"/>
      <c r="C19" s="6"/>
      <c r="D19" s="6"/>
      <c r="E19" s="6"/>
    </row>
    <row r="20" spans="1:7" x14ac:dyDescent="0.25">
      <c r="A20" s="6"/>
      <c r="B20" s="6"/>
      <c r="C20" s="6"/>
      <c r="D20" s="6"/>
      <c r="E20" s="6"/>
    </row>
    <row r="21" spans="1:7" ht="52.8" x14ac:dyDescent="0.25">
      <c r="A21" s="9" t="s">
        <v>9</v>
      </c>
      <c r="B21" s="9" t="s">
        <v>10</v>
      </c>
      <c r="C21" s="10" t="s">
        <v>17</v>
      </c>
      <c r="D21" s="10" t="s">
        <v>11</v>
      </c>
      <c r="E21" s="9" t="s">
        <v>12</v>
      </c>
    </row>
    <row r="22" spans="1:7" x14ac:dyDescent="0.25">
      <c r="A22" s="6" t="s">
        <v>13</v>
      </c>
      <c r="B22" s="6" t="s">
        <v>14</v>
      </c>
      <c r="C22" s="18">
        <v>44.9</v>
      </c>
      <c r="D22" s="17">
        <v>0.15666434054431261</v>
      </c>
      <c r="E22" s="6" t="s">
        <v>18</v>
      </c>
    </row>
    <row r="23" spans="1:7" x14ac:dyDescent="0.25">
      <c r="A23" s="6" t="s">
        <v>20</v>
      </c>
      <c r="B23" s="6" t="s">
        <v>21</v>
      </c>
      <c r="C23" s="18">
        <v>44.8</v>
      </c>
      <c r="D23" s="17">
        <v>0.15631542219120723</v>
      </c>
      <c r="E23" s="6" t="s">
        <v>18</v>
      </c>
    </row>
    <row r="24" spans="1:7" x14ac:dyDescent="0.25">
      <c r="A24" s="6" t="s">
        <v>27</v>
      </c>
      <c r="B24" s="6" t="s">
        <v>28</v>
      </c>
      <c r="C24" s="18">
        <v>17.2</v>
      </c>
      <c r="D24" s="17">
        <v>6.0013956734124206E-2</v>
      </c>
      <c r="E24" s="6" t="s">
        <v>18</v>
      </c>
    </row>
    <row r="25" spans="1:7" x14ac:dyDescent="0.25">
      <c r="A25" s="115" t="s">
        <v>7</v>
      </c>
      <c r="B25" s="116"/>
      <c r="C25" s="117">
        <f>SUM(C22:C24)</f>
        <v>106.89999999999999</v>
      </c>
      <c r="D25" s="118">
        <f>+C25/G25</f>
        <v>0.37299371946964405</v>
      </c>
      <c r="E25" s="116"/>
      <c r="G25" s="7">
        <v>286.60000000000002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D6"/>
  <sheetViews>
    <sheetView workbookViewId="0">
      <selection activeCell="G24" sqref="G24"/>
    </sheetView>
  </sheetViews>
  <sheetFormatPr defaultRowHeight="14.4" x14ac:dyDescent="0.3"/>
  <cols>
    <col min="2" max="2" width="80" bestFit="1" customWidth="1"/>
    <col min="3" max="3" width="14.6640625" bestFit="1" customWidth="1"/>
    <col min="4" max="4" width="14.88671875" bestFit="1" customWidth="1"/>
  </cols>
  <sheetData>
    <row r="2" spans="2:4" x14ac:dyDescent="0.3">
      <c r="C2" t="s">
        <v>374</v>
      </c>
      <c r="D2" t="s">
        <v>375</v>
      </c>
    </row>
    <row r="3" spans="2:4" x14ac:dyDescent="0.3">
      <c r="B3" t="s">
        <v>371</v>
      </c>
      <c r="C3" s="28">
        <v>0.42299999999999999</v>
      </c>
      <c r="D3" s="28">
        <v>0.23799999999999999</v>
      </c>
    </row>
    <row r="4" spans="2:4" x14ac:dyDescent="0.3">
      <c r="B4" t="s">
        <v>372</v>
      </c>
      <c r="C4" s="28">
        <v>0.17699999999999999</v>
      </c>
      <c r="D4" s="28">
        <v>0.25600000000000001</v>
      </c>
    </row>
    <row r="5" spans="2:4" x14ac:dyDescent="0.3">
      <c r="B5" t="s">
        <v>373</v>
      </c>
      <c r="C5" s="28">
        <v>0.27700000000000002</v>
      </c>
      <c r="D5" s="28">
        <v>8.3000000000000004E-2</v>
      </c>
    </row>
    <row r="6" spans="2:4" x14ac:dyDescent="0.3">
      <c r="B6" t="s">
        <v>370</v>
      </c>
      <c r="C6" s="28">
        <v>6.2E-2</v>
      </c>
      <c r="D6" s="28">
        <v>0.23799999999999999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L44"/>
  <sheetViews>
    <sheetView workbookViewId="0">
      <selection activeCell="J38" sqref="J38"/>
    </sheetView>
  </sheetViews>
  <sheetFormatPr defaultRowHeight="14.4" x14ac:dyDescent="0.3"/>
  <cols>
    <col min="1" max="1" width="10.6640625" bestFit="1" customWidth="1"/>
  </cols>
  <sheetData>
    <row r="3" spans="1:7" x14ac:dyDescent="0.3">
      <c r="B3" s="148" t="s">
        <v>14</v>
      </c>
      <c r="C3" s="148" t="s">
        <v>28</v>
      </c>
      <c r="D3" s="149" t="s">
        <v>21</v>
      </c>
      <c r="E3" s="150" t="s">
        <v>376</v>
      </c>
      <c r="F3" s="151" t="s">
        <v>377</v>
      </c>
    </row>
    <row r="4" spans="1:7" x14ac:dyDescent="0.3">
      <c r="A4" s="152">
        <v>40939</v>
      </c>
      <c r="B4" s="153">
        <v>9.1999999999999998E-2</v>
      </c>
      <c r="C4" s="154">
        <v>1.6E-2</v>
      </c>
      <c r="D4" s="155">
        <v>-8.5999999999999993E-2</v>
      </c>
      <c r="E4" s="156">
        <v>1.2999999999999999E-2</v>
      </c>
      <c r="F4" s="157">
        <f t="shared" ref="F4:F35" si="0">D4-E4</f>
        <v>-9.8999999999999991E-2</v>
      </c>
      <c r="G4">
        <v>0</v>
      </c>
    </row>
    <row r="5" spans="1:7" x14ac:dyDescent="0.3">
      <c r="A5" s="152">
        <v>40968</v>
      </c>
      <c r="B5" s="153">
        <v>9.1999999999999998E-2</v>
      </c>
      <c r="C5" s="158">
        <v>2.1999999999999999E-2</v>
      </c>
      <c r="D5" s="159">
        <v>-9.5000000000000001E-2</v>
      </c>
      <c r="E5" s="160">
        <v>0</v>
      </c>
      <c r="F5" s="161">
        <f t="shared" si="0"/>
        <v>-9.5000000000000001E-2</v>
      </c>
      <c r="G5">
        <v>0</v>
      </c>
    </row>
    <row r="6" spans="1:7" x14ac:dyDescent="0.3">
      <c r="A6" s="152">
        <v>40999</v>
      </c>
      <c r="B6" s="153">
        <v>9.1999999999999998E-2</v>
      </c>
      <c r="C6" s="158">
        <v>2.5999999999999999E-2</v>
      </c>
      <c r="D6" s="159">
        <v>-0.114</v>
      </c>
      <c r="E6" s="160">
        <v>-2.1000000000000001E-2</v>
      </c>
      <c r="F6" s="161">
        <f t="shared" si="0"/>
        <v>-9.2999999999999999E-2</v>
      </c>
      <c r="G6">
        <v>0</v>
      </c>
    </row>
    <row r="7" spans="1:7" x14ac:dyDescent="0.3">
      <c r="A7" s="152">
        <v>41029</v>
      </c>
      <c r="B7" s="153">
        <v>9.8000000000000004E-2</v>
      </c>
      <c r="C7" s="158">
        <v>3.7999999999999999E-2</v>
      </c>
      <c r="D7" s="159">
        <v>-7.8E-2</v>
      </c>
      <c r="E7" s="160">
        <v>6.0000000000000001E-3</v>
      </c>
      <c r="F7" s="161">
        <f t="shared" si="0"/>
        <v>-8.4000000000000005E-2</v>
      </c>
      <c r="G7">
        <v>0</v>
      </c>
    </row>
    <row r="8" spans="1:7" x14ac:dyDescent="0.3">
      <c r="A8" s="152">
        <v>41060</v>
      </c>
      <c r="B8" s="153">
        <v>9.8000000000000004E-2</v>
      </c>
      <c r="C8" s="158">
        <v>2.5999999999999999E-2</v>
      </c>
      <c r="D8" s="159">
        <v>-7.5999999999999998E-2</v>
      </c>
      <c r="E8" s="160">
        <v>1.2999999999999999E-2</v>
      </c>
      <c r="F8" s="161">
        <f t="shared" si="0"/>
        <v>-8.8999999999999996E-2</v>
      </c>
      <c r="G8">
        <v>0</v>
      </c>
    </row>
    <row r="9" spans="1:7" x14ac:dyDescent="0.3">
      <c r="A9" s="152">
        <v>41090</v>
      </c>
      <c r="B9" s="153">
        <v>9.8000000000000004E-2</v>
      </c>
      <c r="C9" s="158">
        <v>2.9000000000000001E-2</v>
      </c>
      <c r="D9" s="159">
        <v>-0.11899999999999999</v>
      </c>
      <c r="E9" s="160">
        <v>-2.3E-2</v>
      </c>
      <c r="F9" s="161">
        <f t="shared" si="0"/>
        <v>-9.6000000000000002E-2</v>
      </c>
      <c r="G9">
        <v>0</v>
      </c>
    </row>
    <row r="10" spans="1:7" x14ac:dyDescent="0.3">
      <c r="A10" s="152">
        <v>41121</v>
      </c>
      <c r="B10" s="153">
        <v>0.111</v>
      </c>
      <c r="C10" s="158">
        <v>4.4999999999999998E-2</v>
      </c>
      <c r="D10" s="159">
        <v>-5.1999999999999998E-2</v>
      </c>
      <c r="E10" s="160">
        <v>2.1999999999999999E-2</v>
      </c>
      <c r="F10" s="161">
        <f t="shared" si="0"/>
        <v>-7.3999999999999996E-2</v>
      </c>
      <c r="G10">
        <v>0</v>
      </c>
    </row>
    <row r="11" spans="1:7" x14ac:dyDescent="0.3">
      <c r="A11" s="152">
        <v>41152</v>
      </c>
      <c r="B11" s="153">
        <v>0.111</v>
      </c>
      <c r="C11" s="158">
        <v>4.4999999999999998E-2</v>
      </c>
      <c r="D11" s="159">
        <v>-6.8000000000000005E-2</v>
      </c>
      <c r="E11" s="160">
        <v>-1E-3</v>
      </c>
      <c r="F11" s="161">
        <f t="shared" si="0"/>
        <v>-6.7000000000000004E-2</v>
      </c>
      <c r="G11">
        <v>0</v>
      </c>
    </row>
    <row r="12" spans="1:7" x14ac:dyDescent="0.3">
      <c r="A12" s="152">
        <v>41182</v>
      </c>
      <c r="B12" s="153">
        <v>0.111</v>
      </c>
      <c r="C12" s="158">
        <v>4.3999999999999997E-2</v>
      </c>
      <c r="D12" s="159">
        <v>-0.10299999999999999</v>
      </c>
      <c r="E12" s="160">
        <v>-3.5000000000000003E-2</v>
      </c>
      <c r="F12" s="161">
        <f t="shared" si="0"/>
        <v>-6.7999999999999991E-2</v>
      </c>
      <c r="G12">
        <v>0</v>
      </c>
    </row>
    <row r="13" spans="1:7" x14ac:dyDescent="0.3">
      <c r="A13" s="152">
        <v>41213</v>
      </c>
      <c r="B13" s="153">
        <v>0.1</v>
      </c>
      <c r="C13" s="158">
        <v>4.7E-2</v>
      </c>
      <c r="D13" s="159">
        <v>-1.7999999999999999E-2</v>
      </c>
      <c r="E13" s="160">
        <v>3.6000000000000004E-2</v>
      </c>
      <c r="F13" s="161">
        <f t="shared" si="0"/>
        <v>-5.4000000000000006E-2</v>
      </c>
      <c r="G13">
        <v>0</v>
      </c>
    </row>
    <row r="14" spans="1:7" x14ac:dyDescent="0.3">
      <c r="A14" s="152">
        <v>41243</v>
      </c>
      <c r="B14" s="153">
        <v>0.1</v>
      </c>
      <c r="C14" s="158">
        <v>2.1999999999999999E-2</v>
      </c>
      <c r="D14" s="159">
        <v>-2.9000000000000001E-2</v>
      </c>
      <c r="E14" s="160">
        <v>-3.0000000000000001E-3</v>
      </c>
      <c r="F14" s="161">
        <f t="shared" si="0"/>
        <v>-2.6000000000000002E-2</v>
      </c>
      <c r="G14">
        <v>0</v>
      </c>
    </row>
    <row r="15" spans="1:7" x14ac:dyDescent="0.3">
      <c r="A15" s="152">
        <v>41274</v>
      </c>
      <c r="B15" s="153">
        <v>0.1</v>
      </c>
      <c r="C15" s="158">
        <v>4.3999999999999997E-2</v>
      </c>
      <c r="D15" s="159">
        <v>-2.3E-2</v>
      </c>
      <c r="E15" s="160">
        <v>-2.3E-2</v>
      </c>
      <c r="F15" s="161">
        <f t="shared" si="0"/>
        <v>0</v>
      </c>
      <c r="G15">
        <v>0</v>
      </c>
    </row>
    <row r="16" spans="1:7" x14ac:dyDescent="0.3">
      <c r="A16" s="152">
        <v>41305</v>
      </c>
      <c r="B16" s="153">
        <v>4.5999999999999999E-2</v>
      </c>
      <c r="C16" s="158">
        <v>0.05</v>
      </c>
      <c r="D16" s="159">
        <v>0.13600000000000001</v>
      </c>
      <c r="E16" s="160">
        <v>0.02</v>
      </c>
      <c r="F16" s="161">
        <f t="shared" si="0"/>
        <v>0.11600000000000001</v>
      </c>
      <c r="G16">
        <v>0</v>
      </c>
    </row>
    <row r="17" spans="1:12" x14ac:dyDescent="0.3">
      <c r="A17" s="152">
        <v>41333</v>
      </c>
      <c r="B17" s="153">
        <v>4.5999999999999999E-2</v>
      </c>
      <c r="C17" s="158">
        <v>3.0000000000000001E-3</v>
      </c>
      <c r="D17" s="159">
        <v>6.5000000000000002E-2</v>
      </c>
      <c r="E17" s="160">
        <v>0</v>
      </c>
      <c r="F17" s="161">
        <f t="shared" si="0"/>
        <v>6.5000000000000002E-2</v>
      </c>
      <c r="G17">
        <v>0</v>
      </c>
    </row>
    <row r="18" spans="1:12" x14ac:dyDescent="0.3">
      <c r="A18" s="152">
        <v>41364</v>
      </c>
      <c r="B18" s="153">
        <v>4.5999999999999999E-2</v>
      </c>
      <c r="C18" s="158">
        <v>3.0000000000000001E-3</v>
      </c>
      <c r="D18" s="159">
        <v>0.04</v>
      </c>
      <c r="E18" s="160">
        <v>-3.4000000000000002E-2</v>
      </c>
      <c r="F18" s="161">
        <f t="shared" si="0"/>
        <v>7.400000000000001E-2</v>
      </c>
      <c r="G18">
        <v>0</v>
      </c>
    </row>
    <row r="19" spans="1:12" x14ac:dyDescent="0.3">
      <c r="A19" s="152">
        <v>41394</v>
      </c>
      <c r="B19" s="153">
        <v>0.05</v>
      </c>
      <c r="C19" s="158">
        <v>-2E-3</v>
      </c>
      <c r="D19" s="159">
        <v>9.7000000000000003E-2</v>
      </c>
      <c r="E19" s="160">
        <v>3.4000000000000002E-2</v>
      </c>
      <c r="F19" s="161">
        <f t="shared" si="0"/>
        <v>6.3E-2</v>
      </c>
      <c r="G19">
        <v>0</v>
      </c>
    </row>
    <row r="20" spans="1:12" x14ac:dyDescent="0.3">
      <c r="A20" s="152">
        <v>41425</v>
      </c>
      <c r="B20" s="153">
        <v>0.05</v>
      </c>
      <c r="C20" s="158">
        <v>-3.0000000000000001E-3</v>
      </c>
      <c r="D20" s="159">
        <v>7.0999999999999994E-2</v>
      </c>
      <c r="E20" s="160">
        <v>-4.0000000000000001E-3</v>
      </c>
      <c r="F20" s="161">
        <f t="shared" si="0"/>
        <v>7.4999999999999997E-2</v>
      </c>
      <c r="G20">
        <v>0</v>
      </c>
    </row>
    <row r="21" spans="1:12" x14ac:dyDescent="0.3">
      <c r="A21" s="152">
        <v>41455</v>
      </c>
      <c r="B21" s="153">
        <v>0.05</v>
      </c>
      <c r="C21" s="158">
        <v>-2E-3</v>
      </c>
      <c r="D21" s="159">
        <v>0.05</v>
      </c>
      <c r="E21" s="160">
        <v>-2.3E-2</v>
      </c>
      <c r="F21" s="161">
        <f t="shared" si="0"/>
        <v>7.3000000000000009E-2</v>
      </c>
      <c r="G21">
        <v>0</v>
      </c>
    </row>
    <row r="22" spans="1:12" x14ac:dyDescent="0.3">
      <c r="A22" s="152">
        <v>41486</v>
      </c>
      <c r="B22" s="153">
        <v>4.4999999999999998E-2</v>
      </c>
      <c r="C22" s="158">
        <v>4.0000000000000001E-3</v>
      </c>
      <c r="D22" s="159">
        <v>9.5000000000000001E-2</v>
      </c>
      <c r="E22" s="160">
        <v>2.1999999999999999E-2</v>
      </c>
      <c r="F22" s="161">
        <f t="shared" si="0"/>
        <v>7.3000000000000009E-2</v>
      </c>
      <c r="G22">
        <v>0</v>
      </c>
    </row>
    <row r="23" spans="1:12" x14ac:dyDescent="0.3">
      <c r="A23" s="152">
        <v>41517</v>
      </c>
      <c r="B23" s="153">
        <v>4.4999999999999998E-2</v>
      </c>
      <c r="C23" s="158">
        <v>-2E-3</v>
      </c>
      <c r="D23" s="159">
        <v>5.6000000000000001E-2</v>
      </c>
      <c r="E23" s="160">
        <v>-1.7999999999999999E-2</v>
      </c>
      <c r="F23" s="161">
        <f t="shared" si="0"/>
        <v>7.3999999999999996E-2</v>
      </c>
      <c r="G23">
        <v>0</v>
      </c>
    </row>
    <row r="24" spans="1:12" x14ac:dyDescent="0.3">
      <c r="A24" s="152">
        <v>41547</v>
      </c>
      <c r="B24" s="153">
        <v>4.4999999999999998E-2</v>
      </c>
      <c r="C24" s="158">
        <v>8.9999999999999993E-3</v>
      </c>
      <c r="D24" s="159">
        <v>9.6000000000000002E-2</v>
      </c>
      <c r="E24" s="160">
        <v>2.9000000000000001E-2</v>
      </c>
      <c r="F24" s="161">
        <f t="shared" si="0"/>
        <v>6.7000000000000004E-2</v>
      </c>
      <c r="G24">
        <v>0</v>
      </c>
    </row>
    <row r="25" spans="1:12" x14ac:dyDescent="0.3">
      <c r="A25" s="152">
        <v>41578</v>
      </c>
      <c r="B25" s="153">
        <v>3.7999999999999999E-2</v>
      </c>
      <c r="C25" s="158">
        <v>1.0999999999999999E-2</v>
      </c>
      <c r="D25" s="159">
        <v>6.5000000000000002E-2</v>
      </c>
      <c r="E25" s="162">
        <v>-6.0000000000000001E-3</v>
      </c>
      <c r="F25" s="161">
        <f t="shared" si="0"/>
        <v>7.1000000000000008E-2</v>
      </c>
      <c r="G25">
        <v>0</v>
      </c>
    </row>
    <row r="26" spans="1:12" x14ac:dyDescent="0.3">
      <c r="A26" s="152">
        <v>41608</v>
      </c>
      <c r="B26" s="153">
        <v>3.7999999999999999E-2</v>
      </c>
      <c r="C26" s="158">
        <v>1E-3</v>
      </c>
      <c r="D26" s="159">
        <v>1.4E-2</v>
      </c>
      <c r="E26" s="160">
        <v>-2.3E-2</v>
      </c>
      <c r="F26" s="161">
        <f t="shared" si="0"/>
        <v>3.6999999999999998E-2</v>
      </c>
      <c r="G26">
        <v>0</v>
      </c>
      <c r="L26" t="s">
        <v>378</v>
      </c>
    </row>
    <row r="27" spans="1:12" x14ac:dyDescent="0.3">
      <c r="A27" s="152">
        <v>41639</v>
      </c>
      <c r="B27" s="153">
        <v>3.7999999999999999E-2</v>
      </c>
      <c r="C27" s="158">
        <v>-0.02</v>
      </c>
      <c r="D27" s="159">
        <v>5.2999999999999999E-2</v>
      </c>
      <c r="E27" s="160">
        <v>2.8999999999999998E-2</v>
      </c>
      <c r="F27" s="161">
        <f t="shared" si="0"/>
        <v>2.4E-2</v>
      </c>
      <c r="G27">
        <v>0</v>
      </c>
    </row>
    <row r="28" spans="1:12" x14ac:dyDescent="0.3">
      <c r="A28" s="152">
        <v>41670</v>
      </c>
      <c r="B28" s="153">
        <v>2.1000000000000001E-2</v>
      </c>
      <c r="C28" s="158">
        <v>-2.1999999999999999E-2</v>
      </c>
      <c r="D28" s="159">
        <v>-8.0000000000000002E-3</v>
      </c>
      <c r="E28" s="160">
        <v>-4.0000000000000001E-3</v>
      </c>
      <c r="F28" s="161">
        <f t="shared" si="0"/>
        <v>-4.0000000000000001E-3</v>
      </c>
      <c r="G28">
        <v>0</v>
      </c>
    </row>
    <row r="29" spans="1:12" x14ac:dyDescent="0.3">
      <c r="A29" s="152">
        <v>41698</v>
      </c>
      <c r="B29" s="153">
        <v>2.1000000000000001E-2</v>
      </c>
      <c r="C29" s="158">
        <v>-1.4E-2</v>
      </c>
      <c r="D29" s="159">
        <v>2.1999999999999999E-2</v>
      </c>
      <c r="E29" s="160">
        <v>0</v>
      </c>
      <c r="F29" s="161">
        <f t="shared" si="0"/>
        <v>2.1999999999999999E-2</v>
      </c>
      <c r="G29">
        <v>0</v>
      </c>
    </row>
    <row r="30" spans="1:12" x14ac:dyDescent="0.3">
      <c r="A30" s="152">
        <v>41729</v>
      </c>
      <c r="B30" s="153">
        <v>2.1000000000000001E-2</v>
      </c>
      <c r="C30" s="158">
        <v>1.0999999999999999E-2</v>
      </c>
      <c r="D30" s="159">
        <v>5.0999999999999997E-2</v>
      </c>
      <c r="E30" s="160">
        <v>8.9999999999999993E-3</v>
      </c>
      <c r="F30" s="161">
        <f t="shared" si="0"/>
        <v>4.1999999999999996E-2</v>
      </c>
      <c r="G30">
        <v>0</v>
      </c>
    </row>
    <row r="31" spans="1:12" x14ac:dyDescent="0.3">
      <c r="A31" s="152">
        <v>41759</v>
      </c>
      <c r="B31" s="153">
        <v>3.9E-2</v>
      </c>
      <c r="C31" s="158">
        <v>2.3E-2</v>
      </c>
      <c r="D31" s="159">
        <v>3.5000000000000003E-2</v>
      </c>
      <c r="E31" s="160">
        <v>-8.0000000000000002E-3</v>
      </c>
      <c r="F31" s="161">
        <f t="shared" si="0"/>
        <v>4.3000000000000003E-2</v>
      </c>
      <c r="G31">
        <v>0</v>
      </c>
    </row>
    <row r="32" spans="1:12" x14ac:dyDescent="0.3">
      <c r="A32" s="152">
        <v>41790</v>
      </c>
      <c r="B32" s="153">
        <v>3.9E-2</v>
      </c>
      <c r="C32" s="158">
        <v>3.2000000000000001E-2</v>
      </c>
      <c r="D32" s="159">
        <v>3.5000000000000003E-2</v>
      </c>
      <c r="E32" s="160">
        <v>-2.1000000000000001E-2</v>
      </c>
      <c r="F32" s="161">
        <f t="shared" si="0"/>
        <v>5.6000000000000008E-2</v>
      </c>
      <c r="G32">
        <v>0</v>
      </c>
    </row>
    <row r="33" spans="1:7" x14ac:dyDescent="0.3">
      <c r="A33" s="152">
        <v>41820</v>
      </c>
      <c r="B33" s="153">
        <v>3.9E-2</v>
      </c>
      <c r="C33" s="158">
        <v>3.5000000000000003E-2</v>
      </c>
      <c r="D33" s="159">
        <v>7.2999999999999995E-2</v>
      </c>
      <c r="E33" s="160">
        <v>2.5999999999999999E-2</v>
      </c>
      <c r="F33" s="161">
        <f t="shared" si="0"/>
        <v>4.7E-2</v>
      </c>
      <c r="G33">
        <v>0</v>
      </c>
    </row>
    <row r="34" spans="1:7" x14ac:dyDescent="0.3">
      <c r="A34" s="152">
        <v>41851</v>
      </c>
      <c r="B34" s="153"/>
      <c r="C34" s="158">
        <v>3.9E-2</v>
      </c>
      <c r="D34" s="159">
        <v>3.6999999999999998E-2</v>
      </c>
      <c r="E34" s="160">
        <v>-6.0000000000000001E-3</v>
      </c>
      <c r="F34" s="161">
        <f t="shared" si="0"/>
        <v>4.2999999999999997E-2</v>
      </c>
      <c r="G34">
        <v>0</v>
      </c>
    </row>
    <row r="35" spans="1:7" x14ac:dyDescent="0.3">
      <c r="A35" s="152">
        <v>41882</v>
      </c>
      <c r="B35" s="153"/>
      <c r="C35" s="158">
        <v>3.6999999999999998E-2</v>
      </c>
      <c r="D35" s="159">
        <v>1.1000000000000001E-2</v>
      </c>
      <c r="E35" s="160">
        <v>-2.1000000000000001E-2</v>
      </c>
      <c r="F35" s="161">
        <f t="shared" si="0"/>
        <v>3.2000000000000001E-2</v>
      </c>
      <c r="G35">
        <v>0</v>
      </c>
    </row>
    <row r="36" spans="1:7" x14ac:dyDescent="0.3">
      <c r="A36" s="152"/>
    </row>
    <row r="44" spans="1:7" x14ac:dyDescent="0.3">
      <c r="B44">
        <v>140</v>
      </c>
      <c r="C44">
        <v>850</v>
      </c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F15"/>
  <sheetViews>
    <sheetView workbookViewId="0">
      <selection activeCell="B2" sqref="B2:E6"/>
    </sheetView>
  </sheetViews>
  <sheetFormatPr defaultColWidth="9.109375" defaultRowHeight="13.2" x14ac:dyDescent="0.25"/>
  <cols>
    <col min="1" max="1" width="9.109375" style="164"/>
    <col min="2" max="2" width="12.109375" style="164" customWidth="1"/>
    <col min="3" max="3" width="21.109375" style="164" customWidth="1"/>
    <col min="4" max="4" width="32.109375" style="164" customWidth="1"/>
    <col min="5" max="5" width="13.6640625" style="164" customWidth="1"/>
    <col min="6" max="16384" width="9.109375" style="164"/>
  </cols>
  <sheetData>
    <row r="2" spans="1:6" s="163" customFormat="1" ht="26.4" x14ac:dyDescent="0.25">
      <c r="B2" s="165" t="s">
        <v>352</v>
      </c>
      <c r="C2" s="165" t="s">
        <v>380</v>
      </c>
      <c r="D2" s="165" t="s">
        <v>381</v>
      </c>
      <c r="E2" s="165" t="s">
        <v>382</v>
      </c>
    </row>
    <row r="3" spans="1:6" ht="38.25" customHeight="1" x14ac:dyDescent="0.25">
      <c r="A3" s="144"/>
      <c r="B3" s="168" t="s">
        <v>379</v>
      </c>
      <c r="C3" s="168" t="s">
        <v>383</v>
      </c>
      <c r="D3" s="168" t="s">
        <v>384</v>
      </c>
      <c r="E3" s="168" t="s">
        <v>385</v>
      </c>
      <c r="F3" s="144"/>
    </row>
    <row r="4" spans="1:6" ht="26.4" x14ac:dyDescent="0.25">
      <c r="A4" s="144"/>
      <c r="B4" s="167" t="s">
        <v>386</v>
      </c>
      <c r="C4" s="167" t="s">
        <v>387</v>
      </c>
      <c r="D4" s="167" t="s">
        <v>388</v>
      </c>
      <c r="E4" s="167" t="s">
        <v>389</v>
      </c>
      <c r="F4" s="144"/>
    </row>
    <row r="5" spans="1:6" ht="39.6" x14ac:dyDescent="0.25">
      <c r="A5" s="144"/>
      <c r="B5" s="168" t="s">
        <v>390</v>
      </c>
      <c r="C5" s="168" t="s">
        <v>391</v>
      </c>
      <c r="D5" s="168" t="s">
        <v>392</v>
      </c>
      <c r="E5" s="168" t="s">
        <v>393</v>
      </c>
      <c r="F5" s="144"/>
    </row>
    <row r="6" spans="1:6" ht="26.4" x14ac:dyDescent="0.25">
      <c r="A6" s="144"/>
      <c r="B6" s="167" t="s">
        <v>394</v>
      </c>
      <c r="C6" s="167" t="s">
        <v>395</v>
      </c>
      <c r="D6" s="167" t="s">
        <v>396</v>
      </c>
      <c r="E6" s="167" t="s">
        <v>389</v>
      </c>
      <c r="F6" s="144"/>
    </row>
    <row r="7" spans="1:6" x14ac:dyDescent="0.25">
      <c r="A7" s="144"/>
      <c r="B7" s="166"/>
      <c r="C7" s="166"/>
      <c r="D7" s="166"/>
      <c r="E7" s="166"/>
      <c r="F7" s="144"/>
    </row>
    <row r="8" spans="1:6" x14ac:dyDescent="0.25">
      <c r="A8" s="144"/>
      <c r="B8" s="166"/>
      <c r="C8" s="166"/>
      <c r="D8" s="166"/>
      <c r="E8" s="166"/>
      <c r="F8" s="144"/>
    </row>
    <row r="9" spans="1:6" x14ac:dyDescent="0.25">
      <c r="A9" s="144"/>
      <c r="B9" s="166"/>
      <c r="C9" s="166"/>
      <c r="D9" s="166"/>
      <c r="E9" s="166"/>
      <c r="F9" s="144"/>
    </row>
    <row r="10" spans="1:6" x14ac:dyDescent="0.25">
      <c r="A10" s="144"/>
      <c r="B10" s="166"/>
      <c r="C10" s="166"/>
      <c r="D10" s="166"/>
      <c r="E10" s="166"/>
      <c r="F10" s="144"/>
    </row>
    <row r="11" spans="1:6" x14ac:dyDescent="0.25">
      <c r="B11" s="163"/>
      <c r="C11" s="163"/>
      <c r="D11" s="163"/>
      <c r="E11" s="163"/>
    </row>
    <row r="12" spans="1:6" x14ac:dyDescent="0.25">
      <c r="B12" s="163"/>
      <c r="C12" s="163"/>
      <c r="D12" s="163"/>
      <c r="E12" s="163"/>
    </row>
    <row r="13" spans="1:6" x14ac:dyDescent="0.25">
      <c r="B13" s="163"/>
      <c r="C13" s="163"/>
      <c r="D13" s="163"/>
      <c r="E13" s="163"/>
    </row>
    <row r="14" spans="1:6" x14ac:dyDescent="0.25">
      <c r="B14" s="163"/>
      <c r="C14" s="163"/>
      <c r="D14" s="163"/>
      <c r="E14" s="163"/>
    </row>
    <row r="15" spans="1:6" x14ac:dyDescent="0.25">
      <c r="B15" s="163"/>
      <c r="C15" s="163"/>
      <c r="D15" s="163"/>
      <c r="E15" s="16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8"/>
  <sheetViews>
    <sheetView workbookViewId="0">
      <selection activeCell="O36" sqref="O36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402</v>
      </c>
    </row>
    <row r="3" spans="1:3" x14ac:dyDescent="0.3">
      <c r="B3" t="s">
        <v>401</v>
      </c>
    </row>
    <row r="4" spans="1:3" x14ac:dyDescent="0.3">
      <c r="B4" t="s">
        <v>400</v>
      </c>
      <c r="C4" t="s">
        <v>399</v>
      </c>
    </row>
    <row r="5" spans="1:3" x14ac:dyDescent="0.3">
      <c r="A5">
        <v>1999</v>
      </c>
      <c r="B5" s="3">
        <v>0.87</v>
      </c>
      <c r="C5" s="3">
        <v>0.82499999999999996</v>
      </c>
    </row>
    <row r="6" spans="1:3" x14ac:dyDescent="0.3">
      <c r="A6">
        <v>2000</v>
      </c>
      <c r="B6" s="3">
        <v>0.86499999999999999</v>
      </c>
      <c r="C6" s="3">
        <v>0.82</v>
      </c>
    </row>
    <row r="7" spans="1:3" x14ac:dyDescent="0.3">
      <c r="A7">
        <v>2001</v>
      </c>
      <c r="B7" s="3">
        <v>0.86</v>
      </c>
      <c r="C7" s="3">
        <v>0.81499999999999995</v>
      </c>
    </row>
    <row r="8" spans="1:3" x14ac:dyDescent="0.3">
      <c r="A8">
        <v>2002</v>
      </c>
      <c r="B8" s="3">
        <v>0.85699999999999998</v>
      </c>
      <c r="C8" s="3">
        <v>0.80300000000000005</v>
      </c>
    </row>
    <row r="9" spans="1:3" x14ac:dyDescent="0.3">
      <c r="A9">
        <v>2003</v>
      </c>
      <c r="B9" s="3">
        <v>0.85499999999999998</v>
      </c>
      <c r="C9" s="3">
        <v>0.79700000000000004</v>
      </c>
    </row>
    <row r="10" spans="1:3" x14ac:dyDescent="0.3">
      <c r="A10">
        <v>2004</v>
      </c>
      <c r="B10" s="3">
        <v>0.85199999999999998</v>
      </c>
      <c r="C10" s="3">
        <v>0.79</v>
      </c>
    </row>
    <row r="11" spans="1:3" x14ac:dyDescent="0.3">
      <c r="A11" s="170" t="s">
        <v>398</v>
      </c>
      <c r="B11" s="3">
        <v>0.84699999999999998</v>
      </c>
      <c r="C11" s="3">
        <v>0.78</v>
      </c>
    </row>
    <row r="12" spans="1:3" x14ac:dyDescent="0.3">
      <c r="A12">
        <v>2007</v>
      </c>
      <c r="B12" s="3">
        <v>0.84</v>
      </c>
      <c r="C12" s="3">
        <v>0.77</v>
      </c>
    </row>
    <row r="13" spans="1:3" x14ac:dyDescent="0.3">
      <c r="A13">
        <v>2008</v>
      </c>
      <c r="B13" s="3">
        <v>0.84</v>
      </c>
      <c r="C13" s="3">
        <v>0.76500000000000001</v>
      </c>
    </row>
    <row r="14" spans="1:3" x14ac:dyDescent="0.3">
      <c r="A14">
        <v>2009</v>
      </c>
      <c r="B14" s="3">
        <v>0.83799999999999997</v>
      </c>
      <c r="C14" s="3">
        <v>0.76</v>
      </c>
    </row>
    <row r="15" spans="1:3" x14ac:dyDescent="0.3">
      <c r="A15">
        <v>2010</v>
      </c>
      <c r="B15" s="3">
        <v>0.83</v>
      </c>
      <c r="C15" s="3">
        <v>0.76500000000000001</v>
      </c>
    </row>
    <row r="16" spans="1:3" x14ac:dyDescent="0.3">
      <c r="A16">
        <v>2011</v>
      </c>
      <c r="B16" s="3">
        <v>0.84199999999999997</v>
      </c>
      <c r="C16" s="3">
        <v>0.77</v>
      </c>
    </row>
    <row r="17" spans="1:3" x14ac:dyDescent="0.3">
      <c r="A17">
        <v>2012</v>
      </c>
      <c r="B17" s="3">
        <v>0.84199999999999997</v>
      </c>
      <c r="C17" s="3">
        <v>0.76500000000000001</v>
      </c>
    </row>
    <row r="18" spans="1:3" x14ac:dyDescent="0.3">
      <c r="A18">
        <v>2013</v>
      </c>
      <c r="B18" s="3">
        <v>0.84299999999999997</v>
      </c>
      <c r="C18" s="3">
        <v>0.78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U33"/>
  <sheetViews>
    <sheetView topLeftCell="A31" workbookViewId="0">
      <selection activeCell="U3" sqref="U3"/>
    </sheetView>
  </sheetViews>
  <sheetFormatPr defaultRowHeight="14.4" x14ac:dyDescent="0.3"/>
  <cols>
    <col min="1" max="1" width="25.33203125" bestFit="1" customWidth="1"/>
    <col min="2" max="21" width="11.5546875" bestFit="1" customWidth="1"/>
  </cols>
  <sheetData>
    <row r="2" spans="1:21" x14ac:dyDescent="0.3">
      <c r="B2">
        <v>1993</v>
      </c>
      <c r="C2">
        <v>1994</v>
      </c>
      <c r="D2">
        <v>1995</v>
      </c>
      <c r="E2">
        <v>1996</v>
      </c>
      <c r="F2">
        <v>1997</v>
      </c>
      <c r="G2">
        <v>1998</v>
      </c>
      <c r="H2">
        <v>1999</v>
      </c>
      <c r="I2">
        <v>2000</v>
      </c>
      <c r="J2">
        <v>2001</v>
      </c>
      <c r="K2">
        <v>2002</v>
      </c>
      <c r="L2">
        <v>2003</v>
      </c>
      <c r="M2">
        <v>2004</v>
      </c>
      <c r="N2">
        <v>2005</v>
      </c>
      <c r="O2">
        <v>2006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</row>
    <row r="3" spans="1:21" ht="28.8" x14ac:dyDescent="0.3">
      <c r="A3" s="171" t="s">
        <v>404</v>
      </c>
      <c r="B3" s="28">
        <f>+B4/100</f>
        <v>0.26500000000000001</v>
      </c>
      <c r="C3" s="28">
        <f t="shared" ref="C3:U3" si="0">+C4/100</f>
        <v>0.26100000000000001</v>
      </c>
      <c r="D3" s="28">
        <f t="shared" si="0"/>
        <v>0.251</v>
      </c>
      <c r="E3" s="28">
        <f t="shared" si="0"/>
        <v>0.25700000000000001</v>
      </c>
      <c r="F3" s="28">
        <f t="shared" si="0"/>
        <v>0.26700000000000002</v>
      </c>
      <c r="G3" s="28">
        <f t="shared" si="0"/>
        <v>0.26600000000000001</v>
      </c>
      <c r="H3" s="28">
        <f t="shared" si="0"/>
        <v>0.25600000000000001</v>
      </c>
      <c r="I3" s="28">
        <f t="shared" si="0"/>
        <v>0.255</v>
      </c>
      <c r="J3" s="28">
        <f t="shared" si="0"/>
        <v>0.25800000000000001</v>
      </c>
      <c r="K3" s="28">
        <f t="shared" si="0"/>
        <v>0.25900000000000001</v>
      </c>
      <c r="L3" s="28">
        <f t="shared" si="0"/>
        <v>0.26500000000000001</v>
      </c>
      <c r="M3" s="28">
        <f t="shared" si="0"/>
        <v>0.26200000000000001</v>
      </c>
      <c r="N3" s="28">
        <f t="shared" si="0"/>
        <v>0.25600000000000001</v>
      </c>
      <c r="O3" s="28">
        <f t="shared" si="0"/>
        <v>0.253</v>
      </c>
      <c r="P3" s="28">
        <f t="shared" si="0"/>
        <v>0.23899999999999999</v>
      </c>
      <c r="Q3" s="28">
        <f t="shared" si="0"/>
        <v>0.23300000000000001</v>
      </c>
      <c r="R3" s="28">
        <f t="shared" si="0"/>
        <v>0.23600000000000002</v>
      </c>
      <c r="S3" s="28">
        <f t="shared" si="0"/>
        <v>0.23800000000000002</v>
      </c>
      <c r="T3" s="28">
        <f t="shared" si="0"/>
        <v>0.23499999999999999</v>
      </c>
      <c r="U3" s="28">
        <f t="shared" si="0"/>
        <v>0.24199999999999999</v>
      </c>
    </row>
    <row r="4" spans="1:21" x14ac:dyDescent="0.3">
      <c r="B4">
        <f>+'[1]Gross Margin as % of Sales '!C19</f>
        <v>26.5</v>
      </c>
      <c r="C4">
        <f>+'[1]Gross Margin as % of Sales '!D19</f>
        <v>26.1</v>
      </c>
      <c r="D4">
        <f>+'[1]Gross Margin as % of Sales '!E19</f>
        <v>25.1</v>
      </c>
      <c r="E4">
        <f>+'[1]Gross Margin as % of Sales '!F19</f>
        <v>25.7</v>
      </c>
      <c r="F4">
        <f>+'[1]Gross Margin as % of Sales '!G19</f>
        <v>26.7</v>
      </c>
      <c r="G4">
        <f>+'[1]Gross Margin as % of Sales '!H19</f>
        <v>26.6</v>
      </c>
      <c r="H4">
        <f>+'[1]Gross Margin as % of Sales '!I19</f>
        <v>25.6</v>
      </c>
      <c r="I4">
        <f>+'[1]Gross Margin as % of Sales '!J19</f>
        <v>25.5</v>
      </c>
      <c r="J4">
        <f>+'[1]Gross Margin as % of Sales '!K19</f>
        <v>25.8</v>
      </c>
      <c r="K4">
        <f>+'[1]Gross Margin as % of Sales '!L19</f>
        <v>25.9</v>
      </c>
      <c r="L4">
        <f>+'[1]Gross Margin as % of Sales '!M19</f>
        <v>26.5</v>
      </c>
      <c r="M4">
        <f>+'[1]Gross Margin as % of Sales '!N19</f>
        <v>26.2</v>
      </c>
      <c r="N4">
        <f>+'[1]Gross Margin as % of Sales '!O19</f>
        <v>25.6</v>
      </c>
      <c r="O4">
        <f>+'[1]Gross Margin as % of Sales '!P19</f>
        <v>25.3</v>
      </c>
      <c r="P4">
        <f>+'[1]Gross Margin as % of Sales '!Q19</f>
        <v>23.9</v>
      </c>
      <c r="Q4">
        <f>+'[1]Gross Margin as % of Sales '!R19</f>
        <v>23.3</v>
      </c>
      <c r="R4">
        <f>+'[1]Gross Margin as % of Sales '!S19</f>
        <v>23.6</v>
      </c>
      <c r="S4">
        <f>+'[1]Gross Margin as % of Sales '!T19</f>
        <v>23.8</v>
      </c>
      <c r="T4">
        <f>+'[1]Gross Margin as % of Sales '!U19</f>
        <v>23.5</v>
      </c>
      <c r="U4">
        <f>+'[1]Gross Margin as % of Sales '!V19</f>
        <v>24.2</v>
      </c>
    </row>
    <row r="28" spans="1:21" x14ac:dyDescent="0.3">
      <c r="A28" s="170" t="s">
        <v>406</v>
      </c>
      <c r="B28">
        <f>+B2</f>
        <v>1993</v>
      </c>
      <c r="C28">
        <f t="shared" ref="C28:U28" si="1">+C2</f>
        <v>1994</v>
      </c>
      <c r="D28">
        <f t="shared" si="1"/>
        <v>1995</v>
      </c>
      <c r="E28">
        <f t="shared" si="1"/>
        <v>1996</v>
      </c>
      <c r="F28">
        <f t="shared" si="1"/>
        <v>1997</v>
      </c>
      <c r="G28">
        <f t="shared" si="1"/>
        <v>1998</v>
      </c>
      <c r="H28">
        <f t="shared" si="1"/>
        <v>1999</v>
      </c>
      <c r="I28">
        <f t="shared" si="1"/>
        <v>2000</v>
      </c>
      <c r="J28">
        <f t="shared" si="1"/>
        <v>2001</v>
      </c>
      <c r="K28">
        <f t="shared" si="1"/>
        <v>2002</v>
      </c>
      <c r="L28">
        <f t="shared" si="1"/>
        <v>2003</v>
      </c>
      <c r="M28">
        <f t="shared" si="1"/>
        <v>2004</v>
      </c>
      <c r="N28">
        <f t="shared" si="1"/>
        <v>2005</v>
      </c>
      <c r="O28">
        <f t="shared" si="1"/>
        <v>2006</v>
      </c>
      <c r="P28">
        <f t="shared" si="1"/>
        <v>2007</v>
      </c>
      <c r="Q28">
        <f t="shared" si="1"/>
        <v>2008</v>
      </c>
      <c r="R28">
        <f t="shared" si="1"/>
        <v>2009</v>
      </c>
      <c r="S28">
        <f t="shared" si="1"/>
        <v>2010</v>
      </c>
      <c r="T28">
        <f t="shared" si="1"/>
        <v>2011</v>
      </c>
      <c r="U28">
        <f t="shared" si="1"/>
        <v>2012</v>
      </c>
    </row>
    <row r="29" spans="1:21" ht="28.8" x14ac:dyDescent="0.3">
      <c r="A29" s="171" t="s">
        <v>405</v>
      </c>
      <c r="B29" s="119">
        <f>+'[2]Gross Margin'!C19</f>
        <v>21149</v>
      </c>
      <c r="C29" s="119">
        <f>+'[2]Gross Margin'!D19</f>
        <v>21429</v>
      </c>
      <c r="D29" s="119">
        <f>+'[2]Gross Margin'!E19</f>
        <v>21549</v>
      </c>
      <c r="E29" s="119">
        <f>+'[2]Gross Margin'!F19</f>
        <v>23567</v>
      </c>
      <c r="F29" s="119">
        <f>+'[2]Gross Margin'!G19</f>
        <v>26345</v>
      </c>
      <c r="G29" s="119">
        <f>+'[2]Gross Margin'!H19</f>
        <v>28873</v>
      </c>
      <c r="H29" s="119">
        <f>+'[2]Gross Margin'!I19</f>
        <v>31013</v>
      </c>
      <c r="I29" s="119">
        <f>+'[2]Gross Margin'!J19</f>
        <v>33375</v>
      </c>
      <c r="J29" s="119">
        <f>+'[2]Gross Margin'!K19</f>
        <v>36611</v>
      </c>
      <c r="K29" s="119">
        <f>+'[2]Gross Margin'!L19</f>
        <v>39932</v>
      </c>
      <c r="L29" s="119">
        <f>+'[2]Gross Margin'!M19</f>
        <v>43791</v>
      </c>
      <c r="M29" s="119">
        <f>+'[2]Gross Margin'!N19</f>
        <v>44362</v>
      </c>
      <c r="N29" s="119">
        <f>+'[2]Gross Margin'!O19</f>
        <v>45814</v>
      </c>
      <c r="O29" s="119">
        <f>+'[2]Gross Margin'!P19</f>
        <v>48323</v>
      </c>
      <c r="P29" s="119">
        <f>+'[2]Gross Margin'!Q19</f>
        <v>48313</v>
      </c>
      <c r="Q29" s="119">
        <f>+'[2]Gross Margin'!R19</f>
        <v>49204</v>
      </c>
      <c r="R29" s="119">
        <f>+'[2]Gross Margin'!S19</f>
        <v>51292</v>
      </c>
      <c r="S29" s="119">
        <f>+'[2]Gross Margin'!T19</f>
        <v>53034</v>
      </c>
      <c r="T29" s="119">
        <f>+'[2]Gross Margin'!U19</f>
        <v>54596</v>
      </c>
      <c r="U29" s="119">
        <f>+'[2]Gross Margin'!V19</f>
        <v>55775</v>
      </c>
    </row>
    <row r="30" spans="1:21" x14ac:dyDescent="0.3">
      <c r="A30" t="s">
        <v>408</v>
      </c>
      <c r="C30" s="28">
        <f>+C29/B29-1</f>
        <v>1.3239396661780756E-2</v>
      </c>
      <c r="D30" s="28">
        <f t="shared" ref="D30:U30" si="2">+D29/C29-1</f>
        <v>5.5998880022398723E-3</v>
      </c>
      <c r="E30" s="28">
        <f t="shared" si="2"/>
        <v>9.3647036985474941E-2</v>
      </c>
      <c r="F30" s="28">
        <f t="shared" si="2"/>
        <v>0.11787669198455464</v>
      </c>
      <c r="G30" s="28">
        <f t="shared" si="2"/>
        <v>9.5957487189219925E-2</v>
      </c>
      <c r="H30" s="28">
        <f t="shared" si="2"/>
        <v>7.4117687805215882E-2</v>
      </c>
      <c r="I30" s="28">
        <f t="shared" si="2"/>
        <v>7.6161609647567241E-2</v>
      </c>
      <c r="J30" s="28">
        <f t="shared" si="2"/>
        <v>9.6958801498127301E-2</v>
      </c>
      <c r="K30" s="28">
        <f t="shared" si="2"/>
        <v>9.071044221682012E-2</v>
      </c>
      <c r="L30" s="28">
        <f t="shared" si="2"/>
        <v>9.6639286787538747E-2</v>
      </c>
      <c r="M30" s="28">
        <f t="shared" si="2"/>
        <v>1.3039208969879645E-2</v>
      </c>
      <c r="N30" s="28">
        <f t="shared" si="2"/>
        <v>3.2730715477210293E-2</v>
      </c>
      <c r="O30" s="28">
        <f t="shared" si="2"/>
        <v>5.4764919020386715E-2</v>
      </c>
      <c r="P30" s="28">
        <f t="shared" si="2"/>
        <v>-2.0694079423877465E-4</v>
      </c>
      <c r="Q30" s="28">
        <f t="shared" si="2"/>
        <v>1.8442241218719513E-2</v>
      </c>
      <c r="R30" s="28">
        <f t="shared" si="2"/>
        <v>4.2435574343549387E-2</v>
      </c>
      <c r="S30" s="28">
        <f t="shared" si="2"/>
        <v>3.3962411292209227E-2</v>
      </c>
      <c r="T30" s="28">
        <f t="shared" si="2"/>
        <v>2.9452803861673704E-2</v>
      </c>
      <c r="U30" s="28">
        <f t="shared" si="2"/>
        <v>2.1594988643856672E-2</v>
      </c>
    </row>
    <row r="31" spans="1:21" x14ac:dyDescent="0.3">
      <c r="B31">
        <f>+B28</f>
        <v>1993</v>
      </c>
      <c r="C31">
        <f>+C28</f>
        <v>1994</v>
      </c>
      <c r="D31">
        <f t="shared" ref="D31:U31" si="3">+D28</f>
        <v>1995</v>
      </c>
      <c r="E31">
        <f t="shared" si="3"/>
        <v>1996</v>
      </c>
      <c r="F31">
        <f t="shared" si="3"/>
        <v>1997</v>
      </c>
      <c r="G31">
        <f t="shared" si="3"/>
        <v>1998</v>
      </c>
      <c r="H31">
        <f t="shared" si="3"/>
        <v>1999</v>
      </c>
      <c r="I31">
        <f t="shared" si="3"/>
        <v>2000</v>
      </c>
      <c r="J31">
        <f t="shared" si="3"/>
        <v>2001</v>
      </c>
      <c r="K31">
        <f t="shared" si="3"/>
        <v>2002</v>
      </c>
      <c r="L31">
        <f t="shared" si="3"/>
        <v>2003</v>
      </c>
      <c r="M31">
        <f t="shared" si="3"/>
        <v>2004</v>
      </c>
      <c r="N31">
        <f t="shared" si="3"/>
        <v>2005</v>
      </c>
      <c r="O31">
        <f t="shared" si="3"/>
        <v>2006</v>
      </c>
      <c r="P31">
        <f t="shared" si="3"/>
        <v>2007</v>
      </c>
      <c r="Q31">
        <f t="shared" si="3"/>
        <v>2008</v>
      </c>
      <c r="R31">
        <f t="shared" si="3"/>
        <v>2009</v>
      </c>
      <c r="S31">
        <f t="shared" si="3"/>
        <v>2010</v>
      </c>
      <c r="T31">
        <f t="shared" si="3"/>
        <v>2011</v>
      </c>
      <c r="U31">
        <f t="shared" si="3"/>
        <v>2012</v>
      </c>
    </row>
    <row r="32" spans="1:21" ht="28.8" x14ac:dyDescent="0.3">
      <c r="A32" s="171" t="s">
        <v>407</v>
      </c>
      <c r="B32" s="56">
        <f>+[3]Sales!C38</f>
        <v>77791</v>
      </c>
      <c r="C32" s="56">
        <f>+[3]Sales!D38</f>
        <v>79707</v>
      </c>
      <c r="D32" s="56">
        <f>+[3]Sales!E38</f>
        <v>81994</v>
      </c>
      <c r="E32" s="56">
        <f>+[3]Sales!F38</f>
        <v>85840</v>
      </c>
      <c r="F32" s="56">
        <f>+[3]Sales!G38</f>
        <v>91810</v>
      </c>
      <c r="G32" s="56">
        <f>+[3]Sales!H38</f>
        <v>98823</v>
      </c>
      <c r="H32" s="56">
        <f>+[3]Sales!I38</f>
        <v>108415</v>
      </c>
      <c r="I32" s="56">
        <f>+[3]Sales!J38</f>
        <v>121282</v>
      </c>
      <c r="J32" s="56">
        <f>+[3]Sales!K38</f>
        <v>130857</v>
      </c>
      <c r="K32" s="56">
        <f>+[3]Sales!L38</f>
        <v>141772</v>
      </c>
      <c r="L32" s="56">
        <f>+[3]Sales!M38</f>
        <v>153936</v>
      </c>
      <c r="M32" s="56">
        <f>+[3]Sales!N38</f>
        <v>165524</v>
      </c>
      <c r="N32" s="56">
        <f>+[3]Sales!O38</f>
        <v>169231</v>
      </c>
      <c r="O32" s="56">
        <f>+[3]Sales!P38</f>
        <v>179170</v>
      </c>
      <c r="P32" s="56">
        <f>+[3]Sales!Q38</f>
        <v>191018</v>
      </c>
      <c r="Q32" s="56">
        <f>+[3]Sales!R38</f>
        <v>202284</v>
      </c>
      <c r="R32" s="56">
        <f>+[3]Sales!S38</f>
        <v>211035</v>
      </c>
      <c r="S32" s="56">
        <f>+[3]Sales!T38</f>
        <v>217630</v>
      </c>
      <c r="T32" s="56">
        <f>+[3]Sales!U38</f>
        <v>222802</v>
      </c>
      <c r="U32" s="56">
        <f>+[3]Sales!V38</f>
        <v>232003</v>
      </c>
    </row>
    <row r="33" spans="3:21" x14ac:dyDescent="0.3">
      <c r="C33" s="28">
        <f>+C32/B32-1</f>
        <v>2.4630098597524075E-2</v>
      </c>
      <c r="D33" s="28">
        <f t="shared" ref="D33:U33" si="4">+D32/C32-1</f>
        <v>2.8692586598416669E-2</v>
      </c>
      <c r="E33" s="28">
        <f t="shared" si="4"/>
        <v>4.6905871161304402E-2</v>
      </c>
      <c r="F33" s="28">
        <f t="shared" si="4"/>
        <v>6.9547996272134149E-2</v>
      </c>
      <c r="G33" s="28">
        <f t="shared" si="4"/>
        <v>7.6386014595359875E-2</v>
      </c>
      <c r="H33" s="28">
        <f t="shared" si="4"/>
        <v>9.7062424739180253E-2</v>
      </c>
      <c r="I33" s="28">
        <f t="shared" si="4"/>
        <v>0.11868283909053168</v>
      </c>
      <c r="J33" s="28">
        <f t="shared" si="4"/>
        <v>7.8948236341749078E-2</v>
      </c>
      <c r="K33" s="28">
        <f t="shared" si="4"/>
        <v>8.3411663113169388E-2</v>
      </c>
      <c r="L33" s="28">
        <f t="shared" si="4"/>
        <v>8.5799734785430237E-2</v>
      </c>
      <c r="M33" s="28">
        <f t="shared" si="4"/>
        <v>7.5278037626026473E-2</v>
      </c>
      <c r="N33" s="28">
        <f t="shared" si="4"/>
        <v>2.2395543848626076E-2</v>
      </c>
      <c r="O33" s="28">
        <f t="shared" si="4"/>
        <v>5.8730374458580314E-2</v>
      </c>
      <c r="P33" s="28">
        <f t="shared" si="4"/>
        <v>6.6127141820617297E-2</v>
      </c>
      <c r="Q33" s="28">
        <f t="shared" si="4"/>
        <v>5.8978734988325732E-2</v>
      </c>
      <c r="R33" s="28">
        <f t="shared" si="4"/>
        <v>4.3260959838642643E-2</v>
      </c>
      <c r="S33" s="28">
        <f t="shared" si="4"/>
        <v>3.1250740398512056E-2</v>
      </c>
      <c r="T33" s="28">
        <f t="shared" si="4"/>
        <v>2.376510591370673E-2</v>
      </c>
      <c r="U33" s="28">
        <f t="shared" si="4"/>
        <v>4.1296756761608933E-2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69"/>
  <sheetViews>
    <sheetView topLeftCell="A28" workbookViewId="0">
      <selection activeCell="K41" sqref="K41"/>
    </sheetView>
  </sheetViews>
  <sheetFormatPr defaultColWidth="9.109375" defaultRowHeight="13.8" x14ac:dyDescent="0.25"/>
  <cols>
    <col min="1" max="1" width="9.109375" style="176"/>
    <col min="2" max="2" width="41.109375" style="176" customWidth="1"/>
    <col min="3" max="3" width="14" style="176" customWidth="1"/>
    <col min="4" max="4" width="13.88671875" style="176" customWidth="1"/>
    <col min="5" max="5" width="14.88671875" style="176" customWidth="1"/>
    <col min="6" max="6" width="14.5546875" style="176" customWidth="1"/>
    <col min="7" max="7" width="2.44140625" style="176" customWidth="1"/>
    <col min="8" max="8" width="11.5546875" style="176" customWidth="1"/>
    <col min="9" max="10" width="10.88671875" style="176" bestFit="1" customWidth="1"/>
    <col min="11" max="11" width="7.5546875" style="176" customWidth="1"/>
    <col min="12" max="12" width="10.88671875" style="176" bestFit="1" customWidth="1"/>
    <col min="13" max="16384" width="9.109375" style="176"/>
  </cols>
  <sheetData>
    <row r="1" spans="1:10" s="178" customFormat="1" x14ac:dyDescent="0.25">
      <c r="B1" s="178" t="s">
        <v>428</v>
      </c>
    </row>
    <row r="2" spans="1:10" s="178" customFormat="1" ht="32.4" x14ac:dyDescent="0.25">
      <c r="B2" s="179" t="s">
        <v>409</v>
      </c>
      <c r="C2" s="180"/>
      <c r="D2" s="180"/>
      <c r="E2" s="180"/>
      <c r="F2" s="180"/>
      <c r="G2" s="180"/>
    </row>
    <row r="3" spans="1:10" s="178" customFormat="1" ht="22.8" x14ac:dyDescent="0.25">
      <c r="B3" s="181"/>
      <c r="C3" s="182" t="s">
        <v>410</v>
      </c>
      <c r="D3" s="182" t="s">
        <v>411</v>
      </c>
      <c r="E3" s="182" t="s">
        <v>412</v>
      </c>
      <c r="F3" s="182" t="s">
        <v>413</v>
      </c>
      <c r="G3" s="180"/>
    </row>
    <row r="4" spans="1:10" s="178" customFormat="1" ht="22.8" x14ac:dyDescent="0.25">
      <c r="B4" s="182" t="s">
        <v>414</v>
      </c>
      <c r="C4" s="174">
        <v>136.69999999999999</v>
      </c>
      <c r="D4" s="174">
        <v>218.35</v>
      </c>
      <c r="E4" s="174">
        <v>206.1</v>
      </c>
      <c r="F4" s="174">
        <v>205.39</v>
      </c>
      <c r="G4" s="180"/>
    </row>
    <row r="5" spans="1:10" s="178" customFormat="1" ht="22.8" x14ac:dyDescent="0.25">
      <c r="B5" s="182" t="s">
        <v>415</v>
      </c>
      <c r="C5" s="175">
        <v>-117.2</v>
      </c>
      <c r="D5" s="175">
        <v>-204.68</v>
      </c>
      <c r="E5" s="175">
        <v>-194.46</v>
      </c>
      <c r="F5" s="175">
        <v>-193.41</v>
      </c>
      <c r="G5" s="180"/>
    </row>
    <row r="6" spans="1:10" s="178" customFormat="1" ht="22.8" x14ac:dyDescent="0.25">
      <c r="B6" s="182" t="s">
        <v>416</v>
      </c>
      <c r="C6" s="174">
        <v>19.5</v>
      </c>
      <c r="D6" s="174">
        <v>13.67</v>
      </c>
      <c r="E6" s="174">
        <v>11.64</v>
      </c>
      <c r="F6" s="174">
        <v>11.98</v>
      </c>
      <c r="G6" s="180"/>
    </row>
    <row r="7" spans="1:10" s="178" customFormat="1" ht="22.8" x14ac:dyDescent="0.25">
      <c r="B7" s="182" t="s">
        <v>417</v>
      </c>
      <c r="C7" s="182" t="s">
        <v>418</v>
      </c>
      <c r="D7" s="182" t="s">
        <v>419</v>
      </c>
      <c r="E7" s="182" t="s">
        <v>420</v>
      </c>
      <c r="F7" s="182" t="s">
        <v>421</v>
      </c>
      <c r="G7" s="180"/>
    </row>
    <row r="10" spans="1:10" ht="32.4" x14ac:dyDescent="0.25">
      <c r="B10" s="179" t="s">
        <v>422</v>
      </c>
      <c r="C10" s="183"/>
      <c r="D10" s="183"/>
      <c r="E10" s="183"/>
      <c r="F10" s="183"/>
      <c r="G10" s="183"/>
    </row>
    <row r="11" spans="1:10" ht="45.6" x14ac:dyDescent="0.25">
      <c r="B11" s="184"/>
      <c r="C11" s="185" t="s">
        <v>410</v>
      </c>
      <c r="D11" s="185" t="s">
        <v>411</v>
      </c>
      <c r="E11" s="185" t="s">
        <v>412</v>
      </c>
      <c r="F11" s="185" t="s">
        <v>413</v>
      </c>
      <c r="G11" s="183"/>
    </row>
    <row r="12" spans="1:10" ht="22.8" x14ac:dyDescent="0.25">
      <c r="B12" s="185" t="s">
        <v>414</v>
      </c>
      <c r="C12" s="172">
        <v>17.12</v>
      </c>
      <c r="D12" s="172">
        <v>19.63</v>
      </c>
      <c r="E12" s="172">
        <v>20.68</v>
      </c>
      <c r="F12" s="172">
        <v>20.34</v>
      </c>
      <c r="G12" s="183"/>
    </row>
    <row r="13" spans="1:10" ht="22.8" x14ac:dyDescent="0.25">
      <c r="B13" s="185" t="s">
        <v>423</v>
      </c>
      <c r="C13" s="173">
        <v>-6.11</v>
      </c>
      <c r="D13" s="173">
        <v>-9.43</v>
      </c>
      <c r="E13" s="173">
        <v>-11.63</v>
      </c>
      <c r="F13" s="173">
        <v>-11.07</v>
      </c>
      <c r="G13" s="183"/>
    </row>
    <row r="14" spans="1:10" ht="22.8" x14ac:dyDescent="0.25">
      <c r="B14" s="185" t="s">
        <v>416</v>
      </c>
      <c r="C14" s="172">
        <v>11.01</v>
      </c>
      <c r="D14" s="172">
        <v>10.199999999999999</v>
      </c>
      <c r="E14" s="172">
        <v>9.0500000000000007</v>
      </c>
      <c r="F14" s="172">
        <v>9.27</v>
      </c>
      <c r="G14" s="183"/>
    </row>
    <row r="15" spans="1:10" ht="22.8" x14ac:dyDescent="0.25">
      <c r="B15" s="185" t="s">
        <v>417</v>
      </c>
      <c r="C15" s="185" t="s">
        <v>424</v>
      </c>
      <c r="D15" s="185" t="s">
        <v>425</v>
      </c>
      <c r="E15" s="185" t="s">
        <v>426</v>
      </c>
      <c r="F15" s="185" t="s">
        <v>427</v>
      </c>
      <c r="G15" s="183"/>
    </row>
    <row r="16" spans="1:10" x14ac:dyDescent="0.25">
      <c r="A16" s="186"/>
      <c r="B16" s="186"/>
      <c r="C16" s="186"/>
      <c r="D16" s="186"/>
      <c r="E16" s="186"/>
      <c r="F16" s="186"/>
      <c r="G16" s="186"/>
      <c r="H16" s="186"/>
      <c r="I16" s="186"/>
      <c r="J16" s="186"/>
    </row>
    <row r="17" spans="1:10" x14ac:dyDescent="0.25">
      <c r="A17" s="141"/>
      <c r="B17" s="187" t="s">
        <v>437</v>
      </c>
      <c r="C17" s="141"/>
      <c r="D17" s="141"/>
      <c r="E17" s="141"/>
      <c r="F17" s="141"/>
      <c r="G17" s="141"/>
      <c r="H17" s="141"/>
      <c r="I17" s="141"/>
      <c r="J17" s="141"/>
    </row>
    <row r="18" spans="1:10" x14ac:dyDescent="0.25">
      <c r="A18" s="141"/>
      <c r="B18" s="144"/>
      <c r="C18" s="193" t="s">
        <v>412</v>
      </c>
      <c r="D18" s="193" t="s">
        <v>78</v>
      </c>
      <c r="E18" s="193" t="s">
        <v>410</v>
      </c>
      <c r="F18" s="193" t="s">
        <v>436</v>
      </c>
      <c r="G18" s="141"/>
      <c r="H18" s="141"/>
      <c r="I18" s="141"/>
      <c r="J18" s="141"/>
    </row>
    <row r="19" spans="1:10" s="164" customFormat="1" ht="13.2" x14ac:dyDescent="0.25">
      <c r="A19" s="144"/>
      <c r="B19" s="177" t="s">
        <v>429</v>
      </c>
      <c r="C19" s="188">
        <f>+E4</f>
        <v>206.1</v>
      </c>
      <c r="D19" s="188">
        <f>+D4</f>
        <v>218.35</v>
      </c>
      <c r="E19" s="188">
        <f>+C4</f>
        <v>136.69999999999999</v>
      </c>
      <c r="F19" s="188">
        <f>AVERAGE(C19:E19)</f>
        <v>187.04999999999998</v>
      </c>
      <c r="G19" s="144"/>
      <c r="H19" s="144"/>
      <c r="I19" s="144"/>
      <c r="J19" s="144"/>
    </row>
    <row r="20" spans="1:10" s="164" customFormat="1" ht="13.2" x14ac:dyDescent="0.25">
      <c r="A20" s="144"/>
      <c r="B20" s="144" t="s">
        <v>430</v>
      </c>
      <c r="C20" s="190">
        <f>+E5</f>
        <v>-194.46</v>
      </c>
      <c r="D20" s="190">
        <f>+D5</f>
        <v>-204.68</v>
      </c>
      <c r="E20" s="190">
        <f>+C5</f>
        <v>-117.2</v>
      </c>
      <c r="F20" s="190">
        <f>AVERAGE(C20:E20)</f>
        <v>-172.11333333333334</v>
      </c>
      <c r="G20" s="188"/>
      <c r="H20" s="144"/>
      <c r="I20" s="144"/>
      <c r="J20" s="144"/>
    </row>
    <row r="21" spans="1:10" s="164" customFormat="1" ht="7.5" customHeight="1" x14ac:dyDescent="0.25">
      <c r="A21" s="144"/>
      <c r="B21" s="144"/>
      <c r="C21" s="189"/>
      <c r="D21" s="189"/>
      <c r="E21" s="189"/>
      <c r="F21" s="188"/>
      <c r="G21" s="144"/>
      <c r="H21" s="144"/>
      <c r="I21" s="144"/>
      <c r="J21" s="144"/>
    </row>
    <row r="22" spans="1:10" s="164" customFormat="1" ht="13.2" x14ac:dyDescent="0.25">
      <c r="A22" s="144"/>
      <c r="B22" s="144" t="s">
        <v>431</v>
      </c>
      <c r="C22" s="191">
        <f>+C19+C20</f>
        <v>11.639999999999986</v>
      </c>
      <c r="D22" s="191">
        <f t="shared" ref="D22:E22" si="0">+D19+D20</f>
        <v>13.669999999999987</v>
      </c>
      <c r="E22" s="191">
        <f t="shared" si="0"/>
        <v>19.499999999999986</v>
      </c>
      <c r="F22" s="188">
        <f>+F19+F20</f>
        <v>14.936666666666639</v>
      </c>
      <c r="G22" s="144"/>
      <c r="H22" s="144"/>
      <c r="I22" s="144"/>
      <c r="J22" s="144"/>
    </row>
    <row r="23" spans="1:10" s="164" customFormat="1" ht="13.2" x14ac:dyDescent="0.25">
      <c r="A23" s="144"/>
      <c r="B23" s="144" t="s">
        <v>434</v>
      </c>
      <c r="C23" s="194">
        <f>+C22/C19</f>
        <v>5.6477438136826721E-2</v>
      </c>
      <c r="D23" s="194">
        <f t="shared" ref="D23:E23" si="1">+D22/D19</f>
        <v>6.2605907945958272E-2</v>
      </c>
      <c r="E23" s="194">
        <f t="shared" si="1"/>
        <v>0.14264813460131667</v>
      </c>
      <c r="F23" s="194">
        <f>+F22/F19</f>
        <v>7.985387151385534E-2</v>
      </c>
      <c r="G23" s="144"/>
      <c r="H23" s="144"/>
      <c r="I23" s="144"/>
      <c r="J23" s="144"/>
    </row>
    <row r="24" spans="1:10" s="164" customFormat="1" ht="5.25" customHeight="1" x14ac:dyDescent="0.25">
      <c r="A24" s="144"/>
      <c r="B24" s="144"/>
      <c r="C24" s="189"/>
      <c r="D24" s="189"/>
      <c r="E24" s="189"/>
      <c r="F24" s="189"/>
      <c r="G24" s="144"/>
      <c r="H24" s="144"/>
      <c r="I24" s="144"/>
      <c r="J24" s="144"/>
    </row>
    <row r="25" spans="1:10" s="164" customFormat="1" ht="13.2" x14ac:dyDescent="0.25">
      <c r="A25" s="144"/>
      <c r="B25" s="144" t="s">
        <v>432</v>
      </c>
      <c r="C25" s="190">
        <f>+C20*0.975</f>
        <v>-189.5985</v>
      </c>
      <c r="D25" s="190">
        <f t="shared" ref="D25:F25" si="2">+D20*0.975</f>
        <v>-199.56299999999999</v>
      </c>
      <c r="E25" s="190">
        <f t="shared" si="2"/>
        <v>-114.27</v>
      </c>
      <c r="F25" s="190">
        <f t="shared" si="2"/>
        <v>-167.81050000000002</v>
      </c>
      <c r="G25" s="144"/>
      <c r="H25" s="144"/>
      <c r="I25" s="144"/>
      <c r="J25" s="144"/>
    </row>
    <row r="26" spans="1:10" s="164" customFormat="1" ht="13.2" x14ac:dyDescent="0.25">
      <c r="A26" s="144"/>
      <c r="B26" s="144"/>
      <c r="C26" s="189"/>
      <c r="D26" s="189"/>
      <c r="E26" s="189"/>
      <c r="F26" s="189"/>
      <c r="G26" s="144"/>
      <c r="H26" s="144"/>
      <c r="I26" s="144"/>
      <c r="J26" s="144"/>
    </row>
    <row r="27" spans="1:10" s="164" customFormat="1" ht="13.2" x14ac:dyDescent="0.25">
      <c r="A27" s="144"/>
      <c r="B27" s="144" t="s">
        <v>433</v>
      </c>
      <c r="C27" s="191">
        <f>+C19+C25</f>
        <v>16.501499999999993</v>
      </c>
      <c r="D27" s="191">
        <f t="shared" ref="D27:F27" si="3">+D19+D25</f>
        <v>18.787000000000006</v>
      </c>
      <c r="E27" s="191">
        <f t="shared" si="3"/>
        <v>22.429999999999993</v>
      </c>
      <c r="F27" s="191">
        <f t="shared" si="3"/>
        <v>19.239499999999964</v>
      </c>
      <c r="G27" s="144"/>
      <c r="H27" s="144"/>
      <c r="I27" s="144"/>
      <c r="J27" s="144"/>
    </row>
    <row r="28" spans="1:10" s="164" customFormat="1" ht="13.2" x14ac:dyDescent="0.25">
      <c r="A28" s="144"/>
      <c r="B28" s="211" t="s">
        <v>435</v>
      </c>
      <c r="C28" s="209">
        <f>+C27/C19</f>
        <v>8.0065502183406079E-2</v>
      </c>
      <c r="D28" s="209">
        <f t="shared" ref="D28:F28" si="4">+D27/D19</f>
        <v>8.6040760247309403E-2</v>
      </c>
      <c r="E28" s="209">
        <f t="shared" si="4"/>
        <v>0.16408193123628378</v>
      </c>
      <c r="F28" s="210">
        <f t="shared" si="4"/>
        <v>0.10285752472600891</v>
      </c>
      <c r="G28" s="144"/>
      <c r="H28" s="144"/>
      <c r="I28" s="144"/>
      <c r="J28" s="144"/>
    </row>
    <row r="29" spans="1:10" s="164" customFormat="1" ht="13.2" x14ac:dyDescent="0.25">
      <c r="A29" s="144"/>
      <c r="B29" s="144"/>
      <c r="C29" s="144"/>
      <c r="D29" s="144"/>
      <c r="E29" s="144"/>
      <c r="F29" s="144"/>
      <c r="G29" s="144"/>
      <c r="H29" s="144"/>
      <c r="I29" s="144"/>
      <c r="J29" s="144"/>
    </row>
    <row r="30" spans="1:10" s="164" customFormat="1" x14ac:dyDescent="0.25">
      <c r="A30" s="144"/>
      <c r="B30" s="187" t="s">
        <v>438</v>
      </c>
      <c r="C30" s="144"/>
      <c r="D30" s="144"/>
      <c r="E30" s="144"/>
      <c r="F30" s="144"/>
      <c r="G30" s="144"/>
      <c r="H30" s="144"/>
      <c r="I30" s="144"/>
      <c r="J30" s="144"/>
    </row>
    <row r="31" spans="1:10" x14ac:dyDescent="0.25">
      <c r="A31" s="141"/>
      <c r="B31" s="144"/>
      <c r="C31" s="193" t="s">
        <v>412</v>
      </c>
      <c r="D31" s="193" t="s">
        <v>78</v>
      </c>
      <c r="E31" s="193" t="s">
        <v>410</v>
      </c>
      <c r="F31" s="193" t="s">
        <v>436</v>
      </c>
      <c r="G31" s="141"/>
      <c r="H31" s="141"/>
      <c r="I31" s="141"/>
      <c r="J31" s="141"/>
    </row>
    <row r="32" spans="1:10" x14ac:dyDescent="0.25">
      <c r="A32" s="141"/>
      <c r="B32" s="177" t="s">
        <v>429</v>
      </c>
      <c r="C32" s="188">
        <f>+E12</f>
        <v>20.68</v>
      </c>
      <c r="D32" s="188">
        <f>+D12</f>
        <v>19.63</v>
      </c>
      <c r="E32" s="188">
        <f>+C12</f>
        <v>17.12</v>
      </c>
      <c r="F32" s="188">
        <f>AVERAGE(C32:E32)</f>
        <v>19.143333333333334</v>
      </c>
      <c r="G32" s="141"/>
      <c r="H32" s="141"/>
      <c r="I32" s="141"/>
      <c r="J32" s="141"/>
    </row>
    <row r="33" spans="1:13" x14ac:dyDescent="0.25">
      <c r="A33" s="141"/>
      <c r="B33" s="144" t="s">
        <v>430</v>
      </c>
      <c r="C33" s="190">
        <f>+E13</f>
        <v>-11.63</v>
      </c>
      <c r="D33" s="190">
        <f>+D13</f>
        <v>-9.43</v>
      </c>
      <c r="E33" s="190">
        <f>+C13</f>
        <v>-6.11</v>
      </c>
      <c r="F33" s="190">
        <f>AVERAGE(C33:E33)</f>
        <v>-9.0566666666666666</v>
      </c>
      <c r="G33" s="141"/>
      <c r="H33" s="141"/>
      <c r="I33" s="141"/>
      <c r="J33" s="141"/>
    </row>
    <row r="34" spans="1:13" x14ac:dyDescent="0.25">
      <c r="A34" s="141"/>
      <c r="B34" s="144"/>
      <c r="C34" s="189"/>
      <c r="D34" s="189"/>
      <c r="E34" s="189"/>
      <c r="F34" s="188"/>
      <c r="G34" s="141"/>
      <c r="H34" s="141"/>
      <c r="I34" s="141"/>
      <c r="J34" s="141"/>
    </row>
    <row r="35" spans="1:13" x14ac:dyDescent="0.25">
      <c r="A35" s="141"/>
      <c r="B35" s="144" t="s">
        <v>431</v>
      </c>
      <c r="C35" s="191">
        <f>+C32+C33</f>
        <v>9.0499999999999989</v>
      </c>
      <c r="D35" s="191">
        <f t="shared" ref="D35:E35" si="5">+D32+D33</f>
        <v>10.199999999999999</v>
      </c>
      <c r="E35" s="191">
        <f t="shared" si="5"/>
        <v>11.010000000000002</v>
      </c>
      <c r="F35" s="188">
        <f>+F32+F33</f>
        <v>10.086666666666668</v>
      </c>
      <c r="G35" s="141"/>
      <c r="H35" s="141"/>
      <c r="I35" s="141"/>
      <c r="J35" s="141"/>
    </row>
    <row r="36" spans="1:13" x14ac:dyDescent="0.25">
      <c r="A36" s="141"/>
      <c r="B36" s="144" t="s">
        <v>434</v>
      </c>
      <c r="C36" s="194">
        <f>+C35/C32</f>
        <v>0.43762088974854929</v>
      </c>
      <c r="D36" s="194">
        <f t="shared" ref="D36:E36" si="6">+D35/D32</f>
        <v>0.51961283749363218</v>
      </c>
      <c r="E36" s="194">
        <f t="shared" si="6"/>
        <v>0.64310747663551404</v>
      </c>
      <c r="F36" s="194">
        <f>+F35/F32</f>
        <v>0.52690231586278946</v>
      </c>
      <c r="G36" s="141"/>
      <c r="H36" s="141"/>
      <c r="I36" s="141"/>
      <c r="J36" s="141"/>
    </row>
    <row r="37" spans="1:13" ht="7.5" customHeight="1" x14ac:dyDescent="0.25">
      <c r="A37" s="141"/>
      <c r="B37" s="144"/>
      <c r="C37" s="189"/>
      <c r="D37" s="189"/>
      <c r="E37" s="189"/>
      <c r="F37" s="189"/>
      <c r="G37" s="141"/>
      <c r="H37" s="141"/>
      <c r="I37" s="141"/>
      <c r="J37" s="141"/>
    </row>
    <row r="38" spans="1:13" x14ac:dyDescent="0.25">
      <c r="A38" s="141"/>
      <c r="B38" s="144" t="s">
        <v>432</v>
      </c>
      <c r="C38" s="190">
        <f>0.9*C33</f>
        <v>-10.467000000000001</v>
      </c>
      <c r="D38" s="190">
        <f t="shared" ref="D38:E38" si="7">0.9*D33</f>
        <v>-8.4870000000000001</v>
      </c>
      <c r="E38" s="190">
        <f t="shared" si="7"/>
        <v>-5.4990000000000006</v>
      </c>
      <c r="F38" s="190">
        <f>+F33*0.9</f>
        <v>-8.1509999999999998</v>
      </c>
      <c r="G38" s="141"/>
      <c r="H38" s="141"/>
      <c r="I38" s="141"/>
      <c r="J38" s="141"/>
    </row>
    <row r="39" spans="1:13" x14ac:dyDescent="0.25">
      <c r="A39" s="141"/>
      <c r="B39" s="144"/>
      <c r="C39" s="189"/>
      <c r="D39" s="189"/>
      <c r="E39" s="189"/>
      <c r="F39" s="189"/>
      <c r="G39" s="141"/>
      <c r="H39" s="141"/>
      <c r="I39" s="141"/>
      <c r="J39" s="141"/>
    </row>
    <row r="40" spans="1:13" x14ac:dyDescent="0.25">
      <c r="A40" s="141"/>
      <c r="B40" s="144" t="s">
        <v>433</v>
      </c>
      <c r="C40" s="191">
        <f>+C32+C38</f>
        <v>10.212999999999999</v>
      </c>
      <c r="D40" s="191">
        <f t="shared" ref="D40:F40" si="8">+D32+D38</f>
        <v>11.142999999999999</v>
      </c>
      <c r="E40" s="191">
        <f t="shared" si="8"/>
        <v>11.621</v>
      </c>
      <c r="F40" s="191">
        <f t="shared" si="8"/>
        <v>10.992333333333335</v>
      </c>
      <c r="G40" s="141"/>
      <c r="H40" s="144"/>
      <c r="I40" s="144"/>
      <c r="J40" s="144"/>
    </row>
    <row r="41" spans="1:13" x14ac:dyDescent="0.25">
      <c r="A41" s="141"/>
      <c r="B41" s="211" t="s">
        <v>435</v>
      </c>
      <c r="C41" s="209">
        <f>+C40/C32</f>
        <v>0.49385880077369437</v>
      </c>
      <c r="D41" s="209">
        <f t="shared" ref="D41" si="9">+D40/D32</f>
        <v>0.5676515537442689</v>
      </c>
      <c r="E41" s="209">
        <f t="shared" ref="E41" si="10">+E40/E32</f>
        <v>0.67879672897196264</v>
      </c>
      <c r="F41" s="210">
        <f t="shared" ref="F41" si="11">+F40/F32</f>
        <v>0.5742120842765106</v>
      </c>
      <c r="G41" s="141"/>
      <c r="H41" s="144"/>
      <c r="I41" s="144"/>
      <c r="J41" s="144"/>
    </row>
    <row r="42" spans="1:13" ht="9.75" customHeight="1" x14ac:dyDescent="0.25">
      <c r="A42" s="141"/>
      <c r="B42" s="144"/>
      <c r="C42" s="192"/>
      <c r="D42" s="192"/>
      <c r="E42" s="192"/>
      <c r="F42" s="192"/>
      <c r="G42" s="141"/>
      <c r="H42" s="144"/>
      <c r="I42" s="144"/>
      <c r="J42" s="144"/>
    </row>
    <row r="43" spans="1:13" x14ac:dyDescent="0.25">
      <c r="A43" s="141"/>
      <c r="B43" s="141"/>
      <c r="C43" s="141"/>
      <c r="D43" s="141"/>
      <c r="E43" s="141"/>
      <c r="F43" s="141"/>
      <c r="G43" s="141"/>
      <c r="H43" s="144"/>
      <c r="I43" s="144"/>
      <c r="J43" s="144"/>
      <c r="K43" s="141"/>
      <c r="L43" s="141"/>
      <c r="M43" s="141"/>
    </row>
    <row r="44" spans="1:13" x14ac:dyDescent="0.25">
      <c r="A44" s="141"/>
      <c r="B44" s="141"/>
      <c r="C44" s="141"/>
      <c r="D44" s="141"/>
      <c r="E44" s="141"/>
      <c r="F44" s="141"/>
      <c r="G44" s="141"/>
      <c r="H44" s="200" t="s">
        <v>444</v>
      </c>
      <c r="I44" s="144"/>
      <c r="J44" s="144"/>
      <c r="K44" s="144"/>
      <c r="L44" s="144"/>
      <c r="M44" s="141"/>
    </row>
    <row r="45" spans="1:13" x14ac:dyDescent="0.25">
      <c r="A45" s="141"/>
      <c r="B45" s="141"/>
      <c r="C45" s="141"/>
      <c r="D45" s="141"/>
      <c r="E45" s="141"/>
      <c r="F45" s="141"/>
      <c r="G45" s="141"/>
      <c r="H45" s="213" t="s">
        <v>441</v>
      </c>
      <c r="I45" s="213" t="s">
        <v>442</v>
      </c>
      <c r="J45" s="213" t="s">
        <v>1</v>
      </c>
      <c r="K45" s="144"/>
      <c r="L45" s="144"/>
      <c r="M45" s="141"/>
    </row>
    <row r="46" spans="1:13" x14ac:dyDescent="0.25">
      <c r="A46" s="141"/>
      <c r="B46" s="141"/>
      <c r="C46" s="141"/>
      <c r="D46" s="141"/>
      <c r="E46" s="141"/>
      <c r="F46" s="141"/>
      <c r="G46" s="141"/>
      <c r="H46" s="189">
        <v>1</v>
      </c>
      <c r="I46" s="191">
        <f>+F19</f>
        <v>187.04999999999998</v>
      </c>
      <c r="J46" s="212">
        <f>+F19*H46</f>
        <v>187.04999999999998</v>
      </c>
      <c r="K46" s="144"/>
      <c r="L46" s="144"/>
      <c r="M46" s="141"/>
    </row>
    <row r="47" spans="1:13" x14ac:dyDescent="0.25">
      <c r="A47" s="141"/>
      <c r="B47" s="144"/>
      <c r="C47" s="189"/>
      <c r="D47" s="189"/>
      <c r="E47" s="189"/>
      <c r="F47" s="189"/>
      <c r="G47" s="141"/>
      <c r="H47" s="144"/>
      <c r="I47" s="144"/>
      <c r="J47" s="144"/>
      <c r="K47" s="144"/>
      <c r="L47" s="144"/>
      <c r="M47" s="141"/>
    </row>
    <row r="48" spans="1:13" ht="15.6" x14ac:dyDescent="0.4">
      <c r="A48" s="141"/>
      <c r="B48" s="177"/>
      <c r="C48" s="188"/>
      <c r="D48" s="188"/>
      <c r="E48" s="188"/>
      <c r="F48" s="189"/>
      <c r="G48" s="141"/>
      <c r="H48" s="198" t="s">
        <v>1</v>
      </c>
      <c r="I48" s="199" t="s">
        <v>431</v>
      </c>
      <c r="J48" s="199"/>
      <c r="K48" s="144"/>
      <c r="L48" s="144"/>
      <c r="M48" s="141"/>
    </row>
    <row r="49" spans="1:13" x14ac:dyDescent="0.25">
      <c r="A49" s="141"/>
      <c r="B49" s="144"/>
      <c r="C49" s="189"/>
      <c r="D49" s="189"/>
      <c r="E49" s="189"/>
      <c r="F49" s="189"/>
      <c r="G49" s="141"/>
      <c r="H49" s="195">
        <f>+I46*H46</f>
        <v>187.04999999999998</v>
      </c>
      <c r="I49" s="195">
        <f>+F27*H46</f>
        <v>19.239499999999964</v>
      </c>
      <c r="J49" s="144"/>
      <c r="K49" s="144"/>
      <c r="L49" s="144"/>
      <c r="M49" s="141"/>
    </row>
    <row r="50" spans="1:13" x14ac:dyDescent="0.25">
      <c r="A50" s="141"/>
      <c r="B50" s="144"/>
      <c r="C50" s="189"/>
      <c r="D50" s="189"/>
      <c r="E50" s="189"/>
      <c r="F50" s="189"/>
      <c r="G50" s="141"/>
      <c r="H50" s="144"/>
      <c r="I50" s="144"/>
      <c r="J50" s="144"/>
      <c r="K50" s="144"/>
      <c r="L50" s="144"/>
      <c r="M50" s="141"/>
    </row>
    <row r="51" spans="1:13" x14ac:dyDescent="0.25">
      <c r="A51" s="141"/>
      <c r="B51" s="144"/>
      <c r="C51" s="189"/>
      <c r="D51" s="189"/>
      <c r="E51" s="189"/>
      <c r="F51" s="189"/>
      <c r="G51" s="141"/>
      <c r="H51" s="200" t="s">
        <v>445</v>
      </c>
      <c r="I51" s="144"/>
      <c r="J51" s="144"/>
      <c r="K51" s="144"/>
      <c r="L51" s="144"/>
      <c r="M51" s="141"/>
    </row>
    <row r="52" spans="1:13" x14ac:dyDescent="0.25">
      <c r="A52" s="141"/>
      <c r="B52" s="144"/>
      <c r="C52" s="189"/>
      <c r="D52" s="189"/>
      <c r="E52" s="189"/>
      <c r="F52" s="189"/>
      <c r="G52" s="141"/>
      <c r="H52" s="213" t="s">
        <v>441</v>
      </c>
      <c r="I52" s="213" t="s">
        <v>442</v>
      </c>
      <c r="J52" s="213" t="s">
        <v>1</v>
      </c>
      <c r="K52" s="144"/>
      <c r="L52" s="144"/>
      <c r="M52" s="141"/>
    </row>
    <row r="53" spans="1:13" x14ac:dyDescent="0.25">
      <c r="A53" s="141"/>
      <c r="B53" s="144"/>
      <c r="C53" s="189"/>
      <c r="D53" s="189"/>
      <c r="E53" s="189"/>
      <c r="F53" s="189"/>
      <c r="G53" s="141"/>
      <c r="H53" s="189">
        <v>3</v>
      </c>
      <c r="I53" s="191">
        <f>+F32</f>
        <v>19.143333333333334</v>
      </c>
      <c r="J53" s="212">
        <f>+I53*H53</f>
        <v>57.430000000000007</v>
      </c>
      <c r="K53" s="144"/>
      <c r="L53" s="144"/>
      <c r="M53" s="141"/>
    </row>
    <row r="54" spans="1:13" x14ac:dyDescent="0.25">
      <c r="A54" s="141"/>
      <c r="B54" s="144"/>
      <c r="C54" s="141"/>
      <c r="D54" s="141"/>
      <c r="E54" s="141"/>
      <c r="F54" s="141"/>
      <c r="G54" s="141"/>
      <c r="H54" s="144"/>
      <c r="I54" s="144"/>
      <c r="J54" s="144"/>
      <c r="K54" s="144"/>
      <c r="L54" s="144"/>
      <c r="M54" s="141"/>
    </row>
    <row r="55" spans="1:13" ht="15.6" x14ac:dyDescent="0.4">
      <c r="A55" s="141"/>
      <c r="B55" s="144"/>
      <c r="C55" s="141"/>
      <c r="D55" s="141"/>
      <c r="E55" s="141"/>
      <c r="F55" s="141"/>
      <c r="G55" s="141"/>
      <c r="H55" s="198" t="s">
        <v>1</v>
      </c>
      <c r="I55" s="199" t="s">
        <v>431</v>
      </c>
      <c r="J55" s="144"/>
      <c r="K55" s="144"/>
      <c r="L55" s="144"/>
      <c r="M55" s="141"/>
    </row>
    <row r="56" spans="1:13" x14ac:dyDescent="0.25">
      <c r="A56" s="141"/>
      <c r="B56" s="144"/>
      <c r="C56" s="141"/>
      <c r="D56" s="141"/>
      <c r="E56" s="141"/>
      <c r="F56" s="141"/>
      <c r="G56" s="141"/>
      <c r="H56" s="197">
        <f>+J53</f>
        <v>57.430000000000007</v>
      </c>
      <c r="I56" s="195">
        <f>+F40*H53</f>
        <v>32.977000000000004</v>
      </c>
      <c r="J56" s="144"/>
      <c r="K56" s="144"/>
      <c r="L56" s="144"/>
      <c r="M56" s="141"/>
    </row>
    <row r="57" spans="1:13" x14ac:dyDescent="0.25">
      <c r="A57" s="141"/>
      <c r="B57" s="214"/>
      <c r="C57" s="141"/>
      <c r="D57" s="141"/>
      <c r="E57" s="141"/>
      <c r="F57" s="141"/>
      <c r="G57" s="141"/>
      <c r="H57" s="144"/>
      <c r="I57" s="144"/>
      <c r="J57" s="144"/>
      <c r="K57" s="144"/>
      <c r="L57" s="144"/>
      <c r="M57" s="141"/>
    </row>
    <row r="58" spans="1:13" x14ac:dyDescent="0.25">
      <c r="A58" s="141"/>
      <c r="B58" s="141"/>
      <c r="C58" s="141"/>
      <c r="D58" s="141"/>
      <c r="E58" s="141"/>
      <c r="F58" s="141"/>
      <c r="G58" s="141"/>
      <c r="H58" s="200" t="s">
        <v>443</v>
      </c>
      <c r="I58" s="144"/>
      <c r="J58" s="144"/>
      <c r="K58" s="144"/>
      <c r="L58" s="144"/>
      <c r="M58" s="141"/>
    </row>
    <row r="59" spans="1:13" x14ac:dyDescent="0.25">
      <c r="A59" s="141"/>
      <c r="B59" s="141"/>
      <c r="C59" s="141"/>
      <c r="D59" s="141"/>
      <c r="E59" s="141"/>
      <c r="F59" s="141"/>
      <c r="G59" s="141"/>
      <c r="H59" s="144"/>
      <c r="I59" s="207" t="s">
        <v>1</v>
      </c>
      <c r="J59" s="208" t="s">
        <v>431</v>
      </c>
      <c r="K59" s="207" t="s">
        <v>1</v>
      </c>
      <c r="L59" s="208" t="s">
        <v>431</v>
      </c>
      <c r="M59" s="141"/>
    </row>
    <row r="60" spans="1:13" x14ac:dyDescent="0.25">
      <c r="A60" s="141"/>
      <c r="B60" s="141"/>
      <c r="C60" s="141"/>
      <c r="D60" s="141"/>
      <c r="E60" s="141"/>
      <c r="F60" s="141"/>
      <c r="G60" s="141"/>
      <c r="H60" s="144" t="s">
        <v>444</v>
      </c>
      <c r="I60" s="201">
        <f>+H49</f>
        <v>187.04999999999998</v>
      </c>
      <c r="J60" s="202">
        <f>+I49</f>
        <v>19.239499999999964</v>
      </c>
      <c r="K60" s="215">
        <f>+I60/$I$62</f>
        <v>0.76509325916230364</v>
      </c>
      <c r="L60" s="216">
        <f>+J60/$J$62</f>
        <v>0.36845633085327389</v>
      </c>
      <c r="M60" s="141"/>
    </row>
    <row r="61" spans="1:13" ht="15.6" x14ac:dyDescent="0.4">
      <c r="A61" s="141"/>
      <c r="B61" s="141"/>
      <c r="C61" s="141"/>
      <c r="D61" s="141"/>
      <c r="E61" s="141"/>
      <c r="F61" s="141"/>
      <c r="G61" s="141"/>
      <c r="H61" s="144" t="s">
        <v>445</v>
      </c>
      <c r="I61" s="203">
        <f>+H56</f>
        <v>57.430000000000007</v>
      </c>
      <c r="J61" s="204">
        <f>+I56</f>
        <v>32.977000000000004</v>
      </c>
      <c r="K61" s="217">
        <f>+I61/$I$62</f>
        <v>0.23490674083769636</v>
      </c>
      <c r="L61" s="218">
        <f>+J61/$J$62</f>
        <v>0.63154366914672611</v>
      </c>
      <c r="M61" s="141"/>
    </row>
    <row r="62" spans="1:13" x14ac:dyDescent="0.25">
      <c r="A62" s="141"/>
      <c r="B62" s="141"/>
      <c r="C62" s="141"/>
      <c r="D62" s="141"/>
      <c r="E62" s="141"/>
      <c r="F62" s="141"/>
      <c r="G62" s="141"/>
      <c r="H62" s="144" t="s">
        <v>7</v>
      </c>
      <c r="I62" s="205">
        <f>+I60+I61</f>
        <v>244.48</v>
      </c>
      <c r="J62" s="206">
        <f>+J60+J61</f>
        <v>52.216499999999968</v>
      </c>
      <c r="K62" s="219">
        <f>+I62/$I$62</f>
        <v>1</v>
      </c>
      <c r="L62" s="220">
        <f>+J62/$J$62</f>
        <v>1</v>
      </c>
      <c r="M62" s="141"/>
    </row>
    <row r="63" spans="1:13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</row>
    <row r="64" spans="1:13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</row>
    <row r="65" spans="1:13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</row>
    <row r="66" spans="1:13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</row>
    <row r="67" spans="1:13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</row>
    <row r="68" spans="1:13" x14ac:dyDescent="0.25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</row>
    <row r="69" spans="1:13" x14ac:dyDescent="0.25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6"/>
  <sheetViews>
    <sheetView workbookViewId="0">
      <selection activeCell="B6" sqref="B6"/>
    </sheetView>
  </sheetViews>
  <sheetFormatPr defaultRowHeight="14.4" x14ac:dyDescent="0.3"/>
  <cols>
    <col min="1" max="1" width="16.109375" bestFit="1" customWidth="1"/>
  </cols>
  <sheetData>
    <row r="3" spans="1:2" x14ac:dyDescent="0.3">
      <c r="A3" t="s">
        <v>440</v>
      </c>
      <c r="B3" s="28">
        <v>0.3</v>
      </c>
    </row>
    <row r="4" spans="1:2" x14ac:dyDescent="0.3">
      <c r="A4" t="s">
        <v>28</v>
      </c>
      <c r="B4" s="28">
        <v>0.2601</v>
      </c>
    </row>
    <row r="5" spans="1:2" x14ac:dyDescent="0.3">
      <c r="A5" t="s">
        <v>21</v>
      </c>
      <c r="B5" s="28">
        <v>0.28389999999999999</v>
      </c>
    </row>
    <row r="6" spans="1:2" x14ac:dyDescent="0.3">
      <c r="A6" t="s">
        <v>439</v>
      </c>
      <c r="B6" s="28">
        <v>0.24199999999999999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9"/>
  <sheetViews>
    <sheetView workbookViewId="0">
      <selection activeCell="B3" sqref="B3:E13"/>
    </sheetView>
  </sheetViews>
  <sheetFormatPr defaultColWidth="9.109375" defaultRowHeight="13.8" x14ac:dyDescent="0.25"/>
  <cols>
    <col min="1" max="1" width="9.109375" style="176"/>
    <col min="2" max="2" width="28.88671875" style="176" customWidth="1"/>
    <col min="3" max="3" width="17.33203125" style="176" customWidth="1"/>
    <col min="4" max="4" width="16.109375" style="176" customWidth="1"/>
    <col min="5" max="5" width="12.33203125" style="176" customWidth="1"/>
    <col min="6" max="16384" width="9.109375" style="176"/>
  </cols>
  <sheetData>
    <row r="1" spans="1:7" x14ac:dyDescent="0.25">
      <c r="A1" s="141"/>
      <c r="B1" s="141"/>
      <c r="C1" s="141"/>
      <c r="D1" s="141"/>
      <c r="E1" s="141"/>
      <c r="F1" s="141"/>
      <c r="G1" s="141"/>
    </row>
    <row r="2" spans="1:7" x14ac:dyDescent="0.25">
      <c r="A2" s="141"/>
      <c r="B2" s="141"/>
      <c r="C2" s="141"/>
      <c r="D2" s="141"/>
      <c r="E2" s="141"/>
      <c r="F2" s="141"/>
      <c r="G2" s="141"/>
    </row>
    <row r="3" spans="1:7" ht="32.25" customHeight="1" x14ac:dyDescent="0.25">
      <c r="A3" s="141"/>
      <c r="B3" s="221" t="s">
        <v>446</v>
      </c>
      <c r="C3" s="222" t="s">
        <v>447</v>
      </c>
      <c r="D3" s="222" t="s">
        <v>448</v>
      </c>
      <c r="E3" s="221" t="s">
        <v>60</v>
      </c>
      <c r="F3" s="141"/>
      <c r="G3" s="141"/>
    </row>
    <row r="4" spans="1:7" x14ac:dyDescent="0.25">
      <c r="A4" s="141"/>
      <c r="B4" s="144" t="s">
        <v>449</v>
      </c>
      <c r="C4" s="196">
        <v>0.05</v>
      </c>
      <c r="D4" s="196">
        <v>8.59</v>
      </c>
      <c r="E4" s="223">
        <f t="shared" ref="E4:E13" si="0">+D4/C4</f>
        <v>171.79999999999998</v>
      </c>
      <c r="F4" s="141"/>
      <c r="G4" s="141"/>
    </row>
    <row r="5" spans="1:7" x14ac:dyDescent="0.25">
      <c r="A5" s="141"/>
      <c r="B5" s="144" t="s">
        <v>450</v>
      </c>
      <c r="C5" s="196">
        <v>0.06</v>
      </c>
      <c r="D5" s="196">
        <v>4.26</v>
      </c>
      <c r="E5" s="223">
        <f t="shared" si="0"/>
        <v>71</v>
      </c>
      <c r="F5" s="141"/>
      <c r="G5" s="141"/>
    </row>
    <row r="6" spans="1:7" x14ac:dyDescent="0.25">
      <c r="A6" s="141"/>
      <c r="B6" s="144" t="s">
        <v>453</v>
      </c>
      <c r="C6" s="196">
        <v>0.03</v>
      </c>
      <c r="D6" s="196">
        <v>1.31</v>
      </c>
      <c r="E6" s="223">
        <f t="shared" si="0"/>
        <v>43.666666666666671</v>
      </c>
      <c r="F6" s="141"/>
      <c r="G6" s="141"/>
    </row>
    <row r="7" spans="1:7" x14ac:dyDescent="0.25">
      <c r="A7" s="141"/>
      <c r="B7" s="144" t="s">
        <v>451</v>
      </c>
      <c r="C7" s="196">
        <v>0.02</v>
      </c>
      <c r="D7" s="196">
        <v>0.83</v>
      </c>
      <c r="E7" s="223">
        <f t="shared" si="0"/>
        <v>41.5</v>
      </c>
      <c r="F7" s="141"/>
      <c r="G7" s="141"/>
    </row>
    <row r="8" spans="1:7" x14ac:dyDescent="0.25">
      <c r="A8" s="141"/>
      <c r="B8" s="144" t="s">
        <v>454</v>
      </c>
      <c r="C8" s="196">
        <v>0.06</v>
      </c>
      <c r="D8" s="196">
        <v>2.04</v>
      </c>
      <c r="E8" s="223">
        <f t="shared" si="0"/>
        <v>34</v>
      </c>
      <c r="F8" s="141"/>
      <c r="G8" s="141"/>
    </row>
    <row r="9" spans="1:7" x14ac:dyDescent="0.25">
      <c r="A9" s="141"/>
      <c r="B9" s="144" t="s">
        <v>452</v>
      </c>
      <c r="C9" s="196">
        <v>0.02</v>
      </c>
      <c r="D9" s="196">
        <v>0.67</v>
      </c>
      <c r="E9" s="223">
        <f t="shared" si="0"/>
        <v>33.5</v>
      </c>
      <c r="F9" s="141"/>
      <c r="G9" s="141"/>
    </row>
    <row r="10" spans="1:7" x14ac:dyDescent="0.25">
      <c r="A10" s="141"/>
      <c r="B10" s="144" t="s">
        <v>455</v>
      </c>
      <c r="C10" s="196">
        <v>0.42</v>
      </c>
      <c r="D10" s="196">
        <v>8.15</v>
      </c>
      <c r="E10" s="223">
        <f t="shared" si="0"/>
        <v>19.404761904761905</v>
      </c>
      <c r="F10" s="141"/>
      <c r="G10" s="141"/>
    </row>
    <row r="11" spans="1:7" x14ac:dyDescent="0.25">
      <c r="A11" s="141"/>
      <c r="B11" s="144" t="s">
        <v>456</v>
      </c>
      <c r="C11" s="196">
        <v>0.05</v>
      </c>
      <c r="D11" s="196">
        <v>0.62</v>
      </c>
      <c r="E11" s="223">
        <f t="shared" si="0"/>
        <v>12.399999999999999</v>
      </c>
      <c r="F11" s="141"/>
      <c r="G11" s="141"/>
    </row>
    <row r="12" spans="1:7" x14ac:dyDescent="0.25">
      <c r="A12" s="141"/>
      <c r="B12" s="144" t="s">
        <v>457</v>
      </c>
      <c r="C12" s="196">
        <v>0.14000000000000001</v>
      </c>
      <c r="D12" s="196">
        <v>1.5</v>
      </c>
      <c r="E12" s="223">
        <f t="shared" si="0"/>
        <v>10.714285714285714</v>
      </c>
      <c r="F12" s="141"/>
      <c r="G12" s="141"/>
    </row>
    <row r="13" spans="1:7" x14ac:dyDescent="0.25">
      <c r="A13" s="141"/>
      <c r="B13" s="144" t="s">
        <v>458</v>
      </c>
      <c r="C13" s="196">
        <v>0.06</v>
      </c>
      <c r="D13" s="196">
        <v>0.56000000000000005</v>
      </c>
      <c r="E13" s="223">
        <f t="shared" si="0"/>
        <v>9.3333333333333339</v>
      </c>
      <c r="F13" s="141"/>
      <c r="G13" s="141"/>
    </row>
    <row r="14" spans="1:7" x14ac:dyDescent="0.25">
      <c r="A14" s="141"/>
      <c r="B14" s="141"/>
      <c r="C14" s="141"/>
      <c r="D14" s="141"/>
      <c r="E14" s="141"/>
      <c r="F14" s="141"/>
      <c r="G14" s="141"/>
    </row>
    <row r="15" spans="1:7" x14ac:dyDescent="0.25">
      <c r="A15" s="141"/>
      <c r="B15" s="141"/>
      <c r="C15" s="141"/>
      <c r="D15" s="141"/>
      <c r="E15" s="141"/>
      <c r="F15" s="141"/>
      <c r="G15" s="141"/>
    </row>
    <row r="16" spans="1:7" x14ac:dyDescent="0.25">
      <c r="A16" s="141"/>
      <c r="B16" s="141"/>
      <c r="C16" s="141"/>
      <c r="D16" s="141"/>
      <c r="E16" s="141"/>
      <c r="F16" s="141"/>
      <c r="G16" s="141"/>
    </row>
    <row r="17" spans="1:7" x14ac:dyDescent="0.25">
      <c r="A17" s="141"/>
      <c r="B17" s="141"/>
      <c r="C17" s="141"/>
      <c r="D17" s="141"/>
      <c r="E17" s="141"/>
      <c r="F17" s="141"/>
      <c r="G17" s="141"/>
    </row>
    <row r="18" spans="1:7" x14ac:dyDescent="0.25">
      <c r="A18" s="141"/>
      <c r="B18" s="141"/>
      <c r="C18" s="141"/>
      <c r="D18" s="141"/>
      <c r="E18" s="141"/>
      <c r="F18" s="141"/>
      <c r="G18" s="141"/>
    </row>
    <row r="19" spans="1:7" x14ac:dyDescent="0.25">
      <c r="A19" s="141"/>
      <c r="B19" s="141"/>
      <c r="C19" s="141"/>
      <c r="D19" s="141"/>
      <c r="E19" s="141"/>
      <c r="F19" s="141"/>
      <c r="G19" s="141"/>
    </row>
  </sheetData>
  <sortState xmlns:xlrd2="http://schemas.microsoft.com/office/spreadsheetml/2017/richdata2" ref="B4:E13">
    <sortCondition descending="1" ref="E4:E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46"/>
  <sheetViews>
    <sheetView workbookViewId="0">
      <selection activeCell="E17" sqref="E17"/>
    </sheetView>
  </sheetViews>
  <sheetFormatPr defaultColWidth="9.109375" defaultRowHeight="13.2" x14ac:dyDescent="0.25"/>
  <cols>
    <col min="1" max="1" width="25.88671875" style="7" bestFit="1" customWidth="1"/>
    <col min="2" max="2" width="12.88671875" style="7" bestFit="1" customWidth="1"/>
    <col min="3" max="7" width="9.109375" style="7"/>
    <col min="8" max="8" width="10.33203125" style="7" customWidth="1"/>
    <col min="9" max="9" width="9.109375" style="7"/>
    <col min="10" max="10" width="11.109375" style="7" customWidth="1"/>
    <col min="11" max="11" width="9.109375" style="7" customWidth="1"/>
    <col min="12" max="16384" width="9.109375" style="7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238" t="s">
        <v>44</v>
      </c>
      <c r="C3" s="23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6">
        <v>2002</v>
      </c>
      <c r="B4" s="23">
        <v>182.7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6" t="s">
        <v>46</v>
      </c>
      <c r="B5" s="25">
        <v>0.48</v>
      </c>
      <c r="C5" s="24">
        <f>+B5*$C$10</f>
        <v>47.952000000000012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6" t="s">
        <v>47</v>
      </c>
      <c r="B6" s="12">
        <v>0.31</v>
      </c>
      <c r="C6" s="24">
        <f t="shared" ref="C6:C9" si="0">+B6*$C$10</f>
        <v>30.969000000000012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6" t="s">
        <v>48</v>
      </c>
      <c r="B7" s="12">
        <v>0.13</v>
      </c>
      <c r="C7" s="24">
        <f t="shared" si="0"/>
        <v>12.987000000000005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6" t="s">
        <v>45</v>
      </c>
      <c r="B8" s="12">
        <v>0.05</v>
      </c>
      <c r="C8" s="24">
        <f t="shared" si="0"/>
        <v>4.9950000000000019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6" t="s">
        <v>49</v>
      </c>
      <c r="B9" s="12">
        <v>0.03</v>
      </c>
      <c r="C9" s="24">
        <f t="shared" si="0"/>
        <v>2.9970000000000008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6">
        <v>2012</v>
      </c>
      <c r="B10" s="23">
        <v>282.60000000000002</v>
      </c>
      <c r="C10" s="24">
        <f>+B10-B4</f>
        <v>99.900000000000034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11" t="s">
        <v>50</v>
      </c>
      <c r="B12" s="13">
        <f>+(B10/B4)^(1/10)-1</f>
        <v>4.4583979788960892E-2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ht="17.399999999999999" x14ac:dyDescent="0.3">
      <c r="A40" s="26"/>
      <c r="B40" s="26"/>
      <c r="C40" s="237"/>
      <c r="D40" s="237"/>
      <c r="E40" s="26"/>
      <c r="F40" s="26"/>
      <c r="G40" s="26"/>
      <c r="H40" s="26"/>
      <c r="I40" s="26"/>
      <c r="J40" s="26"/>
      <c r="L40" s="27"/>
      <c r="M40" s="26"/>
      <c r="N40" s="26"/>
      <c r="O40" s="26"/>
    </row>
    <row r="41" spans="1:15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</sheetData>
  <mergeCells count="2">
    <mergeCell ref="C40:D40"/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3:B9"/>
  <sheetViews>
    <sheetView workbookViewId="0">
      <selection activeCell="F8" sqref="F8"/>
    </sheetView>
  </sheetViews>
  <sheetFormatPr defaultColWidth="9.109375" defaultRowHeight="13.8" x14ac:dyDescent="0.25"/>
  <cols>
    <col min="1" max="1" width="29.109375" style="5" bestFit="1" customWidth="1"/>
    <col min="2" max="2" width="9.6640625" style="5" bestFit="1" customWidth="1"/>
    <col min="3" max="16384" width="9.109375" style="5"/>
  </cols>
  <sheetData>
    <row r="3" spans="1:2" x14ac:dyDescent="0.25">
      <c r="A3" s="57" t="s">
        <v>51</v>
      </c>
      <c r="B3" s="55" t="s">
        <v>257</v>
      </c>
    </row>
    <row r="4" spans="1:2" x14ac:dyDescent="0.25">
      <c r="A4" s="5" t="s">
        <v>53</v>
      </c>
      <c r="B4" s="51">
        <v>9.8000000000000004E-2</v>
      </c>
    </row>
    <row r="5" spans="1:2" x14ac:dyDescent="0.25">
      <c r="A5" s="5" t="s">
        <v>52</v>
      </c>
      <c r="B5" s="51">
        <v>7.6999999999999999E-2</v>
      </c>
    </row>
    <row r="6" spans="1:2" x14ac:dyDescent="0.25">
      <c r="A6" s="5" t="s">
        <v>54</v>
      </c>
      <c r="B6" s="51">
        <v>6.6000000000000003E-2</v>
      </c>
    </row>
    <row r="7" spans="1:2" x14ac:dyDescent="0.25">
      <c r="A7" s="5" t="s">
        <v>55</v>
      </c>
      <c r="B7" s="51">
        <v>4.0000000000000001E-3</v>
      </c>
    </row>
    <row r="8" spans="1:2" x14ac:dyDescent="0.25">
      <c r="A8" s="5" t="s">
        <v>43</v>
      </c>
      <c r="B8" s="69">
        <v>-2.3E-2</v>
      </c>
    </row>
    <row r="9" spans="1:2" x14ac:dyDescent="0.25">
      <c r="A9" s="5" t="s">
        <v>56</v>
      </c>
      <c r="B9" s="51">
        <v>4.5999999999999999E-2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2:Q31"/>
  <sheetViews>
    <sheetView workbookViewId="0">
      <selection activeCell="A28" sqref="A28"/>
    </sheetView>
  </sheetViews>
  <sheetFormatPr defaultColWidth="9.109375" defaultRowHeight="13.8" x14ac:dyDescent="0.25"/>
  <cols>
    <col min="1" max="1" width="29.6640625" style="5" customWidth="1"/>
    <col min="2" max="3" width="7.5546875" style="5" bestFit="1" customWidth="1"/>
    <col min="4" max="4" width="10.33203125" style="5" bestFit="1" customWidth="1"/>
    <col min="5" max="5" width="6.109375" style="5" customWidth="1"/>
    <col min="6" max="6" width="7.44140625" style="5" customWidth="1"/>
    <col min="7" max="7" width="8.88671875" style="5" customWidth="1"/>
    <col min="8" max="8" width="13.109375" style="5" bestFit="1" customWidth="1"/>
    <col min="9" max="9" width="9.109375" style="5"/>
    <col min="10" max="10" width="29.88671875" style="5" customWidth="1"/>
    <col min="11" max="11" width="9.33203125" style="5" customWidth="1"/>
    <col min="12" max="12" width="10.5546875" style="5" customWidth="1"/>
    <col min="13" max="13" width="11.33203125" style="5" customWidth="1"/>
    <col min="14" max="14" width="5.44140625" style="5" customWidth="1"/>
    <col min="15" max="15" width="10.109375" style="5" customWidth="1"/>
    <col min="16" max="16" width="10" style="5" customWidth="1"/>
    <col min="17" max="17" width="13.44140625" style="5" customWidth="1"/>
    <col min="18" max="16384" width="9.109375" style="5"/>
  </cols>
  <sheetData>
    <row r="2" spans="1:17" x14ac:dyDescent="0.25">
      <c r="A2" s="34"/>
      <c r="B2" s="239" t="s">
        <v>58</v>
      </c>
      <c r="C2" s="239"/>
      <c r="D2" s="239"/>
      <c r="E2" s="34"/>
      <c r="F2" s="239" t="s">
        <v>59</v>
      </c>
      <c r="G2" s="239"/>
      <c r="H2" s="239"/>
      <c r="I2" s="4"/>
      <c r="J2" s="34"/>
      <c r="K2" s="239" t="s">
        <v>67</v>
      </c>
      <c r="L2" s="239"/>
      <c r="M2" s="239"/>
      <c r="N2" s="34"/>
      <c r="O2" s="239" t="s">
        <v>66</v>
      </c>
      <c r="P2" s="239"/>
      <c r="Q2" s="239"/>
    </row>
    <row r="3" spans="1:17" x14ac:dyDescent="0.25">
      <c r="A3" s="34" t="s">
        <v>57</v>
      </c>
      <c r="B3" s="35">
        <v>2011</v>
      </c>
      <c r="C3" s="35">
        <v>2002</v>
      </c>
      <c r="D3" s="35" t="s">
        <v>60</v>
      </c>
      <c r="E3" s="35"/>
      <c r="F3" s="35">
        <v>2011</v>
      </c>
      <c r="G3" s="35">
        <v>2012</v>
      </c>
      <c r="H3" s="35" t="s">
        <v>61</v>
      </c>
      <c r="I3" s="4"/>
      <c r="J3" s="34" t="s">
        <v>57</v>
      </c>
      <c r="K3" s="35">
        <v>2011</v>
      </c>
      <c r="L3" s="35">
        <v>2002</v>
      </c>
      <c r="M3" s="35" t="s">
        <v>60</v>
      </c>
      <c r="N3" s="35"/>
      <c r="O3" s="35">
        <v>2011</v>
      </c>
      <c r="P3" s="35">
        <v>2012</v>
      </c>
      <c r="Q3" s="35" t="s">
        <v>61</v>
      </c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 t="s">
        <v>52</v>
      </c>
      <c r="B5" s="31">
        <v>1818</v>
      </c>
      <c r="C5" s="31">
        <v>1807</v>
      </c>
      <c r="D5" s="33">
        <f>+C5/B5-1</f>
        <v>-6.0506050605060313E-3</v>
      </c>
      <c r="E5" s="4"/>
      <c r="F5" s="33">
        <f>+B5/$B$11</f>
        <v>0.43100995732574682</v>
      </c>
      <c r="G5" s="33">
        <f>+C5/$C$11</f>
        <v>0.42308592835401543</v>
      </c>
      <c r="H5" s="42" t="s">
        <v>64</v>
      </c>
      <c r="I5" s="4"/>
      <c r="J5" s="4" t="s">
        <v>52</v>
      </c>
      <c r="K5" s="40">
        <v>111.2</v>
      </c>
      <c r="L5" s="40">
        <v>107.2</v>
      </c>
      <c r="M5" s="33">
        <f>L5/K5-1</f>
        <v>-3.5971223021582732E-2</v>
      </c>
      <c r="N5" s="4"/>
      <c r="O5" s="33">
        <f>+K5/$K$11</f>
        <v>0.38949211908931702</v>
      </c>
      <c r="P5" s="33">
        <f>+L5/$L$11</f>
        <v>0.37946902654867248</v>
      </c>
      <c r="Q5" s="41" t="s">
        <v>71</v>
      </c>
    </row>
    <row r="6" spans="1:17" x14ac:dyDescent="0.25">
      <c r="A6" s="4" t="s">
        <v>55</v>
      </c>
      <c r="B6" s="31">
        <v>783</v>
      </c>
      <c r="C6" s="31">
        <v>789</v>
      </c>
      <c r="D6" s="33">
        <f>+C6/B6-1</f>
        <v>7.6628352490422103E-3</v>
      </c>
      <c r="E6" s="4"/>
      <c r="F6" s="33">
        <f>+B6/$B$11</f>
        <v>0.1856330014224751</v>
      </c>
      <c r="G6" s="33">
        <f>+C6/$C$11</f>
        <v>0.18473425427300397</v>
      </c>
      <c r="H6" s="42" t="s">
        <v>62</v>
      </c>
      <c r="I6" s="4"/>
      <c r="J6" s="4" t="s">
        <v>55</v>
      </c>
      <c r="K6" s="39">
        <v>76</v>
      </c>
      <c r="L6" s="39">
        <v>78.2</v>
      </c>
      <c r="M6" s="33">
        <f>L6/K6-1</f>
        <v>2.8947368421052611E-2</v>
      </c>
      <c r="N6" s="4"/>
      <c r="O6" s="33">
        <f>+K6/$K$11</f>
        <v>0.26619964973730298</v>
      </c>
      <c r="P6" s="33">
        <f>+L6/$L$11</f>
        <v>0.27681415929203534</v>
      </c>
      <c r="Q6" s="41" t="s">
        <v>68</v>
      </c>
    </row>
    <row r="7" spans="1:17" x14ac:dyDescent="0.25">
      <c r="A7" s="4" t="s">
        <v>43</v>
      </c>
      <c r="B7" s="31">
        <v>725</v>
      </c>
      <c r="C7" s="31">
        <v>722</v>
      </c>
      <c r="D7" s="33">
        <f>+C7/B7-1</f>
        <v>-4.1379310344827891E-3</v>
      </c>
      <c r="E7" s="4"/>
      <c r="F7" s="33">
        <f>+B7/$B$11</f>
        <v>0.17188240872451399</v>
      </c>
      <c r="G7" s="33">
        <f>+C7/$C$11</f>
        <v>0.16904706157808475</v>
      </c>
      <c r="H7" s="42" t="s">
        <v>63</v>
      </c>
      <c r="I7" s="4"/>
      <c r="J7" s="4" t="s">
        <v>43</v>
      </c>
      <c r="K7" s="40">
        <v>45.3</v>
      </c>
      <c r="L7" s="40">
        <v>42.9</v>
      </c>
      <c r="M7" s="33">
        <f>L7/K7-1</f>
        <v>-5.2980132450331063E-2</v>
      </c>
      <c r="N7" s="4"/>
      <c r="O7" s="33">
        <f>+K7/$K$11</f>
        <v>0.15866900175131349</v>
      </c>
      <c r="P7" s="33">
        <f>+L7/$L$11</f>
        <v>0.15185840707964599</v>
      </c>
      <c r="Q7" s="41" t="s">
        <v>72</v>
      </c>
    </row>
    <row r="8" spans="1:17" x14ac:dyDescent="0.25">
      <c r="A8" s="4" t="s">
        <v>54</v>
      </c>
      <c r="B8" s="31">
        <v>483</v>
      </c>
      <c r="C8" s="31">
        <v>514</v>
      </c>
      <c r="D8" s="33">
        <f>+C8/B8-1</f>
        <v>6.4182194616977162E-2</v>
      </c>
      <c r="E8" s="4"/>
      <c r="F8" s="33">
        <f>+B8/$B$11</f>
        <v>0.11450924608819346</v>
      </c>
      <c r="G8" s="33">
        <f>+C8/$C$11</f>
        <v>0.12034652306251463</v>
      </c>
      <c r="H8" s="42" t="s">
        <v>65</v>
      </c>
      <c r="I8" s="4"/>
      <c r="J8" s="4" t="s">
        <v>53</v>
      </c>
      <c r="K8" s="40">
        <v>27.4</v>
      </c>
      <c r="L8" s="40">
        <v>28.1</v>
      </c>
      <c r="M8" s="33">
        <f>L8/K8-1</f>
        <v>2.5547445255474477E-2</v>
      </c>
      <c r="N8" s="4"/>
      <c r="O8" s="33">
        <f>+K8/$K$11</f>
        <v>9.5971978984238177E-2</v>
      </c>
      <c r="P8" s="33">
        <f>+L8/$L$11</f>
        <v>9.9469026548672554E-2</v>
      </c>
      <c r="Q8" s="41" t="s">
        <v>69</v>
      </c>
    </row>
    <row r="9" spans="1:17" x14ac:dyDescent="0.25">
      <c r="A9" s="4" t="s">
        <v>53</v>
      </c>
      <c r="B9" s="31">
        <v>409</v>
      </c>
      <c r="C9" s="31">
        <v>439</v>
      </c>
      <c r="D9" s="33">
        <f>+C9/B9-1</f>
        <v>7.3349633251833746E-2</v>
      </c>
      <c r="E9" s="4"/>
      <c r="F9" s="33">
        <f>+B9/$B$11</f>
        <v>9.6965386439070655E-2</v>
      </c>
      <c r="G9" s="33">
        <f>+C9/$C$11</f>
        <v>0.10278623273238117</v>
      </c>
      <c r="H9" s="42" t="s">
        <v>65</v>
      </c>
      <c r="I9" s="4"/>
      <c r="J9" s="4" t="s">
        <v>54</v>
      </c>
      <c r="K9" s="40">
        <v>25.6</v>
      </c>
      <c r="L9" s="40">
        <v>26.1</v>
      </c>
      <c r="M9" s="33">
        <f>L9/K9-1</f>
        <v>1.953125E-2</v>
      </c>
      <c r="N9" s="4"/>
      <c r="O9" s="33">
        <f>+K9/$K$11</f>
        <v>8.9667250437828375E-2</v>
      </c>
      <c r="P9" s="33">
        <f>+L9/$L$11</f>
        <v>9.2389380530973439E-2</v>
      </c>
      <c r="Q9" s="41" t="s">
        <v>70</v>
      </c>
    </row>
    <row r="10" spans="1:17" ht="8.25" customHeight="1" x14ac:dyDescent="0.25">
      <c r="A10" s="4"/>
      <c r="B10" s="31"/>
      <c r="C10" s="31"/>
      <c r="D10" s="33"/>
      <c r="E10" s="4"/>
      <c r="F10" s="33"/>
      <c r="G10" s="33"/>
      <c r="H10" s="36"/>
      <c r="I10" s="4"/>
      <c r="J10" s="4"/>
      <c r="K10" s="39"/>
      <c r="L10" s="39"/>
      <c r="M10" s="33"/>
      <c r="N10" s="4"/>
      <c r="O10" s="33"/>
      <c r="P10" s="33"/>
      <c r="Q10" s="4"/>
    </row>
    <row r="11" spans="1:17" x14ac:dyDescent="0.25">
      <c r="A11" s="29" t="s">
        <v>7</v>
      </c>
      <c r="B11" s="32">
        <f>+SUM(B5:B9)</f>
        <v>4218</v>
      </c>
      <c r="C11" s="32">
        <f>+SUM(C5:C9)</f>
        <v>4271</v>
      </c>
      <c r="D11" s="33">
        <f t="shared" ref="D11" si="0">+C11/B11-1</f>
        <v>1.2565196775722987E-2</v>
      </c>
      <c r="E11" s="30"/>
      <c r="F11" s="33">
        <f t="shared" ref="F11" si="1">+B11/$B$11</f>
        <v>1</v>
      </c>
      <c r="G11" s="33">
        <f t="shared" ref="G11" si="2">+C11/$C$11</f>
        <v>1</v>
      </c>
      <c r="H11" s="37"/>
      <c r="I11" s="4"/>
      <c r="J11" s="38" t="s">
        <v>7</v>
      </c>
      <c r="K11" s="39">
        <f>SUM(K5:K9)</f>
        <v>285.5</v>
      </c>
      <c r="L11" s="39">
        <f>SUM(L5:L9)</f>
        <v>282.50000000000006</v>
      </c>
      <c r="M11" s="33">
        <f t="shared" ref="M11" si="3">L11/K11-1</f>
        <v>-1.0507880910682776E-2</v>
      </c>
      <c r="N11" s="4"/>
      <c r="O11" s="33">
        <f t="shared" ref="O11" si="4">+K11/$K$11</f>
        <v>1</v>
      </c>
      <c r="P11" s="33">
        <f t="shared" ref="P11" si="5">+L11/$L$11</f>
        <v>1</v>
      </c>
      <c r="Q11" s="4"/>
    </row>
    <row r="12" spans="1:17" x14ac:dyDescent="0.25">
      <c r="A12" s="4"/>
      <c r="B12" s="4"/>
      <c r="C12" s="4"/>
      <c r="D12" s="4"/>
      <c r="E12" s="4"/>
      <c r="F12" s="33"/>
      <c r="G12" s="33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</sheetData>
  <sortState xmlns:xlrd2="http://schemas.microsoft.com/office/spreadsheetml/2017/richdata2" ref="J5:Q9">
    <sortCondition descending="1" ref="O5:O9"/>
  </sortState>
  <mergeCells count="4">
    <mergeCell ref="B2:D2"/>
    <mergeCell ref="F2:H2"/>
    <mergeCell ref="K2:M2"/>
    <mergeCell ref="O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G65"/>
  <sheetViews>
    <sheetView workbookViewId="0">
      <selection activeCell="A35" sqref="A35:F63"/>
    </sheetView>
  </sheetViews>
  <sheetFormatPr defaultColWidth="9.109375" defaultRowHeight="13.8" x14ac:dyDescent="0.25"/>
  <cols>
    <col min="1" max="1" width="25.5546875" style="5" bestFit="1" customWidth="1"/>
    <col min="2" max="2" width="22.44140625" style="5" bestFit="1" customWidth="1"/>
    <col min="3" max="3" width="16.6640625" style="5" customWidth="1"/>
    <col min="4" max="4" width="9.109375" style="5"/>
    <col min="5" max="5" width="16.88671875" style="5" customWidth="1"/>
    <col min="6" max="16384" width="9.109375" style="5"/>
  </cols>
  <sheetData>
    <row r="2" spans="1:2" x14ac:dyDescent="0.25">
      <c r="A2" s="43" t="s">
        <v>75</v>
      </c>
      <c r="B2" s="43">
        <v>2012</v>
      </c>
    </row>
    <row r="3" spans="1:2" x14ac:dyDescent="0.25">
      <c r="A3" s="5" t="s">
        <v>76</v>
      </c>
      <c r="B3" s="44">
        <v>0.44</v>
      </c>
    </row>
    <row r="4" spans="1:2" x14ac:dyDescent="0.25">
      <c r="A4" s="5" t="s">
        <v>77</v>
      </c>
      <c r="B4" s="44">
        <v>0.26</v>
      </c>
    </row>
    <row r="5" spans="1:2" x14ac:dyDescent="0.25">
      <c r="A5" s="5" t="s">
        <v>78</v>
      </c>
      <c r="B5" s="44">
        <v>0.08</v>
      </c>
    </row>
    <row r="6" spans="1:2" x14ac:dyDescent="0.25">
      <c r="A6" s="5" t="s">
        <v>79</v>
      </c>
      <c r="B6" s="44">
        <v>0.18</v>
      </c>
    </row>
    <row r="7" spans="1:2" x14ac:dyDescent="0.25">
      <c r="A7" s="5" t="s">
        <v>80</v>
      </c>
      <c r="B7" s="44">
        <v>0.04</v>
      </c>
    </row>
    <row r="27" spans="1:7" x14ac:dyDescent="0.25">
      <c r="A27" s="43" t="s">
        <v>75</v>
      </c>
    </row>
    <row r="28" spans="1:7" ht="41.4" x14ac:dyDescent="0.25">
      <c r="B28" s="46" t="s">
        <v>82</v>
      </c>
      <c r="C28" s="46" t="s">
        <v>83</v>
      </c>
      <c r="D28" s="46" t="s">
        <v>84</v>
      </c>
      <c r="E28" s="46" t="s">
        <v>85</v>
      </c>
      <c r="F28" s="46"/>
      <c r="G28" s="46"/>
    </row>
    <row r="29" spans="1:7" x14ac:dyDescent="0.25">
      <c r="A29" s="45">
        <v>1972</v>
      </c>
      <c r="B29" s="44">
        <v>0.8</v>
      </c>
      <c r="C29" s="44">
        <v>0.11</v>
      </c>
      <c r="D29" s="44">
        <v>0.09</v>
      </c>
      <c r="E29" s="44">
        <v>0</v>
      </c>
    </row>
    <row r="30" spans="1:7" x14ac:dyDescent="0.25">
      <c r="A30" s="45">
        <v>1982</v>
      </c>
      <c r="B30" s="44">
        <v>0.69</v>
      </c>
      <c r="C30" s="44">
        <v>0.19</v>
      </c>
      <c r="D30" s="44">
        <v>0.11</v>
      </c>
      <c r="E30" s="44">
        <v>0</v>
      </c>
    </row>
    <row r="31" spans="1:7" x14ac:dyDescent="0.25">
      <c r="A31" s="45">
        <v>1992</v>
      </c>
      <c r="B31" s="44">
        <v>0.5</v>
      </c>
      <c r="C31" s="44">
        <v>0.34</v>
      </c>
      <c r="D31" s="44">
        <v>0.15</v>
      </c>
      <c r="E31" s="44">
        <v>0</v>
      </c>
    </row>
    <row r="32" spans="1:7" x14ac:dyDescent="0.25">
      <c r="A32" s="45">
        <v>2002</v>
      </c>
      <c r="B32" s="44">
        <v>0.26</v>
      </c>
      <c r="C32" s="44">
        <v>0.54</v>
      </c>
      <c r="D32" s="44">
        <v>0.2</v>
      </c>
      <c r="E32" s="44">
        <v>0</v>
      </c>
    </row>
    <row r="33" spans="1:6" x14ac:dyDescent="0.25">
      <c r="A33" s="45">
        <v>2012</v>
      </c>
      <c r="B33" s="44">
        <v>0.16</v>
      </c>
      <c r="C33" s="44">
        <v>0.47</v>
      </c>
      <c r="D33" s="44">
        <v>0.34</v>
      </c>
      <c r="E33" s="44">
        <v>0.02</v>
      </c>
    </row>
    <row r="34" spans="1:6" x14ac:dyDescent="0.25">
      <c r="A34" s="45" t="s">
        <v>81</v>
      </c>
      <c r="B34" s="44">
        <v>0.1</v>
      </c>
      <c r="C34" s="44">
        <v>0.43</v>
      </c>
      <c r="D34" s="44">
        <v>0.42</v>
      </c>
      <c r="E34" s="44">
        <v>0.05</v>
      </c>
    </row>
    <row r="35" spans="1:6" ht="6.75" customHeight="1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 t="s">
        <v>86</v>
      </c>
      <c r="B59" s="4"/>
      <c r="C59" s="4"/>
      <c r="D59" s="4"/>
      <c r="E59" s="4"/>
      <c r="F59" s="4"/>
    </row>
    <row r="60" spans="1:6" x14ac:dyDescent="0.25">
      <c r="A60" s="4" t="s">
        <v>87</v>
      </c>
      <c r="B60" s="4"/>
      <c r="C60" s="4"/>
      <c r="D60" s="4"/>
      <c r="E60" s="4"/>
      <c r="F60" s="4"/>
    </row>
    <row r="61" spans="1:6" x14ac:dyDescent="0.25">
      <c r="A61" s="4" t="s">
        <v>88</v>
      </c>
      <c r="B61" s="4"/>
      <c r="C61" s="4"/>
      <c r="D61" s="4"/>
      <c r="E61" s="4"/>
      <c r="F61" s="4"/>
    </row>
    <row r="62" spans="1:6" x14ac:dyDescent="0.25">
      <c r="A62" s="4" t="s">
        <v>89</v>
      </c>
      <c r="B62" s="4"/>
      <c r="C62" s="4"/>
      <c r="D62" s="4"/>
      <c r="E62" s="4"/>
      <c r="F62" s="4"/>
    </row>
    <row r="63" spans="1:6" x14ac:dyDescent="0.25">
      <c r="A63" s="4" t="s">
        <v>90</v>
      </c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24:R41"/>
  <sheetViews>
    <sheetView workbookViewId="0">
      <selection activeCell="I29" sqref="I29"/>
    </sheetView>
  </sheetViews>
  <sheetFormatPr defaultColWidth="9.109375" defaultRowHeight="13.8" x14ac:dyDescent="0.25"/>
  <cols>
    <col min="1" max="16384" width="9.109375" style="5"/>
  </cols>
  <sheetData>
    <row r="24" spans="1:1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5">
      <c r="A25" s="4"/>
      <c r="B25" s="4" t="s">
        <v>116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</row>
    <row r="26" spans="1:18" x14ac:dyDescent="0.25">
      <c r="A26" s="4"/>
      <c r="B26" s="5" t="s">
        <v>117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4"/>
      <c r="B27" s="4" t="s">
        <v>74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4"/>
      <c r="B29" s="4" t="s">
        <v>73</v>
      </c>
      <c r="C29" s="4">
        <v>9.3084129916074752E-3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5">
      <c r="A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2:M41"/>
  <sheetViews>
    <sheetView workbookViewId="0">
      <selection activeCell="H33" sqref="H33"/>
    </sheetView>
  </sheetViews>
  <sheetFormatPr defaultRowHeight="14.4" x14ac:dyDescent="0.3"/>
  <cols>
    <col min="1" max="1" width="41.88671875" bestFit="1" customWidth="1"/>
  </cols>
  <sheetData>
    <row r="2" spans="1:13" x14ac:dyDescent="0.3">
      <c r="B2">
        <v>2002</v>
      </c>
      <c r="C2">
        <v>2003</v>
      </c>
      <c r="D2">
        <v>2004</v>
      </c>
      <c r="E2">
        <v>2005</v>
      </c>
      <c r="F2">
        <v>2006</v>
      </c>
      <c r="G2">
        <v>2007</v>
      </c>
      <c r="H2">
        <v>2008</v>
      </c>
      <c r="I2">
        <v>2009</v>
      </c>
      <c r="J2">
        <v>2010</v>
      </c>
      <c r="K2">
        <v>2011</v>
      </c>
      <c r="L2">
        <v>2012</v>
      </c>
      <c r="M2" t="s">
        <v>118</v>
      </c>
    </row>
    <row r="3" spans="1:13" x14ac:dyDescent="0.3">
      <c r="A3" t="s">
        <v>119</v>
      </c>
      <c r="B3">
        <v>3.5</v>
      </c>
      <c r="C3">
        <v>3.6</v>
      </c>
      <c r="D3">
        <v>3.7</v>
      </c>
      <c r="E3">
        <v>3.7</v>
      </c>
      <c r="F3">
        <v>3.9</v>
      </c>
      <c r="G3">
        <v>4</v>
      </c>
      <c r="H3">
        <v>4.0999999999999996</v>
      </c>
      <c r="I3">
        <v>4.2</v>
      </c>
      <c r="J3">
        <v>4.2</v>
      </c>
      <c r="K3">
        <v>4.2</v>
      </c>
      <c r="L3">
        <v>4.3</v>
      </c>
      <c r="M3">
        <v>4.4000000000000004</v>
      </c>
    </row>
    <row r="4" spans="1:13" x14ac:dyDescent="0.3">
      <c r="A4" t="s">
        <v>120</v>
      </c>
      <c r="B4" s="28">
        <v>4.7E-2</v>
      </c>
      <c r="C4" s="28">
        <v>1.0999999999999999E-2</v>
      </c>
      <c r="D4" s="28">
        <v>0.03</v>
      </c>
      <c r="E4" s="28">
        <v>6.0000000000000001E-3</v>
      </c>
      <c r="F4" s="28">
        <v>4.2999999999999997E-2</v>
      </c>
      <c r="G4" s="28">
        <v>4.1000000000000002E-2</v>
      </c>
      <c r="H4" s="28">
        <v>0.01</v>
      </c>
      <c r="I4" s="28">
        <v>1.7999999999999999E-2</v>
      </c>
      <c r="J4" s="28">
        <v>1.0999999999999999E-2</v>
      </c>
      <c r="K4" s="28">
        <v>3.0000000000000001E-3</v>
      </c>
      <c r="L4" s="28">
        <v>1.2E-2</v>
      </c>
      <c r="M4" s="28">
        <v>1.9E-2</v>
      </c>
    </row>
    <row r="30" spans="2:2" x14ac:dyDescent="0.3">
      <c r="B30" t="s">
        <v>121</v>
      </c>
    </row>
    <row r="31" spans="2:2" x14ac:dyDescent="0.3">
      <c r="B31" t="s">
        <v>122</v>
      </c>
    </row>
    <row r="41" spans="3:3" x14ac:dyDescent="0.3">
      <c r="C41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Independent Pharmacies</vt:lpstr>
      <vt:lpstr>Pharmacy sales by dispensary</vt:lpstr>
      <vt:lpstr>Pharmacy Market Share by Sales</vt:lpstr>
      <vt:lpstr>Drivers of Growth</vt:lpstr>
      <vt:lpstr> Change-in Rx by Format 08-12</vt:lpstr>
      <vt:lpstr>Market share by format</vt:lpstr>
      <vt:lpstr>Source of Rx pmt 2012</vt:lpstr>
      <vt:lpstr>Corr retail and drug sales</vt:lpstr>
      <vt:lpstr>3 format Rx sales</vt:lpstr>
      <vt:lpstr>Forecasted Drug expenditures</vt:lpstr>
      <vt:lpstr>Regional drugstores - acq tgts</vt:lpstr>
      <vt:lpstr>Traditional vs Specialty Costs</vt:lpstr>
      <vt:lpstr>Specialty Drug Spend</vt:lpstr>
      <vt:lpstr>spec pharm rx vs cost</vt:lpstr>
      <vt:lpstr>Pharmacy Specialty</vt:lpstr>
      <vt:lpstr>Drug Approvals Share</vt:lpstr>
      <vt:lpstr>Rx Demographics</vt:lpstr>
      <vt:lpstr>Med and Pharmacy benefit</vt:lpstr>
      <vt:lpstr>Independent pharmacy</vt:lpstr>
      <vt:lpstr>Equivalent Mail Prescr</vt:lpstr>
      <vt:lpstr>Generic copay adv for mail</vt:lpstr>
      <vt:lpstr>Retail Clinics</vt:lpstr>
      <vt:lpstr>2013 vs 2012 drug trend</vt:lpstr>
      <vt:lpstr>2013 Top Generics</vt:lpstr>
      <vt:lpstr>Projected GDR</vt:lpstr>
      <vt:lpstr>PBM mkt share</vt:lpstr>
      <vt:lpstr>PBM Comp</vt:lpstr>
      <vt:lpstr>Page Labels</vt:lpstr>
      <vt:lpstr>Fast Spec Rx</vt:lpstr>
      <vt:lpstr>Rebates by Employer</vt:lpstr>
      <vt:lpstr>Same Store Rx</vt:lpstr>
      <vt:lpstr>Reimbursement benchmarks</vt:lpstr>
      <vt:lpstr>AWP billed to employers</vt:lpstr>
      <vt:lpstr>Pharmacy Gross Margin &amp; Sales</vt:lpstr>
      <vt:lpstr>Pharmacy GP per Rx</vt:lpstr>
      <vt:lpstr>Pharmacy Gross Margins 2012</vt:lpstr>
      <vt:lpstr>Generic Inflation</vt:lpstr>
    </vt:vector>
  </TitlesOfParts>
  <Company>Sterne Agee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gbolan</dc:creator>
  <cp:lastModifiedBy>GREG BOLAN</cp:lastModifiedBy>
  <dcterms:created xsi:type="dcterms:W3CDTF">2014-07-09T20:12:35Z</dcterms:created>
  <dcterms:modified xsi:type="dcterms:W3CDTF">2020-11-24T17:26:38Z</dcterms:modified>
</cp:coreProperties>
</file>