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xr:revisionPtr revIDLastSave="2268" documentId="11_0B1D56BE9CDCCE836B02CE7A5FB0D4A9BBFD1C62" xr6:coauthVersionLast="47" xr6:coauthVersionMax="47" xr10:uidLastSave="{43FB6D7F-DBE3-4BDE-95C8-1B684F209BA6}"/>
  <bookViews>
    <workbookView xWindow="240" yWindow="105" windowWidth="14805" windowHeight="8010" xr2:uid="{00000000-000D-0000-FFFF-FFFF00000000}"/>
  </bookViews>
  <sheets>
    <sheet name="Params" sheetId="9" r:id="rId1"/>
    <sheet name="Calcs" sheetId="11" r:id="rId2"/>
    <sheet name="Table" sheetId="3" r:id="rId3"/>
    <sheet name="To Live - Monthly Cost" sheetId="12" r:id="rId4"/>
    <sheet name="To Live - Net" sheetId="8" r:id="rId5"/>
    <sheet name="Investment - Net" sheetId="10" r:id="rId6"/>
    <sheet name="Investment - Rental Breakout" sheetId="14" r:id="rId7"/>
    <sheet name="Notes" sheetId="7" r:id="rId8"/>
    <sheet name="To Add" sheetId="13"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 i="3" l="1"/>
  <c r="BE4" i="3" s="1"/>
  <c r="AJ5" i="3"/>
  <c r="BE5" i="3" s="1"/>
  <c r="AJ6" i="3"/>
  <c r="BE6" i="3" s="1"/>
  <c r="AJ7" i="3"/>
  <c r="BE7" i="3" s="1"/>
  <c r="AJ8" i="3"/>
  <c r="BE8" i="3" s="1"/>
  <c r="AJ9" i="3"/>
  <c r="BE9" i="3" s="1"/>
  <c r="AJ10" i="3"/>
  <c r="BE10" i="3" s="1"/>
  <c r="AJ11" i="3"/>
  <c r="BE11" i="3" s="1"/>
  <c r="AJ12" i="3"/>
  <c r="BE12" i="3" s="1"/>
  <c r="AJ13" i="3"/>
  <c r="BE13" i="3" s="1"/>
  <c r="AJ14" i="3"/>
  <c r="BE14" i="3" s="1"/>
  <c r="AJ15" i="3"/>
  <c r="BE15" i="3" s="1"/>
  <c r="AJ16" i="3"/>
  <c r="BE16" i="3" s="1"/>
  <c r="AJ17" i="3"/>
  <c r="BE17" i="3" s="1"/>
  <c r="AJ18" i="3"/>
  <c r="BE18" i="3" s="1"/>
  <c r="AJ19" i="3"/>
  <c r="BE19" i="3" s="1"/>
  <c r="AJ20" i="3"/>
  <c r="BE20" i="3" s="1"/>
  <c r="AJ21" i="3"/>
  <c r="BE21" i="3" s="1"/>
  <c r="AJ22" i="3"/>
  <c r="BE22" i="3" s="1"/>
  <c r="AJ23" i="3"/>
  <c r="BE23" i="3" s="1"/>
  <c r="AJ24" i="3"/>
  <c r="BE24" i="3" s="1"/>
  <c r="AJ25" i="3"/>
  <c r="BE25" i="3" s="1"/>
  <c r="AJ26" i="3"/>
  <c r="BE26" i="3" s="1"/>
  <c r="AJ27" i="3"/>
  <c r="BE27" i="3" s="1"/>
  <c r="AJ28" i="3"/>
  <c r="BE28" i="3" s="1"/>
  <c r="AJ29" i="3"/>
  <c r="BE29" i="3" s="1"/>
  <c r="AJ30" i="3"/>
  <c r="BE30" i="3" s="1"/>
  <c r="AJ31" i="3"/>
  <c r="BE31" i="3" s="1"/>
  <c r="AJ32" i="3"/>
  <c r="BE32" i="3" s="1"/>
  <c r="AJ33" i="3"/>
  <c r="BE33" i="3" s="1"/>
  <c r="AJ34" i="3"/>
  <c r="BE34" i="3" s="1"/>
  <c r="AJ35" i="3"/>
  <c r="BE35" i="3" s="1"/>
  <c r="AJ36" i="3"/>
  <c r="BE36" i="3" s="1"/>
  <c r="AJ37" i="3"/>
  <c r="BE37" i="3" s="1"/>
  <c r="AJ38" i="3"/>
  <c r="BE38" i="3" s="1"/>
  <c r="AJ39" i="3"/>
  <c r="BE39" i="3" s="1"/>
  <c r="AJ40" i="3"/>
  <c r="BE40" i="3" s="1"/>
  <c r="AJ41" i="3"/>
  <c r="BE41" i="3" s="1"/>
  <c r="AJ42" i="3"/>
  <c r="BE42" i="3" s="1"/>
  <c r="AJ43" i="3"/>
  <c r="BE43" i="3" s="1"/>
  <c r="AJ3" i="3"/>
  <c r="BE3" i="3" s="1"/>
  <c r="AO3" i="3"/>
  <c r="BK3" i="3" s="1"/>
  <c r="B5" i="11"/>
  <c r="AK4" i="3"/>
  <c r="AL4" i="3" s="1"/>
  <c r="B2" i="11"/>
  <c r="AK5" i="3"/>
  <c r="F3" i="3"/>
  <c r="AR3" i="3" s="1"/>
  <c r="AM3" i="3"/>
  <c r="BJ3" i="3" s="1"/>
  <c r="B3" i="11"/>
  <c r="M3" i="3" s="1"/>
  <c r="AF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3" i="3"/>
  <c r="AG3" i="3"/>
  <c r="V3" i="3"/>
  <c r="W3" i="3"/>
  <c r="X3" i="3" s="1"/>
  <c r="Z3" i="3" s="1"/>
  <c r="R34" i="3"/>
  <c r="R35" i="3"/>
  <c r="R36" i="3"/>
  <c r="R37" i="3"/>
  <c r="R38" i="3"/>
  <c r="R39" i="3"/>
  <c r="R40" i="3"/>
  <c r="R41" i="3"/>
  <c r="R42" i="3"/>
  <c r="R43" i="3"/>
  <c r="P3" i="3"/>
  <c r="R3" i="3"/>
  <c r="S3" i="3" s="1"/>
  <c r="BI3" i="3" s="1"/>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4" i="3"/>
  <c r="P4" i="3" s="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N3" i="3"/>
  <c r="BH3" i="3" s="1"/>
  <c r="L3" i="3"/>
  <c r="BG3" i="3" s="1"/>
  <c r="B4" i="3"/>
  <c r="AF4" i="3" s="1"/>
  <c r="I3" i="3"/>
  <c r="AV3" i="3" s="1"/>
  <c r="BL3" i="3" s="1"/>
  <c r="C3" i="3"/>
  <c r="AY3" i="3" l="1"/>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 i="3"/>
  <c r="AO4" i="3" s="1"/>
  <c r="BK4" i="3" s="1"/>
  <c r="AO5" i="3"/>
  <c r="AK6" i="3"/>
  <c r="AL5" i="3"/>
  <c r="AM4" i="3"/>
  <c r="BJ4" i="3" s="1"/>
  <c r="B4" i="11"/>
  <c r="P5" i="3"/>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P34" i="3" s="1"/>
  <c r="J3" i="3"/>
  <c r="BF3" i="3" s="1"/>
  <c r="M4" i="3"/>
  <c r="K4" i="3"/>
  <c r="R4" i="3"/>
  <c r="S4" i="3" s="1"/>
  <c r="BI4" i="3" s="1"/>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S5" i="3" s="1"/>
  <c r="BI5" i="3" s="1"/>
  <c r="I4" i="3"/>
  <c r="AV4" i="3" s="1"/>
  <c r="BL4" i="3" s="1"/>
  <c r="B5" i="3"/>
  <c r="AF5" i="3" s="1"/>
  <c r="C4" i="3"/>
  <c r="AO6" i="3" l="1"/>
  <c r="BK5" i="3"/>
  <c r="AY4" i="3"/>
  <c r="T3" i="3"/>
  <c r="AW3" i="3"/>
  <c r="AX3" i="3" s="1"/>
  <c r="AM5" i="3"/>
  <c r="BJ5" i="3" s="1"/>
  <c r="AK7" i="3"/>
  <c r="AL6" i="3"/>
  <c r="AM6" i="3" s="1"/>
  <c r="BJ6" i="3" s="1"/>
  <c r="D3" i="3"/>
  <c r="D4" i="3" s="1"/>
  <c r="E4" i="3" s="1"/>
  <c r="F4" i="3" s="1"/>
  <c r="AR4" i="3" s="1"/>
  <c r="AS4" i="3" s="1"/>
  <c r="AS3" i="3"/>
  <c r="AA3" i="3"/>
  <c r="V4" i="3"/>
  <c r="W4" i="3" s="1"/>
  <c r="AG4" i="3"/>
  <c r="AH4" i="3" s="1"/>
  <c r="Y4" i="3"/>
  <c r="X4" i="3"/>
  <c r="P35" i="3"/>
  <c r="M5" i="3"/>
  <c r="K5" i="3"/>
  <c r="S6" i="3"/>
  <c r="BI6" i="3" s="1"/>
  <c r="S7" i="3"/>
  <c r="BI7" i="3" s="1"/>
  <c r="S8" i="3"/>
  <c r="BI8" i="3" s="1"/>
  <c r="S9" i="3"/>
  <c r="BI9" i="3" s="1"/>
  <c r="S10" i="3"/>
  <c r="BI10" i="3" s="1"/>
  <c r="S11" i="3"/>
  <c r="BI11" i="3" s="1"/>
  <c r="S12" i="3"/>
  <c r="BI12" i="3" s="1"/>
  <c r="S13" i="3"/>
  <c r="BI13" i="3" s="1"/>
  <c r="S14" i="3"/>
  <c r="BI14" i="3" s="1"/>
  <c r="S15" i="3"/>
  <c r="BI15" i="3" s="1"/>
  <c r="S16" i="3"/>
  <c r="BI16" i="3" s="1"/>
  <c r="S17" i="3"/>
  <c r="BI17" i="3" s="1"/>
  <c r="S18" i="3"/>
  <c r="BI18" i="3" s="1"/>
  <c r="S19" i="3"/>
  <c r="BI19" i="3" s="1"/>
  <c r="S20" i="3"/>
  <c r="BI20" i="3" s="1"/>
  <c r="S21" i="3"/>
  <c r="BI21" i="3" s="1"/>
  <c r="S22" i="3"/>
  <c r="BI22" i="3" s="1"/>
  <c r="S23" i="3"/>
  <c r="BI23" i="3" s="1"/>
  <c r="S24" i="3"/>
  <c r="BI24" i="3" s="1"/>
  <c r="S25" i="3"/>
  <c r="BI25" i="3" s="1"/>
  <c r="S26" i="3"/>
  <c r="BI26" i="3" s="1"/>
  <c r="S27" i="3"/>
  <c r="BI27" i="3" s="1"/>
  <c r="S28" i="3"/>
  <c r="BI28" i="3" s="1"/>
  <c r="S29" i="3"/>
  <c r="BI29" i="3" s="1"/>
  <c r="S30" i="3"/>
  <c r="BI30" i="3" s="1"/>
  <c r="S31" i="3"/>
  <c r="BI31" i="3" s="1"/>
  <c r="S32" i="3"/>
  <c r="BI32" i="3" s="1"/>
  <c r="S33" i="3"/>
  <c r="J4" i="3"/>
  <c r="N4" i="3"/>
  <c r="BH4" i="3" s="1"/>
  <c r="L4" i="3"/>
  <c r="BG4" i="3" s="1"/>
  <c r="G3" i="3"/>
  <c r="H3" i="3" s="1"/>
  <c r="B6" i="3"/>
  <c r="AF6" i="3" s="1"/>
  <c r="C5" i="3"/>
  <c r="I5" i="3"/>
  <c r="AV5" i="3" s="1"/>
  <c r="BL5" i="3" s="1"/>
  <c r="D5" i="3"/>
  <c r="E5" i="3" s="1"/>
  <c r="F5" i="3" s="1"/>
  <c r="AR5" i="3" s="1"/>
  <c r="AS5" i="3" s="1"/>
  <c r="G4" i="3"/>
  <c r="H4" i="3" s="1"/>
  <c r="AB3" i="3" l="1"/>
  <c r="AD3" i="3"/>
  <c r="AO7" i="3"/>
  <c r="BK6" i="3"/>
  <c r="S34" i="3"/>
  <c r="BI34" i="3" s="1"/>
  <c r="BI33" i="3"/>
  <c r="AW4" i="3"/>
  <c r="AX4" i="3" s="1"/>
  <c r="BF4" i="3"/>
  <c r="AY5" i="3"/>
  <c r="AC3" i="3"/>
  <c r="AP3" i="3"/>
  <c r="AQ3" i="3" s="1"/>
  <c r="U3" i="3"/>
  <c r="AT3" i="3"/>
  <c r="AZ3" i="3"/>
  <c r="BA3" i="3" s="1"/>
  <c r="BB3" i="3" s="1"/>
  <c r="AK8" i="3"/>
  <c r="AL7" i="3"/>
  <c r="AM7" i="3" s="1"/>
  <c r="BJ7" i="3" s="1"/>
  <c r="V5" i="3"/>
  <c r="W5" i="3" s="1"/>
  <c r="Y5" i="3" s="1"/>
  <c r="AG5" i="3"/>
  <c r="AH5" i="3" s="1"/>
  <c r="X5" i="3"/>
  <c r="Z4" i="3"/>
  <c r="S35" i="3"/>
  <c r="BI35" i="3" s="1"/>
  <c r="P36" i="3"/>
  <c r="M6" i="3"/>
  <c r="K6" i="3"/>
  <c r="T4" i="3"/>
  <c r="J5" i="3"/>
  <c r="N5" i="3"/>
  <c r="BH5" i="3" s="1"/>
  <c r="L5" i="3"/>
  <c r="BG5" i="3" s="1"/>
  <c r="D6" i="3"/>
  <c r="E6" i="3" s="1"/>
  <c r="F6" i="3" s="1"/>
  <c r="AR6" i="3" s="1"/>
  <c r="AS6" i="3" s="1"/>
  <c r="G5" i="3"/>
  <c r="H5" i="3" s="1"/>
  <c r="I6" i="3"/>
  <c r="AV6" i="3" s="1"/>
  <c r="BL6" i="3" s="1"/>
  <c r="B7" i="3"/>
  <c r="AF7" i="3" s="1"/>
  <c r="C6" i="3"/>
  <c r="AO8" i="3" l="1"/>
  <c r="BK7" i="3"/>
  <c r="AW5" i="3"/>
  <c r="AX5" i="3" s="1"/>
  <c r="BF5" i="3"/>
  <c r="AY6" i="3"/>
  <c r="AP4" i="3"/>
  <c r="AQ4" i="3" s="1"/>
  <c r="U4" i="3"/>
  <c r="AK9" i="3"/>
  <c r="AL8" i="3"/>
  <c r="AM8" i="3" s="1"/>
  <c r="BJ8" i="3" s="1"/>
  <c r="AA4" i="3"/>
  <c r="V6" i="3"/>
  <c r="W6" i="3" s="1"/>
  <c r="Y6" i="3" s="1"/>
  <c r="AG6" i="3"/>
  <c r="AH6" i="3" s="1"/>
  <c r="X6" i="3"/>
  <c r="Z5" i="3"/>
  <c r="P37" i="3"/>
  <c r="S36" i="3"/>
  <c r="BI36" i="3" s="1"/>
  <c r="M7" i="3"/>
  <c r="K7" i="3"/>
  <c r="T5" i="3"/>
  <c r="J6" i="3"/>
  <c r="N6" i="3"/>
  <c r="BH6" i="3" s="1"/>
  <c r="L6" i="3"/>
  <c r="BG6" i="3" s="1"/>
  <c r="B8" i="3"/>
  <c r="AF8" i="3" s="1"/>
  <c r="C7" i="3"/>
  <c r="I7" i="3"/>
  <c r="AV7" i="3" s="1"/>
  <c r="BL7" i="3" s="1"/>
  <c r="D7" i="3"/>
  <c r="E7" i="3" s="1"/>
  <c r="F7" i="3" s="1"/>
  <c r="AR7" i="3" s="1"/>
  <c r="AS7" i="3" s="1"/>
  <c r="G6" i="3"/>
  <c r="H6" i="3" s="1"/>
  <c r="AB4" i="3" l="1"/>
  <c r="AC4" i="3" s="1"/>
  <c r="AD4" i="3"/>
  <c r="AO9" i="3"/>
  <c r="BK8" i="3"/>
  <c r="AW6" i="3"/>
  <c r="AX6" i="3" s="1"/>
  <c r="BF6" i="3"/>
  <c r="AY7" i="3"/>
  <c r="AP5" i="3"/>
  <c r="U5" i="3"/>
  <c r="AZ4" i="3"/>
  <c r="BA4" i="3" s="1"/>
  <c r="BB4" i="3" s="1"/>
  <c r="AK10" i="3"/>
  <c r="AL9" i="3"/>
  <c r="AM9" i="3" s="1"/>
  <c r="BJ9" i="3" s="1"/>
  <c r="AT4" i="3"/>
  <c r="AA5" i="3"/>
  <c r="V7" i="3"/>
  <c r="W7" i="3" s="1"/>
  <c r="Y7" i="3" s="1"/>
  <c r="AG7" i="3"/>
  <c r="AH7" i="3" s="1"/>
  <c r="X7" i="3"/>
  <c r="Z6" i="3"/>
  <c r="S37" i="3"/>
  <c r="BI37" i="3" s="1"/>
  <c r="P38" i="3"/>
  <c r="M8" i="3"/>
  <c r="K8" i="3"/>
  <c r="T6" i="3"/>
  <c r="J7" i="3"/>
  <c r="N7" i="3"/>
  <c r="BH7" i="3" s="1"/>
  <c r="L7" i="3"/>
  <c r="BG7" i="3" s="1"/>
  <c r="D8" i="3"/>
  <c r="E8" i="3" s="1"/>
  <c r="F8" i="3" s="1"/>
  <c r="AR8" i="3" s="1"/>
  <c r="AS8" i="3" s="1"/>
  <c r="G7" i="3"/>
  <c r="H7" i="3" s="1"/>
  <c r="I8" i="3"/>
  <c r="AV8" i="3" s="1"/>
  <c r="BL8" i="3" s="1"/>
  <c r="B9" i="3"/>
  <c r="AF9" i="3" s="1"/>
  <c r="C8" i="3"/>
  <c r="AB5" i="3" l="1"/>
  <c r="AC5" i="3" s="1"/>
  <c r="AD5" i="3"/>
  <c r="AO10" i="3"/>
  <c r="BK9" i="3"/>
  <c r="AW7" i="3"/>
  <c r="AX7" i="3" s="1"/>
  <c r="BF7" i="3"/>
  <c r="AY8" i="3"/>
  <c r="AP6" i="3"/>
  <c r="U6" i="3"/>
  <c r="AQ5" i="3"/>
  <c r="AZ5" i="3"/>
  <c r="BA5" i="3" s="1"/>
  <c r="BB5" i="3" s="1"/>
  <c r="AK11" i="3"/>
  <c r="AL10" i="3"/>
  <c r="AM10" i="3" s="1"/>
  <c r="BJ10" i="3" s="1"/>
  <c r="AT5" i="3"/>
  <c r="AA6" i="3"/>
  <c r="V8" i="3"/>
  <c r="W8" i="3" s="1"/>
  <c r="Y8" i="3" s="1"/>
  <c r="AG8" i="3"/>
  <c r="AH8" i="3" s="1"/>
  <c r="X8" i="3"/>
  <c r="Z7" i="3"/>
  <c r="P39" i="3"/>
  <c r="S38" i="3"/>
  <c r="BI38" i="3" s="1"/>
  <c r="M9" i="3"/>
  <c r="K9" i="3"/>
  <c r="T7" i="3"/>
  <c r="J8" i="3"/>
  <c r="N8" i="3"/>
  <c r="BH8" i="3" s="1"/>
  <c r="L8" i="3"/>
  <c r="BG8" i="3" s="1"/>
  <c r="B10" i="3"/>
  <c r="AF10" i="3" s="1"/>
  <c r="C9" i="3"/>
  <c r="I9" i="3"/>
  <c r="AV9" i="3" s="1"/>
  <c r="BL9" i="3" s="1"/>
  <c r="D9" i="3"/>
  <c r="E9" i="3" s="1"/>
  <c r="F9" i="3" s="1"/>
  <c r="AR9" i="3" s="1"/>
  <c r="AS9" i="3" s="1"/>
  <c r="G8" i="3"/>
  <c r="H8" i="3" s="1"/>
  <c r="AB6" i="3" l="1"/>
  <c r="AC6" i="3" s="1"/>
  <c r="AD6" i="3"/>
  <c r="AO11" i="3"/>
  <c r="BK10" i="3"/>
  <c r="AW8" i="3"/>
  <c r="AX8" i="3" s="1"/>
  <c r="BF8" i="3"/>
  <c r="AY9" i="3"/>
  <c r="AP7" i="3"/>
  <c r="U7" i="3"/>
  <c r="AQ6" i="3"/>
  <c r="AZ6" i="3"/>
  <c r="BA6" i="3" s="1"/>
  <c r="BB6" i="3" s="1"/>
  <c r="AK12" i="3"/>
  <c r="AL11" i="3"/>
  <c r="AM11" i="3" s="1"/>
  <c r="BJ11" i="3" s="1"/>
  <c r="AT6" i="3"/>
  <c r="AA7" i="3"/>
  <c r="V9" i="3"/>
  <c r="W9" i="3" s="1"/>
  <c r="Y9" i="3" s="1"/>
  <c r="AG9" i="3"/>
  <c r="AH9" i="3" s="1"/>
  <c r="X9" i="3"/>
  <c r="Z8" i="3"/>
  <c r="S39" i="3"/>
  <c r="BI39" i="3" s="1"/>
  <c r="P40" i="3"/>
  <c r="M10" i="3"/>
  <c r="K10" i="3"/>
  <c r="T8" i="3"/>
  <c r="J9" i="3"/>
  <c r="N9" i="3"/>
  <c r="BH9" i="3" s="1"/>
  <c r="L9" i="3"/>
  <c r="BG9" i="3" s="1"/>
  <c r="D10" i="3"/>
  <c r="E10" i="3" s="1"/>
  <c r="F10" i="3" s="1"/>
  <c r="AR10" i="3" s="1"/>
  <c r="AS10" i="3" s="1"/>
  <c r="G9" i="3"/>
  <c r="H9" i="3" s="1"/>
  <c r="I10" i="3"/>
  <c r="AV10" i="3" s="1"/>
  <c r="BL10" i="3" s="1"/>
  <c r="B11" i="3"/>
  <c r="AF11" i="3" s="1"/>
  <c r="C10" i="3"/>
  <c r="AB7" i="3" l="1"/>
  <c r="AC7" i="3" s="1"/>
  <c r="AD7" i="3"/>
  <c r="AO12" i="3"/>
  <c r="BK11" i="3"/>
  <c r="AW9" i="3"/>
  <c r="AX9" i="3" s="1"/>
  <c r="BF9" i="3"/>
  <c r="AY10" i="3"/>
  <c r="AP8" i="3"/>
  <c r="U8" i="3"/>
  <c r="AQ7" i="3"/>
  <c r="AZ7" i="3"/>
  <c r="BA7" i="3" s="1"/>
  <c r="BB7" i="3" s="1"/>
  <c r="AK13" i="3"/>
  <c r="AL12" i="3"/>
  <c r="AM12" i="3" s="1"/>
  <c r="BJ12" i="3" s="1"/>
  <c r="AT7" i="3"/>
  <c r="AA8" i="3"/>
  <c r="V10" i="3"/>
  <c r="W10" i="3" s="1"/>
  <c r="Y10" i="3" s="1"/>
  <c r="AG10" i="3"/>
  <c r="AH10" i="3" s="1"/>
  <c r="X10" i="3"/>
  <c r="Z9" i="3"/>
  <c r="P41" i="3"/>
  <c r="S40" i="3"/>
  <c r="BI40" i="3" s="1"/>
  <c r="M11" i="3"/>
  <c r="K11" i="3"/>
  <c r="T9" i="3"/>
  <c r="J10" i="3"/>
  <c r="N10" i="3"/>
  <c r="BH10" i="3" s="1"/>
  <c r="L10" i="3"/>
  <c r="BG10" i="3" s="1"/>
  <c r="B12" i="3"/>
  <c r="AF12" i="3" s="1"/>
  <c r="C11" i="3"/>
  <c r="I11" i="3"/>
  <c r="AV11" i="3" s="1"/>
  <c r="BL11" i="3" s="1"/>
  <c r="D11" i="3"/>
  <c r="E11" i="3" s="1"/>
  <c r="F11" i="3" s="1"/>
  <c r="AR11" i="3" s="1"/>
  <c r="AS11" i="3" s="1"/>
  <c r="G10" i="3"/>
  <c r="H10" i="3" s="1"/>
  <c r="AB8" i="3" l="1"/>
  <c r="AC8" i="3" s="1"/>
  <c r="AD8" i="3"/>
  <c r="AO13" i="3"/>
  <c r="BK12" i="3"/>
  <c r="AW10" i="3"/>
  <c r="AX10" i="3" s="1"/>
  <c r="BF10" i="3"/>
  <c r="AY11" i="3"/>
  <c r="AP9" i="3"/>
  <c r="U9" i="3"/>
  <c r="AQ8" i="3"/>
  <c r="AZ8" i="3"/>
  <c r="BA8" i="3" s="1"/>
  <c r="BB8" i="3" s="1"/>
  <c r="AK14" i="3"/>
  <c r="AL13" i="3"/>
  <c r="AM13" i="3" s="1"/>
  <c r="BJ13" i="3" s="1"/>
  <c r="AT8" i="3"/>
  <c r="AA9" i="3"/>
  <c r="V11" i="3"/>
  <c r="W11" i="3" s="1"/>
  <c r="Y11" i="3" s="1"/>
  <c r="AG11" i="3"/>
  <c r="AH11" i="3" s="1"/>
  <c r="X11" i="3"/>
  <c r="Z10" i="3"/>
  <c r="S41" i="3"/>
  <c r="BI41" i="3" s="1"/>
  <c r="P42" i="3"/>
  <c r="M12" i="3"/>
  <c r="K12" i="3"/>
  <c r="T10" i="3"/>
  <c r="J11" i="3"/>
  <c r="N11" i="3"/>
  <c r="BH11" i="3" s="1"/>
  <c r="L11" i="3"/>
  <c r="BG11" i="3" s="1"/>
  <c r="D12" i="3"/>
  <c r="E12" i="3" s="1"/>
  <c r="F12" i="3" s="1"/>
  <c r="AR12" i="3" s="1"/>
  <c r="AS12" i="3" s="1"/>
  <c r="G11" i="3"/>
  <c r="H11" i="3" s="1"/>
  <c r="I12" i="3"/>
  <c r="AV12" i="3" s="1"/>
  <c r="BL12" i="3" s="1"/>
  <c r="B13" i="3"/>
  <c r="AF13" i="3" s="1"/>
  <c r="C12" i="3"/>
  <c r="AB9" i="3" l="1"/>
  <c r="AC9" i="3" s="1"/>
  <c r="AD9" i="3"/>
  <c r="AO14" i="3"/>
  <c r="BK13" i="3"/>
  <c r="AW11" i="3"/>
  <c r="AX11" i="3" s="1"/>
  <c r="BF11" i="3"/>
  <c r="AY12" i="3"/>
  <c r="AP10" i="3"/>
  <c r="U10" i="3"/>
  <c r="AQ9" i="3"/>
  <c r="AZ9" i="3"/>
  <c r="BA9" i="3" s="1"/>
  <c r="BB9" i="3" s="1"/>
  <c r="AK15" i="3"/>
  <c r="AL14" i="3"/>
  <c r="AM14" i="3" s="1"/>
  <c r="BJ14" i="3" s="1"/>
  <c r="AT9" i="3"/>
  <c r="AA10" i="3"/>
  <c r="V12" i="3"/>
  <c r="W12" i="3" s="1"/>
  <c r="Y12" i="3" s="1"/>
  <c r="AG12" i="3"/>
  <c r="AH12" i="3" s="1"/>
  <c r="X12" i="3"/>
  <c r="Z11" i="3"/>
  <c r="P43" i="3"/>
  <c r="S42" i="3"/>
  <c r="BI42" i="3" s="1"/>
  <c r="M13" i="3"/>
  <c r="K13" i="3"/>
  <c r="T11" i="3"/>
  <c r="J12" i="3"/>
  <c r="N12" i="3"/>
  <c r="BH12" i="3" s="1"/>
  <c r="L12" i="3"/>
  <c r="BG12" i="3" s="1"/>
  <c r="B14" i="3"/>
  <c r="AF14" i="3" s="1"/>
  <c r="C13" i="3"/>
  <c r="I13" i="3"/>
  <c r="AV13" i="3" s="1"/>
  <c r="BL13" i="3" s="1"/>
  <c r="D13" i="3"/>
  <c r="E13" i="3" s="1"/>
  <c r="F13" i="3" s="1"/>
  <c r="AR13" i="3" s="1"/>
  <c r="AS13" i="3" s="1"/>
  <c r="G12" i="3"/>
  <c r="H12" i="3" s="1"/>
  <c r="AB10" i="3" l="1"/>
  <c r="AC10" i="3" s="1"/>
  <c r="AD10" i="3"/>
  <c r="AO15" i="3"/>
  <c r="BK14" i="3"/>
  <c r="AW12" i="3"/>
  <c r="AX12" i="3" s="1"/>
  <c r="BF12" i="3"/>
  <c r="AY13" i="3"/>
  <c r="AP11" i="3"/>
  <c r="U11" i="3"/>
  <c r="AQ10" i="3"/>
  <c r="AZ10" i="3"/>
  <c r="BA10" i="3" s="1"/>
  <c r="BB10" i="3" s="1"/>
  <c r="AK16" i="3"/>
  <c r="AL15" i="3"/>
  <c r="AM15" i="3" s="1"/>
  <c r="BJ15" i="3" s="1"/>
  <c r="AT10" i="3"/>
  <c r="AA11" i="3"/>
  <c r="V13" i="3"/>
  <c r="W13" i="3" s="1"/>
  <c r="Y13" i="3" s="1"/>
  <c r="AG13" i="3"/>
  <c r="AH13" i="3" s="1"/>
  <c r="X13" i="3"/>
  <c r="Z12" i="3"/>
  <c r="S43" i="3"/>
  <c r="BI43" i="3" s="1"/>
  <c r="M14" i="3"/>
  <c r="K14" i="3"/>
  <c r="T12" i="3"/>
  <c r="J13" i="3"/>
  <c r="N13" i="3"/>
  <c r="BH13" i="3" s="1"/>
  <c r="L13" i="3"/>
  <c r="BG13" i="3" s="1"/>
  <c r="D14" i="3"/>
  <c r="E14" i="3" s="1"/>
  <c r="F14" i="3" s="1"/>
  <c r="AR14" i="3" s="1"/>
  <c r="AS14" i="3" s="1"/>
  <c r="G13" i="3"/>
  <c r="H13" i="3" s="1"/>
  <c r="I14" i="3"/>
  <c r="AV14" i="3" s="1"/>
  <c r="BL14" i="3" s="1"/>
  <c r="B15" i="3"/>
  <c r="AF15" i="3" s="1"/>
  <c r="C14" i="3"/>
  <c r="AB11" i="3" l="1"/>
  <c r="AC11" i="3" s="1"/>
  <c r="AD11" i="3"/>
  <c r="AO16" i="3"/>
  <c r="BK15" i="3"/>
  <c r="AW13" i="3"/>
  <c r="AX13" i="3" s="1"/>
  <c r="BF13" i="3"/>
  <c r="AY14" i="3"/>
  <c r="AP12" i="3"/>
  <c r="U12" i="3"/>
  <c r="AQ11" i="3"/>
  <c r="AZ11" i="3"/>
  <c r="BA11" i="3" s="1"/>
  <c r="BB11" i="3" s="1"/>
  <c r="AK17" i="3"/>
  <c r="AL16" i="3"/>
  <c r="AM16" i="3" s="1"/>
  <c r="BJ16" i="3" s="1"/>
  <c r="AT11" i="3"/>
  <c r="AA12" i="3"/>
  <c r="V14" i="3"/>
  <c r="W14" i="3" s="1"/>
  <c r="Y14" i="3" s="1"/>
  <c r="AG14" i="3"/>
  <c r="AH14" i="3" s="1"/>
  <c r="X14" i="3"/>
  <c r="Z13" i="3"/>
  <c r="M15" i="3"/>
  <c r="K15" i="3"/>
  <c r="T13" i="3"/>
  <c r="J14" i="3"/>
  <c r="N14" i="3"/>
  <c r="BH14" i="3" s="1"/>
  <c r="L14" i="3"/>
  <c r="BG14" i="3" s="1"/>
  <c r="B16" i="3"/>
  <c r="AF16" i="3" s="1"/>
  <c r="C15" i="3"/>
  <c r="I15" i="3"/>
  <c r="AV15" i="3" s="1"/>
  <c r="BL15" i="3" s="1"/>
  <c r="D15" i="3"/>
  <c r="E15" i="3" s="1"/>
  <c r="F15" i="3" s="1"/>
  <c r="AR15" i="3" s="1"/>
  <c r="AS15" i="3" s="1"/>
  <c r="G14" i="3"/>
  <c r="H14" i="3" s="1"/>
  <c r="AB12" i="3" l="1"/>
  <c r="AC12" i="3" s="1"/>
  <c r="AD12" i="3"/>
  <c r="AO17" i="3"/>
  <c r="BK16" i="3"/>
  <c r="AW14" i="3"/>
  <c r="AX14" i="3" s="1"/>
  <c r="BF14" i="3"/>
  <c r="AY15" i="3"/>
  <c r="AP13" i="3"/>
  <c r="U13" i="3"/>
  <c r="AQ12" i="3"/>
  <c r="AZ12" i="3"/>
  <c r="BA12" i="3" s="1"/>
  <c r="BB12" i="3" s="1"/>
  <c r="AK18" i="3"/>
  <c r="AL17" i="3"/>
  <c r="AM17" i="3" s="1"/>
  <c r="BJ17" i="3" s="1"/>
  <c r="AT12" i="3"/>
  <c r="AA13" i="3"/>
  <c r="V15" i="3"/>
  <c r="W15" i="3" s="1"/>
  <c r="Y15" i="3" s="1"/>
  <c r="AG15" i="3"/>
  <c r="AH15" i="3" s="1"/>
  <c r="X15" i="3"/>
  <c r="Z14" i="3"/>
  <c r="M16" i="3"/>
  <c r="K16" i="3"/>
  <c r="T14" i="3"/>
  <c r="J15" i="3"/>
  <c r="N15" i="3"/>
  <c r="BH15" i="3" s="1"/>
  <c r="L15" i="3"/>
  <c r="BG15" i="3" s="1"/>
  <c r="D16" i="3"/>
  <c r="E16" i="3" s="1"/>
  <c r="F16" i="3" s="1"/>
  <c r="AR16" i="3" s="1"/>
  <c r="AS16" i="3" s="1"/>
  <c r="G15" i="3"/>
  <c r="H15" i="3" s="1"/>
  <c r="I16" i="3"/>
  <c r="AV16" i="3" s="1"/>
  <c r="BL16" i="3" s="1"/>
  <c r="B17" i="3"/>
  <c r="AF17" i="3" s="1"/>
  <c r="C16" i="3"/>
  <c r="AB13" i="3" l="1"/>
  <c r="AC13" i="3" s="1"/>
  <c r="AD13" i="3"/>
  <c r="AO18" i="3"/>
  <c r="BK17" i="3"/>
  <c r="AW15" i="3"/>
  <c r="AX15" i="3" s="1"/>
  <c r="BF15" i="3"/>
  <c r="AY16" i="3"/>
  <c r="AP14" i="3"/>
  <c r="U14" i="3"/>
  <c r="AQ13" i="3"/>
  <c r="AZ13" i="3"/>
  <c r="BA13" i="3" s="1"/>
  <c r="BB13" i="3" s="1"/>
  <c r="AK19" i="3"/>
  <c r="AL18" i="3"/>
  <c r="AM18" i="3" s="1"/>
  <c r="BJ18" i="3" s="1"/>
  <c r="AT13" i="3"/>
  <c r="AA14" i="3"/>
  <c r="V16" i="3"/>
  <c r="W16" i="3" s="1"/>
  <c r="Y16" i="3" s="1"/>
  <c r="AG16" i="3"/>
  <c r="AH16" i="3" s="1"/>
  <c r="X16" i="3"/>
  <c r="Z15" i="3"/>
  <c r="M17" i="3"/>
  <c r="K17" i="3"/>
  <c r="T15" i="3"/>
  <c r="J16" i="3"/>
  <c r="N16" i="3"/>
  <c r="BH16" i="3" s="1"/>
  <c r="L16" i="3"/>
  <c r="BG16" i="3" s="1"/>
  <c r="B18" i="3"/>
  <c r="AF18" i="3" s="1"/>
  <c r="C17" i="3"/>
  <c r="I17" i="3"/>
  <c r="AV17" i="3" s="1"/>
  <c r="BL17" i="3" s="1"/>
  <c r="D17" i="3"/>
  <c r="E17" i="3" s="1"/>
  <c r="F17" i="3" s="1"/>
  <c r="AR17" i="3" s="1"/>
  <c r="AS17" i="3" s="1"/>
  <c r="G16" i="3"/>
  <c r="H16" i="3" s="1"/>
  <c r="AB14" i="3" l="1"/>
  <c r="AC14" i="3" s="1"/>
  <c r="AD14" i="3"/>
  <c r="AO19" i="3"/>
  <c r="BK18" i="3"/>
  <c r="AW16" i="3"/>
  <c r="AX16" i="3" s="1"/>
  <c r="BF16" i="3"/>
  <c r="AY17" i="3"/>
  <c r="AP15" i="3"/>
  <c r="U15" i="3"/>
  <c r="AQ14" i="3"/>
  <c r="AZ14" i="3"/>
  <c r="BA14" i="3" s="1"/>
  <c r="BB14" i="3" s="1"/>
  <c r="AK20" i="3"/>
  <c r="AL19" i="3"/>
  <c r="AM19" i="3" s="1"/>
  <c r="BJ19" i="3" s="1"/>
  <c r="AT14" i="3"/>
  <c r="AA15" i="3"/>
  <c r="V17" i="3"/>
  <c r="W17" i="3" s="1"/>
  <c r="Y17" i="3" s="1"/>
  <c r="AG17" i="3"/>
  <c r="AH17" i="3" s="1"/>
  <c r="X17" i="3"/>
  <c r="Z16" i="3"/>
  <c r="M18" i="3"/>
  <c r="K18" i="3"/>
  <c r="T16" i="3"/>
  <c r="J17" i="3"/>
  <c r="N17" i="3"/>
  <c r="BH17" i="3" s="1"/>
  <c r="L17" i="3"/>
  <c r="BG17" i="3" s="1"/>
  <c r="D18" i="3"/>
  <c r="E18" i="3" s="1"/>
  <c r="F18" i="3" s="1"/>
  <c r="AR18" i="3" s="1"/>
  <c r="AS18" i="3" s="1"/>
  <c r="G17" i="3"/>
  <c r="H17" i="3" s="1"/>
  <c r="I18" i="3"/>
  <c r="AV18" i="3" s="1"/>
  <c r="BL18" i="3" s="1"/>
  <c r="B19" i="3"/>
  <c r="AF19" i="3" s="1"/>
  <c r="C18" i="3"/>
  <c r="AB15" i="3" l="1"/>
  <c r="AC15" i="3" s="1"/>
  <c r="AD15" i="3"/>
  <c r="AO20" i="3"/>
  <c r="BK19" i="3"/>
  <c r="AW17" i="3"/>
  <c r="AX17" i="3" s="1"/>
  <c r="BF17" i="3"/>
  <c r="AY18" i="3"/>
  <c r="AP16" i="3"/>
  <c r="U16" i="3"/>
  <c r="AQ15" i="3"/>
  <c r="AZ15" i="3"/>
  <c r="BA15" i="3" s="1"/>
  <c r="BB15" i="3" s="1"/>
  <c r="AK21" i="3"/>
  <c r="AL20" i="3"/>
  <c r="AM20" i="3" s="1"/>
  <c r="BJ20" i="3" s="1"/>
  <c r="AT15" i="3"/>
  <c r="AA16" i="3"/>
  <c r="V18" i="3"/>
  <c r="W18" i="3" s="1"/>
  <c r="Y18" i="3" s="1"/>
  <c r="AG18" i="3"/>
  <c r="AH18" i="3" s="1"/>
  <c r="X18" i="3"/>
  <c r="Z17" i="3"/>
  <c r="M19" i="3"/>
  <c r="K19" i="3"/>
  <c r="T17" i="3"/>
  <c r="J18" i="3"/>
  <c r="N18" i="3"/>
  <c r="BH18" i="3" s="1"/>
  <c r="L18" i="3"/>
  <c r="BG18" i="3" s="1"/>
  <c r="B20" i="3"/>
  <c r="AF20" i="3" s="1"/>
  <c r="C19" i="3"/>
  <c r="I19" i="3"/>
  <c r="AV19" i="3" s="1"/>
  <c r="BL19" i="3" s="1"/>
  <c r="D19" i="3"/>
  <c r="E19" i="3" s="1"/>
  <c r="F19" i="3" s="1"/>
  <c r="AR19" i="3" s="1"/>
  <c r="AS19" i="3" s="1"/>
  <c r="G18" i="3"/>
  <c r="H18" i="3" s="1"/>
  <c r="AB16" i="3" l="1"/>
  <c r="AC16" i="3" s="1"/>
  <c r="AD16" i="3"/>
  <c r="AO21" i="3"/>
  <c r="BK20" i="3"/>
  <c r="AW18" i="3"/>
  <c r="AX18" i="3" s="1"/>
  <c r="BF18" i="3"/>
  <c r="AY19" i="3"/>
  <c r="AP17" i="3"/>
  <c r="U17" i="3"/>
  <c r="AQ16" i="3"/>
  <c r="AZ16" i="3"/>
  <c r="BA16" i="3" s="1"/>
  <c r="BB16" i="3" s="1"/>
  <c r="AK22" i="3"/>
  <c r="AL21" i="3"/>
  <c r="AM21" i="3" s="1"/>
  <c r="BJ21" i="3" s="1"/>
  <c r="AT16" i="3"/>
  <c r="AA17" i="3"/>
  <c r="V19" i="3"/>
  <c r="W19" i="3" s="1"/>
  <c r="Y19" i="3" s="1"/>
  <c r="AG19" i="3"/>
  <c r="AH19" i="3" s="1"/>
  <c r="X19" i="3"/>
  <c r="Z18" i="3"/>
  <c r="M20" i="3"/>
  <c r="K20" i="3"/>
  <c r="T18" i="3"/>
  <c r="J19" i="3"/>
  <c r="N19" i="3"/>
  <c r="BH19" i="3" s="1"/>
  <c r="L19" i="3"/>
  <c r="BG19" i="3" s="1"/>
  <c r="D20" i="3"/>
  <c r="E20" i="3" s="1"/>
  <c r="F20" i="3" s="1"/>
  <c r="AR20" i="3" s="1"/>
  <c r="AS20" i="3" s="1"/>
  <c r="G19" i="3"/>
  <c r="H19" i="3" s="1"/>
  <c r="I20" i="3"/>
  <c r="AV20" i="3" s="1"/>
  <c r="BL20" i="3" s="1"/>
  <c r="B21" i="3"/>
  <c r="AF21" i="3" s="1"/>
  <c r="C20" i="3"/>
  <c r="AB17" i="3" l="1"/>
  <c r="AC17" i="3" s="1"/>
  <c r="AD17" i="3"/>
  <c r="AO22" i="3"/>
  <c r="BK21" i="3"/>
  <c r="AW19" i="3"/>
  <c r="AX19" i="3" s="1"/>
  <c r="BF19" i="3"/>
  <c r="AY20" i="3"/>
  <c r="AP18" i="3"/>
  <c r="U18" i="3"/>
  <c r="AQ17" i="3"/>
  <c r="AZ17" i="3"/>
  <c r="BA17" i="3" s="1"/>
  <c r="BB17" i="3" s="1"/>
  <c r="AK23" i="3"/>
  <c r="AL22" i="3"/>
  <c r="AM22" i="3" s="1"/>
  <c r="BJ22" i="3" s="1"/>
  <c r="AT17" i="3"/>
  <c r="AA18" i="3"/>
  <c r="V20" i="3"/>
  <c r="W20" i="3" s="1"/>
  <c r="Y20" i="3" s="1"/>
  <c r="AG20" i="3"/>
  <c r="AH20" i="3" s="1"/>
  <c r="X20" i="3"/>
  <c r="Z19" i="3"/>
  <c r="M21" i="3"/>
  <c r="K21" i="3"/>
  <c r="T19" i="3"/>
  <c r="J20" i="3"/>
  <c r="N20" i="3"/>
  <c r="BH20" i="3" s="1"/>
  <c r="L20" i="3"/>
  <c r="BG20" i="3" s="1"/>
  <c r="B22" i="3"/>
  <c r="AF22" i="3" s="1"/>
  <c r="C21" i="3"/>
  <c r="I21" i="3"/>
  <c r="AV21" i="3" s="1"/>
  <c r="BL21" i="3" s="1"/>
  <c r="D21" i="3"/>
  <c r="E21" i="3" s="1"/>
  <c r="F21" i="3" s="1"/>
  <c r="AR21" i="3" s="1"/>
  <c r="AS21" i="3" s="1"/>
  <c r="G20" i="3"/>
  <c r="H20" i="3" s="1"/>
  <c r="AB18" i="3" l="1"/>
  <c r="AC18" i="3" s="1"/>
  <c r="AD18" i="3"/>
  <c r="AO23" i="3"/>
  <c r="BK22" i="3"/>
  <c r="AW20" i="3"/>
  <c r="AX20" i="3" s="1"/>
  <c r="BF20" i="3"/>
  <c r="AY21" i="3"/>
  <c r="AP19" i="3"/>
  <c r="U19" i="3"/>
  <c r="AQ18" i="3"/>
  <c r="AZ18" i="3"/>
  <c r="BA18" i="3" s="1"/>
  <c r="BB18" i="3" s="1"/>
  <c r="AK24" i="3"/>
  <c r="AL23" i="3"/>
  <c r="AM23" i="3" s="1"/>
  <c r="BJ23" i="3" s="1"/>
  <c r="AT18" i="3"/>
  <c r="AA19" i="3"/>
  <c r="V21" i="3"/>
  <c r="W21" i="3" s="1"/>
  <c r="Y21" i="3" s="1"/>
  <c r="AG21" i="3"/>
  <c r="AH21" i="3" s="1"/>
  <c r="X21" i="3"/>
  <c r="Z20" i="3"/>
  <c r="M22" i="3"/>
  <c r="K22" i="3"/>
  <c r="T20" i="3"/>
  <c r="J21" i="3"/>
  <c r="N21" i="3"/>
  <c r="BH21" i="3" s="1"/>
  <c r="L21" i="3"/>
  <c r="BG21" i="3" s="1"/>
  <c r="D22" i="3"/>
  <c r="E22" i="3" s="1"/>
  <c r="F22" i="3" s="1"/>
  <c r="AR22" i="3" s="1"/>
  <c r="AS22" i="3" s="1"/>
  <c r="G21" i="3"/>
  <c r="H21" i="3" s="1"/>
  <c r="I22" i="3"/>
  <c r="AV22" i="3" s="1"/>
  <c r="BL22" i="3" s="1"/>
  <c r="B23" i="3"/>
  <c r="AF23" i="3" s="1"/>
  <c r="C22" i="3"/>
  <c r="AB19" i="3" l="1"/>
  <c r="AC19" i="3" s="1"/>
  <c r="AD19" i="3"/>
  <c r="AO24" i="3"/>
  <c r="BK23" i="3"/>
  <c r="AW21" i="3"/>
  <c r="AX21" i="3" s="1"/>
  <c r="BF21" i="3"/>
  <c r="AY22" i="3"/>
  <c r="AP20" i="3"/>
  <c r="U20" i="3"/>
  <c r="AQ19" i="3"/>
  <c r="AZ19" i="3"/>
  <c r="BA19" i="3" s="1"/>
  <c r="BB19" i="3" s="1"/>
  <c r="AK25" i="3"/>
  <c r="AL24" i="3"/>
  <c r="AM24" i="3" s="1"/>
  <c r="BJ24" i="3" s="1"/>
  <c r="AT19" i="3"/>
  <c r="AA20" i="3"/>
  <c r="V22" i="3"/>
  <c r="W22" i="3" s="1"/>
  <c r="Y22" i="3" s="1"/>
  <c r="AG22" i="3"/>
  <c r="AH22" i="3" s="1"/>
  <c r="X22" i="3"/>
  <c r="Z21" i="3"/>
  <c r="M23" i="3"/>
  <c r="K23" i="3"/>
  <c r="T21" i="3"/>
  <c r="J22" i="3"/>
  <c r="N22" i="3"/>
  <c r="BH22" i="3" s="1"/>
  <c r="L22" i="3"/>
  <c r="BG22" i="3" s="1"/>
  <c r="B24" i="3"/>
  <c r="AF24" i="3" s="1"/>
  <c r="C23" i="3"/>
  <c r="I23" i="3"/>
  <c r="AV23" i="3" s="1"/>
  <c r="BL23" i="3" s="1"/>
  <c r="D23" i="3"/>
  <c r="E23" i="3" s="1"/>
  <c r="F23" i="3" s="1"/>
  <c r="AR23" i="3" s="1"/>
  <c r="AS23" i="3" s="1"/>
  <c r="G22" i="3"/>
  <c r="H22" i="3" s="1"/>
  <c r="AB20" i="3" l="1"/>
  <c r="AC20" i="3" s="1"/>
  <c r="AD20" i="3"/>
  <c r="AO25" i="3"/>
  <c r="BK24" i="3"/>
  <c r="AW22" i="3"/>
  <c r="AX22" i="3" s="1"/>
  <c r="BF22" i="3"/>
  <c r="AY23" i="3"/>
  <c r="AP21" i="3"/>
  <c r="U21" i="3"/>
  <c r="AQ20" i="3"/>
  <c r="AZ20" i="3"/>
  <c r="BA20" i="3" s="1"/>
  <c r="BB20" i="3" s="1"/>
  <c r="AK26" i="3"/>
  <c r="AL25" i="3"/>
  <c r="AM25" i="3" s="1"/>
  <c r="BJ25" i="3" s="1"/>
  <c r="AT20" i="3"/>
  <c r="AA21" i="3"/>
  <c r="V23" i="3"/>
  <c r="W23" i="3" s="1"/>
  <c r="Y23" i="3" s="1"/>
  <c r="AG23" i="3"/>
  <c r="AH23" i="3" s="1"/>
  <c r="X23" i="3"/>
  <c r="Z22" i="3"/>
  <c r="M24" i="3"/>
  <c r="K24" i="3"/>
  <c r="T22" i="3"/>
  <c r="J23" i="3"/>
  <c r="N23" i="3"/>
  <c r="BH23" i="3" s="1"/>
  <c r="L23" i="3"/>
  <c r="BG23" i="3" s="1"/>
  <c r="D24" i="3"/>
  <c r="E24" i="3" s="1"/>
  <c r="F24" i="3" s="1"/>
  <c r="AR24" i="3" s="1"/>
  <c r="AS24" i="3" s="1"/>
  <c r="G23" i="3"/>
  <c r="H23" i="3" s="1"/>
  <c r="I24" i="3"/>
  <c r="AV24" i="3" s="1"/>
  <c r="BL24" i="3" s="1"/>
  <c r="B25" i="3"/>
  <c r="AF25" i="3" s="1"/>
  <c r="C24" i="3"/>
  <c r="AB21" i="3" l="1"/>
  <c r="AC21" i="3" s="1"/>
  <c r="AD21" i="3"/>
  <c r="AO26" i="3"/>
  <c r="BK25" i="3"/>
  <c r="AW23" i="3"/>
  <c r="AX23" i="3" s="1"/>
  <c r="BF23" i="3"/>
  <c r="AY24" i="3"/>
  <c r="AP22" i="3"/>
  <c r="U22" i="3"/>
  <c r="AQ21" i="3"/>
  <c r="AZ21" i="3"/>
  <c r="BA21" i="3" s="1"/>
  <c r="BB21" i="3" s="1"/>
  <c r="AK27" i="3"/>
  <c r="AL26" i="3"/>
  <c r="AM26" i="3" s="1"/>
  <c r="BJ26" i="3" s="1"/>
  <c r="AT21" i="3"/>
  <c r="AA22" i="3"/>
  <c r="V24" i="3"/>
  <c r="W24" i="3" s="1"/>
  <c r="Y24" i="3" s="1"/>
  <c r="AG24" i="3"/>
  <c r="AH24" i="3" s="1"/>
  <c r="X24" i="3"/>
  <c r="Z23" i="3"/>
  <c r="M25" i="3"/>
  <c r="K25" i="3"/>
  <c r="T23" i="3"/>
  <c r="J24" i="3"/>
  <c r="N24" i="3"/>
  <c r="BH24" i="3" s="1"/>
  <c r="L24" i="3"/>
  <c r="BG24" i="3" s="1"/>
  <c r="B26" i="3"/>
  <c r="AF26" i="3" s="1"/>
  <c r="C25" i="3"/>
  <c r="I25" i="3"/>
  <c r="AV25" i="3" s="1"/>
  <c r="BL25" i="3" s="1"/>
  <c r="D25" i="3"/>
  <c r="E25" i="3" s="1"/>
  <c r="F25" i="3" s="1"/>
  <c r="AR25" i="3" s="1"/>
  <c r="AS25" i="3" s="1"/>
  <c r="G24" i="3"/>
  <c r="H24" i="3" s="1"/>
  <c r="AB22" i="3" l="1"/>
  <c r="AC22" i="3" s="1"/>
  <c r="AD22" i="3"/>
  <c r="AO27" i="3"/>
  <c r="BK26" i="3"/>
  <c r="AW24" i="3"/>
  <c r="AX24" i="3" s="1"/>
  <c r="BF24" i="3"/>
  <c r="AY25" i="3"/>
  <c r="AP23" i="3"/>
  <c r="U23" i="3"/>
  <c r="AQ22" i="3"/>
  <c r="AZ22" i="3"/>
  <c r="BA22" i="3" s="1"/>
  <c r="BB22" i="3" s="1"/>
  <c r="AK28" i="3"/>
  <c r="AL27" i="3"/>
  <c r="AM27" i="3" s="1"/>
  <c r="BJ27" i="3" s="1"/>
  <c r="AT22" i="3"/>
  <c r="AA23" i="3"/>
  <c r="V25" i="3"/>
  <c r="W25" i="3" s="1"/>
  <c r="Y25" i="3" s="1"/>
  <c r="AG25" i="3"/>
  <c r="AH25" i="3" s="1"/>
  <c r="X25" i="3"/>
  <c r="Z24" i="3"/>
  <c r="M26" i="3"/>
  <c r="K26" i="3"/>
  <c r="T24" i="3"/>
  <c r="J25" i="3"/>
  <c r="N25" i="3"/>
  <c r="BH25" i="3" s="1"/>
  <c r="L25" i="3"/>
  <c r="BG25" i="3" s="1"/>
  <c r="D26" i="3"/>
  <c r="E26" i="3" s="1"/>
  <c r="F26" i="3" s="1"/>
  <c r="AR26" i="3" s="1"/>
  <c r="AS26" i="3" s="1"/>
  <c r="G25" i="3"/>
  <c r="H25" i="3" s="1"/>
  <c r="I26" i="3"/>
  <c r="AV26" i="3" s="1"/>
  <c r="BL26" i="3" s="1"/>
  <c r="B27" i="3"/>
  <c r="AF27" i="3" s="1"/>
  <c r="C26" i="3"/>
  <c r="AB23" i="3" l="1"/>
  <c r="AC23" i="3" s="1"/>
  <c r="AD23" i="3"/>
  <c r="AO28" i="3"/>
  <c r="BK27" i="3"/>
  <c r="AW25" i="3"/>
  <c r="AX25" i="3" s="1"/>
  <c r="BF25" i="3"/>
  <c r="AY26" i="3"/>
  <c r="AP24" i="3"/>
  <c r="U24" i="3"/>
  <c r="AQ23" i="3"/>
  <c r="AZ23" i="3"/>
  <c r="BA23" i="3" s="1"/>
  <c r="BB23" i="3" s="1"/>
  <c r="AK29" i="3"/>
  <c r="AL28" i="3"/>
  <c r="AM28" i="3" s="1"/>
  <c r="BJ28" i="3" s="1"/>
  <c r="AT23" i="3"/>
  <c r="AA24" i="3"/>
  <c r="V26" i="3"/>
  <c r="W26" i="3" s="1"/>
  <c r="Y26" i="3" s="1"/>
  <c r="AG26" i="3"/>
  <c r="AH26" i="3" s="1"/>
  <c r="X26" i="3"/>
  <c r="Z25" i="3"/>
  <c r="M27" i="3"/>
  <c r="K27" i="3"/>
  <c r="T25" i="3"/>
  <c r="J26" i="3"/>
  <c r="N26" i="3"/>
  <c r="BH26" i="3" s="1"/>
  <c r="L26" i="3"/>
  <c r="BG26" i="3" s="1"/>
  <c r="B28" i="3"/>
  <c r="AF28" i="3" s="1"/>
  <c r="C27" i="3"/>
  <c r="I27" i="3"/>
  <c r="AV27" i="3" s="1"/>
  <c r="BL27" i="3" s="1"/>
  <c r="D27" i="3"/>
  <c r="E27" i="3" s="1"/>
  <c r="F27" i="3" s="1"/>
  <c r="AR27" i="3" s="1"/>
  <c r="AS27" i="3" s="1"/>
  <c r="G26" i="3"/>
  <c r="H26" i="3" s="1"/>
  <c r="AB24" i="3" l="1"/>
  <c r="AC24" i="3" s="1"/>
  <c r="AD24" i="3"/>
  <c r="AO29" i="3"/>
  <c r="BK28" i="3"/>
  <c r="AW26" i="3"/>
  <c r="AX26" i="3" s="1"/>
  <c r="BF26" i="3"/>
  <c r="AY27" i="3"/>
  <c r="AP25" i="3"/>
  <c r="U25" i="3"/>
  <c r="AQ24" i="3"/>
  <c r="AZ24" i="3"/>
  <c r="BA24" i="3" s="1"/>
  <c r="BB24" i="3" s="1"/>
  <c r="AK30" i="3"/>
  <c r="AL29" i="3"/>
  <c r="AM29" i="3" s="1"/>
  <c r="BJ29" i="3" s="1"/>
  <c r="AT24" i="3"/>
  <c r="AA25" i="3"/>
  <c r="V27" i="3"/>
  <c r="W27" i="3" s="1"/>
  <c r="Y27" i="3" s="1"/>
  <c r="AG27" i="3"/>
  <c r="AH27" i="3" s="1"/>
  <c r="X27" i="3"/>
  <c r="Z26" i="3"/>
  <c r="M28" i="3"/>
  <c r="K28" i="3"/>
  <c r="T26" i="3"/>
  <c r="J27" i="3"/>
  <c r="N27" i="3"/>
  <c r="BH27" i="3" s="1"/>
  <c r="L27" i="3"/>
  <c r="BG27" i="3" s="1"/>
  <c r="D28" i="3"/>
  <c r="E28" i="3" s="1"/>
  <c r="F28" i="3" s="1"/>
  <c r="AR28" i="3" s="1"/>
  <c r="AS28" i="3" s="1"/>
  <c r="G27" i="3"/>
  <c r="H27" i="3" s="1"/>
  <c r="I28" i="3"/>
  <c r="AV28" i="3" s="1"/>
  <c r="BL28" i="3" s="1"/>
  <c r="B29" i="3"/>
  <c r="AF29" i="3" s="1"/>
  <c r="C28" i="3"/>
  <c r="AB25" i="3" l="1"/>
  <c r="AC25" i="3" s="1"/>
  <c r="AD25" i="3"/>
  <c r="AO30" i="3"/>
  <c r="BK29" i="3"/>
  <c r="AW27" i="3"/>
  <c r="AX27" i="3" s="1"/>
  <c r="BF27" i="3"/>
  <c r="AY28" i="3"/>
  <c r="AP26" i="3"/>
  <c r="U26" i="3"/>
  <c r="AQ25" i="3"/>
  <c r="AZ25" i="3"/>
  <c r="BA25" i="3" s="1"/>
  <c r="BB25" i="3" s="1"/>
  <c r="AK31" i="3"/>
  <c r="AL30" i="3"/>
  <c r="AM30" i="3" s="1"/>
  <c r="BJ30" i="3" s="1"/>
  <c r="AT25" i="3"/>
  <c r="AA26" i="3"/>
  <c r="V28" i="3"/>
  <c r="W28" i="3" s="1"/>
  <c r="Y28" i="3" s="1"/>
  <c r="AG28" i="3"/>
  <c r="AH28" i="3" s="1"/>
  <c r="X28" i="3"/>
  <c r="Z27" i="3"/>
  <c r="M29" i="3"/>
  <c r="K29" i="3"/>
  <c r="T27" i="3"/>
  <c r="J28" i="3"/>
  <c r="N28" i="3"/>
  <c r="BH28" i="3" s="1"/>
  <c r="L28" i="3"/>
  <c r="BG28" i="3" s="1"/>
  <c r="B30" i="3"/>
  <c r="AF30" i="3" s="1"/>
  <c r="C29" i="3"/>
  <c r="I29" i="3"/>
  <c r="AV29" i="3" s="1"/>
  <c r="BL29" i="3" s="1"/>
  <c r="D29" i="3"/>
  <c r="E29" i="3" s="1"/>
  <c r="F29" i="3" s="1"/>
  <c r="AR29" i="3" s="1"/>
  <c r="AS29" i="3" s="1"/>
  <c r="G28" i="3"/>
  <c r="H28" i="3" s="1"/>
  <c r="AB26" i="3" l="1"/>
  <c r="AC26" i="3" s="1"/>
  <c r="AD26" i="3"/>
  <c r="AO31" i="3"/>
  <c r="BK30" i="3"/>
  <c r="AW28" i="3"/>
  <c r="AX28" i="3" s="1"/>
  <c r="BF28" i="3"/>
  <c r="AY29" i="3"/>
  <c r="AP27" i="3"/>
  <c r="U27" i="3"/>
  <c r="AQ26" i="3"/>
  <c r="AZ26" i="3"/>
  <c r="BA26" i="3" s="1"/>
  <c r="BB26" i="3" s="1"/>
  <c r="AK32" i="3"/>
  <c r="AL31" i="3"/>
  <c r="AM31" i="3" s="1"/>
  <c r="BJ31" i="3" s="1"/>
  <c r="AT26" i="3"/>
  <c r="AA27" i="3"/>
  <c r="V29" i="3"/>
  <c r="W29" i="3" s="1"/>
  <c r="Y29" i="3" s="1"/>
  <c r="AG29" i="3"/>
  <c r="AH29" i="3" s="1"/>
  <c r="X29" i="3"/>
  <c r="Z28" i="3"/>
  <c r="M30" i="3"/>
  <c r="K30" i="3"/>
  <c r="T28" i="3"/>
  <c r="J29" i="3"/>
  <c r="N29" i="3"/>
  <c r="BH29" i="3" s="1"/>
  <c r="L29" i="3"/>
  <c r="BG29" i="3" s="1"/>
  <c r="D30" i="3"/>
  <c r="E30" i="3" s="1"/>
  <c r="F30" i="3" s="1"/>
  <c r="AR30" i="3" s="1"/>
  <c r="AS30" i="3" s="1"/>
  <c r="G29" i="3"/>
  <c r="H29" i="3" s="1"/>
  <c r="I30" i="3"/>
  <c r="AV30" i="3" s="1"/>
  <c r="BL30" i="3" s="1"/>
  <c r="B31" i="3"/>
  <c r="AF31" i="3" s="1"/>
  <c r="C30" i="3"/>
  <c r="AB27" i="3" l="1"/>
  <c r="AC27" i="3" s="1"/>
  <c r="AD27" i="3"/>
  <c r="AO32" i="3"/>
  <c r="BK31" i="3"/>
  <c r="AW29" i="3"/>
  <c r="AX29" i="3" s="1"/>
  <c r="BF29" i="3"/>
  <c r="AY30" i="3"/>
  <c r="AP28" i="3"/>
  <c r="U28" i="3"/>
  <c r="AQ27" i="3"/>
  <c r="AZ27" i="3"/>
  <c r="BA27" i="3" s="1"/>
  <c r="BB27" i="3" s="1"/>
  <c r="AK33" i="3"/>
  <c r="AL32" i="3"/>
  <c r="AM32" i="3" s="1"/>
  <c r="BJ32" i="3" s="1"/>
  <c r="AT27" i="3"/>
  <c r="AA28" i="3"/>
  <c r="V30" i="3"/>
  <c r="W30" i="3" s="1"/>
  <c r="Y30" i="3" s="1"/>
  <c r="AG30" i="3"/>
  <c r="AH30" i="3" s="1"/>
  <c r="X30" i="3"/>
  <c r="Z29" i="3"/>
  <c r="M31" i="3"/>
  <c r="K31" i="3"/>
  <c r="T29" i="3"/>
  <c r="J30" i="3"/>
  <c r="N30" i="3"/>
  <c r="BH30" i="3" s="1"/>
  <c r="L30" i="3"/>
  <c r="BG30" i="3" s="1"/>
  <c r="B32" i="3"/>
  <c r="AF32" i="3" s="1"/>
  <c r="C31" i="3"/>
  <c r="I31" i="3"/>
  <c r="AV31" i="3" s="1"/>
  <c r="BL31" i="3" s="1"/>
  <c r="D31" i="3"/>
  <c r="E31" i="3" s="1"/>
  <c r="F31" i="3" s="1"/>
  <c r="AR31" i="3" s="1"/>
  <c r="AS31" i="3" s="1"/>
  <c r="G30" i="3"/>
  <c r="H30" i="3" s="1"/>
  <c r="AB28" i="3" l="1"/>
  <c r="AC28" i="3" s="1"/>
  <c r="AD28" i="3"/>
  <c r="AO33" i="3"/>
  <c r="BK32" i="3"/>
  <c r="AW30" i="3"/>
  <c r="AX30" i="3" s="1"/>
  <c r="BF30" i="3"/>
  <c r="AY31" i="3"/>
  <c r="AP29" i="3"/>
  <c r="U29" i="3"/>
  <c r="AQ28" i="3"/>
  <c r="AZ28" i="3"/>
  <c r="BA28" i="3" s="1"/>
  <c r="BB28" i="3" s="1"/>
  <c r="AK34" i="3"/>
  <c r="AL33" i="3"/>
  <c r="AM33" i="3" s="1"/>
  <c r="BJ33" i="3" s="1"/>
  <c r="AT28" i="3"/>
  <c r="AA29" i="3"/>
  <c r="V31" i="3"/>
  <c r="W31" i="3" s="1"/>
  <c r="Y31" i="3" s="1"/>
  <c r="AG31" i="3"/>
  <c r="AH31" i="3" s="1"/>
  <c r="X31" i="3"/>
  <c r="Z30" i="3"/>
  <c r="M32" i="3"/>
  <c r="K32" i="3"/>
  <c r="T30" i="3"/>
  <c r="J31" i="3"/>
  <c r="N31" i="3"/>
  <c r="BH31" i="3" s="1"/>
  <c r="L31" i="3"/>
  <c r="BG31" i="3" s="1"/>
  <c r="D32" i="3"/>
  <c r="E32" i="3" s="1"/>
  <c r="F32" i="3" s="1"/>
  <c r="AR32" i="3" s="1"/>
  <c r="AS32" i="3" s="1"/>
  <c r="G31" i="3"/>
  <c r="H31" i="3" s="1"/>
  <c r="I32" i="3"/>
  <c r="B33" i="3"/>
  <c r="AF33" i="3" s="1"/>
  <c r="C32" i="3"/>
  <c r="AB29" i="3" l="1"/>
  <c r="AC29" i="3" s="1"/>
  <c r="AD29" i="3"/>
  <c r="AO34" i="3"/>
  <c r="BK33" i="3"/>
  <c r="AW31" i="3"/>
  <c r="AX31" i="3" s="1"/>
  <c r="BF31" i="3"/>
  <c r="AP30" i="3"/>
  <c r="U30" i="3"/>
  <c r="AQ29" i="3"/>
  <c r="AZ29" i="3"/>
  <c r="BA29" i="3" s="1"/>
  <c r="BB29" i="3" s="1"/>
  <c r="M33" i="3"/>
  <c r="AV32" i="3"/>
  <c r="BL32" i="3" s="1"/>
  <c r="AK35" i="3"/>
  <c r="AL34" i="3"/>
  <c r="AM34" i="3" s="1"/>
  <c r="BJ34" i="3" s="1"/>
  <c r="AT29" i="3"/>
  <c r="AA30" i="3"/>
  <c r="V32" i="3"/>
  <c r="W32" i="3" s="1"/>
  <c r="Y32" i="3" s="1"/>
  <c r="AG32" i="3"/>
  <c r="AH32" i="3" s="1"/>
  <c r="X32" i="3"/>
  <c r="Z31" i="3"/>
  <c r="B34" i="3"/>
  <c r="AF34" i="3" s="1"/>
  <c r="B35" i="3"/>
  <c r="AF35" i="3" s="1"/>
  <c r="K33" i="3"/>
  <c r="T31" i="3"/>
  <c r="J32" i="3"/>
  <c r="N32" i="3"/>
  <c r="BH32" i="3" s="1"/>
  <c r="L32" i="3"/>
  <c r="BG32" i="3" s="1"/>
  <c r="C33" i="3"/>
  <c r="C34" i="3" s="1"/>
  <c r="I33" i="3"/>
  <c r="AV33" i="3" s="1"/>
  <c r="BL33" i="3" s="1"/>
  <c r="D33" i="3"/>
  <c r="E33" i="3" s="1"/>
  <c r="F33" i="3" s="1"/>
  <c r="AR33" i="3" s="1"/>
  <c r="AS33" i="3" s="1"/>
  <c r="G32" i="3"/>
  <c r="H32" i="3" s="1"/>
  <c r="AB30" i="3" l="1"/>
  <c r="AC30" i="3" s="1"/>
  <c r="AD30" i="3"/>
  <c r="AO35" i="3"/>
  <c r="BK34" i="3"/>
  <c r="AW32" i="3"/>
  <c r="BF32" i="3"/>
  <c r="AY33" i="3"/>
  <c r="AY32" i="3"/>
  <c r="AX32" i="3"/>
  <c r="AP31" i="3"/>
  <c r="U31" i="3"/>
  <c r="AQ30" i="3"/>
  <c r="AZ30" i="3"/>
  <c r="BA30" i="3" s="1"/>
  <c r="BB30" i="3" s="1"/>
  <c r="AK36" i="3"/>
  <c r="AL35" i="3"/>
  <c r="AM35" i="3" s="1"/>
  <c r="BJ35" i="3" s="1"/>
  <c r="AT30" i="3"/>
  <c r="D34" i="3"/>
  <c r="E34" i="3" s="1"/>
  <c r="F34" i="3" s="1"/>
  <c r="AR34" i="3" s="1"/>
  <c r="AS34" i="3" s="1"/>
  <c r="AA31" i="3"/>
  <c r="V33" i="3"/>
  <c r="W33" i="3" s="1"/>
  <c r="Y33" i="3" s="1"/>
  <c r="AG33" i="3"/>
  <c r="X33" i="3"/>
  <c r="Z32" i="3"/>
  <c r="M34" i="3"/>
  <c r="K34" i="3"/>
  <c r="I34" i="3"/>
  <c r="AV34" i="3" s="1"/>
  <c r="BL34" i="3" s="1"/>
  <c r="V34" i="3"/>
  <c r="W34" i="3" s="1"/>
  <c r="Y34" i="3" s="1"/>
  <c r="C35" i="3"/>
  <c r="B36" i="3"/>
  <c r="AF36" i="3" s="1"/>
  <c r="G34" i="3"/>
  <c r="H34" i="3" s="1"/>
  <c r="D35" i="3"/>
  <c r="E35" i="3" s="1"/>
  <c r="F35" i="3" s="1"/>
  <c r="AR35" i="3" s="1"/>
  <c r="AS35" i="3" s="1"/>
  <c r="G33" i="3"/>
  <c r="H33" i="3" s="1"/>
  <c r="T32" i="3"/>
  <c r="J33" i="3"/>
  <c r="N33" i="3"/>
  <c r="BH33" i="3" s="1"/>
  <c r="L33" i="3"/>
  <c r="BG33" i="3" s="1"/>
  <c r="AB31" i="3" l="1"/>
  <c r="AC31" i="3" s="1"/>
  <c r="AD31" i="3"/>
  <c r="AO36" i="3"/>
  <c r="BK35" i="3"/>
  <c r="AW33" i="3"/>
  <c r="AX33" i="3" s="1"/>
  <c r="BF33" i="3"/>
  <c r="AY34" i="3"/>
  <c r="AP32" i="3"/>
  <c r="U32" i="3"/>
  <c r="AQ31" i="3"/>
  <c r="AZ31" i="3"/>
  <c r="BA31" i="3" s="1"/>
  <c r="BB31" i="3" s="1"/>
  <c r="AK37" i="3"/>
  <c r="AL36" i="3"/>
  <c r="AM36" i="3" s="1"/>
  <c r="BJ36" i="3" s="1"/>
  <c r="AT31" i="3"/>
  <c r="AG34" i="3"/>
  <c r="AA32" i="3"/>
  <c r="AH33" i="3"/>
  <c r="AH34" i="3"/>
  <c r="X34" i="3"/>
  <c r="Z33" i="3"/>
  <c r="M35" i="3"/>
  <c r="K35" i="3"/>
  <c r="J34" i="3"/>
  <c r="I35" i="3"/>
  <c r="AV35" i="3" s="1"/>
  <c r="BL35" i="3" s="1"/>
  <c r="L34" i="3"/>
  <c r="BG34" i="3" s="1"/>
  <c r="N34" i="3"/>
  <c r="BH34" i="3" s="1"/>
  <c r="C36" i="3"/>
  <c r="B37" i="3"/>
  <c r="AF37" i="3" s="1"/>
  <c r="G35" i="3"/>
  <c r="H35" i="3" s="1"/>
  <c r="D36" i="3"/>
  <c r="E36" i="3" s="1"/>
  <c r="F36" i="3" s="1"/>
  <c r="AR36" i="3" s="1"/>
  <c r="AS36" i="3" s="1"/>
  <c r="T33" i="3"/>
  <c r="AB32" i="3" l="1"/>
  <c r="AC32" i="3" s="1"/>
  <c r="AD32" i="3"/>
  <c r="AO37" i="3"/>
  <c r="BK36" i="3"/>
  <c r="AW34" i="3"/>
  <c r="AX34" i="3" s="1"/>
  <c r="BF34" i="3"/>
  <c r="AY35" i="3"/>
  <c r="AG35" i="3"/>
  <c r="AH35" i="3" s="1"/>
  <c r="AP33" i="3"/>
  <c r="U33" i="3"/>
  <c r="AQ32" i="3"/>
  <c r="AZ32" i="3"/>
  <c r="BA32" i="3" s="1"/>
  <c r="BB32" i="3" s="1"/>
  <c r="AK38" i="3"/>
  <c r="AL37" i="3"/>
  <c r="AM37" i="3" s="1"/>
  <c r="BJ37" i="3" s="1"/>
  <c r="AT32" i="3"/>
  <c r="AA33" i="3"/>
  <c r="Z34" i="3"/>
  <c r="M36" i="3"/>
  <c r="K36" i="3"/>
  <c r="AG36" i="3" s="1"/>
  <c r="AH36" i="3" s="1"/>
  <c r="J35" i="3"/>
  <c r="I36" i="3"/>
  <c r="AV36" i="3" s="1"/>
  <c r="BL36" i="3" s="1"/>
  <c r="T34" i="3"/>
  <c r="L35" i="3"/>
  <c r="BG35" i="3" s="1"/>
  <c r="V35" i="3"/>
  <c r="W35" i="3" s="1"/>
  <c r="N35" i="3"/>
  <c r="BH35" i="3" s="1"/>
  <c r="C37" i="3"/>
  <c r="B38" i="3"/>
  <c r="AF38" i="3" s="1"/>
  <c r="G36" i="3"/>
  <c r="H36" i="3" s="1"/>
  <c r="D37" i="3"/>
  <c r="E37" i="3" s="1"/>
  <c r="F37" i="3" s="1"/>
  <c r="AR37" i="3" s="1"/>
  <c r="AS37" i="3" s="1"/>
  <c r="AB33" i="3" l="1"/>
  <c r="AC33" i="3" s="1"/>
  <c r="AD33" i="3"/>
  <c r="AO38" i="3"/>
  <c r="BK37" i="3"/>
  <c r="AW35" i="3"/>
  <c r="AX35" i="3" s="1"/>
  <c r="BF35" i="3"/>
  <c r="AY36" i="3"/>
  <c r="AP34" i="3"/>
  <c r="U34" i="3"/>
  <c r="AQ33" i="3"/>
  <c r="AZ33" i="3"/>
  <c r="BA33" i="3" s="1"/>
  <c r="BB33" i="3" s="1"/>
  <c r="AK39" i="3"/>
  <c r="AL38" i="3"/>
  <c r="AM38" i="3" s="1"/>
  <c r="BJ38" i="3" s="1"/>
  <c r="AT33" i="3"/>
  <c r="AA34" i="3"/>
  <c r="Y35" i="3"/>
  <c r="X35" i="3"/>
  <c r="M37" i="3"/>
  <c r="K37" i="3"/>
  <c r="AG37" i="3" s="1"/>
  <c r="AH37" i="3" s="1"/>
  <c r="J36" i="3"/>
  <c r="I37" i="3"/>
  <c r="AV37" i="3" s="1"/>
  <c r="BL37" i="3" s="1"/>
  <c r="T35" i="3"/>
  <c r="L36" i="3"/>
  <c r="BG36" i="3" s="1"/>
  <c r="V36" i="3"/>
  <c r="W36" i="3" s="1"/>
  <c r="Y36" i="3" s="1"/>
  <c r="N36" i="3"/>
  <c r="BH36" i="3" s="1"/>
  <c r="C38" i="3"/>
  <c r="B39" i="3"/>
  <c r="AF39" i="3" s="1"/>
  <c r="G37" i="3"/>
  <c r="H37" i="3" s="1"/>
  <c r="D38" i="3"/>
  <c r="E38" i="3" s="1"/>
  <c r="F38" i="3" s="1"/>
  <c r="AR38" i="3" s="1"/>
  <c r="AS38" i="3" s="1"/>
  <c r="AB34" i="3" l="1"/>
  <c r="AC34" i="3" s="1"/>
  <c r="AD34" i="3"/>
  <c r="AO39" i="3"/>
  <c r="BK38" i="3"/>
  <c r="AW36" i="3"/>
  <c r="AX36" i="3" s="1"/>
  <c r="BF36" i="3"/>
  <c r="AY37" i="3"/>
  <c r="AP35" i="3"/>
  <c r="U35" i="3"/>
  <c r="AQ35" i="3"/>
  <c r="AZ35" i="3"/>
  <c r="BA35" i="3" s="1"/>
  <c r="BB35" i="3" s="1"/>
  <c r="AQ34" i="3"/>
  <c r="AZ34" i="3"/>
  <c r="BA34" i="3" s="1"/>
  <c r="BB34" i="3" s="1"/>
  <c r="AK40" i="3"/>
  <c r="AL39" i="3"/>
  <c r="AM39" i="3" s="1"/>
  <c r="BJ39" i="3" s="1"/>
  <c r="AT35" i="3"/>
  <c r="AT34" i="3"/>
  <c r="X36" i="3"/>
  <c r="Z35" i="3"/>
  <c r="AA35" i="3" s="1"/>
  <c r="M38" i="3"/>
  <c r="K38" i="3"/>
  <c r="AG38" i="3" s="1"/>
  <c r="AH38" i="3" s="1"/>
  <c r="J37" i="3"/>
  <c r="I38" i="3"/>
  <c r="AV38" i="3" s="1"/>
  <c r="BL38" i="3" s="1"/>
  <c r="T36" i="3"/>
  <c r="L37" i="3"/>
  <c r="BG37" i="3" s="1"/>
  <c r="V37" i="3"/>
  <c r="W37" i="3" s="1"/>
  <c r="Y37" i="3" s="1"/>
  <c r="N37" i="3"/>
  <c r="BH37" i="3" s="1"/>
  <c r="C39" i="3"/>
  <c r="B40" i="3"/>
  <c r="AF40" i="3" s="1"/>
  <c r="G38" i="3"/>
  <c r="H38" i="3" s="1"/>
  <c r="D39" i="3"/>
  <c r="E39" i="3" s="1"/>
  <c r="F39" i="3" s="1"/>
  <c r="AR39" i="3" s="1"/>
  <c r="AS39" i="3" s="1"/>
  <c r="AB35" i="3" l="1"/>
  <c r="AC35" i="3" s="1"/>
  <c r="AD35" i="3"/>
  <c r="AO40" i="3"/>
  <c r="BK39" i="3"/>
  <c r="AW37" i="3"/>
  <c r="AX37" i="3" s="1"/>
  <c r="BF37" i="3"/>
  <c r="AY38" i="3"/>
  <c r="AP36" i="3"/>
  <c r="U36" i="3"/>
  <c r="AQ36" i="3"/>
  <c r="AZ36" i="3"/>
  <c r="BA36" i="3" s="1"/>
  <c r="BB36" i="3" s="1"/>
  <c r="AK41" i="3"/>
  <c r="AL40" i="3"/>
  <c r="AM40" i="3" s="1"/>
  <c r="BJ40" i="3" s="1"/>
  <c r="AT36" i="3"/>
  <c r="X37" i="3"/>
  <c r="Z36" i="3"/>
  <c r="AA36" i="3" s="1"/>
  <c r="M39" i="3"/>
  <c r="K39" i="3"/>
  <c r="AG39" i="3" s="1"/>
  <c r="AH39" i="3" s="1"/>
  <c r="J38" i="3"/>
  <c r="I39" i="3"/>
  <c r="AV39" i="3" s="1"/>
  <c r="BL39" i="3" s="1"/>
  <c r="T37" i="3"/>
  <c r="L38" i="3"/>
  <c r="BG38" i="3" s="1"/>
  <c r="V38" i="3"/>
  <c r="W38" i="3" s="1"/>
  <c r="Y38" i="3" s="1"/>
  <c r="N38" i="3"/>
  <c r="BH38" i="3" s="1"/>
  <c r="C40" i="3"/>
  <c r="B41" i="3"/>
  <c r="AF41" i="3" s="1"/>
  <c r="G39" i="3"/>
  <c r="H39" i="3" s="1"/>
  <c r="D40" i="3"/>
  <c r="E40" i="3" s="1"/>
  <c r="F40" i="3" s="1"/>
  <c r="AR40" i="3" s="1"/>
  <c r="AS40" i="3" s="1"/>
  <c r="AB36" i="3" l="1"/>
  <c r="AC36" i="3" s="1"/>
  <c r="AD36" i="3"/>
  <c r="AO41" i="3"/>
  <c r="BK40" i="3"/>
  <c r="AW38" i="3"/>
  <c r="AX38" i="3" s="1"/>
  <c r="BF38" i="3"/>
  <c r="AY39" i="3"/>
  <c r="AP37" i="3"/>
  <c r="U37" i="3"/>
  <c r="AQ37" i="3"/>
  <c r="AZ37" i="3"/>
  <c r="BA37" i="3" s="1"/>
  <c r="BB37" i="3" s="1"/>
  <c r="AK42" i="3"/>
  <c r="AL41" i="3"/>
  <c r="AM41" i="3" s="1"/>
  <c r="BJ41" i="3" s="1"/>
  <c r="AT37" i="3"/>
  <c r="X38" i="3"/>
  <c r="Z37" i="3"/>
  <c r="AA37" i="3" s="1"/>
  <c r="M40" i="3"/>
  <c r="K40" i="3"/>
  <c r="AG40" i="3" s="1"/>
  <c r="AH40" i="3" s="1"/>
  <c r="J39" i="3"/>
  <c r="I40" i="3"/>
  <c r="AV40" i="3" s="1"/>
  <c r="BL40" i="3" s="1"/>
  <c r="T38" i="3"/>
  <c r="L39" i="3"/>
  <c r="BG39" i="3" s="1"/>
  <c r="V39" i="3"/>
  <c r="W39" i="3" s="1"/>
  <c r="Y39" i="3" s="1"/>
  <c r="N39" i="3"/>
  <c r="BH39" i="3" s="1"/>
  <c r="C41" i="3"/>
  <c r="B42" i="3"/>
  <c r="AF42" i="3" s="1"/>
  <c r="G40" i="3"/>
  <c r="H40" i="3" s="1"/>
  <c r="D41" i="3"/>
  <c r="E41" i="3" s="1"/>
  <c r="F41" i="3" s="1"/>
  <c r="AR41" i="3" s="1"/>
  <c r="AS41" i="3" s="1"/>
  <c r="AB37" i="3" l="1"/>
  <c r="AC37" i="3" s="1"/>
  <c r="AD37" i="3"/>
  <c r="AO42" i="3"/>
  <c r="BK41" i="3"/>
  <c r="AW39" i="3"/>
  <c r="AX39" i="3" s="1"/>
  <c r="BF39" i="3"/>
  <c r="AY40" i="3"/>
  <c r="AP38" i="3"/>
  <c r="U38" i="3"/>
  <c r="AQ38" i="3"/>
  <c r="AZ38" i="3"/>
  <c r="BA38" i="3" s="1"/>
  <c r="BB38" i="3" s="1"/>
  <c r="AK43" i="3"/>
  <c r="AL43" i="3" s="1"/>
  <c r="AL42" i="3"/>
  <c r="AM42" i="3" s="1"/>
  <c r="BJ42" i="3" s="1"/>
  <c r="AT38" i="3"/>
  <c r="X39" i="3"/>
  <c r="Z38" i="3"/>
  <c r="AA38" i="3" s="1"/>
  <c r="M41" i="3"/>
  <c r="K41" i="3"/>
  <c r="AG41" i="3" s="1"/>
  <c r="AH41" i="3" s="1"/>
  <c r="J40" i="3"/>
  <c r="I41" i="3"/>
  <c r="AV41" i="3" s="1"/>
  <c r="BL41" i="3" s="1"/>
  <c r="T39" i="3"/>
  <c r="L40" i="3"/>
  <c r="BG40" i="3" s="1"/>
  <c r="V40" i="3"/>
  <c r="W40" i="3" s="1"/>
  <c r="Y40" i="3" s="1"/>
  <c r="N40" i="3"/>
  <c r="BH40" i="3" s="1"/>
  <c r="C42" i="3"/>
  <c r="B43" i="3"/>
  <c r="AF43" i="3" s="1"/>
  <c r="G41" i="3"/>
  <c r="H41" i="3" s="1"/>
  <c r="D42" i="3"/>
  <c r="E42" i="3" s="1"/>
  <c r="F42" i="3" s="1"/>
  <c r="AR42" i="3" s="1"/>
  <c r="AS42" i="3" s="1"/>
  <c r="AB38" i="3" l="1"/>
  <c r="AC38" i="3" s="1"/>
  <c r="AD38" i="3"/>
  <c r="AO43" i="3"/>
  <c r="BK43" i="3" s="1"/>
  <c r="BK42" i="3"/>
  <c r="AW40" i="3"/>
  <c r="AX40" i="3" s="1"/>
  <c r="BF40" i="3"/>
  <c r="AY41" i="3"/>
  <c r="AP39" i="3"/>
  <c r="U39" i="3"/>
  <c r="AQ39" i="3"/>
  <c r="AZ39" i="3"/>
  <c r="BA39" i="3" s="1"/>
  <c r="BB39" i="3" s="1"/>
  <c r="AM43" i="3"/>
  <c r="BJ43" i="3" s="1"/>
  <c r="AT39" i="3"/>
  <c r="X40" i="3"/>
  <c r="Z39" i="3"/>
  <c r="AA39" i="3" s="1"/>
  <c r="C43" i="3"/>
  <c r="M42" i="3"/>
  <c r="K42" i="3"/>
  <c r="AG42" i="3" s="1"/>
  <c r="AH42" i="3" s="1"/>
  <c r="J41" i="3"/>
  <c r="I42" i="3"/>
  <c r="AV42" i="3" s="1"/>
  <c r="BL42" i="3" s="1"/>
  <c r="T40" i="3"/>
  <c r="L41" i="3"/>
  <c r="BG41" i="3" s="1"/>
  <c r="V41" i="3"/>
  <c r="W41" i="3" s="1"/>
  <c r="Y41" i="3" s="1"/>
  <c r="N41" i="3"/>
  <c r="BH41" i="3" s="1"/>
  <c r="G42" i="3"/>
  <c r="H42" i="3" s="1"/>
  <c r="D43" i="3"/>
  <c r="E43" i="3" s="1"/>
  <c r="F43" i="3" s="1"/>
  <c r="AR43" i="3" s="1"/>
  <c r="AS43" i="3" s="1"/>
  <c r="AB39" i="3" l="1"/>
  <c r="AC39" i="3" s="1"/>
  <c r="AD39" i="3"/>
  <c r="AW41" i="3"/>
  <c r="AX41" i="3" s="1"/>
  <c r="BF41" i="3"/>
  <c r="AY42" i="3"/>
  <c r="AP40" i="3"/>
  <c r="U40" i="3"/>
  <c r="AQ40" i="3"/>
  <c r="AZ40" i="3"/>
  <c r="BA40" i="3" s="1"/>
  <c r="BB40" i="3" s="1"/>
  <c r="AT40" i="3"/>
  <c r="G43" i="3"/>
  <c r="H43" i="3" s="1"/>
  <c r="X41" i="3"/>
  <c r="Z40" i="3"/>
  <c r="AA40" i="3" s="1"/>
  <c r="M43" i="3"/>
  <c r="K43" i="3"/>
  <c r="AG43" i="3" s="1"/>
  <c r="AH43" i="3" s="1"/>
  <c r="J42" i="3"/>
  <c r="I43" i="3"/>
  <c r="T41" i="3"/>
  <c r="L42" i="3"/>
  <c r="BG42" i="3" s="1"/>
  <c r="V42" i="3"/>
  <c r="W42" i="3" s="1"/>
  <c r="Y42" i="3" s="1"/>
  <c r="N42" i="3"/>
  <c r="BH42" i="3" s="1"/>
  <c r="AB40" i="3" l="1"/>
  <c r="AC40" i="3" s="1"/>
  <c r="AD40" i="3"/>
  <c r="AW42" i="3"/>
  <c r="AX42" i="3" s="1"/>
  <c r="BF42" i="3"/>
  <c r="AP41" i="3"/>
  <c r="U41" i="3"/>
  <c r="AQ41" i="3"/>
  <c r="AZ41" i="3"/>
  <c r="BA41" i="3" s="1"/>
  <c r="BB41" i="3" s="1"/>
  <c r="J43" i="3"/>
  <c r="AV43" i="3"/>
  <c r="BL43" i="3" s="1"/>
  <c r="AT41" i="3"/>
  <c r="X42" i="3"/>
  <c r="Z41" i="3"/>
  <c r="AA41" i="3" s="1"/>
  <c r="T42" i="3"/>
  <c r="L43" i="3"/>
  <c r="BG43" i="3" s="1"/>
  <c r="V43" i="3"/>
  <c r="W43" i="3" s="1"/>
  <c r="Y43" i="3" s="1"/>
  <c r="N43" i="3"/>
  <c r="BH43" i="3" s="1"/>
  <c r="AB41" i="3" l="1"/>
  <c r="AC41" i="3" s="1"/>
  <c r="AD41" i="3"/>
  <c r="AW43" i="3"/>
  <c r="BF43" i="3"/>
  <c r="AY43" i="3"/>
  <c r="AX43" i="3"/>
  <c r="AP42" i="3"/>
  <c r="U42" i="3"/>
  <c r="AQ42" i="3"/>
  <c r="AZ42" i="3"/>
  <c r="BA42" i="3" s="1"/>
  <c r="BB42" i="3" s="1"/>
  <c r="AT42" i="3"/>
  <c r="X43" i="3"/>
  <c r="Z43" i="3" s="1"/>
  <c r="Z42" i="3"/>
  <c r="AA42" i="3" s="1"/>
  <c r="T43" i="3"/>
  <c r="AB42" i="3" l="1"/>
  <c r="AC42" i="3" s="1"/>
  <c r="AD42" i="3"/>
  <c r="AP43" i="3"/>
  <c r="U43" i="3"/>
  <c r="AA43" i="3"/>
  <c r="AB43" i="3" l="1"/>
  <c r="AC43" i="3" s="1"/>
  <c r="AD43" i="3"/>
  <c r="AQ43" i="3"/>
  <c r="AZ43" i="3"/>
  <c r="BA43" i="3" s="1"/>
  <c r="BB43" i="3" s="1"/>
  <c r="AT43" i="3"/>
</calcChain>
</file>

<file path=xl/sharedStrings.xml><?xml version="1.0" encoding="utf-8"?>
<sst xmlns="http://schemas.openxmlformats.org/spreadsheetml/2006/main" count="113" uniqueCount="104">
  <si>
    <t>Global Parameters</t>
  </si>
  <si>
    <t>Parameter</t>
  </si>
  <si>
    <t>Value</t>
  </si>
  <si>
    <t>Annual Stock Market Gain %</t>
  </si>
  <si>
    <t>Own - Home Cost</t>
  </si>
  <si>
    <t>Down Payment % / Initial Investment %</t>
  </si>
  <si>
    <t>Own - Annual Home Appreciation %</t>
  </si>
  <si>
    <t>This should be calibrated to the location and type of property, because 3% is not true across the board (ex: apts vs houses), and also be sure to consider past / future mortgage rates to explain past / predict future market behaviors</t>
  </si>
  <si>
    <t>Own - Property Tax %</t>
  </si>
  <si>
    <t>Own - Maint/Reno/Misc %</t>
  </si>
  <si>
    <t>Own - Mortgage Interest Rate %</t>
  </si>
  <si>
    <t>Own - Buying Closing Cost %</t>
  </si>
  <si>
    <t>There are a lot of little pieces to this that add up, like attorney fees, title insurance, etc.</t>
  </si>
  <si>
    <t>As Home (to Live in) Parameters</t>
  </si>
  <si>
    <t>Monthly Rent Cost</t>
  </si>
  <si>
    <t>Annual Rent Hike %</t>
  </si>
  <si>
    <t>Own vs Rent Income Savings Reinvestment %</t>
  </si>
  <si>
    <t>As Investment (Not to Live in) Parameters</t>
  </si>
  <si>
    <t>Own - Rental Starting Rent</t>
  </si>
  <si>
    <t>Own - Rental Annual Rent Hike %</t>
  </si>
  <si>
    <t>Own - Rental Avg Annual Months Occupied</t>
  </si>
  <si>
    <t>Own - Monthly Property Management Fee</t>
  </si>
  <si>
    <t>Own - Seller Closing Cost %</t>
  </si>
  <si>
    <t>Own - Appreciation Gain Tax %</t>
  </si>
  <si>
    <t xml:space="preserve">Actually let's ignore this for now since we're not also looking at stock market gains tax (it's difficult to compare because the rental we'd want to sell once initial leverage less impactful but stocks we'd want not to sell so that gains compound). Sale tax will be applied in both cases, even if not necessarily equally, but that's more difficult to handle because of what was just said, and that appreciation tax is applied to that one component of gains while stock market gains tax is on the entire gain. However, the seller closing cost is only on one side, so we will keep that parameter. Also note that there's rental income tax throughout the life of the rental that adds a difficult to precisely estimate cost to that side. That's not a sale-related cost though. </t>
  </si>
  <si>
    <t>Calculation</t>
  </si>
  <si>
    <t>Down Payment Amount</t>
  </si>
  <si>
    <t>Own Buying Closing Cost Amount</t>
  </si>
  <si>
    <t>Initial Stock Market Investment Amount</t>
  </si>
  <si>
    <t>Annual Rental Property Manager Cost</t>
  </si>
  <si>
    <t>Renting</t>
  </si>
  <si>
    <t>Owning</t>
  </si>
  <si>
    <t>Actual Monthly Costs</t>
  </si>
  <si>
    <t>Purely as Investment Property, Not to Live In</t>
  </si>
  <si>
    <t>( Max might indicate when selling makes most sense)</t>
  </si>
  <si>
    <t>Copies of Cumulatives Just for Rental Breakout</t>
  </si>
  <si>
    <t>Year</t>
  </si>
  <si>
    <t>Annual Rent Cost</t>
  </si>
  <si>
    <t>Cumulative Rent Cost</t>
  </si>
  <si>
    <t>Stock Market Balance</t>
  </si>
  <si>
    <t>Stock Gains</t>
  </si>
  <si>
    <t>Cumulative Stock Gains</t>
  </si>
  <si>
    <t>Rent Net Made</t>
  </si>
  <si>
    <t>Rent Cumulative ROI</t>
  </si>
  <si>
    <t>Home Value</t>
  </si>
  <si>
    <t>Cumulative Appreciation</t>
  </si>
  <si>
    <t>Property Tax Cost</t>
  </si>
  <si>
    <t>Cumulative Property Tax Cost</t>
  </si>
  <si>
    <t>Maint/Reno/Misc Cost</t>
  </si>
  <si>
    <t>Cumulative Maint/Reno/Misc Cost</t>
  </si>
  <si>
    <t>Mortgage Cost</t>
  </si>
  <si>
    <t>Cumulative Mortgage Cost</t>
  </si>
  <si>
    <t>Mortgage Principle</t>
  </si>
  <si>
    <t>Mortgage Interest</t>
  </si>
  <si>
    <t>Cumulative Mortgage Interest</t>
  </si>
  <si>
    <t>Own Net Made</t>
  </si>
  <si>
    <t>Own Cumulative ROI</t>
  </si>
  <si>
    <t xml:space="preserve"> Income Savings vs Rent</t>
  </si>
  <si>
    <t>Income Savings Reinvested</t>
  </si>
  <si>
    <t>Cumulative Income Reinvested</t>
  </si>
  <si>
    <t>Stock Market Gains</t>
  </si>
  <si>
    <t>Own With Reinvestment Net Made</t>
  </si>
  <si>
    <t>Own With Reinvestment Cumulative ROI</t>
  </si>
  <si>
    <t>Gap in ROI - Own with Reinvestment vs Rent</t>
  </si>
  <si>
    <t>Own with Reinv If Sold in Year Net Made</t>
  </si>
  <si>
    <t>Rent Avg Monthly Cost</t>
  </si>
  <si>
    <t>Own Avg Monthly Cost</t>
  </si>
  <si>
    <t>Year Where Rent First Costs More</t>
  </si>
  <si>
    <t>Monthly Rent Amount</t>
  </si>
  <si>
    <t>Rental Income</t>
  </si>
  <si>
    <t>Cumulative Rental Income</t>
  </si>
  <si>
    <t>Property Manager Costs</t>
  </si>
  <si>
    <t>Cumulative Property Manager Costs</t>
  </si>
  <si>
    <t>Rental Net Made</t>
  </si>
  <si>
    <t>Rental Cumulative ROI</t>
  </si>
  <si>
    <t>Pure Stock Market Net Made</t>
  </si>
  <si>
    <t>Pure Stock Market Cumulative ROI</t>
  </si>
  <si>
    <t>Gap in ROI Rental vs Stocks</t>
  </si>
  <si>
    <t>Rental Income Tax</t>
  </si>
  <si>
    <t>If Sold - Seller Closing Costs</t>
  </si>
  <si>
    <t>If Sold - Appreciation Gains Tax</t>
  </si>
  <si>
    <t>ORIG If Sold - Total Seller Costs</t>
  </si>
  <si>
    <t>If Sold - Total Seller Costs</t>
  </si>
  <si>
    <t>Rental If Sold In Year Net Made</t>
  </si>
  <si>
    <t>Rental If Sold Cumulative ROI</t>
  </si>
  <si>
    <t>Gap in ROI Upon Selling</t>
  </si>
  <si>
    <t>Appreciation</t>
  </si>
  <si>
    <t>Property Tax</t>
  </si>
  <si>
    <t>Maintenance</t>
  </si>
  <si>
    <t>Property Management</t>
  </si>
  <si>
    <t>Closing Costs</t>
  </si>
  <si>
    <t>Let's ignore for now,</t>
  </si>
  <si>
    <t>depends on person's</t>
  </si>
  <si>
    <t>income bracket too</t>
  </si>
  <si>
    <t>Notes</t>
  </si>
  <si>
    <t xml:space="preserve">The principle portion included in the mortgage, that is the property sale amount minus the down payment, is not considered made or paid here. That is because it is both, and neither. It is made in real estate assets and paid in cash as part of the mortgage. It is neither, because it is just moving cash to a different asset. The investor has not "made" anything by doing so. This same idea applies to the initial investment. The question being answered here is whether the initial investment, from cash to either stocks or property, leads to more gains / less overall cost, compared to one another. It's irrelevant how much you end up with in individual assets with either investment, because you spend to get there. </t>
  </si>
  <si>
    <t xml:space="preserve">The rent amount doesn't necessarily need to be equivelent to the going rate for the home value. You can enter a cheaper rent amount because you wouldn't really rent out a place as big or special as you'd buy. It's still a useful comparison. </t>
  </si>
  <si>
    <t xml:space="preserve">I was going to add a third line that is owning but reinvesting your income savings compared to rent in the stock market. The problem there is that, with a mortgage, some months can cost more while owning, so do you then allow the rent side to invest that incremental money? It isn't reasonable to do also because you don't know that you'll have the freedom in either case to invest all of the savings into the stock market, let alone keep it there indefinitely compounding gains. So it's best to ignore this option. Update: I added a separate line to look at owning with income reinvestment, where you take a percentage (adjustable in the model) of the yearly income you saved by buying instead of renting, and put it into the stock market. As mentioned though, there are a lot of assumptions made in creating this that may not be realistic. One is that you can actually afford to reinvest the amount you've set. Another is that during the early years, where depending on the values set, you might end up paying less per month/year on rent vs owning, I'm assuming you can't afford to reinvest that "saved" income compared to the alternative. So this is biased against the renter, but in general I feel like this might be more realistic, since rent is already high enough to leave you with less room for extra reinvestment. Note that this does not imply you don't invest in stocks while renting, just that during those periods, you wouldn't invest more than you would if you had bought. It's the incremental investment that we consider. However, maybe this should be changed to also allow incremental stock investing for the rent side, because we shouldn't be comparing options where only one is viable. If the own case is affordable even if higher monthly costs, then that gap in income should be capitalized on by the renter. I think if you do this, have both split out, just like for the own case. </t>
  </si>
  <si>
    <t xml:space="preserve">An interesting philosophy heard: "Apartments you rent and houses you buy". The idea being that in apartments, you still have neighbors stomping on top of you, and you have people all over you and affecting you, and telling you what to do in one way or another, and that this is not something to get tied to. But this is not true for everyone or every apartment/house, and of course all things are nuanced. </t>
  </si>
  <si>
    <t xml:space="preserve">Every single parameter you minutely tweak has incredible impact. If you double the down payment percent, suddenly renting can seem so much better, but then you drop the expected stock market gains by 1% and rent seems to be an awful choice again. Yet interestingly, for cheap enough places, higher down payments are better than lower ones! I had initially attempted to boil it down to a simple ratio or couple of ratios that are the biggest drivers of whether one beats the other. The truth is that every single factor matters, greatly. And not just in the "well how much better is owning than renting?" way, but actually changing which comes out on top. In certain cases, as mentioned for sufficiently expensive places, a big factor is leverage. For those, the larger the down payment, the worse ownership performs, because you earn appreciation on the full amount of the home value whether you've paid for it or not. But as mentioned, this doesn't seem to always hold, as you'll see if you lower the price of the property. In general, having money locked up in real estate is bad. It doesn't appreciate nearly as quickly as stocks, and brings with it property taxes and more. So it seems that all things considered, a cheaper place will be more financially advantageous than an expensive place. Again, all factors play a role, including the price of the place and mortgage rate and down payment % and everything else. Also note that of course the case of "simply invest and don't buy or rent" isn't considered, even though it would beat everything, because you need to live somewhere. Also, a lot of what I described here is different for living vs investing. Leverage is more impactful in the latter case, and higher down payments are more of an issue. </t>
  </si>
  <si>
    <t xml:space="preserve">The "if sold" cases assume that you sold for the exact home value you calculated at that time. But this is not always the case. It can be higher or lower. Generally, when interest rates go down, prices go up, and vice versa. </t>
  </si>
  <si>
    <t>Helpful Reference - Wealthfront Historical ROI: https://www.wealthfront.com/historical-performance</t>
  </si>
  <si>
    <t>Mortgage Term - right not assumes only 30 years</t>
  </si>
  <si>
    <t>Non-fixed interest spread - should be higher in early mortgage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</si>
</sst>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font>
      <sz val="11"/>
      <color theme="1"/>
      <name val="Aptos Narrow"/>
      <family val="2"/>
      <scheme val="minor"/>
    </font>
    <font>
      <sz val="11"/>
      <color rgb="FF242424"/>
      <name val="Aptos Narrow"/>
      <charset val="1"/>
    </font>
    <font>
      <b/>
      <sz val="11"/>
      <color theme="1"/>
      <name val="Aptos Narrow"/>
      <family val="2"/>
      <scheme val="minor"/>
    </font>
    <font>
      <sz val="11"/>
      <color rgb="FF000000"/>
      <name val="Aptos Narrow"/>
      <charset val="1"/>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xf numFmtId="164" fontId="0" fillId="0" borderId="2" xfId="0" applyNumberFormat="1" applyBorder="1"/>
    <xf numFmtId="164" fontId="0" fillId="0" borderId="0" xfId="0" applyNumberFormat="1"/>
    <xf numFmtId="164" fontId="0" fillId="0" borderId="1" xfId="0" applyNumberFormat="1" applyBorder="1"/>
    <xf numFmtId="165" fontId="0" fillId="0" borderId="2" xfId="0" applyNumberFormat="1" applyBorder="1"/>
    <xf numFmtId="0" fontId="0" fillId="0" borderId="0" xfId="0" applyAlignment="1">
      <alignment wrapText="1"/>
    </xf>
    <xf numFmtId="0" fontId="0" fillId="0" borderId="2" xfId="0" applyBorder="1"/>
    <xf numFmtId="1" fontId="0" fillId="0" borderId="1" xfId="0" applyNumberFormat="1" applyBorder="1"/>
    <xf numFmtId="0" fontId="0" fillId="0" borderId="0" xfId="0" applyAlignment="1">
      <alignment horizontal="center"/>
    </xf>
    <xf numFmtId="0" fontId="2" fillId="0" borderId="0" xfId="0" applyFont="1"/>
    <xf numFmtId="164" fontId="2" fillId="0" borderId="1" xfId="0" applyNumberFormat="1" applyFont="1" applyBorder="1" applyAlignment="1">
      <alignment wrapText="1"/>
    </xf>
    <xf numFmtId="164" fontId="2" fillId="0" borderId="0" xfId="0" applyNumberFormat="1" applyFont="1"/>
    <xf numFmtId="164" fontId="2" fillId="0" borderId="1" xfId="0" applyNumberFormat="1" applyFont="1" applyBorder="1"/>
    <xf numFmtId="0" fontId="2" fillId="0" borderId="1" xfId="0" applyFont="1" applyBorder="1" applyAlignment="1">
      <alignment wrapText="1"/>
    </xf>
    <xf numFmtId="0" fontId="2" fillId="0" borderId="0" xfId="0" applyFont="1" applyAlignment="1">
      <alignment wrapText="1"/>
    </xf>
    <xf numFmtId="0" fontId="2" fillId="2" borderId="3" xfId="0" applyFont="1" applyFill="1" applyBorder="1"/>
    <xf numFmtId="164" fontId="2" fillId="0" borderId="4" xfId="0" applyNumberFormat="1" applyFont="1" applyBorder="1"/>
    <xf numFmtId="164" fontId="2" fillId="0" borderId="3" xfId="0" applyNumberFormat="1" applyFont="1" applyBorder="1" applyAlignment="1">
      <alignment wrapText="1"/>
    </xf>
    <xf numFmtId="164" fontId="2" fillId="2" borderId="3" xfId="0" applyNumberFormat="1" applyFont="1" applyFill="1" applyBorder="1" applyAlignment="1">
      <alignment wrapText="1"/>
    </xf>
    <xf numFmtId="164" fontId="2" fillId="0" borderId="3" xfId="0" applyNumberFormat="1" applyFont="1" applyBorder="1"/>
    <xf numFmtId="0" fontId="2" fillId="0" borderId="3" xfId="0" applyFont="1" applyBorder="1"/>
    <xf numFmtId="0" fontId="2" fillId="0" borderId="3" xfId="0" applyFont="1" applyBorder="1" applyAlignment="1">
      <alignment wrapText="1"/>
    </xf>
    <xf numFmtId="0" fontId="2" fillId="3" borderId="4" xfId="0" applyFont="1" applyFill="1" applyBorder="1" applyAlignment="1">
      <alignment wrapText="1"/>
    </xf>
    <xf numFmtId="0" fontId="2" fillId="3" borderId="3" xfId="0" applyFont="1" applyFill="1" applyBorder="1" applyAlignment="1">
      <alignment wrapText="1"/>
    </xf>
    <xf numFmtId="0" fontId="0" fillId="0" borderId="5" xfId="0" applyBorder="1"/>
    <xf numFmtId="165" fontId="0" fillId="0" borderId="5" xfId="0" applyNumberFormat="1" applyBorder="1"/>
    <xf numFmtId="0" fontId="2" fillId="0" borderId="2" xfId="0" applyFont="1" applyBorder="1"/>
    <xf numFmtId="164" fontId="0" fillId="0" borderId="6" xfId="0" applyNumberFormat="1" applyBorder="1"/>
    <xf numFmtId="164" fontId="1" fillId="0" borderId="6" xfId="0" applyNumberFormat="1" applyFont="1" applyBorder="1"/>
    <xf numFmtId="0" fontId="2" fillId="4" borderId="3" xfId="0" applyFont="1" applyFill="1" applyBorder="1" applyAlignment="1">
      <alignment wrapText="1"/>
    </xf>
    <xf numFmtId="165" fontId="2" fillId="0" borderId="0" xfId="0" applyNumberFormat="1" applyFont="1"/>
    <xf numFmtId="165" fontId="0" fillId="0" borderId="0" xfId="0" applyNumberFormat="1"/>
    <xf numFmtId="165" fontId="2" fillId="0" borderId="3" xfId="0" applyNumberFormat="1" applyFont="1" applyBorder="1" applyAlignment="1">
      <alignment wrapText="1"/>
    </xf>
    <xf numFmtId="165" fontId="2" fillId="0" borderId="3" xfId="0" applyNumberFormat="1" applyFont="1" applyBorder="1"/>
    <xf numFmtId="164" fontId="0" fillId="0" borderId="5" xfId="0" applyNumberFormat="1" applyBorder="1"/>
    <xf numFmtId="0" fontId="0" fillId="0" borderId="6" xfId="0" applyBorder="1"/>
    <xf numFmtId="164" fontId="2" fillId="0" borderId="2" xfId="0" applyNumberFormat="1" applyFont="1" applyBorder="1"/>
    <xf numFmtId="0" fontId="0" fillId="0" borderId="2" xfId="0" applyBorder="1" applyAlignment="1">
      <alignment wrapText="1"/>
    </xf>
    <xf numFmtId="0" fontId="2" fillId="5" borderId="3" xfId="0" applyFont="1" applyFill="1" applyBorder="1"/>
    <xf numFmtId="165" fontId="0" fillId="0" borderId="0" xfId="0" applyNumberFormat="1" applyAlignment="1">
      <alignment wrapText="1"/>
    </xf>
    <xf numFmtId="0" fontId="3" fillId="0" borderId="0" xfId="0" applyFont="1"/>
    <xf numFmtId="0" fontId="3" fillId="0" borderId="0" xfId="0" applyFont="1" applyAlignment="1">
      <alignment wrapText="1"/>
    </xf>
    <xf numFmtId="164" fontId="2" fillId="4" borderId="3" xfId="0" applyNumberFormat="1" applyFont="1" applyFill="1" applyBorder="1" applyAlignment="1">
      <alignment wrapText="1"/>
    </xf>
    <xf numFmtId="0" fontId="3" fillId="0" borderId="5" xfId="0" applyFont="1" applyBorder="1"/>
    <xf numFmtId="1" fontId="2" fillId="0" borderId="1" xfId="0" applyNumberFormat="1" applyFont="1" applyBorder="1" applyAlignment="1">
      <alignment horizontal="left" wrapText="1"/>
    </xf>
    <xf numFmtId="1" fontId="2" fillId="0" borderId="4" xfId="0" applyNumberFormat="1" applyFont="1" applyBorder="1" applyAlignment="1">
      <alignment horizontal="left"/>
    </xf>
    <xf numFmtId="1" fontId="0" fillId="0" borderId="0" xfId="0" applyNumberFormat="1" applyAlignment="1">
      <alignment horizontal="left"/>
    </xf>
    <xf numFmtId="1" fontId="0" fillId="0" borderId="1" xfId="0" applyNumberFormat="1" applyBorder="1" applyAlignment="1">
      <alignment horizontal="right"/>
    </xf>
    <xf numFmtId="164" fontId="2" fillId="6" borderId="3" xfId="0" applyNumberFormat="1" applyFont="1" applyFill="1" applyBorder="1"/>
    <xf numFmtId="164" fontId="0" fillId="6" borderId="0" xfId="0" applyNumberFormat="1" applyFill="1"/>
    <xf numFmtId="164" fontId="2" fillId="6" borderId="3" xfId="0" applyNumberFormat="1" applyFont="1" applyFill="1" applyBorder="1" applyAlignment="1">
      <alignment wrapText="1"/>
    </xf>
    <xf numFmtId="0" fontId="0" fillId="6" borderId="2" xfId="0" applyFill="1" applyBorder="1"/>
    <xf numFmtId="165" fontId="0" fillId="6" borderId="2" xfId="0" applyNumberFormat="1" applyFill="1" applyBorder="1"/>
    <xf numFmtId="1" fontId="2" fillId="0" borderId="1" xfId="0" applyNumberFormat="1" applyFont="1" applyBorder="1"/>
    <xf numFmtId="165" fontId="2" fillId="2" borderId="3" xfId="0" applyNumberFormat="1"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Table!$AF$3:$AF$13</c:f>
              <c:numCache>
                <c:formatCode>"$"#,##0</c:formatCode>
                <c:ptCount val="11"/>
                <c:pt idx="0">
                  <c:v>0</c:v>
                </c:pt>
                <c:pt idx="1">
                  <c:v>2400</c:v>
                </c:pt>
                <c:pt idx="2">
                  <c:v>2448</c:v>
                </c:pt>
                <c:pt idx="3">
                  <c:v>2496.96</c:v>
                </c:pt>
                <c:pt idx="4">
                  <c:v>2546.8992000000003</c:v>
                </c:pt>
                <c:pt idx="5">
                  <c:v>2597.8371840000004</c:v>
                </c:pt>
                <c:pt idx="6">
                  <c:v>2649.7939276800003</c:v>
                </c:pt>
                <c:pt idx="7">
                  <c:v>2702.7898062336003</c:v>
                </c:pt>
                <c:pt idx="8">
                  <c:v>2756.8456023582726</c:v>
                </c:pt>
                <c:pt idx="9">
                  <c:v>2811.982514405438</c:v>
                </c:pt>
                <c:pt idx="10">
                  <c:v>2868.2221646935468</c:v>
                </c:pt>
              </c:numCache>
            </c:numRef>
          </c:val>
          <c:smooth val="0"/>
          <c:extLst>
            <c:ext xmlns:c16="http://schemas.microsoft.com/office/drawing/2014/chart" uri="{C3380CC4-5D6E-409C-BE32-E72D297353CC}">
              <c16:uniqueId val="{00000006-E3E2-4279-9C4A-BFE52211F401}"/>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Table!$AG$3:$AG$13</c:f>
              <c:numCache>
                <c:formatCode>"$"#,##0</c:formatCode>
                <c:ptCount val="11"/>
                <c:pt idx="0">
                  <c:v>1125</c:v>
                </c:pt>
                <c:pt idx="1">
                  <c:v>656.25</c:v>
                </c:pt>
                <c:pt idx="2">
                  <c:v>669.375</c:v>
                </c:pt>
                <c:pt idx="3">
                  <c:v>682.76249999999993</c:v>
                </c:pt>
                <c:pt idx="4">
                  <c:v>696.41775000000007</c:v>
                </c:pt>
                <c:pt idx="5">
                  <c:v>710.34610500000008</c:v>
                </c:pt>
                <c:pt idx="6">
                  <c:v>724.55302710000012</c:v>
                </c:pt>
                <c:pt idx="7">
                  <c:v>739.04408764200014</c:v>
                </c:pt>
                <c:pt idx="8">
                  <c:v>753.8249693948402</c:v>
                </c:pt>
                <c:pt idx="9">
                  <c:v>768.90146878273697</c:v>
                </c:pt>
                <c:pt idx="10">
                  <c:v>784.27949815839168</c:v>
                </c:pt>
              </c:numCache>
            </c:numRef>
          </c:val>
          <c:smooth val="0"/>
          <c:extLst>
            <c:ext xmlns:c16="http://schemas.microsoft.com/office/drawing/2014/chart" uri="{C3380CC4-5D6E-409C-BE32-E72D297353CC}">
              <c16:uniqueId val="{00000008-E3E2-4279-9C4A-BFE52211F40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Table!$AR$3:$AR$33</c:f>
              <c:numCache>
                <c:formatCode>"$"#,##0</c:formatCode>
                <c:ptCount val="31"/>
                <c:pt idx="0">
                  <c:v>0</c:v>
                </c:pt>
                <c:pt idx="1">
                  <c:v>16695.000000000029</c:v>
                </c:pt>
                <c:pt idx="2">
                  <c:v>34558.650000000023</c:v>
                </c:pt>
                <c:pt idx="3">
                  <c:v>53672.755500000028</c:v>
                </c:pt>
                <c:pt idx="4">
                  <c:v>74124.848385000078</c:v>
                </c:pt>
                <c:pt idx="5">
                  <c:v>96008.587771950115</c:v>
                </c:pt>
                <c:pt idx="6">
                  <c:v>119424.18891598663</c:v>
                </c:pt>
                <c:pt idx="7">
                  <c:v>144478.88214010571</c:v>
                </c:pt>
                <c:pt idx="8">
                  <c:v>171287.40388991311</c:v>
                </c:pt>
                <c:pt idx="9">
                  <c:v>199972.52216220705</c:v>
                </c:pt>
                <c:pt idx="10">
                  <c:v>230665.5987135616</c:v>
                </c:pt>
                <c:pt idx="11">
                  <c:v>263507.19062351092</c:v>
                </c:pt>
                <c:pt idx="12">
                  <c:v>298647.69396715669</c:v>
                </c:pt>
                <c:pt idx="13">
                  <c:v>336248.03254485771</c:v>
                </c:pt>
                <c:pt idx="14">
                  <c:v>376480.39482299774</c:v>
                </c:pt>
                <c:pt idx="15">
                  <c:v>419529.02246060758</c:v>
                </c:pt>
                <c:pt idx="16">
                  <c:v>465591.0540328502</c:v>
                </c:pt>
                <c:pt idx="17">
                  <c:v>514877.42781514977</c:v>
                </c:pt>
                <c:pt idx="18">
                  <c:v>567613.84776221029</c:v>
                </c:pt>
                <c:pt idx="19">
                  <c:v>624041.8171055651</c:v>
                </c:pt>
                <c:pt idx="20">
                  <c:v>684419.74430295476</c:v>
                </c:pt>
                <c:pt idx="21">
                  <c:v>749024.12640416168</c:v>
                </c:pt>
                <c:pt idx="22">
                  <c:v>818150.81525245309</c:v>
                </c:pt>
                <c:pt idx="23">
                  <c:v>892116.37232012488</c:v>
                </c:pt>
                <c:pt idx="24">
                  <c:v>971259.51838253369</c:v>
                </c:pt>
                <c:pt idx="25">
                  <c:v>1055942.6846693112</c:v>
                </c:pt>
                <c:pt idx="26">
                  <c:v>1146553.6725961631</c:v>
                </c:pt>
                <c:pt idx="27">
                  <c:v>1243507.4296778946</c:v>
                </c:pt>
                <c:pt idx="28">
                  <c:v>1347247.9497553473</c:v>
                </c:pt>
                <c:pt idx="29">
                  <c:v>1458250.3062382217</c:v>
                </c:pt>
                <c:pt idx="30">
                  <c:v>1577022.8276748974</c:v>
                </c:pt>
              </c:numCache>
            </c:numRef>
          </c:val>
          <c:smooth val="0"/>
          <c:extLst>
            <c:ext xmlns:c16="http://schemas.microsoft.com/office/drawing/2014/chart" uri="{C3380CC4-5D6E-409C-BE32-E72D297353CC}">
              <c16:uniqueId val="{00000006-E2EC-401C-A941-D08DC74817C5}"/>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Table!$AZ$3:$AZ$33</c:f>
              <c:numCache>
                <c:formatCode>"$"#,##0</c:formatCode>
                <c:ptCount val="31"/>
                <c:pt idx="0">
                  <c:v>-27000</c:v>
                </c:pt>
                <c:pt idx="1">
                  <c:v>-4770</c:v>
                </c:pt>
                <c:pt idx="2">
                  <c:v>17775.224999999999</c:v>
                </c:pt>
                <c:pt idx="3">
                  <c:v>40640.038875000013</c:v>
                </c:pt>
                <c:pt idx="4">
                  <c:v>63828.863668125021</c:v>
                </c:pt>
                <c:pt idx="5">
                  <c:v>87346.18031734688</c:v>
                </c:pt>
                <c:pt idx="6">
                  <c:v>111196.52939019106</c:v>
                </c:pt>
                <c:pt idx="7">
                  <c:v>135384.51182648962</c:v>
                </c:pt>
                <c:pt idx="8">
                  <c:v>159914.78968924153</c:v>
                </c:pt>
                <c:pt idx="9">
                  <c:v>184792.08692364182</c:v>
                </c:pt>
                <c:pt idx="10">
                  <c:v>210021.19012433931</c:v>
                </c:pt>
                <c:pt idx="11">
                  <c:v>235606.9493109842</c:v>
                </c:pt>
                <c:pt idx="12">
                  <c:v>261554.27871212427</c:v>
                </c:pt>
                <c:pt idx="13">
                  <c:v>287868.157557511</c:v>
                </c:pt>
                <c:pt idx="14">
                  <c:v>314553.63087887265</c:v>
                </c:pt>
                <c:pt idx="15">
                  <c:v>341615.81031921459</c:v>
                </c:pt>
                <c:pt idx="16">
                  <c:v>369059.87495070498</c:v>
                </c:pt>
                <c:pt idx="17">
                  <c:v>396891.07210120163</c:v>
                </c:pt>
                <c:pt idx="18">
                  <c:v>425114.71818948048</c:v>
                </c:pt>
                <c:pt idx="19">
                  <c:v>453736.19956921873</c:v>
                </c:pt>
                <c:pt idx="20">
                  <c:v>482760.97338179109</c:v>
                </c:pt>
                <c:pt idx="21">
                  <c:v>512194.56841793255</c:v>
                </c:pt>
                <c:pt idx="22">
                  <c:v>542042.58598832448</c:v>
                </c:pt>
                <c:pt idx="23">
                  <c:v>572310.70080315473</c:v>
                </c:pt>
                <c:pt idx="24">
                  <c:v>603004.66186070745</c:v>
                </c:pt>
                <c:pt idx="25">
                  <c:v>634130.29334503366</c:v>
                </c:pt>
                <c:pt idx="26">
                  <c:v>665693.49553275318</c:v>
                </c:pt>
                <c:pt idx="27">
                  <c:v>697700.24570903927</c:v>
                </c:pt>
                <c:pt idx="28">
                  <c:v>730156.59909283568</c:v>
                </c:pt>
                <c:pt idx="29">
                  <c:v>763068.6897713521</c:v>
                </c:pt>
                <c:pt idx="30">
                  <c:v>796442.73164388875</c:v>
                </c:pt>
              </c:numCache>
            </c:numRef>
          </c:val>
          <c:smooth val="0"/>
          <c:extLst>
            <c:ext xmlns:c16="http://schemas.microsoft.com/office/drawing/2014/chart" uri="{C3380CC4-5D6E-409C-BE32-E72D297353CC}">
              <c16:uniqueId val="{00000008-E2EC-401C-A941-D08DC74817C5}"/>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Table!$AR$3:$AR$43</c:f>
              <c:numCache>
                <c:formatCode>"$"#,##0</c:formatCode>
                <c:ptCount val="41"/>
                <c:pt idx="0">
                  <c:v>0</c:v>
                </c:pt>
                <c:pt idx="1">
                  <c:v>16695.000000000029</c:v>
                </c:pt>
                <c:pt idx="2">
                  <c:v>34558.650000000023</c:v>
                </c:pt>
                <c:pt idx="3">
                  <c:v>53672.755500000028</c:v>
                </c:pt>
                <c:pt idx="4">
                  <c:v>74124.848385000078</c:v>
                </c:pt>
                <c:pt idx="5">
                  <c:v>96008.587771950115</c:v>
                </c:pt>
                <c:pt idx="6">
                  <c:v>119424.18891598663</c:v>
                </c:pt>
                <c:pt idx="7">
                  <c:v>144478.88214010571</c:v>
                </c:pt>
                <c:pt idx="8">
                  <c:v>171287.40388991311</c:v>
                </c:pt>
                <c:pt idx="9">
                  <c:v>199972.52216220705</c:v>
                </c:pt>
                <c:pt idx="10">
                  <c:v>230665.5987135616</c:v>
                </c:pt>
                <c:pt idx="11">
                  <c:v>263507.19062351092</c:v>
                </c:pt>
                <c:pt idx="12">
                  <c:v>298647.69396715669</c:v>
                </c:pt>
                <c:pt idx="13">
                  <c:v>336248.03254485771</c:v>
                </c:pt>
                <c:pt idx="14">
                  <c:v>376480.39482299774</c:v>
                </c:pt>
                <c:pt idx="15">
                  <c:v>419529.02246060758</c:v>
                </c:pt>
                <c:pt idx="16">
                  <c:v>465591.0540328502</c:v>
                </c:pt>
                <c:pt idx="17">
                  <c:v>514877.42781514977</c:v>
                </c:pt>
                <c:pt idx="18">
                  <c:v>567613.84776221029</c:v>
                </c:pt>
                <c:pt idx="19">
                  <c:v>624041.8171055651</c:v>
                </c:pt>
                <c:pt idx="20">
                  <c:v>684419.74430295476</c:v>
                </c:pt>
                <c:pt idx="21">
                  <c:v>749024.12640416168</c:v>
                </c:pt>
                <c:pt idx="22">
                  <c:v>818150.81525245309</c:v>
                </c:pt>
                <c:pt idx="23">
                  <c:v>892116.37232012488</c:v>
                </c:pt>
                <c:pt idx="24">
                  <c:v>971259.51838253369</c:v>
                </c:pt>
                <c:pt idx="25">
                  <c:v>1055942.6846693112</c:v>
                </c:pt>
                <c:pt idx="26">
                  <c:v>1146553.6725961631</c:v>
                </c:pt>
                <c:pt idx="27">
                  <c:v>1243507.4296778946</c:v>
                </c:pt>
                <c:pt idx="28">
                  <c:v>1347247.9497553473</c:v>
                </c:pt>
                <c:pt idx="29">
                  <c:v>1458250.3062382217</c:v>
                </c:pt>
                <c:pt idx="30">
                  <c:v>1577022.8276748974</c:v>
                </c:pt>
                <c:pt idx="31">
                  <c:v>1704109.4256121402</c:v>
                </c:pt>
                <c:pt idx="32">
                  <c:v>1840092.0854049902</c:v>
                </c:pt>
                <c:pt idx="33">
                  <c:v>1985593.5313833398</c:v>
                </c:pt>
                <c:pt idx="34">
                  <c:v>2141280.0785801737</c:v>
                </c:pt>
                <c:pt idx="35">
                  <c:v>2307864.6840807861</c:v>
                </c:pt>
                <c:pt idx="36">
                  <c:v>2486110.2119664415</c:v>
                </c:pt>
                <c:pt idx="37">
                  <c:v>2676832.9268040927</c:v>
                </c:pt>
                <c:pt idx="38">
                  <c:v>2880906.2316803792</c:v>
                </c:pt>
                <c:pt idx="39">
                  <c:v>3099264.6678980058</c:v>
                </c:pt>
                <c:pt idx="40">
                  <c:v>3332908.1946508666</c:v>
                </c:pt>
              </c:numCache>
            </c:numRef>
          </c:val>
          <c:smooth val="0"/>
          <c:extLst>
            <c:ext xmlns:c16="http://schemas.microsoft.com/office/drawing/2014/chart" uri="{C3380CC4-5D6E-409C-BE32-E72D297353CC}">
              <c16:uniqueId val="{00000006-E098-4754-8051-1EBE557F5877}"/>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Table!$AZ$3:$AZ$43</c:f>
              <c:numCache>
                <c:formatCode>"$"#,##0</c:formatCode>
                <c:ptCount val="41"/>
                <c:pt idx="0">
                  <c:v>-27000</c:v>
                </c:pt>
                <c:pt idx="1">
                  <c:v>-4770</c:v>
                </c:pt>
                <c:pt idx="2">
                  <c:v>17775.224999999999</c:v>
                </c:pt>
                <c:pt idx="3">
                  <c:v>40640.038875000013</c:v>
                </c:pt>
                <c:pt idx="4">
                  <c:v>63828.863668125021</c:v>
                </c:pt>
                <c:pt idx="5">
                  <c:v>87346.18031734688</c:v>
                </c:pt>
                <c:pt idx="6">
                  <c:v>111196.52939019106</c:v>
                </c:pt>
                <c:pt idx="7">
                  <c:v>135384.51182648962</c:v>
                </c:pt>
                <c:pt idx="8">
                  <c:v>159914.78968924153</c:v>
                </c:pt>
                <c:pt idx="9">
                  <c:v>184792.08692364182</c:v>
                </c:pt>
                <c:pt idx="10">
                  <c:v>210021.19012433931</c:v>
                </c:pt>
                <c:pt idx="11">
                  <c:v>235606.9493109842</c:v>
                </c:pt>
                <c:pt idx="12">
                  <c:v>261554.27871212427</c:v>
                </c:pt>
                <c:pt idx="13">
                  <c:v>287868.157557511</c:v>
                </c:pt>
                <c:pt idx="14">
                  <c:v>314553.63087887265</c:v>
                </c:pt>
                <c:pt idx="15">
                  <c:v>341615.81031921459</c:v>
                </c:pt>
                <c:pt idx="16">
                  <c:v>369059.87495070498</c:v>
                </c:pt>
                <c:pt idx="17">
                  <c:v>396891.07210120163</c:v>
                </c:pt>
                <c:pt idx="18">
                  <c:v>425114.71818948048</c:v>
                </c:pt>
                <c:pt idx="19">
                  <c:v>453736.19956921873</c:v>
                </c:pt>
                <c:pt idx="20">
                  <c:v>482760.97338179109</c:v>
                </c:pt>
                <c:pt idx="21">
                  <c:v>512194.56841793255</c:v>
                </c:pt>
                <c:pt idx="22">
                  <c:v>542042.58598832448</c:v>
                </c:pt>
                <c:pt idx="23">
                  <c:v>572310.70080315473</c:v>
                </c:pt>
                <c:pt idx="24">
                  <c:v>603004.66186070745</c:v>
                </c:pt>
                <c:pt idx="25">
                  <c:v>634130.29334503366</c:v>
                </c:pt>
                <c:pt idx="26">
                  <c:v>665693.49553275318</c:v>
                </c:pt>
                <c:pt idx="27">
                  <c:v>697700.24570903927</c:v>
                </c:pt>
                <c:pt idx="28">
                  <c:v>730156.59909283568</c:v>
                </c:pt>
                <c:pt idx="29">
                  <c:v>763068.6897713521</c:v>
                </c:pt>
                <c:pt idx="30">
                  <c:v>796442.73164388875</c:v>
                </c:pt>
                <c:pt idx="31">
                  <c:v>830285.01937503286</c:v>
                </c:pt>
                <c:pt idx="32">
                  <c:v>864601.92935727385</c:v>
                </c:pt>
                <c:pt idx="33">
                  <c:v>899399.9206830808</c:v>
                </c:pt>
                <c:pt idx="34">
                  <c:v>934685.53612648381</c:v>
                </c:pt>
                <c:pt idx="35">
                  <c:v>970465.40313420095</c:v>
                </c:pt>
                <c:pt idx="36">
                  <c:v>1006746.2348263502</c:v>
                </c:pt>
                <c:pt idx="37">
                  <c:v>1043534.8310067843</c:v>
                </c:pt>
                <c:pt idx="38">
                  <c:v>1080838.0791830858</c:v>
                </c:pt>
                <c:pt idx="39">
                  <c:v>1118662.9555962558</c:v>
                </c:pt>
                <c:pt idx="40">
                  <c:v>1157016.5262601317</c:v>
                </c:pt>
              </c:numCache>
            </c:numRef>
          </c:val>
          <c:smooth val="0"/>
          <c:extLst>
            <c:ext xmlns:c16="http://schemas.microsoft.com/office/drawing/2014/chart" uri="{C3380CC4-5D6E-409C-BE32-E72D297353CC}">
              <c16:uniqueId val="{00000008-E098-4754-8051-1EBE557F587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Table!$AR$3:$AR$13</c:f>
              <c:numCache>
                <c:formatCode>"$"#,##0</c:formatCode>
                <c:ptCount val="11"/>
                <c:pt idx="0">
                  <c:v>0</c:v>
                </c:pt>
                <c:pt idx="1">
                  <c:v>16695.000000000029</c:v>
                </c:pt>
                <c:pt idx="2">
                  <c:v>34558.650000000023</c:v>
                </c:pt>
                <c:pt idx="3">
                  <c:v>53672.755500000028</c:v>
                </c:pt>
                <c:pt idx="4">
                  <c:v>74124.848385000078</c:v>
                </c:pt>
                <c:pt idx="5">
                  <c:v>96008.587771950115</c:v>
                </c:pt>
                <c:pt idx="6">
                  <c:v>119424.18891598663</c:v>
                </c:pt>
                <c:pt idx="7">
                  <c:v>144478.88214010571</c:v>
                </c:pt>
                <c:pt idx="8">
                  <c:v>171287.40388991311</c:v>
                </c:pt>
                <c:pt idx="9">
                  <c:v>199972.52216220705</c:v>
                </c:pt>
                <c:pt idx="10">
                  <c:v>230665.5987135616</c:v>
                </c:pt>
              </c:numCache>
            </c:numRef>
          </c:val>
          <c:smooth val="0"/>
          <c:extLst>
            <c:ext xmlns:c16="http://schemas.microsoft.com/office/drawing/2014/chart" uri="{C3380CC4-5D6E-409C-BE32-E72D297353CC}">
              <c16:uniqueId val="{00000006-5A3B-40F8-AFC0-D6A70CC01A42}"/>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Table!$AZ$3:$AZ$13</c:f>
              <c:numCache>
                <c:formatCode>"$"#,##0</c:formatCode>
                <c:ptCount val="11"/>
                <c:pt idx="0">
                  <c:v>-27000</c:v>
                </c:pt>
                <c:pt idx="1">
                  <c:v>-4770</c:v>
                </c:pt>
                <c:pt idx="2">
                  <c:v>17775.224999999999</c:v>
                </c:pt>
                <c:pt idx="3">
                  <c:v>40640.038875000013</c:v>
                </c:pt>
                <c:pt idx="4">
                  <c:v>63828.863668125021</c:v>
                </c:pt>
                <c:pt idx="5">
                  <c:v>87346.18031734688</c:v>
                </c:pt>
                <c:pt idx="6">
                  <c:v>111196.52939019106</c:v>
                </c:pt>
                <c:pt idx="7">
                  <c:v>135384.51182648962</c:v>
                </c:pt>
                <c:pt idx="8">
                  <c:v>159914.78968924153</c:v>
                </c:pt>
                <c:pt idx="9">
                  <c:v>184792.08692364182</c:v>
                </c:pt>
                <c:pt idx="10">
                  <c:v>210021.19012433931</c:v>
                </c:pt>
              </c:numCache>
            </c:numRef>
          </c:val>
          <c:smooth val="0"/>
          <c:extLst>
            <c:ext xmlns:c16="http://schemas.microsoft.com/office/drawing/2014/chart" uri="{C3380CC4-5D6E-409C-BE32-E72D297353CC}">
              <c16:uniqueId val="{00000008-5A3B-40F8-AFC0-D6A70CC01A4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Table!$BF$3:$BF$23</c:f>
              <c:numCache>
                <c:formatCode>"$"#,##0</c:formatCode>
                <c:ptCount val="21"/>
                <c:pt idx="0">
                  <c:v>0</c:v>
                </c:pt>
                <c:pt idx="1">
                  <c:v>4500</c:v>
                </c:pt>
                <c:pt idx="2">
                  <c:v>9090</c:v>
                </c:pt>
                <c:pt idx="3">
                  <c:v>13771.800000000017</c:v>
                </c:pt>
                <c:pt idx="4">
                  <c:v>18547.236000000034</c:v>
                </c:pt>
                <c:pt idx="5">
                  <c:v>23418.180720000033</c:v>
                </c:pt>
                <c:pt idx="6">
                  <c:v>28386.544334400038</c:v>
                </c:pt>
                <c:pt idx="7">
                  <c:v>33454.275221088057</c:v>
                </c:pt>
                <c:pt idx="8">
                  <c:v>38623.360725509818</c:v>
                </c:pt>
                <c:pt idx="9">
                  <c:v>43895.827940020012</c:v>
                </c:pt>
                <c:pt idx="10">
                  <c:v>49273.744498820393</c:v>
                </c:pt>
                <c:pt idx="11">
                  <c:v>54759.219388796831</c:v>
                </c:pt>
                <c:pt idx="12">
                  <c:v>60354.403776572784</c:v>
                </c:pt>
                <c:pt idx="13">
                  <c:v>66061.491852104256</c:v>
                </c:pt>
                <c:pt idx="14">
                  <c:v>71882.721689146361</c:v>
                </c:pt>
                <c:pt idx="15">
                  <c:v>77820.376122929272</c:v>
                </c:pt>
                <c:pt idx="16">
                  <c:v>83876.783645387855</c:v>
                </c:pt>
                <c:pt idx="17">
                  <c:v>90054.319318295631</c:v>
                </c:pt>
                <c:pt idx="18">
                  <c:v>96355.405704661564</c:v>
                </c:pt>
                <c:pt idx="19">
                  <c:v>102782.51381875481</c:v>
                </c:pt>
                <c:pt idx="20">
                  <c:v>109338.16409512993</c:v>
                </c:pt>
              </c:numCache>
            </c:numRef>
          </c:val>
          <c:smooth val="0"/>
          <c:extLst>
            <c:ext xmlns:c16="http://schemas.microsoft.com/office/drawing/2014/chart" uri="{C3380CC4-5D6E-409C-BE32-E72D297353CC}">
              <c16:uniqueId val="{00000006-8160-480F-86C8-397154F008EF}"/>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Table!$BG$3:$BG$23</c:f>
              <c:numCache>
                <c:formatCode>"$"#,##0</c:formatCode>
                <c:ptCount val="21"/>
                <c:pt idx="0">
                  <c:v>0</c:v>
                </c:pt>
                <c:pt idx="1">
                  <c:v>-3375</c:v>
                </c:pt>
                <c:pt idx="2">
                  <c:v>-6817.5</c:v>
                </c:pt>
                <c:pt idx="3">
                  <c:v>-10328.85</c:v>
                </c:pt>
                <c:pt idx="4">
                  <c:v>-13910.427</c:v>
                </c:pt>
                <c:pt idx="5">
                  <c:v>-17563.635539999999</c:v>
                </c:pt>
                <c:pt idx="6">
                  <c:v>-21289.908250799999</c:v>
                </c:pt>
                <c:pt idx="7">
                  <c:v>-25090.706415815999</c:v>
                </c:pt>
                <c:pt idx="8">
                  <c:v>-28967.52054413232</c:v>
                </c:pt>
                <c:pt idx="9">
                  <c:v>-32921.870955014965</c:v>
                </c:pt>
                <c:pt idx="10">
                  <c:v>-36955.308374115266</c:v>
                </c:pt>
                <c:pt idx="11">
                  <c:v>-41069.414541597573</c:v>
                </c:pt>
                <c:pt idx="12">
                  <c:v>-45265.802832429523</c:v>
                </c:pt>
                <c:pt idx="13">
                  <c:v>-49546.118889078112</c:v>
                </c:pt>
                <c:pt idx="14">
                  <c:v>-53912.041266859676</c:v>
                </c:pt>
                <c:pt idx="15">
                  <c:v>-58365.282092196874</c:v>
                </c:pt>
                <c:pt idx="16">
                  <c:v>-62907.587734040811</c:v>
                </c:pt>
                <c:pt idx="17">
                  <c:v>-67540.739488721621</c:v>
                </c:pt>
                <c:pt idx="18">
                  <c:v>-72266.554278496056</c:v>
                </c:pt>
                <c:pt idx="19">
                  <c:v>-77086.88536406598</c:v>
                </c:pt>
                <c:pt idx="20">
                  <c:v>-82003.623071347305</c:v>
                </c:pt>
              </c:numCache>
            </c:numRef>
          </c:val>
          <c:smooth val="0"/>
          <c:extLst>
            <c:ext xmlns:c16="http://schemas.microsoft.com/office/drawing/2014/chart" uri="{C3380CC4-5D6E-409C-BE32-E72D297353CC}">
              <c16:uniqueId val="{00000008-8160-480F-86C8-397154F008EF}"/>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Table!$BH$3:$BH$23</c:f>
              <c:numCache>
                <c:formatCode>"$"#,##0</c:formatCode>
                <c:ptCount val="21"/>
                <c:pt idx="0">
                  <c:v>-13500</c:v>
                </c:pt>
                <c:pt idx="1">
                  <c:v>-18000</c:v>
                </c:pt>
                <c:pt idx="2">
                  <c:v>-22590</c:v>
                </c:pt>
                <c:pt idx="3">
                  <c:v>-27271.8</c:v>
                </c:pt>
                <c:pt idx="4">
                  <c:v>-32047.236000000001</c:v>
                </c:pt>
                <c:pt idx="5">
                  <c:v>-36918.180720000004</c:v>
                </c:pt>
                <c:pt idx="6">
                  <c:v>-41886.544334400009</c:v>
                </c:pt>
                <c:pt idx="7">
                  <c:v>-46954.275221088013</c:v>
                </c:pt>
                <c:pt idx="8">
                  <c:v>-52123.360725509774</c:v>
                </c:pt>
                <c:pt idx="9">
                  <c:v>-57395.827940019968</c:v>
                </c:pt>
                <c:pt idx="10">
                  <c:v>-62773.744498820372</c:v>
                </c:pt>
                <c:pt idx="11">
                  <c:v>-68259.219388796773</c:v>
                </c:pt>
                <c:pt idx="12">
                  <c:v>-73854.403776572712</c:v>
                </c:pt>
                <c:pt idx="13">
                  <c:v>-79561.491852104169</c:v>
                </c:pt>
                <c:pt idx="14">
                  <c:v>-85382.721689146259</c:v>
                </c:pt>
                <c:pt idx="15">
                  <c:v>-91320.376122929185</c:v>
                </c:pt>
                <c:pt idx="16">
                  <c:v>-97376.783645387768</c:v>
                </c:pt>
                <c:pt idx="17">
                  <c:v>-103554.31931829553</c:v>
                </c:pt>
                <c:pt idx="18">
                  <c:v>-109855.40570466145</c:v>
                </c:pt>
                <c:pt idx="19">
                  <c:v>-116282.51381875468</c:v>
                </c:pt>
                <c:pt idx="20">
                  <c:v>-122838.16409512977</c:v>
                </c:pt>
              </c:numCache>
            </c:numRef>
          </c:val>
          <c:smooth val="0"/>
          <c:extLst>
            <c:ext xmlns:c16="http://schemas.microsoft.com/office/drawing/2014/chart" uri="{C3380CC4-5D6E-409C-BE32-E72D297353CC}">
              <c16:uniqueId val="{0000000A-8160-480F-86C8-397154F008EF}"/>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Table!$BI$3:$BI$23</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C-8160-480F-86C8-397154F008EF}"/>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Table!$BJ$3:$BJ$23</c:f>
              <c:numCache>
                <c:formatCode>"$"#,##0</c:formatCode>
                <c:ptCount val="2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pt idx="11">
                  <c:v>306961.91701590951</c:v>
                </c:pt>
                <c:pt idx="12">
                  <c:v>337441.3457711481</c:v>
                </c:pt>
                <c:pt idx="13">
                  <c:v>368377.96595771529</c:v>
                </c:pt>
                <c:pt idx="14">
                  <c:v>399778.635447081</c:v>
                </c:pt>
                <c:pt idx="15">
                  <c:v>431650.31497878715</c:v>
                </c:pt>
                <c:pt idx="16">
                  <c:v>464000.06970346894</c:v>
                </c:pt>
                <c:pt idx="17">
                  <c:v>496835.0707490209</c:v>
                </c:pt>
                <c:pt idx="18">
                  <c:v>530162.59681025613</c:v>
                </c:pt>
                <c:pt idx="19">
                  <c:v>563990.03576240991</c:v>
                </c:pt>
                <c:pt idx="20">
                  <c:v>598324.88629884599</c:v>
                </c:pt>
              </c:numCache>
            </c:numRef>
          </c:val>
          <c:smooth val="0"/>
          <c:extLst>
            <c:ext xmlns:c16="http://schemas.microsoft.com/office/drawing/2014/chart" uri="{C3380CC4-5D6E-409C-BE32-E72D297353CC}">
              <c16:uniqueId val="{0000000E-8160-480F-86C8-397154F008EF}"/>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Table!$BK$3:$BK$23</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10-8160-480F-86C8-397154F008EF}"/>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Table!$BL$3:$BL$23</c:f>
              <c:numCache>
                <c:formatCode>"$"#,##0</c:formatCode>
                <c:ptCount val="21"/>
                <c:pt idx="0">
                  <c:v>-13500</c:v>
                </c:pt>
                <c:pt idx="1">
                  <c:v>-13770</c:v>
                </c:pt>
                <c:pt idx="2">
                  <c:v>-14045.4</c:v>
                </c:pt>
                <c:pt idx="3">
                  <c:v>-14326.308000000001</c:v>
                </c:pt>
                <c:pt idx="4">
                  <c:v>-14612.834160000002</c:v>
                </c:pt>
                <c:pt idx="5">
                  <c:v>-14905.090843200001</c:v>
                </c:pt>
                <c:pt idx="6">
                  <c:v>-15203.192660064002</c:v>
                </c:pt>
                <c:pt idx="7">
                  <c:v>-15507.256513265284</c:v>
                </c:pt>
                <c:pt idx="8">
                  <c:v>-15817.401643530589</c:v>
                </c:pt>
                <c:pt idx="9">
                  <c:v>-16133.749676401199</c:v>
                </c:pt>
                <c:pt idx="10">
                  <c:v>-16456.424669929223</c:v>
                </c:pt>
                <c:pt idx="11">
                  <c:v>-16785.553163327808</c:v>
                </c:pt>
                <c:pt idx="12">
                  <c:v>-17121.264226594365</c:v>
                </c:pt>
                <c:pt idx="13">
                  <c:v>-17463.689511126257</c:v>
                </c:pt>
                <c:pt idx="14">
                  <c:v>-17812.96330134878</c:v>
                </c:pt>
                <c:pt idx="15">
                  <c:v>-18169.222567375757</c:v>
                </c:pt>
                <c:pt idx="16">
                  <c:v>-18532.607018723269</c:v>
                </c:pt>
                <c:pt idx="17">
                  <c:v>-18903.259159097735</c:v>
                </c:pt>
                <c:pt idx="18">
                  <c:v>-19281.324342279691</c:v>
                </c:pt>
                <c:pt idx="19">
                  <c:v>-19666.95082912529</c:v>
                </c:pt>
                <c:pt idx="20">
                  <c:v>-20060.289845707794</c:v>
                </c:pt>
              </c:numCache>
            </c:numRef>
          </c:val>
          <c:smooth val="0"/>
          <c:extLst>
            <c:ext xmlns:c16="http://schemas.microsoft.com/office/drawing/2014/chart" uri="{C3380CC4-5D6E-409C-BE32-E72D297353CC}">
              <c16:uniqueId val="{00000012-8160-480F-86C8-397154F008E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Table!$BF$3:$BF$33</c:f>
              <c:numCache>
                <c:formatCode>"$"#,##0</c:formatCode>
                <c:ptCount val="31"/>
                <c:pt idx="0">
                  <c:v>0</c:v>
                </c:pt>
                <c:pt idx="1">
                  <c:v>4500</c:v>
                </c:pt>
                <c:pt idx="2">
                  <c:v>9090</c:v>
                </c:pt>
                <c:pt idx="3">
                  <c:v>13771.800000000017</c:v>
                </c:pt>
                <c:pt idx="4">
                  <c:v>18547.236000000034</c:v>
                </c:pt>
                <c:pt idx="5">
                  <c:v>23418.180720000033</c:v>
                </c:pt>
                <c:pt idx="6">
                  <c:v>28386.544334400038</c:v>
                </c:pt>
                <c:pt idx="7">
                  <c:v>33454.275221088057</c:v>
                </c:pt>
                <c:pt idx="8">
                  <c:v>38623.360725509818</c:v>
                </c:pt>
                <c:pt idx="9">
                  <c:v>43895.827940020012</c:v>
                </c:pt>
                <c:pt idx="10">
                  <c:v>49273.744498820393</c:v>
                </c:pt>
                <c:pt idx="11">
                  <c:v>54759.219388796831</c:v>
                </c:pt>
                <c:pt idx="12">
                  <c:v>60354.403776572784</c:v>
                </c:pt>
                <c:pt idx="13">
                  <c:v>66061.491852104256</c:v>
                </c:pt>
                <c:pt idx="14">
                  <c:v>71882.721689146361</c:v>
                </c:pt>
                <c:pt idx="15">
                  <c:v>77820.376122929272</c:v>
                </c:pt>
                <c:pt idx="16">
                  <c:v>83876.783645387855</c:v>
                </c:pt>
                <c:pt idx="17">
                  <c:v>90054.319318295631</c:v>
                </c:pt>
                <c:pt idx="18">
                  <c:v>96355.405704661564</c:v>
                </c:pt>
                <c:pt idx="19">
                  <c:v>102782.51381875481</c:v>
                </c:pt>
                <c:pt idx="20">
                  <c:v>109338.16409512993</c:v>
                </c:pt>
                <c:pt idx="21">
                  <c:v>116024.92737703252</c:v>
                </c:pt>
                <c:pt idx="22">
                  <c:v>122845.42592457315</c:v>
                </c:pt>
                <c:pt idx="23">
                  <c:v>129802.33444306464</c:v>
                </c:pt>
                <c:pt idx="24">
                  <c:v>136898.38113192591</c:v>
                </c:pt>
                <c:pt idx="25">
                  <c:v>144136.34875456442</c:v>
                </c:pt>
                <c:pt idx="26">
                  <c:v>151519.07572965568</c:v>
                </c:pt>
                <c:pt idx="27">
                  <c:v>159049.45724424883</c:v>
                </c:pt>
                <c:pt idx="28">
                  <c:v>166730.44638913381</c:v>
                </c:pt>
                <c:pt idx="29">
                  <c:v>174565.05531691649</c:v>
                </c:pt>
                <c:pt idx="30">
                  <c:v>182556.35642325482</c:v>
                </c:pt>
              </c:numCache>
            </c:numRef>
          </c:val>
          <c:smooth val="0"/>
          <c:extLst>
            <c:ext xmlns:c16="http://schemas.microsoft.com/office/drawing/2014/chart" uri="{C3380CC4-5D6E-409C-BE32-E72D297353CC}">
              <c16:uniqueId val="{00000006-A6A1-42FF-BC74-020CFAB008F7}"/>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Table!$BG$3:$BG$33</c:f>
              <c:numCache>
                <c:formatCode>"$"#,##0</c:formatCode>
                <c:ptCount val="31"/>
                <c:pt idx="0">
                  <c:v>0</c:v>
                </c:pt>
                <c:pt idx="1">
                  <c:v>-3375</c:v>
                </c:pt>
                <c:pt idx="2">
                  <c:v>-6817.5</c:v>
                </c:pt>
                <c:pt idx="3">
                  <c:v>-10328.85</c:v>
                </c:pt>
                <c:pt idx="4">
                  <c:v>-13910.427</c:v>
                </c:pt>
                <c:pt idx="5">
                  <c:v>-17563.635539999999</c:v>
                </c:pt>
                <c:pt idx="6">
                  <c:v>-21289.908250799999</c:v>
                </c:pt>
                <c:pt idx="7">
                  <c:v>-25090.706415815999</c:v>
                </c:pt>
                <c:pt idx="8">
                  <c:v>-28967.52054413232</c:v>
                </c:pt>
                <c:pt idx="9">
                  <c:v>-32921.870955014965</c:v>
                </c:pt>
                <c:pt idx="10">
                  <c:v>-36955.308374115266</c:v>
                </c:pt>
                <c:pt idx="11">
                  <c:v>-41069.414541597573</c:v>
                </c:pt>
                <c:pt idx="12">
                  <c:v>-45265.802832429523</c:v>
                </c:pt>
                <c:pt idx="13">
                  <c:v>-49546.118889078112</c:v>
                </c:pt>
                <c:pt idx="14">
                  <c:v>-53912.041266859676</c:v>
                </c:pt>
                <c:pt idx="15">
                  <c:v>-58365.282092196874</c:v>
                </c:pt>
                <c:pt idx="16">
                  <c:v>-62907.587734040811</c:v>
                </c:pt>
                <c:pt idx="17">
                  <c:v>-67540.739488721621</c:v>
                </c:pt>
                <c:pt idx="18">
                  <c:v>-72266.554278496056</c:v>
                </c:pt>
                <c:pt idx="19">
                  <c:v>-77086.88536406598</c:v>
                </c:pt>
                <c:pt idx="20">
                  <c:v>-82003.623071347305</c:v>
                </c:pt>
                <c:pt idx="21">
                  <c:v>-87018.695532774247</c:v>
                </c:pt>
                <c:pt idx="22">
                  <c:v>-92134.069443429733</c:v>
                </c:pt>
                <c:pt idx="23">
                  <c:v>-97351.750832298334</c:v>
                </c:pt>
                <c:pt idx="24">
                  <c:v>-102673.7858489443</c:v>
                </c:pt>
                <c:pt idx="25">
                  <c:v>-108102.2615659232</c:v>
                </c:pt>
                <c:pt idx="26">
                  <c:v>-113639.30679724166</c:v>
                </c:pt>
                <c:pt idx="27">
                  <c:v>-119287.09293318649</c:v>
                </c:pt>
                <c:pt idx="28">
                  <c:v>-125047.83479185023</c:v>
                </c:pt>
                <c:pt idx="29">
                  <c:v>-130923.79148768724</c:v>
                </c:pt>
                <c:pt idx="30">
                  <c:v>-136917.26731744097</c:v>
                </c:pt>
              </c:numCache>
            </c:numRef>
          </c:val>
          <c:smooth val="0"/>
          <c:extLst>
            <c:ext xmlns:c16="http://schemas.microsoft.com/office/drawing/2014/chart" uri="{C3380CC4-5D6E-409C-BE32-E72D297353CC}">
              <c16:uniqueId val="{00000008-A6A1-42FF-BC74-020CFAB008F7}"/>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Table!$BH$3:$BH$33</c:f>
              <c:numCache>
                <c:formatCode>"$"#,##0</c:formatCode>
                <c:ptCount val="31"/>
                <c:pt idx="0">
                  <c:v>-13500</c:v>
                </c:pt>
                <c:pt idx="1">
                  <c:v>-18000</c:v>
                </c:pt>
                <c:pt idx="2">
                  <c:v>-22590</c:v>
                </c:pt>
                <c:pt idx="3">
                  <c:v>-27271.8</c:v>
                </c:pt>
                <c:pt idx="4">
                  <c:v>-32047.236000000001</c:v>
                </c:pt>
                <c:pt idx="5">
                  <c:v>-36918.180720000004</c:v>
                </c:pt>
                <c:pt idx="6">
                  <c:v>-41886.544334400009</c:v>
                </c:pt>
                <c:pt idx="7">
                  <c:v>-46954.275221088013</c:v>
                </c:pt>
                <c:pt idx="8">
                  <c:v>-52123.360725509774</c:v>
                </c:pt>
                <c:pt idx="9">
                  <c:v>-57395.827940019968</c:v>
                </c:pt>
                <c:pt idx="10">
                  <c:v>-62773.744498820372</c:v>
                </c:pt>
                <c:pt idx="11">
                  <c:v>-68259.219388796773</c:v>
                </c:pt>
                <c:pt idx="12">
                  <c:v>-73854.403776572712</c:v>
                </c:pt>
                <c:pt idx="13">
                  <c:v>-79561.491852104169</c:v>
                </c:pt>
                <c:pt idx="14">
                  <c:v>-85382.721689146259</c:v>
                </c:pt>
                <c:pt idx="15">
                  <c:v>-91320.376122929185</c:v>
                </c:pt>
                <c:pt idx="16">
                  <c:v>-97376.783645387768</c:v>
                </c:pt>
                <c:pt idx="17">
                  <c:v>-103554.31931829553</c:v>
                </c:pt>
                <c:pt idx="18">
                  <c:v>-109855.40570466145</c:v>
                </c:pt>
                <c:pt idx="19">
                  <c:v>-116282.51381875468</c:v>
                </c:pt>
                <c:pt idx="20">
                  <c:v>-122838.16409512977</c:v>
                </c:pt>
                <c:pt idx="21">
                  <c:v>-129524.92737703238</c:v>
                </c:pt>
                <c:pt idx="22">
                  <c:v>-136345.42592457304</c:v>
                </c:pt>
                <c:pt idx="23">
                  <c:v>-143302.33444306449</c:v>
                </c:pt>
                <c:pt idx="24">
                  <c:v>-150398.38113192579</c:v>
                </c:pt>
                <c:pt idx="25">
                  <c:v>-157636.3487545643</c:v>
                </c:pt>
                <c:pt idx="26">
                  <c:v>-165019.0757296556</c:v>
                </c:pt>
                <c:pt idx="27">
                  <c:v>-172549.45724424871</c:v>
                </c:pt>
                <c:pt idx="28">
                  <c:v>-180230.44638913369</c:v>
                </c:pt>
                <c:pt idx="29">
                  <c:v>-188065.05531691638</c:v>
                </c:pt>
                <c:pt idx="30">
                  <c:v>-196056.35642325471</c:v>
                </c:pt>
              </c:numCache>
            </c:numRef>
          </c:val>
          <c:smooth val="0"/>
          <c:extLst>
            <c:ext xmlns:c16="http://schemas.microsoft.com/office/drawing/2014/chart" uri="{C3380CC4-5D6E-409C-BE32-E72D297353CC}">
              <c16:uniqueId val="{0000000A-A6A1-42FF-BC74-020CFAB008F7}"/>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Table!$BI$3:$BI$33</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C-A6A1-42FF-BC74-020CFAB008F7}"/>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Table!$BJ$3:$BJ$33</c:f>
              <c:numCache>
                <c:formatCode>"$"#,##0</c:formatCode>
                <c:ptCount val="3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pt idx="11">
                  <c:v>306961.91701590951</c:v>
                </c:pt>
                <c:pt idx="12">
                  <c:v>337441.3457711481</c:v>
                </c:pt>
                <c:pt idx="13">
                  <c:v>368377.96595771529</c:v>
                </c:pt>
                <c:pt idx="14">
                  <c:v>399778.635447081</c:v>
                </c:pt>
                <c:pt idx="15">
                  <c:v>431650.31497878715</c:v>
                </c:pt>
                <c:pt idx="16">
                  <c:v>464000.06970346894</c:v>
                </c:pt>
                <c:pt idx="17">
                  <c:v>496835.0707490209</c:v>
                </c:pt>
                <c:pt idx="18">
                  <c:v>530162.59681025613</c:v>
                </c:pt>
                <c:pt idx="19">
                  <c:v>563990.03576240991</c:v>
                </c:pt>
                <c:pt idx="20">
                  <c:v>598324.88629884599</c:v>
                </c:pt>
                <c:pt idx="21">
                  <c:v>633174.75959332858</c:v>
                </c:pt>
                <c:pt idx="22">
                  <c:v>668547.38098722848</c:v>
                </c:pt>
                <c:pt idx="23">
                  <c:v>704450.59170203679</c:v>
                </c:pt>
                <c:pt idx="24">
                  <c:v>740892.35057756724</c:v>
                </c:pt>
                <c:pt idx="25">
                  <c:v>777880.73583623068</c:v>
                </c:pt>
                <c:pt idx="26">
                  <c:v>815423.94687377405</c:v>
                </c:pt>
                <c:pt idx="27">
                  <c:v>853530.30607688054</c:v>
                </c:pt>
                <c:pt idx="28">
                  <c:v>892208.26066803373</c:v>
                </c:pt>
                <c:pt idx="29">
                  <c:v>931466.38457805419</c:v>
                </c:pt>
                <c:pt idx="30">
                  <c:v>971313.38034672488</c:v>
                </c:pt>
              </c:numCache>
            </c:numRef>
          </c:val>
          <c:smooth val="0"/>
          <c:extLst>
            <c:ext xmlns:c16="http://schemas.microsoft.com/office/drawing/2014/chart" uri="{C3380CC4-5D6E-409C-BE32-E72D297353CC}">
              <c16:uniqueId val="{0000000E-A6A1-42FF-BC74-020CFAB008F7}"/>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Table!$BK$3:$BK$33</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10-A6A1-42FF-BC74-020CFAB008F7}"/>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Table!$BL$3:$BL$33</c:f>
              <c:numCache>
                <c:formatCode>"$"#,##0</c:formatCode>
                <c:ptCount val="31"/>
                <c:pt idx="0">
                  <c:v>-13500</c:v>
                </c:pt>
                <c:pt idx="1">
                  <c:v>-13770</c:v>
                </c:pt>
                <c:pt idx="2">
                  <c:v>-14045.4</c:v>
                </c:pt>
                <c:pt idx="3">
                  <c:v>-14326.308000000001</c:v>
                </c:pt>
                <c:pt idx="4">
                  <c:v>-14612.834160000002</c:v>
                </c:pt>
                <c:pt idx="5">
                  <c:v>-14905.090843200001</c:v>
                </c:pt>
                <c:pt idx="6">
                  <c:v>-15203.192660064002</c:v>
                </c:pt>
                <c:pt idx="7">
                  <c:v>-15507.256513265284</c:v>
                </c:pt>
                <c:pt idx="8">
                  <c:v>-15817.401643530589</c:v>
                </c:pt>
                <c:pt idx="9">
                  <c:v>-16133.749676401199</c:v>
                </c:pt>
                <c:pt idx="10">
                  <c:v>-16456.424669929223</c:v>
                </c:pt>
                <c:pt idx="11">
                  <c:v>-16785.553163327808</c:v>
                </c:pt>
                <c:pt idx="12">
                  <c:v>-17121.264226594365</c:v>
                </c:pt>
                <c:pt idx="13">
                  <c:v>-17463.689511126257</c:v>
                </c:pt>
                <c:pt idx="14">
                  <c:v>-17812.96330134878</c:v>
                </c:pt>
                <c:pt idx="15">
                  <c:v>-18169.222567375757</c:v>
                </c:pt>
                <c:pt idx="16">
                  <c:v>-18532.607018723269</c:v>
                </c:pt>
                <c:pt idx="17">
                  <c:v>-18903.259159097735</c:v>
                </c:pt>
                <c:pt idx="18">
                  <c:v>-19281.324342279691</c:v>
                </c:pt>
                <c:pt idx="19">
                  <c:v>-19666.95082912529</c:v>
                </c:pt>
                <c:pt idx="20">
                  <c:v>-20060.289845707794</c:v>
                </c:pt>
                <c:pt idx="21">
                  <c:v>-20461.495642621951</c:v>
                </c:pt>
                <c:pt idx="22">
                  <c:v>-20870.72555547439</c:v>
                </c:pt>
                <c:pt idx="23">
                  <c:v>-21288.140066583877</c:v>
                </c:pt>
                <c:pt idx="24">
                  <c:v>-21713.902867915553</c:v>
                </c:pt>
                <c:pt idx="25">
                  <c:v>-22148.180925273864</c:v>
                </c:pt>
                <c:pt idx="26">
                  <c:v>-22591.144543779341</c:v>
                </c:pt>
                <c:pt idx="27">
                  <c:v>-23042.967434654929</c:v>
                </c:pt>
                <c:pt idx="28">
                  <c:v>-23503.826783348028</c:v>
                </c:pt>
                <c:pt idx="29">
                  <c:v>-23973.903319014989</c:v>
                </c:pt>
                <c:pt idx="30">
                  <c:v>-24453.381385395289</c:v>
                </c:pt>
              </c:numCache>
            </c:numRef>
          </c:val>
          <c:smooth val="0"/>
          <c:extLst>
            <c:ext xmlns:c16="http://schemas.microsoft.com/office/drawing/2014/chart" uri="{C3380CC4-5D6E-409C-BE32-E72D297353CC}">
              <c16:uniqueId val="{00000012-A6A1-42FF-BC74-020CFAB008F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Table!$BF$3:$BF$43</c:f>
              <c:numCache>
                <c:formatCode>"$"#,##0</c:formatCode>
                <c:ptCount val="41"/>
                <c:pt idx="0">
                  <c:v>0</c:v>
                </c:pt>
                <c:pt idx="1">
                  <c:v>4500</c:v>
                </c:pt>
                <c:pt idx="2">
                  <c:v>9090</c:v>
                </c:pt>
                <c:pt idx="3">
                  <c:v>13771.800000000017</c:v>
                </c:pt>
                <c:pt idx="4">
                  <c:v>18547.236000000034</c:v>
                </c:pt>
                <c:pt idx="5">
                  <c:v>23418.180720000033</c:v>
                </c:pt>
                <c:pt idx="6">
                  <c:v>28386.544334400038</c:v>
                </c:pt>
                <c:pt idx="7">
                  <c:v>33454.275221088057</c:v>
                </c:pt>
                <c:pt idx="8">
                  <c:v>38623.360725509818</c:v>
                </c:pt>
                <c:pt idx="9">
                  <c:v>43895.827940020012</c:v>
                </c:pt>
                <c:pt idx="10">
                  <c:v>49273.744498820393</c:v>
                </c:pt>
                <c:pt idx="11">
                  <c:v>54759.219388796831</c:v>
                </c:pt>
                <c:pt idx="12">
                  <c:v>60354.403776572784</c:v>
                </c:pt>
                <c:pt idx="13">
                  <c:v>66061.491852104256</c:v>
                </c:pt>
                <c:pt idx="14">
                  <c:v>71882.721689146361</c:v>
                </c:pt>
                <c:pt idx="15">
                  <c:v>77820.376122929272</c:v>
                </c:pt>
                <c:pt idx="16">
                  <c:v>83876.783645387855</c:v>
                </c:pt>
                <c:pt idx="17">
                  <c:v>90054.319318295631</c:v>
                </c:pt>
                <c:pt idx="18">
                  <c:v>96355.405704661564</c:v>
                </c:pt>
                <c:pt idx="19">
                  <c:v>102782.51381875481</c:v>
                </c:pt>
                <c:pt idx="20">
                  <c:v>109338.16409512993</c:v>
                </c:pt>
                <c:pt idx="21">
                  <c:v>116024.92737703252</c:v>
                </c:pt>
                <c:pt idx="22">
                  <c:v>122845.42592457315</c:v>
                </c:pt>
                <c:pt idx="23">
                  <c:v>129802.33444306464</c:v>
                </c:pt>
                <c:pt idx="24">
                  <c:v>136898.38113192591</c:v>
                </c:pt>
                <c:pt idx="25">
                  <c:v>144136.34875456442</c:v>
                </c:pt>
                <c:pt idx="26">
                  <c:v>151519.07572965568</c:v>
                </c:pt>
                <c:pt idx="27">
                  <c:v>159049.45724424883</c:v>
                </c:pt>
                <c:pt idx="28">
                  <c:v>166730.44638913381</c:v>
                </c:pt>
                <c:pt idx="29">
                  <c:v>174565.05531691649</c:v>
                </c:pt>
                <c:pt idx="30">
                  <c:v>182556.35642325482</c:v>
                </c:pt>
                <c:pt idx="31">
                  <c:v>190707.48355171992</c:v>
                </c:pt>
                <c:pt idx="32">
                  <c:v>199021.63322275435</c:v>
                </c:pt>
                <c:pt idx="33">
                  <c:v>207502.06588720944</c:v>
                </c:pt>
                <c:pt idx="34">
                  <c:v>216152.10720495362</c:v>
                </c:pt>
                <c:pt idx="35">
                  <c:v>224975.14934905269</c:v>
                </c:pt>
                <c:pt idx="36">
                  <c:v>233974.65233603376</c:v>
                </c:pt>
                <c:pt idx="37">
                  <c:v>243154.14538275445</c:v>
                </c:pt>
                <c:pt idx="38">
                  <c:v>252517.22829040955</c:v>
                </c:pt>
                <c:pt idx="39">
                  <c:v>262067.57285621774</c:v>
                </c:pt>
                <c:pt idx="40">
                  <c:v>271808.92431334208</c:v>
                </c:pt>
              </c:numCache>
            </c:numRef>
          </c:val>
          <c:smooth val="0"/>
          <c:extLst>
            <c:ext xmlns:c16="http://schemas.microsoft.com/office/drawing/2014/chart" uri="{C3380CC4-5D6E-409C-BE32-E72D297353CC}">
              <c16:uniqueId val="{00000006-8300-44B9-A9E5-24AFFB945341}"/>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Table!$BG$3:$BG$43</c:f>
              <c:numCache>
                <c:formatCode>"$"#,##0</c:formatCode>
                <c:ptCount val="41"/>
                <c:pt idx="0">
                  <c:v>0</c:v>
                </c:pt>
                <c:pt idx="1">
                  <c:v>-3375</c:v>
                </c:pt>
                <c:pt idx="2">
                  <c:v>-6817.5</c:v>
                </c:pt>
                <c:pt idx="3">
                  <c:v>-10328.85</c:v>
                </c:pt>
                <c:pt idx="4">
                  <c:v>-13910.427</c:v>
                </c:pt>
                <c:pt idx="5">
                  <c:v>-17563.635539999999</c:v>
                </c:pt>
                <c:pt idx="6">
                  <c:v>-21289.908250799999</c:v>
                </c:pt>
                <c:pt idx="7">
                  <c:v>-25090.706415815999</c:v>
                </c:pt>
                <c:pt idx="8">
                  <c:v>-28967.52054413232</c:v>
                </c:pt>
                <c:pt idx="9">
                  <c:v>-32921.870955014965</c:v>
                </c:pt>
                <c:pt idx="10">
                  <c:v>-36955.308374115266</c:v>
                </c:pt>
                <c:pt idx="11">
                  <c:v>-41069.414541597573</c:v>
                </c:pt>
                <c:pt idx="12">
                  <c:v>-45265.802832429523</c:v>
                </c:pt>
                <c:pt idx="13">
                  <c:v>-49546.118889078112</c:v>
                </c:pt>
                <c:pt idx="14">
                  <c:v>-53912.041266859676</c:v>
                </c:pt>
                <c:pt idx="15">
                  <c:v>-58365.282092196874</c:v>
                </c:pt>
                <c:pt idx="16">
                  <c:v>-62907.587734040811</c:v>
                </c:pt>
                <c:pt idx="17">
                  <c:v>-67540.739488721621</c:v>
                </c:pt>
                <c:pt idx="18">
                  <c:v>-72266.554278496056</c:v>
                </c:pt>
                <c:pt idx="19">
                  <c:v>-77086.88536406598</c:v>
                </c:pt>
                <c:pt idx="20">
                  <c:v>-82003.623071347305</c:v>
                </c:pt>
                <c:pt idx="21">
                  <c:v>-87018.695532774247</c:v>
                </c:pt>
                <c:pt idx="22">
                  <c:v>-92134.069443429733</c:v>
                </c:pt>
                <c:pt idx="23">
                  <c:v>-97351.750832298334</c:v>
                </c:pt>
                <c:pt idx="24">
                  <c:v>-102673.7858489443</c:v>
                </c:pt>
                <c:pt idx="25">
                  <c:v>-108102.2615659232</c:v>
                </c:pt>
                <c:pt idx="26">
                  <c:v>-113639.30679724166</c:v>
                </c:pt>
                <c:pt idx="27">
                  <c:v>-119287.09293318649</c:v>
                </c:pt>
                <c:pt idx="28">
                  <c:v>-125047.83479185023</c:v>
                </c:pt>
                <c:pt idx="29">
                  <c:v>-130923.79148768724</c:v>
                </c:pt>
                <c:pt idx="30">
                  <c:v>-136917.26731744097</c:v>
                </c:pt>
                <c:pt idx="31">
                  <c:v>-143030.6126637898</c:v>
                </c:pt>
                <c:pt idx="32">
                  <c:v>-149266.22491706559</c:v>
                </c:pt>
                <c:pt idx="33">
                  <c:v>-155626.54941540689</c:v>
                </c:pt>
                <c:pt idx="34">
                  <c:v>-162114.08040371502</c:v>
                </c:pt>
                <c:pt idx="35">
                  <c:v>-168731.36201178932</c:v>
                </c:pt>
                <c:pt idx="36">
                  <c:v>-175480.98925202512</c:v>
                </c:pt>
                <c:pt idx="37">
                  <c:v>-182365.60903706562</c:v>
                </c:pt>
                <c:pt idx="38">
                  <c:v>-189387.92121780693</c:v>
                </c:pt>
                <c:pt idx="39">
                  <c:v>-196550.67964216307</c:v>
                </c:pt>
                <c:pt idx="40">
                  <c:v>-203856.69323500633</c:v>
                </c:pt>
              </c:numCache>
            </c:numRef>
          </c:val>
          <c:smooth val="0"/>
          <c:extLst>
            <c:ext xmlns:c16="http://schemas.microsoft.com/office/drawing/2014/chart" uri="{C3380CC4-5D6E-409C-BE32-E72D297353CC}">
              <c16:uniqueId val="{00000008-8300-44B9-A9E5-24AFFB945341}"/>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Table!$BH$3:$BH$43</c:f>
              <c:numCache>
                <c:formatCode>"$"#,##0</c:formatCode>
                <c:ptCount val="41"/>
                <c:pt idx="0">
                  <c:v>-13500</c:v>
                </c:pt>
                <c:pt idx="1">
                  <c:v>-18000</c:v>
                </c:pt>
                <c:pt idx="2">
                  <c:v>-22590</c:v>
                </c:pt>
                <c:pt idx="3">
                  <c:v>-27271.8</c:v>
                </c:pt>
                <c:pt idx="4">
                  <c:v>-32047.236000000001</c:v>
                </c:pt>
                <c:pt idx="5">
                  <c:v>-36918.180720000004</c:v>
                </c:pt>
                <c:pt idx="6">
                  <c:v>-41886.544334400009</c:v>
                </c:pt>
                <c:pt idx="7">
                  <c:v>-46954.275221088013</c:v>
                </c:pt>
                <c:pt idx="8">
                  <c:v>-52123.360725509774</c:v>
                </c:pt>
                <c:pt idx="9">
                  <c:v>-57395.827940019968</c:v>
                </c:pt>
                <c:pt idx="10">
                  <c:v>-62773.744498820372</c:v>
                </c:pt>
                <c:pt idx="11">
                  <c:v>-68259.219388796773</c:v>
                </c:pt>
                <c:pt idx="12">
                  <c:v>-73854.403776572712</c:v>
                </c:pt>
                <c:pt idx="13">
                  <c:v>-79561.491852104169</c:v>
                </c:pt>
                <c:pt idx="14">
                  <c:v>-85382.721689146259</c:v>
                </c:pt>
                <c:pt idx="15">
                  <c:v>-91320.376122929185</c:v>
                </c:pt>
                <c:pt idx="16">
                  <c:v>-97376.783645387768</c:v>
                </c:pt>
                <c:pt idx="17">
                  <c:v>-103554.31931829553</c:v>
                </c:pt>
                <c:pt idx="18">
                  <c:v>-109855.40570466145</c:v>
                </c:pt>
                <c:pt idx="19">
                  <c:v>-116282.51381875468</c:v>
                </c:pt>
                <c:pt idx="20">
                  <c:v>-122838.16409512977</c:v>
                </c:pt>
                <c:pt idx="21">
                  <c:v>-129524.92737703238</c:v>
                </c:pt>
                <c:pt idx="22">
                  <c:v>-136345.42592457304</c:v>
                </c:pt>
                <c:pt idx="23">
                  <c:v>-143302.33444306449</c:v>
                </c:pt>
                <c:pt idx="24">
                  <c:v>-150398.38113192579</c:v>
                </c:pt>
                <c:pt idx="25">
                  <c:v>-157636.3487545643</c:v>
                </c:pt>
                <c:pt idx="26">
                  <c:v>-165019.0757296556</c:v>
                </c:pt>
                <c:pt idx="27">
                  <c:v>-172549.45724424871</c:v>
                </c:pt>
                <c:pt idx="28">
                  <c:v>-180230.44638913369</c:v>
                </c:pt>
                <c:pt idx="29">
                  <c:v>-188065.05531691638</c:v>
                </c:pt>
                <c:pt idx="30">
                  <c:v>-196056.35642325471</c:v>
                </c:pt>
                <c:pt idx="31">
                  <c:v>-204207.48355171981</c:v>
                </c:pt>
                <c:pt idx="32">
                  <c:v>-212521.6332227542</c:v>
                </c:pt>
                <c:pt idx="33">
                  <c:v>-221002.06588720929</c:v>
                </c:pt>
                <c:pt idx="34">
                  <c:v>-229652.10720495347</c:v>
                </c:pt>
                <c:pt idx="35">
                  <c:v>-238475.14934905255</c:v>
                </c:pt>
                <c:pt idx="36">
                  <c:v>-247474.65233603359</c:v>
                </c:pt>
                <c:pt idx="37">
                  <c:v>-256654.14538275427</c:v>
                </c:pt>
                <c:pt idx="38">
                  <c:v>-266017.22829040937</c:v>
                </c:pt>
                <c:pt idx="39">
                  <c:v>-275567.57285621756</c:v>
                </c:pt>
                <c:pt idx="40">
                  <c:v>-285308.92431334191</c:v>
                </c:pt>
              </c:numCache>
            </c:numRef>
          </c:val>
          <c:smooth val="0"/>
          <c:extLst>
            <c:ext xmlns:c16="http://schemas.microsoft.com/office/drawing/2014/chart" uri="{C3380CC4-5D6E-409C-BE32-E72D297353CC}">
              <c16:uniqueId val="{0000000A-8300-44B9-A9E5-24AFFB945341}"/>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Table!$BI$3:$BI$43</c:f>
              <c:numCache>
                <c:formatCode>"$"#,##0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0C-8300-44B9-A9E5-24AFFB945341}"/>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Table!$BJ$3:$BJ$43</c:f>
              <c:numCache>
                <c:formatCode>"$"#,##0</c:formatCode>
                <c:ptCount val="4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pt idx="11">
                  <c:v>306961.91701590951</c:v>
                </c:pt>
                <c:pt idx="12">
                  <c:v>337441.3457711481</c:v>
                </c:pt>
                <c:pt idx="13">
                  <c:v>368377.96595771529</c:v>
                </c:pt>
                <c:pt idx="14">
                  <c:v>399778.635447081</c:v>
                </c:pt>
                <c:pt idx="15">
                  <c:v>431650.31497878715</c:v>
                </c:pt>
                <c:pt idx="16">
                  <c:v>464000.06970346894</c:v>
                </c:pt>
                <c:pt idx="17">
                  <c:v>496835.0707490209</c:v>
                </c:pt>
                <c:pt idx="18">
                  <c:v>530162.59681025613</c:v>
                </c:pt>
                <c:pt idx="19">
                  <c:v>563990.03576240991</c:v>
                </c:pt>
                <c:pt idx="20">
                  <c:v>598324.88629884599</c:v>
                </c:pt>
                <c:pt idx="21">
                  <c:v>633174.75959332858</c:v>
                </c:pt>
                <c:pt idx="22">
                  <c:v>668547.38098722848</c:v>
                </c:pt>
                <c:pt idx="23">
                  <c:v>704450.59170203679</c:v>
                </c:pt>
                <c:pt idx="24">
                  <c:v>740892.35057756724</c:v>
                </c:pt>
                <c:pt idx="25">
                  <c:v>777880.73583623068</c:v>
                </c:pt>
                <c:pt idx="26">
                  <c:v>815423.94687377405</c:v>
                </c:pt>
                <c:pt idx="27">
                  <c:v>853530.30607688054</c:v>
                </c:pt>
                <c:pt idx="28">
                  <c:v>892208.26066803373</c:v>
                </c:pt>
                <c:pt idx="29">
                  <c:v>931466.38457805419</c:v>
                </c:pt>
                <c:pt idx="30">
                  <c:v>971313.38034672488</c:v>
                </c:pt>
                <c:pt idx="31">
                  <c:v>1011758.0810519257</c:v>
                </c:pt>
                <c:pt idx="32">
                  <c:v>1052809.4522677045</c:v>
                </c:pt>
                <c:pt idx="33">
                  <c:v>1094476.5940517201</c:v>
                </c:pt>
                <c:pt idx="34">
                  <c:v>1136768.7429624959</c:v>
                </c:pt>
                <c:pt idx="35">
                  <c:v>1179695.2741069333</c:v>
                </c:pt>
                <c:pt idx="36">
                  <c:v>1223265.7032185371</c:v>
                </c:pt>
                <c:pt idx="37">
                  <c:v>1267489.688766815</c:v>
                </c:pt>
                <c:pt idx="38">
                  <c:v>1312377.0340983171</c:v>
                </c:pt>
                <c:pt idx="39">
                  <c:v>1357937.6896097919</c:v>
                </c:pt>
                <c:pt idx="40">
                  <c:v>1404181.7549539385</c:v>
                </c:pt>
              </c:numCache>
            </c:numRef>
          </c:val>
          <c:smooth val="0"/>
          <c:extLst>
            <c:ext xmlns:c16="http://schemas.microsoft.com/office/drawing/2014/chart" uri="{C3380CC4-5D6E-409C-BE32-E72D297353CC}">
              <c16:uniqueId val="{0000000E-8300-44B9-A9E5-24AFFB945341}"/>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Table!$BK$3:$BK$43</c:f>
              <c:numCache>
                <c:formatCode>"$"#,##0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10-8300-44B9-A9E5-24AFFB945341}"/>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Table!$BL$3:$BL$43</c:f>
              <c:numCache>
                <c:formatCode>"$"#,##0</c:formatCode>
                <c:ptCount val="41"/>
                <c:pt idx="0">
                  <c:v>-13500</c:v>
                </c:pt>
                <c:pt idx="1">
                  <c:v>-13770</c:v>
                </c:pt>
                <c:pt idx="2">
                  <c:v>-14045.4</c:v>
                </c:pt>
                <c:pt idx="3">
                  <c:v>-14326.308000000001</c:v>
                </c:pt>
                <c:pt idx="4">
                  <c:v>-14612.834160000002</c:v>
                </c:pt>
                <c:pt idx="5">
                  <c:v>-14905.090843200001</c:v>
                </c:pt>
                <c:pt idx="6">
                  <c:v>-15203.192660064002</c:v>
                </c:pt>
                <c:pt idx="7">
                  <c:v>-15507.256513265284</c:v>
                </c:pt>
                <c:pt idx="8">
                  <c:v>-15817.401643530589</c:v>
                </c:pt>
                <c:pt idx="9">
                  <c:v>-16133.749676401199</c:v>
                </c:pt>
                <c:pt idx="10">
                  <c:v>-16456.424669929223</c:v>
                </c:pt>
                <c:pt idx="11">
                  <c:v>-16785.553163327808</c:v>
                </c:pt>
                <c:pt idx="12">
                  <c:v>-17121.264226594365</c:v>
                </c:pt>
                <c:pt idx="13">
                  <c:v>-17463.689511126257</c:v>
                </c:pt>
                <c:pt idx="14">
                  <c:v>-17812.96330134878</c:v>
                </c:pt>
                <c:pt idx="15">
                  <c:v>-18169.222567375757</c:v>
                </c:pt>
                <c:pt idx="16">
                  <c:v>-18532.607018723269</c:v>
                </c:pt>
                <c:pt idx="17">
                  <c:v>-18903.259159097735</c:v>
                </c:pt>
                <c:pt idx="18">
                  <c:v>-19281.324342279691</c:v>
                </c:pt>
                <c:pt idx="19">
                  <c:v>-19666.95082912529</c:v>
                </c:pt>
                <c:pt idx="20">
                  <c:v>-20060.289845707794</c:v>
                </c:pt>
                <c:pt idx="21">
                  <c:v>-20461.495642621951</c:v>
                </c:pt>
                <c:pt idx="22">
                  <c:v>-20870.72555547439</c:v>
                </c:pt>
                <c:pt idx="23">
                  <c:v>-21288.140066583877</c:v>
                </c:pt>
                <c:pt idx="24">
                  <c:v>-21713.902867915553</c:v>
                </c:pt>
                <c:pt idx="25">
                  <c:v>-22148.180925273864</c:v>
                </c:pt>
                <c:pt idx="26">
                  <c:v>-22591.144543779341</c:v>
                </c:pt>
                <c:pt idx="27">
                  <c:v>-23042.967434654929</c:v>
                </c:pt>
                <c:pt idx="28">
                  <c:v>-23503.826783348028</c:v>
                </c:pt>
                <c:pt idx="29">
                  <c:v>-23973.903319014989</c:v>
                </c:pt>
                <c:pt idx="30">
                  <c:v>-24453.381385395289</c:v>
                </c:pt>
                <c:pt idx="31">
                  <c:v>-24942.449013103196</c:v>
                </c:pt>
                <c:pt idx="32">
                  <c:v>-25441.29799336526</c:v>
                </c:pt>
                <c:pt idx="33">
                  <c:v>-25950.123953232564</c:v>
                </c:pt>
                <c:pt idx="34">
                  <c:v>-26469.126432297217</c:v>
                </c:pt>
                <c:pt idx="35">
                  <c:v>-26998.50896094316</c:v>
                </c:pt>
                <c:pt idx="36">
                  <c:v>-27538.479140162024</c:v>
                </c:pt>
                <c:pt idx="37">
                  <c:v>-28089.248722965265</c:v>
                </c:pt>
                <c:pt idx="38">
                  <c:v>-28651.033697424573</c:v>
                </c:pt>
                <c:pt idx="39">
                  <c:v>-29224.054371373062</c:v>
                </c:pt>
                <c:pt idx="40">
                  <c:v>-29808.535458800525</c:v>
                </c:pt>
              </c:numCache>
            </c:numRef>
          </c:val>
          <c:smooth val="0"/>
          <c:extLst>
            <c:ext xmlns:c16="http://schemas.microsoft.com/office/drawing/2014/chart" uri="{C3380CC4-5D6E-409C-BE32-E72D297353CC}">
              <c16:uniqueId val="{00000012-8300-44B9-A9E5-24AFFB94534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Table!$BF$3:$BF$13</c:f>
              <c:numCache>
                <c:formatCode>"$"#,##0</c:formatCode>
                <c:ptCount val="11"/>
                <c:pt idx="0">
                  <c:v>0</c:v>
                </c:pt>
                <c:pt idx="1">
                  <c:v>4500</c:v>
                </c:pt>
                <c:pt idx="2">
                  <c:v>9090</c:v>
                </c:pt>
                <c:pt idx="3">
                  <c:v>13771.800000000017</c:v>
                </c:pt>
                <c:pt idx="4">
                  <c:v>18547.236000000034</c:v>
                </c:pt>
                <c:pt idx="5">
                  <c:v>23418.180720000033</c:v>
                </c:pt>
                <c:pt idx="6">
                  <c:v>28386.544334400038</c:v>
                </c:pt>
                <c:pt idx="7">
                  <c:v>33454.275221088057</c:v>
                </c:pt>
                <c:pt idx="8">
                  <c:v>38623.360725509818</c:v>
                </c:pt>
                <c:pt idx="9">
                  <c:v>43895.827940020012</c:v>
                </c:pt>
                <c:pt idx="10">
                  <c:v>49273.744498820393</c:v>
                </c:pt>
              </c:numCache>
            </c:numRef>
          </c:val>
          <c:smooth val="0"/>
          <c:extLst>
            <c:ext xmlns:c16="http://schemas.microsoft.com/office/drawing/2014/chart" uri="{C3380CC4-5D6E-409C-BE32-E72D297353CC}">
              <c16:uniqueId val="{00000016-21D9-4C6C-B0AB-9CAACE2675D4}"/>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Table!$BG$3:$BG$13</c:f>
              <c:numCache>
                <c:formatCode>"$"#,##0</c:formatCode>
                <c:ptCount val="11"/>
                <c:pt idx="0">
                  <c:v>0</c:v>
                </c:pt>
                <c:pt idx="1">
                  <c:v>-3375</c:v>
                </c:pt>
                <c:pt idx="2">
                  <c:v>-6817.5</c:v>
                </c:pt>
                <c:pt idx="3">
                  <c:v>-10328.85</c:v>
                </c:pt>
                <c:pt idx="4">
                  <c:v>-13910.427</c:v>
                </c:pt>
                <c:pt idx="5">
                  <c:v>-17563.635539999999</c:v>
                </c:pt>
                <c:pt idx="6">
                  <c:v>-21289.908250799999</c:v>
                </c:pt>
                <c:pt idx="7">
                  <c:v>-25090.706415815999</c:v>
                </c:pt>
                <c:pt idx="8">
                  <c:v>-28967.52054413232</c:v>
                </c:pt>
                <c:pt idx="9">
                  <c:v>-32921.870955014965</c:v>
                </c:pt>
                <c:pt idx="10">
                  <c:v>-36955.308374115266</c:v>
                </c:pt>
              </c:numCache>
            </c:numRef>
          </c:val>
          <c:smooth val="0"/>
          <c:extLst>
            <c:ext xmlns:c16="http://schemas.microsoft.com/office/drawing/2014/chart" uri="{C3380CC4-5D6E-409C-BE32-E72D297353CC}">
              <c16:uniqueId val="{00000018-21D9-4C6C-B0AB-9CAACE2675D4}"/>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Table!$BH$3:$BH$13</c:f>
              <c:numCache>
                <c:formatCode>"$"#,##0</c:formatCode>
                <c:ptCount val="11"/>
                <c:pt idx="0">
                  <c:v>-13500</c:v>
                </c:pt>
                <c:pt idx="1">
                  <c:v>-18000</c:v>
                </c:pt>
                <c:pt idx="2">
                  <c:v>-22590</c:v>
                </c:pt>
                <c:pt idx="3">
                  <c:v>-27271.8</c:v>
                </c:pt>
                <c:pt idx="4">
                  <c:v>-32047.236000000001</c:v>
                </c:pt>
                <c:pt idx="5">
                  <c:v>-36918.180720000004</c:v>
                </c:pt>
                <c:pt idx="6">
                  <c:v>-41886.544334400009</c:v>
                </c:pt>
                <c:pt idx="7">
                  <c:v>-46954.275221088013</c:v>
                </c:pt>
                <c:pt idx="8">
                  <c:v>-52123.360725509774</c:v>
                </c:pt>
                <c:pt idx="9">
                  <c:v>-57395.827940019968</c:v>
                </c:pt>
                <c:pt idx="10">
                  <c:v>-62773.744498820372</c:v>
                </c:pt>
              </c:numCache>
            </c:numRef>
          </c:val>
          <c:smooth val="0"/>
          <c:extLst>
            <c:ext xmlns:c16="http://schemas.microsoft.com/office/drawing/2014/chart" uri="{C3380CC4-5D6E-409C-BE32-E72D297353CC}">
              <c16:uniqueId val="{0000001A-21D9-4C6C-B0AB-9CAACE2675D4}"/>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Table!$BI$3:$BI$13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C-21D9-4C6C-B0AB-9CAACE2675D4}"/>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Table!$BJ$3:$BJ$13</c:f>
              <c:numCache>
                <c:formatCode>"$"#,##0</c:formatCode>
                <c:ptCount val="1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numCache>
            </c:numRef>
          </c:val>
          <c:smooth val="0"/>
          <c:extLst>
            <c:ext xmlns:c16="http://schemas.microsoft.com/office/drawing/2014/chart" uri="{C3380CC4-5D6E-409C-BE32-E72D297353CC}">
              <c16:uniqueId val="{0000001E-21D9-4C6C-B0AB-9CAACE2675D4}"/>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Table!$BK$3:$BK$13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20-21D9-4C6C-B0AB-9CAACE2675D4}"/>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Table!$BL$3:$BL$13</c:f>
              <c:numCache>
                <c:formatCode>"$"#,##0</c:formatCode>
                <c:ptCount val="11"/>
                <c:pt idx="0">
                  <c:v>-13500</c:v>
                </c:pt>
                <c:pt idx="1">
                  <c:v>-13770</c:v>
                </c:pt>
                <c:pt idx="2">
                  <c:v>-14045.4</c:v>
                </c:pt>
                <c:pt idx="3">
                  <c:v>-14326.308000000001</c:v>
                </c:pt>
                <c:pt idx="4">
                  <c:v>-14612.834160000002</c:v>
                </c:pt>
                <c:pt idx="5">
                  <c:v>-14905.090843200001</c:v>
                </c:pt>
                <c:pt idx="6">
                  <c:v>-15203.192660064002</c:v>
                </c:pt>
                <c:pt idx="7">
                  <c:v>-15507.256513265284</c:v>
                </c:pt>
                <c:pt idx="8">
                  <c:v>-15817.401643530589</c:v>
                </c:pt>
                <c:pt idx="9">
                  <c:v>-16133.749676401199</c:v>
                </c:pt>
                <c:pt idx="10">
                  <c:v>-16456.424669929223</c:v>
                </c:pt>
              </c:numCache>
            </c:numRef>
          </c:val>
          <c:smooth val="0"/>
          <c:extLst>
            <c:ext xmlns:c16="http://schemas.microsoft.com/office/drawing/2014/chart" uri="{C3380CC4-5D6E-409C-BE32-E72D297353CC}">
              <c16:uniqueId val="{00000022-21D9-4C6C-B0AB-9CAACE2675D4}"/>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Table!$AF$3:$AF$33</c:f>
              <c:numCache>
                <c:formatCode>"$"#,##0</c:formatCode>
                <c:ptCount val="31"/>
                <c:pt idx="0">
                  <c:v>0</c:v>
                </c:pt>
                <c:pt idx="1">
                  <c:v>2400</c:v>
                </c:pt>
                <c:pt idx="2">
                  <c:v>2448</c:v>
                </c:pt>
                <c:pt idx="3">
                  <c:v>2496.96</c:v>
                </c:pt>
                <c:pt idx="4">
                  <c:v>2546.8992000000003</c:v>
                </c:pt>
                <c:pt idx="5">
                  <c:v>2597.8371840000004</c:v>
                </c:pt>
                <c:pt idx="6">
                  <c:v>2649.7939276800003</c:v>
                </c:pt>
                <c:pt idx="7">
                  <c:v>2702.7898062336003</c:v>
                </c:pt>
                <c:pt idx="8">
                  <c:v>2756.8456023582726</c:v>
                </c:pt>
                <c:pt idx="9">
                  <c:v>2811.982514405438</c:v>
                </c:pt>
                <c:pt idx="10">
                  <c:v>2868.2221646935468</c:v>
                </c:pt>
                <c:pt idx="11">
                  <c:v>2925.5866079874177</c:v>
                </c:pt>
                <c:pt idx="12">
                  <c:v>2984.0983401471658</c:v>
                </c:pt>
                <c:pt idx="13">
                  <c:v>3043.7803069501092</c:v>
                </c:pt>
                <c:pt idx="14">
                  <c:v>3104.6559130891114</c:v>
                </c:pt>
                <c:pt idx="15">
                  <c:v>3166.7490313508938</c:v>
                </c:pt>
                <c:pt idx="16">
                  <c:v>3230.0840119779118</c:v>
                </c:pt>
                <c:pt idx="17">
                  <c:v>3294.6856922174702</c:v>
                </c:pt>
                <c:pt idx="18">
                  <c:v>3360.5794060618196</c:v>
                </c:pt>
                <c:pt idx="19">
                  <c:v>3427.7909941830562</c:v>
                </c:pt>
                <c:pt idx="20">
                  <c:v>3496.3468140667173</c:v>
                </c:pt>
                <c:pt idx="21">
                  <c:v>3566.2737503480516</c:v>
                </c:pt>
                <c:pt idx="22">
                  <c:v>3637.5992253550125</c:v>
                </c:pt>
                <c:pt idx="23">
                  <c:v>3710.3512098621127</c:v>
                </c:pt>
                <c:pt idx="24">
                  <c:v>3784.5582340593551</c:v>
                </c:pt>
                <c:pt idx="25">
                  <c:v>3860.2493987405419</c:v>
                </c:pt>
                <c:pt idx="26">
                  <c:v>3937.4543867153529</c:v>
                </c:pt>
                <c:pt idx="27">
                  <c:v>4016.20347444966</c:v>
                </c:pt>
                <c:pt idx="28">
                  <c:v>4096.5275439386533</c:v>
                </c:pt>
                <c:pt idx="29">
                  <c:v>4178.4580948174262</c:v>
                </c:pt>
                <c:pt idx="30">
                  <c:v>4262.0272567137745</c:v>
                </c:pt>
              </c:numCache>
            </c:numRef>
          </c:val>
          <c:smooth val="0"/>
          <c:extLst>
            <c:ext xmlns:c16="http://schemas.microsoft.com/office/drawing/2014/chart" uri="{C3380CC4-5D6E-409C-BE32-E72D297353CC}">
              <c16:uniqueId val="{00000006-4979-48A4-B9A6-70ABE604625C}"/>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Table!$AG$3:$AG$33</c:f>
              <c:numCache>
                <c:formatCode>"$"#,##0</c:formatCode>
                <c:ptCount val="31"/>
                <c:pt idx="0">
                  <c:v>1125</c:v>
                </c:pt>
                <c:pt idx="1">
                  <c:v>656.25</c:v>
                </c:pt>
                <c:pt idx="2">
                  <c:v>669.375</c:v>
                </c:pt>
                <c:pt idx="3">
                  <c:v>682.76249999999993</c:v>
                </c:pt>
                <c:pt idx="4">
                  <c:v>696.41775000000007</c:v>
                </c:pt>
                <c:pt idx="5">
                  <c:v>710.34610500000008</c:v>
                </c:pt>
                <c:pt idx="6">
                  <c:v>724.55302710000012</c:v>
                </c:pt>
                <c:pt idx="7">
                  <c:v>739.04408764200014</c:v>
                </c:pt>
                <c:pt idx="8">
                  <c:v>753.8249693948402</c:v>
                </c:pt>
                <c:pt idx="9">
                  <c:v>768.90146878273697</c:v>
                </c:pt>
                <c:pt idx="10">
                  <c:v>784.27949815839168</c:v>
                </c:pt>
                <c:pt idx="11">
                  <c:v>799.96508812155946</c:v>
                </c:pt>
                <c:pt idx="12">
                  <c:v>815.96438988399075</c:v>
                </c:pt>
                <c:pt idx="13">
                  <c:v>832.28367768167061</c:v>
                </c:pt>
                <c:pt idx="14">
                  <c:v>848.92935123530413</c:v>
                </c:pt>
                <c:pt idx="15">
                  <c:v>865.90793826001027</c:v>
                </c:pt>
                <c:pt idx="16">
                  <c:v>883.22609702521038</c:v>
                </c:pt>
                <c:pt idx="17">
                  <c:v>900.89061896571457</c:v>
                </c:pt>
                <c:pt idx="18">
                  <c:v>918.90843134502882</c:v>
                </c:pt>
                <c:pt idx="19">
                  <c:v>937.28659997192938</c:v>
                </c:pt>
                <c:pt idx="20">
                  <c:v>956.03233197136831</c:v>
                </c:pt>
                <c:pt idx="21">
                  <c:v>975.15297861079546</c:v>
                </c:pt>
                <c:pt idx="22">
                  <c:v>994.65603818301145</c:v>
                </c:pt>
                <c:pt idx="23">
                  <c:v>1014.5491589466716</c:v>
                </c:pt>
                <c:pt idx="24">
                  <c:v>1034.8401421256051</c:v>
                </c:pt>
                <c:pt idx="25">
                  <c:v>1055.5369449681173</c:v>
                </c:pt>
                <c:pt idx="26">
                  <c:v>1076.6476838674796</c:v>
                </c:pt>
                <c:pt idx="27">
                  <c:v>1098.1806375448291</c:v>
                </c:pt>
                <c:pt idx="28">
                  <c:v>1120.1442502957259</c:v>
                </c:pt>
                <c:pt idx="29">
                  <c:v>1142.5471353016403</c:v>
                </c:pt>
                <c:pt idx="30">
                  <c:v>1165.3980780076731</c:v>
                </c:pt>
              </c:numCache>
            </c:numRef>
          </c:val>
          <c:smooth val="0"/>
          <c:extLst>
            <c:ext xmlns:c16="http://schemas.microsoft.com/office/drawing/2014/chart" uri="{C3380CC4-5D6E-409C-BE32-E72D297353CC}">
              <c16:uniqueId val="{00000008-4979-48A4-B9A6-70ABE604625C}"/>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Table!$AF$3:$AF$43</c:f>
              <c:numCache>
                <c:formatCode>"$"#,##0</c:formatCode>
                <c:ptCount val="41"/>
                <c:pt idx="0">
                  <c:v>0</c:v>
                </c:pt>
                <c:pt idx="1">
                  <c:v>2400</c:v>
                </c:pt>
                <c:pt idx="2">
                  <c:v>2448</c:v>
                </c:pt>
                <c:pt idx="3">
                  <c:v>2496.96</c:v>
                </c:pt>
                <c:pt idx="4">
                  <c:v>2546.8992000000003</c:v>
                </c:pt>
                <c:pt idx="5">
                  <c:v>2597.8371840000004</c:v>
                </c:pt>
                <c:pt idx="6">
                  <c:v>2649.7939276800003</c:v>
                </c:pt>
                <c:pt idx="7">
                  <c:v>2702.7898062336003</c:v>
                </c:pt>
                <c:pt idx="8">
                  <c:v>2756.8456023582726</c:v>
                </c:pt>
                <c:pt idx="9">
                  <c:v>2811.982514405438</c:v>
                </c:pt>
                <c:pt idx="10">
                  <c:v>2868.2221646935468</c:v>
                </c:pt>
                <c:pt idx="11">
                  <c:v>2925.5866079874177</c:v>
                </c:pt>
                <c:pt idx="12">
                  <c:v>2984.0983401471658</c:v>
                </c:pt>
                <c:pt idx="13">
                  <c:v>3043.7803069501092</c:v>
                </c:pt>
                <c:pt idx="14">
                  <c:v>3104.6559130891114</c:v>
                </c:pt>
                <c:pt idx="15">
                  <c:v>3166.7490313508938</c:v>
                </c:pt>
                <c:pt idx="16">
                  <c:v>3230.0840119779118</c:v>
                </c:pt>
                <c:pt idx="17">
                  <c:v>3294.6856922174702</c:v>
                </c:pt>
                <c:pt idx="18">
                  <c:v>3360.5794060618196</c:v>
                </c:pt>
                <c:pt idx="19">
                  <c:v>3427.7909941830562</c:v>
                </c:pt>
                <c:pt idx="20">
                  <c:v>3496.3468140667173</c:v>
                </c:pt>
                <c:pt idx="21">
                  <c:v>3566.2737503480516</c:v>
                </c:pt>
                <c:pt idx="22">
                  <c:v>3637.5992253550125</c:v>
                </c:pt>
                <c:pt idx="23">
                  <c:v>3710.3512098621127</c:v>
                </c:pt>
                <c:pt idx="24">
                  <c:v>3784.5582340593551</c:v>
                </c:pt>
                <c:pt idx="25">
                  <c:v>3860.2493987405419</c:v>
                </c:pt>
                <c:pt idx="26">
                  <c:v>3937.4543867153529</c:v>
                </c:pt>
                <c:pt idx="27">
                  <c:v>4016.20347444966</c:v>
                </c:pt>
                <c:pt idx="28">
                  <c:v>4096.5275439386533</c:v>
                </c:pt>
                <c:pt idx="29">
                  <c:v>4178.4580948174262</c:v>
                </c:pt>
                <c:pt idx="30">
                  <c:v>4262.0272567137745</c:v>
                </c:pt>
                <c:pt idx="31">
                  <c:v>4347.2678018480501</c:v>
                </c:pt>
                <c:pt idx="32">
                  <c:v>4434.2131578850103</c:v>
                </c:pt>
                <c:pt idx="33">
                  <c:v>4522.8974210427104</c:v>
                </c:pt>
                <c:pt idx="34">
                  <c:v>4613.3553694635648</c:v>
                </c:pt>
                <c:pt idx="35">
                  <c:v>4705.6224768528364</c:v>
                </c:pt>
                <c:pt idx="36">
                  <c:v>4799.7349263898932</c:v>
                </c:pt>
                <c:pt idx="37">
                  <c:v>4895.7296249176907</c:v>
                </c:pt>
                <c:pt idx="38">
                  <c:v>4993.6442174160447</c:v>
                </c:pt>
                <c:pt idx="39">
                  <c:v>5093.5171017643652</c:v>
                </c:pt>
                <c:pt idx="40">
                  <c:v>5195.3874437996528</c:v>
                </c:pt>
              </c:numCache>
            </c:numRef>
          </c:val>
          <c:smooth val="0"/>
          <c:extLst>
            <c:ext xmlns:c16="http://schemas.microsoft.com/office/drawing/2014/chart" uri="{C3380CC4-5D6E-409C-BE32-E72D297353CC}">
              <c16:uniqueId val="{00000000-379C-4C22-85A2-2662AA17B93F}"/>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Table!$AG$3:$AG$43</c:f>
              <c:numCache>
                <c:formatCode>"$"#,##0</c:formatCode>
                <c:ptCount val="41"/>
                <c:pt idx="0">
                  <c:v>1125</c:v>
                </c:pt>
                <c:pt idx="1">
                  <c:v>656.25</c:v>
                </c:pt>
                <c:pt idx="2">
                  <c:v>669.375</c:v>
                </c:pt>
                <c:pt idx="3">
                  <c:v>682.76249999999993</c:v>
                </c:pt>
                <c:pt idx="4">
                  <c:v>696.41775000000007</c:v>
                </c:pt>
                <c:pt idx="5">
                  <c:v>710.34610500000008</c:v>
                </c:pt>
                <c:pt idx="6">
                  <c:v>724.55302710000012</c:v>
                </c:pt>
                <c:pt idx="7">
                  <c:v>739.04408764200014</c:v>
                </c:pt>
                <c:pt idx="8">
                  <c:v>753.8249693948402</c:v>
                </c:pt>
                <c:pt idx="9">
                  <c:v>768.90146878273697</c:v>
                </c:pt>
                <c:pt idx="10">
                  <c:v>784.27949815839168</c:v>
                </c:pt>
                <c:pt idx="11">
                  <c:v>799.96508812155946</c:v>
                </c:pt>
                <c:pt idx="12">
                  <c:v>815.96438988399075</c:v>
                </c:pt>
                <c:pt idx="13">
                  <c:v>832.28367768167061</c:v>
                </c:pt>
                <c:pt idx="14">
                  <c:v>848.92935123530413</c:v>
                </c:pt>
                <c:pt idx="15">
                  <c:v>865.90793826001027</c:v>
                </c:pt>
                <c:pt idx="16">
                  <c:v>883.22609702521038</c:v>
                </c:pt>
                <c:pt idx="17">
                  <c:v>900.89061896571457</c:v>
                </c:pt>
                <c:pt idx="18">
                  <c:v>918.90843134502882</c:v>
                </c:pt>
                <c:pt idx="19">
                  <c:v>937.28659997192938</c:v>
                </c:pt>
                <c:pt idx="20">
                  <c:v>956.03233197136831</c:v>
                </c:pt>
                <c:pt idx="21">
                  <c:v>975.15297861079546</c:v>
                </c:pt>
                <c:pt idx="22">
                  <c:v>994.65603818301145</c:v>
                </c:pt>
                <c:pt idx="23">
                  <c:v>1014.5491589466716</c:v>
                </c:pt>
                <c:pt idx="24">
                  <c:v>1034.8401421256051</c:v>
                </c:pt>
                <c:pt idx="25">
                  <c:v>1055.5369449681173</c:v>
                </c:pt>
                <c:pt idx="26">
                  <c:v>1076.6476838674796</c:v>
                </c:pt>
                <c:pt idx="27">
                  <c:v>1098.1806375448291</c:v>
                </c:pt>
                <c:pt idx="28">
                  <c:v>1120.1442502957259</c:v>
                </c:pt>
                <c:pt idx="29">
                  <c:v>1142.5471353016403</c:v>
                </c:pt>
                <c:pt idx="30">
                  <c:v>1165.3980780076731</c:v>
                </c:pt>
                <c:pt idx="31">
                  <c:v>1188.7060395678266</c:v>
                </c:pt>
                <c:pt idx="32">
                  <c:v>1212.4801603591832</c:v>
                </c:pt>
                <c:pt idx="33">
                  <c:v>1236.729763566367</c:v>
                </c:pt>
                <c:pt idx="34">
                  <c:v>1261.4643588376941</c:v>
                </c:pt>
                <c:pt idx="35">
                  <c:v>1286.6936460144479</c:v>
                </c:pt>
                <c:pt idx="36">
                  <c:v>1312.427518934737</c:v>
                </c:pt>
                <c:pt idx="37">
                  <c:v>1338.6760693134318</c:v>
                </c:pt>
                <c:pt idx="38">
                  <c:v>1365.4495906997006</c:v>
                </c:pt>
                <c:pt idx="39">
                  <c:v>1392.7585825136946</c:v>
                </c:pt>
                <c:pt idx="40">
                  <c:v>1420.6137541639685</c:v>
                </c:pt>
              </c:numCache>
            </c:numRef>
          </c:val>
          <c:smooth val="0"/>
          <c:extLst>
            <c:ext xmlns:c16="http://schemas.microsoft.com/office/drawing/2014/chart" uri="{C3380CC4-5D6E-409C-BE32-E72D297353CC}">
              <c16:uniqueId val="{00000001-379C-4C22-85A2-2662AA17B93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Table!$AF$3:$AF$23</c:f>
              <c:numCache>
                <c:formatCode>"$"#,##0</c:formatCode>
                <c:ptCount val="21"/>
                <c:pt idx="0">
                  <c:v>0</c:v>
                </c:pt>
                <c:pt idx="1">
                  <c:v>2400</c:v>
                </c:pt>
                <c:pt idx="2">
                  <c:v>2448</c:v>
                </c:pt>
                <c:pt idx="3">
                  <c:v>2496.96</c:v>
                </c:pt>
                <c:pt idx="4">
                  <c:v>2546.8992000000003</c:v>
                </c:pt>
                <c:pt idx="5">
                  <c:v>2597.8371840000004</c:v>
                </c:pt>
                <c:pt idx="6">
                  <c:v>2649.7939276800003</c:v>
                </c:pt>
                <c:pt idx="7">
                  <c:v>2702.7898062336003</c:v>
                </c:pt>
                <c:pt idx="8">
                  <c:v>2756.8456023582726</c:v>
                </c:pt>
                <c:pt idx="9">
                  <c:v>2811.982514405438</c:v>
                </c:pt>
                <c:pt idx="10">
                  <c:v>2868.2221646935468</c:v>
                </c:pt>
                <c:pt idx="11">
                  <c:v>2925.5866079874177</c:v>
                </c:pt>
                <c:pt idx="12">
                  <c:v>2984.0983401471658</c:v>
                </c:pt>
                <c:pt idx="13">
                  <c:v>3043.7803069501092</c:v>
                </c:pt>
                <c:pt idx="14">
                  <c:v>3104.6559130891114</c:v>
                </c:pt>
                <c:pt idx="15">
                  <c:v>3166.7490313508938</c:v>
                </c:pt>
                <c:pt idx="16">
                  <c:v>3230.0840119779118</c:v>
                </c:pt>
                <c:pt idx="17">
                  <c:v>3294.6856922174702</c:v>
                </c:pt>
                <c:pt idx="18">
                  <c:v>3360.5794060618196</c:v>
                </c:pt>
                <c:pt idx="19">
                  <c:v>3427.7909941830562</c:v>
                </c:pt>
                <c:pt idx="20">
                  <c:v>3496.3468140667173</c:v>
                </c:pt>
              </c:numCache>
            </c:numRef>
          </c:val>
          <c:smooth val="0"/>
          <c:extLst>
            <c:ext xmlns:c16="http://schemas.microsoft.com/office/drawing/2014/chart" uri="{C3380CC4-5D6E-409C-BE32-E72D297353CC}">
              <c16:uniqueId val="{00000004-FFB5-4B1C-B017-A200058C6737}"/>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Table!$AG$3:$AG$23</c:f>
              <c:numCache>
                <c:formatCode>"$"#,##0</c:formatCode>
                <c:ptCount val="21"/>
                <c:pt idx="0">
                  <c:v>1125</c:v>
                </c:pt>
                <c:pt idx="1">
                  <c:v>656.25</c:v>
                </c:pt>
                <c:pt idx="2">
                  <c:v>669.375</c:v>
                </c:pt>
                <c:pt idx="3">
                  <c:v>682.76249999999993</c:v>
                </c:pt>
                <c:pt idx="4">
                  <c:v>696.41775000000007</c:v>
                </c:pt>
                <c:pt idx="5">
                  <c:v>710.34610500000008</c:v>
                </c:pt>
                <c:pt idx="6">
                  <c:v>724.55302710000012</c:v>
                </c:pt>
                <c:pt idx="7">
                  <c:v>739.04408764200014</c:v>
                </c:pt>
                <c:pt idx="8">
                  <c:v>753.8249693948402</c:v>
                </c:pt>
                <c:pt idx="9">
                  <c:v>768.90146878273697</c:v>
                </c:pt>
                <c:pt idx="10">
                  <c:v>784.27949815839168</c:v>
                </c:pt>
                <c:pt idx="11">
                  <c:v>799.96508812155946</c:v>
                </c:pt>
                <c:pt idx="12">
                  <c:v>815.96438988399075</c:v>
                </c:pt>
                <c:pt idx="13">
                  <c:v>832.28367768167061</c:v>
                </c:pt>
                <c:pt idx="14">
                  <c:v>848.92935123530413</c:v>
                </c:pt>
                <c:pt idx="15">
                  <c:v>865.90793826001027</c:v>
                </c:pt>
                <c:pt idx="16">
                  <c:v>883.22609702521038</c:v>
                </c:pt>
                <c:pt idx="17">
                  <c:v>900.89061896571457</c:v>
                </c:pt>
                <c:pt idx="18">
                  <c:v>918.90843134502882</c:v>
                </c:pt>
                <c:pt idx="19">
                  <c:v>937.28659997192938</c:v>
                </c:pt>
                <c:pt idx="20">
                  <c:v>956.03233197136831</c:v>
                </c:pt>
              </c:numCache>
            </c:numRef>
          </c:val>
          <c:smooth val="0"/>
          <c:extLst>
            <c:ext xmlns:c16="http://schemas.microsoft.com/office/drawing/2014/chart" uri="{C3380CC4-5D6E-409C-BE32-E72D297353CC}">
              <c16:uniqueId val="{00000006-FFB5-4B1C-B017-A200058C673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Table!$G$3:$G$23</c:f>
              <c:numCache>
                <c:formatCode>"$"#,##0</c:formatCode>
                <c:ptCount val="21"/>
                <c:pt idx="0">
                  <c:v>0</c:v>
                </c:pt>
                <c:pt idx="1">
                  <c:v>-12104.999999999971</c:v>
                </c:pt>
                <c:pt idx="2">
                  <c:v>-23617.349999999977</c:v>
                </c:pt>
                <c:pt idx="3">
                  <c:v>-34466.764499999976</c:v>
                </c:pt>
                <c:pt idx="4">
                  <c:v>-44577.462014999925</c:v>
                </c:pt>
                <c:pt idx="5">
                  <c:v>-53867.768836049887</c:v>
                </c:pt>
                <c:pt idx="6">
                  <c:v>-62249.694824173377</c:v>
                </c:pt>
                <c:pt idx="7">
                  <c:v>-69628.479274857498</c:v>
                </c:pt>
                <c:pt idx="8">
                  <c:v>-75902.104753349355</c:v>
                </c:pt>
                <c:pt idx="9">
                  <c:v>-80960.77665392065</c:v>
                </c:pt>
                <c:pt idx="10">
                  <c:v>-84686.366078888648</c:v>
                </c:pt>
                <c:pt idx="11">
                  <c:v>-86951.813464788313</c:v>
                </c:pt>
                <c:pt idx="12">
                  <c:v>-87620.490202908521</c:v>
                </c:pt>
                <c:pt idx="13">
                  <c:v>-86545.515308608825</c:v>
                </c:pt>
                <c:pt idx="14">
                  <c:v>-83569.023987538123</c:v>
                </c:pt>
                <c:pt idx="15">
                  <c:v>-78521.384726139018</c:v>
                </c:pt>
                <c:pt idx="16">
                  <c:v>-71220.361297631287</c:v>
                </c:pt>
                <c:pt idx="17">
                  <c:v>-61470.215821941383</c:v>
                </c:pt>
                <c:pt idx="18">
                  <c:v>-49060.748747622711</c:v>
                </c:pt>
                <c:pt idx="19">
                  <c:v>-33766.271334464545</c:v>
                </c:pt>
                <c:pt idx="20">
                  <c:v>-15344.50590587547</c:v>
                </c:pt>
              </c:numCache>
            </c:numRef>
          </c:val>
          <c:smooth val="0"/>
          <c:extLst>
            <c:ext xmlns:c16="http://schemas.microsoft.com/office/drawing/2014/chart" uri="{C3380CC4-5D6E-409C-BE32-E72D297353CC}">
              <c16:uniqueId val="{00000008-B585-4C8E-960E-E8111DB3818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Table!$T$3:$T$23</c:f>
              <c:numCache>
                <c:formatCode>"$"#,##0</c:formatCode>
                <c:ptCount val="21"/>
                <c:pt idx="0">
                  <c:v>-13500</c:v>
                </c:pt>
                <c:pt idx="1">
                  <c:v>-16875</c:v>
                </c:pt>
                <c:pt idx="2">
                  <c:v>-20317.5</c:v>
                </c:pt>
                <c:pt idx="3">
                  <c:v>-23828.849999999984</c:v>
                </c:pt>
                <c:pt idx="4">
                  <c:v>-27410.426999999967</c:v>
                </c:pt>
                <c:pt idx="5">
                  <c:v>-31063.63553999997</c:v>
                </c:pt>
                <c:pt idx="6">
                  <c:v>-34789.90825079997</c:v>
                </c:pt>
                <c:pt idx="7">
                  <c:v>-38590.706415815956</c:v>
                </c:pt>
                <c:pt idx="8">
                  <c:v>-42467.520544132276</c:v>
                </c:pt>
                <c:pt idx="9">
                  <c:v>-46421.870955014921</c:v>
                </c:pt>
                <c:pt idx="10">
                  <c:v>-50455.308374115244</c:v>
                </c:pt>
                <c:pt idx="11">
                  <c:v>-54569.414541597514</c:v>
                </c:pt>
                <c:pt idx="12">
                  <c:v>-58765.80283242945</c:v>
                </c:pt>
                <c:pt idx="13">
                  <c:v>-63046.118889078025</c:v>
                </c:pt>
                <c:pt idx="14">
                  <c:v>-67412.041266859567</c:v>
                </c:pt>
                <c:pt idx="15">
                  <c:v>-71865.28209219678</c:v>
                </c:pt>
                <c:pt idx="16">
                  <c:v>-76407.587734040717</c:v>
                </c:pt>
                <c:pt idx="17">
                  <c:v>-81040.73948872152</c:v>
                </c:pt>
                <c:pt idx="18">
                  <c:v>-85766.55427849594</c:v>
                </c:pt>
                <c:pt idx="19">
                  <c:v>-90586.885364065849</c:v>
                </c:pt>
                <c:pt idx="20">
                  <c:v>-95503.623071347145</c:v>
                </c:pt>
              </c:numCache>
            </c:numRef>
          </c:val>
          <c:smooth val="0"/>
          <c:extLst>
            <c:ext xmlns:c16="http://schemas.microsoft.com/office/drawing/2014/chart" uri="{C3380CC4-5D6E-409C-BE32-E72D297353CC}">
              <c16:uniqueId val="{0000000A-B585-4C8E-960E-E8111DB3818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Table!$AA$3:$AA$23</c:f>
              <c:numCache>
                <c:formatCode>"$"#,##0</c:formatCode>
                <c:ptCount val="21"/>
                <c:pt idx="0">
                  <c:v>-13500</c:v>
                </c:pt>
                <c:pt idx="1">
                  <c:v>-16875</c:v>
                </c:pt>
                <c:pt idx="2">
                  <c:v>-19438.649999999998</c:v>
                </c:pt>
                <c:pt idx="3">
                  <c:v>-21113.203499999981</c:v>
                </c:pt>
                <c:pt idx="4">
                  <c:v>-21815.052704999958</c:v>
                </c:pt>
                <c:pt idx="5">
                  <c:v>-21454.309853549963</c:v>
                </c:pt>
                <c:pt idx="6">
                  <c:v>-19934.359071682455</c:v>
                </c:pt>
                <c:pt idx="7">
                  <c:v>-17151.376685651885</c:v>
                </c:pt>
                <c:pt idx="8">
                  <c:v>-12993.81778217823</c:v>
                </c:pt>
                <c:pt idx="9">
                  <c:v>-7341.8666500320396</c:v>
                </c:pt>
                <c:pt idx="10">
                  <c:v>-66.848571097660169</c:v>
                </c:pt>
                <c:pt idx="11">
                  <c:v>8969.3997482509221</c:v>
                </c:pt>
                <c:pt idx="12">
                  <c:v>19915.20400434039</c:v>
                </c:pt>
                <c:pt idx="13">
                  <c:v>32929.773483830395</c:v>
                </c:pt>
                <c:pt idx="14">
                  <c:v>48183.972930868389</c:v>
                </c:pt>
                <c:pt idx="15">
                  <c:v>65861.148645262438</c:v>
                </c:pt>
                <c:pt idx="16">
                  <c:v>86158.01261184871</c:v>
                </c:pt>
                <c:pt idx="17">
                  <c:v>109285.58872732446</c:v>
                </c:pt>
                <c:pt idx="18">
                  <c:v>135470.22547553631</c:v>
                </c:pt>
                <c:pt idx="19">
                  <c:v>164954.67970686915</c:v>
                </c:pt>
                <c:pt idx="20">
                  <c:v>197999.27650335617</c:v>
                </c:pt>
              </c:numCache>
            </c:numRef>
          </c:val>
          <c:smooth val="0"/>
          <c:extLst>
            <c:ext xmlns:c16="http://schemas.microsoft.com/office/drawing/2014/chart" uri="{C3380CC4-5D6E-409C-BE32-E72D297353CC}">
              <c16:uniqueId val="{0000000C-B585-4C8E-960E-E8111DB38187}"/>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Table!$AD$3:$AD$23</c:f>
              <c:numCache>
                <c:formatCode>"$"#,##0</c:formatCode>
                <c:ptCount val="21"/>
                <c:pt idx="0">
                  <c:v>-27000</c:v>
                </c:pt>
                <c:pt idx="1">
                  <c:v>-30645</c:v>
                </c:pt>
                <c:pt idx="2">
                  <c:v>-33484.049999999996</c:v>
                </c:pt>
                <c:pt idx="3">
                  <c:v>-35439.511499999979</c:v>
                </c:pt>
                <c:pt idx="4">
                  <c:v>-36427.886864999964</c:v>
                </c:pt>
                <c:pt idx="5">
                  <c:v>-36359.400696749966</c:v>
                </c:pt>
                <c:pt idx="6">
                  <c:v>-35137.551731746455</c:v>
                </c:pt>
                <c:pt idx="7">
                  <c:v>-32658.633198917167</c:v>
                </c:pt>
                <c:pt idx="8">
                  <c:v>-28811.219425708819</c:v>
                </c:pt>
                <c:pt idx="9">
                  <c:v>-23475.616326433239</c:v>
                </c:pt>
                <c:pt idx="10">
                  <c:v>-16523.273241026884</c:v>
                </c:pt>
                <c:pt idx="11">
                  <c:v>-7816.1534150768857</c:v>
                </c:pt>
                <c:pt idx="12">
                  <c:v>2793.9397777460254</c:v>
                </c:pt>
                <c:pt idx="13">
                  <c:v>15466.083972704138</c:v>
                </c:pt>
                <c:pt idx="14">
                  <c:v>30371.009629519609</c:v>
                </c:pt>
                <c:pt idx="15">
                  <c:v>47691.926077886681</c:v>
                </c:pt>
                <c:pt idx="16">
                  <c:v>67625.405593125441</c:v>
                </c:pt>
                <c:pt idx="17">
                  <c:v>90382.32956822672</c:v>
                </c:pt>
                <c:pt idx="18">
                  <c:v>116188.90113325662</c:v>
                </c:pt>
                <c:pt idx="19">
                  <c:v>145287.72887774385</c:v>
                </c:pt>
                <c:pt idx="20">
                  <c:v>177938.98665764838</c:v>
                </c:pt>
              </c:numCache>
            </c:numRef>
          </c:val>
          <c:smooth val="0"/>
          <c:extLst>
            <c:ext xmlns:c16="http://schemas.microsoft.com/office/drawing/2014/chart" uri="{C3380CC4-5D6E-409C-BE32-E72D297353CC}">
              <c16:uniqueId val="{0000000E-B585-4C8E-960E-E8111DB3818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Table!$G$3:$G$33</c:f>
              <c:numCache>
                <c:formatCode>"$"#,##0</c:formatCode>
                <c:ptCount val="31"/>
                <c:pt idx="0">
                  <c:v>0</c:v>
                </c:pt>
                <c:pt idx="1">
                  <c:v>-12104.999999999971</c:v>
                </c:pt>
                <c:pt idx="2">
                  <c:v>-23617.349999999977</c:v>
                </c:pt>
                <c:pt idx="3">
                  <c:v>-34466.764499999976</c:v>
                </c:pt>
                <c:pt idx="4">
                  <c:v>-44577.462014999925</c:v>
                </c:pt>
                <c:pt idx="5">
                  <c:v>-53867.768836049887</c:v>
                </c:pt>
                <c:pt idx="6">
                  <c:v>-62249.694824173377</c:v>
                </c:pt>
                <c:pt idx="7">
                  <c:v>-69628.479274857498</c:v>
                </c:pt>
                <c:pt idx="8">
                  <c:v>-75902.104753349355</c:v>
                </c:pt>
                <c:pt idx="9">
                  <c:v>-80960.77665392065</c:v>
                </c:pt>
                <c:pt idx="10">
                  <c:v>-84686.366078888648</c:v>
                </c:pt>
                <c:pt idx="11">
                  <c:v>-86951.813464788313</c:v>
                </c:pt>
                <c:pt idx="12">
                  <c:v>-87620.490202908521</c:v>
                </c:pt>
                <c:pt idx="13">
                  <c:v>-86545.515308608825</c:v>
                </c:pt>
                <c:pt idx="14">
                  <c:v>-83569.023987538123</c:v>
                </c:pt>
                <c:pt idx="15">
                  <c:v>-78521.384726139018</c:v>
                </c:pt>
                <c:pt idx="16">
                  <c:v>-71220.361297631287</c:v>
                </c:pt>
                <c:pt idx="17">
                  <c:v>-61470.215821941383</c:v>
                </c:pt>
                <c:pt idx="18">
                  <c:v>-49060.748747622711</c:v>
                </c:pt>
                <c:pt idx="19">
                  <c:v>-33766.271334464545</c:v>
                </c:pt>
                <c:pt idx="20">
                  <c:v>-15344.50590587547</c:v>
                </c:pt>
                <c:pt idx="21">
                  <c:v>6464.5911911547882</c:v>
                </c:pt>
                <c:pt idx="22">
                  <c:v>31940.089335186058</c:v>
                </c:pt>
                <c:pt idx="23">
                  <c:v>61381.431884512538</c:v>
                </c:pt>
                <c:pt idx="24">
                  <c:v>95109.879138209042</c:v>
                </c:pt>
                <c:pt idx="25">
                  <c:v>133470.05264010001</c:v>
                </c:pt>
                <c:pt idx="26">
                  <c:v>176831.58792636776</c:v>
                </c:pt>
                <c:pt idx="27">
                  <c:v>225590.90331470326</c:v>
                </c:pt>
                <c:pt idx="28">
                  <c:v>280173.09286489221</c:v>
                </c:pt>
                <c:pt idx="29">
                  <c:v>341033.95220995741</c:v>
                </c:pt>
                <c:pt idx="30">
                  <c:v>408662.14656606782</c:v>
                </c:pt>
              </c:numCache>
            </c:numRef>
          </c:val>
          <c:smooth val="0"/>
          <c:extLst>
            <c:ext xmlns:c16="http://schemas.microsoft.com/office/drawing/2014/chart" uri="{C3380CC4-5D6E-409C-BE32-E72D297353CC}">
              <c16:uniqueId val="{00000004-3B7B-416D-A075-24F89F0E56AB}"/>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Table!$T$3:$T$33</c:f>
              <c:numCache>
                <c:formatCode>"$"#,##0</c:formatCode>
                <c:ptCount val="31"/>
                <c:pt idx="0">
                  <c:v>-13500</c:v>
                </c:pt>
                <c:pt idx="1">
                  <c:v>-16875</c:v>
                </c:pt>
                <c:pt idx="2">
                  <c:v>-20317.5</c:v>
                </c:pt>
                <c:pt idx="3">
                  <c:v>-23828.849999999984</c:v>
                </c:pt>
                <c:pt idx="4">
                  <c:v>-27410.426999999967</c:v>
                </c:pt>
                <c:pt idx="5">
                  <c:v>-31063.63553999997</c:v>
                </c:pt>
                <c:pt idx="6">
                  <c:v>-34789.90825079997</c:v>
                </c:pt>
                <c:pt idx="7">
                  <c:v>-38590.706415815956</c:v>
                </c:pt>
                <c:pt idx="8">
                  <c:v>-42467.520544132276</c:v>
                </c:pt>
                <c:pt idx="9">
                  <c:v>-46421.870955014921</c:v>
                </c:pt>
                <c:pt idx="10">
                  <c:v>-50455.308374115244</c:v>
                </c:pt>
                <c:pt idx="11">
                  <c:v>-54569.414541597514</c:v>
                </c:pt>
                <c:pt idx="12">
                  <c:v>-58765.80283242945</c:v>
                </c:pt>
                <c:pt idx="13">
                  <c:v>-63046.118889078025</c:v>
                </c:pt>
                <c:pt idx="14">
                  <c:v>-67412.041266859567</c:v>
                </c:pt>
                <c:pt idx="15">
                  <c:v>-71865.28209219678</c:v>
                </c:pt>
                <c:pt idx="16">
                  <c:v>-76407.587734040717</c:v>
                </c:pt>
                <c:pt idx="17">
                  <c:v>-81040.73948872152</c:v>
                </c:pt>
                <c:pt idx="18">
                  <c:v>-85766.55427849594</c:v>
                </c:pt>
                <c:pt idx="19">
                  <c:v>-90586.885364065849</c:v>
                </c:pt>
                <c:pt idx="20">
                  <c:v>-95503.623071347145</c:v>
                </c:pt>
                <c:pt idx="21">
                  <c:v>-100518.6955327741</c:v>
                </c:pt>
                <c:pt idx="22">
                  <c:v>-105634.06944342962</c:v>
                </c:pt>
                <c:pt idx="23">
                  <c:v>-110851.75083229819</c:v>
                </c:pt>
                <c:pt idx="24">
                  <c:v>-116173.78584894419</c:v>
                </c:pt>
                <c:pt idx="25">
                  <c:v>-121602.26156592308</c:v>
                </c:pt>
                <c:pt idx="26">
                  <c:v>-127139.30679724157</c:v>
                </c:pt>
                <c:pt idx="27">
                  <c:v>-132787.09293318639</c:v>
                </c:pt>
                <c:pt idx="28">
                  <c:v>-138547.83479185012</c:v>
                </c:pt>
                <c:pt idx="29">
                  <c:v>-144423.79148768712</c:v>
                </c:pt>
                <c:pt idx="30">
                  <c:v>-150417.26731744086</c:v>
                </c:pt>
              </c:numCache>
            </c:numRef>
          </c:val>
          <c:smooth val="0"/>
          <c:extLst>
            <c:ext xmlns:c16="http://schemas.microsoft.com/office/drawing/2014/chart" uri="{C3380CC4-5D6E-409C-BE32-E72D297353CC}">
              <c16:uniqueId val="{00000006-3B7B-416D-A075-24F89F0E56AB}"/>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Table!$AA$3:$AA$33</c:f>
              <c:numCache>
                <c:formatCode>"$"#,##0</c:formatCode>
                <c:ptCount val="31"/>
                <c:pt idx="0">
                  <c:v>-13500</c:v>
                </c:pt>
                <c:pt idx="1">
                  <c:v>-16875</c:v>
                </c:pt>
                <c:pt idx="2">
                  <c:v>-19438.649999999998</c:v>
                </c:pt>
                <c:pt idx="3">
                  <c:v>-21113.203499999981</c:v>
                </c:pt>
                <c:pt idx="4">
                  <c:v>-21815.052704999958</c:v>
                </c:pt>
                <c:pt idx="5">
                  <c:v>-21454.309853549963</c:v>
                </c:pt>
                <c:pt idx="6">
                  <c:v>-19934.359071682455</c:v>
                </c:pt>
                <c:pt idx="7">
                  <c:v>-17151.376685651885</c:v>
                </c:pt>
                <c:pt idx="8">
                  <c:v>-12993.81778217823</c:v>
                </c:pt>
                <c:pt idx="9">
                  <c:v>-7341.8666500320396</c:v>
                </c:pt>
                <c:pt idx="10">
                  <c:v>-66.848571097660169</c:v>
                </c:pt>
                <c:pt idx="11">
                  <c:v>8969.3997482509221</c:v>
                </c:pt>
                <c:pt idx="12">
                  <c:v>19915.20400434039</c:v>
                </c:pt>
                <c:pt idx="13">
                  <c:v>32929.773483830395</c:v>
                </c:pt>
                <c:pt idx="14">
                  <c:v>48183.972930868389</c:v>
                </c:pt>
                <c:pt idx="15">
                  <c:v>65861.148645262438</c:v>
                </c:pt>
                <c:pt idx="16">
                  <c:v>86158.01261184871</c:v>
                </c:pt>
                <c:pt idx="17">
                  <c:v>109285.58872732446</c:v>
                </c:pt>
                <c:pt idx="18">
                  <c:v>135470.22547553631</c:v>
                </c:pt>
                <c:pt idx="19">
                  <c:v>164954.67970686915</c:v>
                </c:pt>
                <c:pt idx="20">
                  <c:v>197999.27650335617</c:v>
                </c:pt>
                <c:pt idx="21">
                  <c:v>234883.15045993723</c:v>
                </c:pt>
                <c:pt idx="22">
                  <c:v>275905.57408550591</c:v>
                </c:pt>
                <c:pt idx="23">
                  <c:v>321387.37942673196</c:v>
                </c:pt>
                <c:pt idx="24">
                  <c:v>371672.47944494872</c:v>
                </c:pt>
                <c:pt idx="25">
                  <c:v>427129.49613360735</c:v>
                </c:pt>
                <c:pt idx="26">
                  <c:v>488153.50285302266</c:v>
                </c:pt>
                <c:pt idx="27">
                  <c:v>555167.88888259814</c:v>
                </c:pt>
                <c:pt idx="28">
                  <c:v>628626.35475084092</c:v>
                </c:pt>
                <c:pt idx="29">
                  <c:v>709015.04750279023</c:v>
                </c:pt>
                <c:pt idx="30">
                  <c:v>796854.8457057639</c:v>
                </c:pt>
              </c:numCache>
            </c:numRef>
          </c:val>
          <c:smooth val="0"/>
          <c:extLst>
            <c:ext xmlns:c16="http://schemas.microsoft.com/office/drawing/2014/chart" uri="{C3380CC4-5D6E-409C-BE32-E72D297353CC}">
              <c16:uniqueId val="{00000008-3B7B-416D-A075-24F89F0E56AB}"/>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Table!$AD$3:$AD$33</c:f>
              <c:numCache>
                <c:formatCode>"$"#,##0</c:formatCode>
                <c:ptCount val="31"/>
                <c:pt idx="0">
                  <c:v>-27000</c:v>
                </c:pt>
                <c:pt idx="1">
                  <c:v>-30645</c:v>
                </c:pt>
                <c:pt idx="2">
                  <c:v>-33484.049999999996</c:v>
                </c:pt>
                <c:pt idx="3">
                  <c:v>-35439.511499999979</c:v>
                </c:pt>
                <c:pt idx="4">
                  <c:v>-36427.886864999964</c:v>
                </c:pt>
                <c:pt idx="5">
                  <c:v>-36359.400696749966</c:v>
                </c:pt>
                <c:pt idx="6">
                  <c:v>-35137.551731746455</c:v>
                </c:pt>
                <c:pt idx="7">
                  <c:v>-32658.633198917167</c:v>
                </c:pt>
                <c:pt idx="8">
                  <c:v>-28811.219425708819</c:v>
                </c:pt>
                <c:pt idx="9">
                  <c:v>-23475.616326433239</c:v>
                </c:pt>
                <c:pt idx="10">
                  <c:v>-16523.273241026884</c:v>
                </c:pt>
                <c:pt idx="11">
                  <c:v>-7816.1534150768857</c:v>
                </c:pt>
                <c:pt idx="12">
                  <c:v>2793.9397777460254</c:v>
                </c:pt>
                <c:pt idx="13">
                  <c:v>15466.083972704138</c:v>
                </c:pt>
                <c:pt idx="14">
                  <c:v>30371.009629519609</c:v>
                </c:pt>
                <c:pt idx="15">
                  <c:v>47691.926077886681</c:v>
                </c:pt>
                <c:pt idx="16">
                  <c:v>67625.405593125441</c:v>
                </c:pt>
                <c:pt idx="17">
                  <c:v>90382.32956822672</c:v>
                </c:pt>
                <c:pt idx="18">
                  <c:v>116188.90113325662</c:v>
                </c:pt>
                <c:pt idx="19">
                  <c:v>145287.72887774385</c:v>
                </c:pt>
                <c:pt idx="20">
                  <c:v>177938.98665764838</c:v>
                </c:pt>
                <c:pt idx="21">
                  <c:v>214421.65481731528</c:v>
                </c:pt>
                <c:pt idx="22">
                  <c:v>255034.84853003151</c:v>
                </c:pt>
                <c:pt idx="23">
                  <c:v>300099.23936014809</c:v>
                </c:pt>
                <c:pt idx="24">
                  <c:v>349958.57657703315</c:v>
                </c:pt>
                <c:pt idx="25">
                  <c:v>404981.31520833349</c:v>
                </c:pt>
                <c:pt idx="26">
                  <c:v>465562.35830924334</c:v>
                </c:pt>
                <c:pt idx="27">
                  <c:v>532124.9214479432</c:v>
                </c:pt>
                <c:pt idx="28">
                  <c:v>605122.52796749293</c:v>
                </c:pt>
                <c:pt idx="29">
                  <c:v>685041.14418377529</c:v>
                </c:pt>
                <c:pt idx="30">
                  <c:v>772401.4643203686</c:v>
                </c:pt>
              </c:numCache>
            </c:numRef>
          </c:val>
          <c:smooth val="0"/>
          <c:extLst>
            <c:ext xmlns:c16="http://schemas.microsoft.com/office/drawing/2014/chart" uri="{C3380CC4-5D6E-409C-BE32-E72D297353CC}">
              <c16:uniqueId val="{0000000A-3B7B-416D-A075-24F89F0E56AB}"/>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Table!$G$3:$G$13</c:f>
              <c:numCache>
                <c:formatCode>"$"#,##0</c:formatCode>
                <c:ptCount val="11"/>
                <c:pt idx="0">
                  <c:v>0</c:v>
                </c:pt>
                <c:pt idx="1">
                  <c:v>-12104.999999999971</c:v>
                </c:pt>
                <c:pt idx="2">
                  <c:v>-23617.349999999977</c:v>
                </c:pt>
                <c:pt idx="3">
                  <c:v>-34466.764499999976</c:v>
                </c:pt>
                <c:pt idx="4">
                  <c:v>-44577.462014999925</c:v>
                </c:pt>
                <c:pt idx="5">
                  <c:v>-53867.768836049887</c:v>
                </c:pt>
                <c:pt idx="6">
                  <c:v>-62249.694824173377</c:v>
                </c:pt>
                <c:pt idx="7">
                  <c:v>-69628.479274857498</c:v>
                </c:pt>
                <c:pt idx="8">
                  <c:v>-75902.104753349355</c:v>
                </c:pt>
                <c:pt idx="9">
                  <c:v>-80960.77665392065</c:v>
                </c:pt>
                <c:pt idx="10">
                  <c:v>-84686.366078888648</c:v>
                </c:pt>
              </c:numCache>
            </c:numRef>
          </c:val>
          <c:smooth val="0"/>
          <c:extLst>
            <c:ext xmlns:c16="http://schemas.microsoft.com/office/drawing/2014/chart" uri="{C3380CC4-5D6E-409C-BE32-E72D297353CC}">
              <c16:uniqueId val="{00000008-8C7F-451E-BFCB-0B6210F2F76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Table!$T$3:$T$13</c:f>
              <c:numCache>
                <c:formatCode>"$"#,##0</c:formatCode>
                <c:ptCount val="11"/>
                <c:pt idx="0">
                  <c:v>-13500</c:v>
                </c:pt>
                <c:pt idx="1">
                  <c:v>-16875</c:v>
                </c:pt>
                <c:pt idx="2">
                  <c:v>-20317.5</c:v>
                </c:pt>
                <c:pt idx="3">
                  <c:v>-23828.849999999984</c:v>
                </c:pt>
                <c:pt idx="4">
                  <c:v>-27410.426999999967</c:v>
                </c:pt>
                <c:pt idx="5">
                  <c:v>-31063.63553999997</c:v>
                </c:pt>
                <c:pt idx="6">
                  <c:v>-34789.90825079997</c:v>
                </c:pt>
                <c:pt idx="7">
                  <c:v>-38590.706415815956</c:v>
                </c:pt>
                <c:pt idx="8">
                  <c:v>-42467.520544132276</c:v>
                </c:pt>
                <c:pt idx="9">
                  <c:v>-46421.870955014921</c:v>
                </c:pt>
                <c:pt idx="10">
                  <c:v>-50455.308374115244</c:v>
                </c:pt>
              </c:numCache>
            </c:numRef>
          </c:val>
          <c:smooth val="0"/>
          <c:extLst>
            <c:ext xmlns:c16="http://schemas.microsoft.com/office/drawing/2014/chart" uri="{C3380CC4-5D6E-409C-BE32-E72D297353CC}">
              <c16:uniqueId val="{0000000A-8C7F-451E-BFCB-0B6210F2F76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Table!$AA$3:$AA$13</c:f>
              <c:numCache>
                <c:formatCode>"$"#,##0</c:formatCode>
                <c:ptCount val="11"/>
                <c:pt idx="0">
                  <c:v>-13500</c:v>
                </c:pt>
                <c:pt idx="1">
                  <c:v>-16875</c:v>
                </c:pt>
                <c:pt idx="2">
                  <c:v>-19438.649999999998</c:v>
                </c:pt>
                <c:pt idx="3">
                  <c:v>-21113.203499999981</c:v>
                </c:pt>
                <c:pt idx="4">
                  <c:v>-21815.052704999958</c:v>
                </c:pt>
                <c:pt idx="5">
                  <c:v>-21454.309853549963</c:v>
                </c:pt>
                <c:pt idx="6">
                  <c:v>-19934.359071682455</c:v>
                </c:pt>
                <c:pt idx="7">
                  <c:v>-17151.376685651885</c:v>
                </c:pt>
                <c:pt idx="8">
                  <c:v>-12993.81778217823</c:v>
                </c:pt>
                <c:pt idx="9">
                  <c:v>-7341.8666500320396</c:v>
                </c:pt>
                <c:pt idx="10">
                  <c:v>-66.848571097660169</c:v>
                </c:pt>
              </c:numCache>
            </c:numRef>
          </c:val>
          <c:smooth val="0"/>
          <c:extLst>
            <c:ext xmlns:c16="http://schemas.microsoft.com/office/drawing/2014/chart" uri="{C3380CC4-5D6E-409C-BE32-E72D297353CC}">
              <c16:uniqueId val="{0000000C-8C7F-451E-BFCB-0B6210F2F767}"/>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Table!$AD$3:$AD$13</c:f>
              <c:numCache>
                <c:formatCode>"$"#,##0</c:formatCode>
                <c:ptCount val="11"/>
                <c:pt idx="0">
                  <c:v>-27000</c:v>
                </c:pt>
                <c:pt idx="1">
                  <c:v>-30645</c:v>
                </c:pt>
                <c:pt idx="2">
                  <c:v>-33484.049999999996</c:v>
                </c:pt>
                <c:pt idx="3">
                  <c:v>-35439.511499999979</c:v>
                </c:pt>
                <c:pt idx="4">
                  <c:v>-36427.886864999964</c:v>
                </c:pt>
                <c:pt idx="5">
                  <c:v>-36359.400696749966</c:v>
                </c:pt>
                <c:pt idx="6">
                  <c:v>-35137.551731746455</c:v>
                </c:pt>
                <c:pt idx="7">
                  <c:v>-32658.633198917167</c:v>
                </c:pt>
                <c:pt idx="8">
                  <c:v>-28811.219425708819</c:v>
                </c:pt>
                <c:pt idx="9">
                  <c:v>-23475.616326433239</c:v>
                </c:pt>
                <c:pt idx="10">
                  <c:v>-16523.273241026884</c:v>
                </c:pt>
              </c:numCache>
            </c:numRef>
          </c:val>
          <c:smooth val="0"/>
          <c:extLst>
            <c:ext xmlns:c16="http://schemas.microsoft.com/office/drawing/2014/chart" uri="{C3380CC4-5D6E-409C-BE32-E72D297353CC}">
              <c16:uniqueId val="{0000000E-8C7F-451E-BFCB-0B6210F2F76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Table!$G$3:$G$43</c:f>
              <c:numCache>
                <c:formatCode>"$"#,##0</c:formatCode>
                <c:ptCount val="41"/>
                <c:pt idx="0">
                  <c:v>0</c:v>
                </c:pt>
                <c:pt idx="1">
                  <c:v>-12104.999999999971</c:v>
                </c:pt>
                <c:pt idx="2">
                  <c:v>-23617.349999999977</c:v>
                </c:pt>
                <c:pt idx="3">
                  <c:v>-34466.764499999976</c:v>
                </c:pt>
                <c:pt idx="4">
                  <c:v>-44577.462014999925</c:v>
                </c:pt>
                <c:pt idx="5">
                  <c:v>-53867.768836049887</c:v>
                </c:pt>
                <c:pt idx="6">
                  <c:v>-62249.694824173377</c:v>
                </c:pt>
                <c:pt idx="7">
                  <c:v>-69628.479274857498</c:v>
                </c:pt>
                <c:pt idx="8">
                  <c:v>-75902.104753349355</c:v>
                </c:pt>
                <c:pt idx="9">
                  <c:v>-80960.77665392065</c:v>
                </c:pt>
                <c:pt idx="10">
                  <c:v>-84686.366078888648</c:v>
                </c:pt>
                <c:pt idx="11">
                  <c:v>-86951.813464788313</c:v>
                </c:pt>
                <c:pt idx="12">
                  <c:v>-87620.490202908521</c:v>
                </c:pt>
                <c:pt idx="13">
                  <c:v>-86545.515308608825</c:v>
                </c:pt>
                <c:pt idx="14">
                  <c:v>-83569.023987538123</c:v>
                </c:pt>
                <c:pt idx="15">
                  <c:v>-78521.384726139018</c:v>
                </c:pt>
                <c:pt idx="16">
                  <c:v>-71220.361297631287</c:v>
                </c:pt>
                <c:pt idx="17">
                  <c:v>-61470.215821941383</c:v>
                </c:pt>
                <c:pt idx="18">
                  <c:v>-49060.748747622711</c:v>
                </c:pt>
                <c:pt idx="19">
                  <c:v>-33766.271334464545</c:v>
                </c:pt>
                <c:pt idx="20">
                  <c:v>-15344.50590587547</c:v>
                </c:pt>
                <c:pt idx="21">
                  <c:v>6464.5911911547882</c:v>
                </c:pt>
                <c:pt idx="22">
                  <c:v>31940.089335186058</c:v>
                </c:pt>
                <c:pt idx="23">
                  <c:v>61381.431884512538</c:v>
                </c:pt>
                <c:pt idx="24">
                  <c:v>95109.879138209042</c:v>
                </c:pt>
                <c:pt idx="25">
                  <c:v>133470.05264010001</c:v>
                </c:pt>
                <c:pt idx="26">
                  <c:v>176831.58792636776</c:v>
                </c:pt>
                <c:pt idx="27">
                  <c:v>225590.90331470326</c:v>
                </c:pt>
                <c:pt idx="28">
                  <c:v>280173.09286489221</c:v>
                </c:pt>
                <c:pt idx="29">
                  <c:v>341033.95220995741</c:v>
                </c:pt>
                <c:pt idx="30">
                  <c:v>408662.14656606782</c:v>
                </c:pt>
                <c:pt idx="31">
                  <c:v>483581.53088113409</c:v>
                </c:pt>
                <c:pt idx="32">
                  <c:v>566353.63277936401</c:v>
                </c:pt>
                <c:pt idx="33">
                  <c:v>657580.30970520107</c:v>
                </c:pt>
                <c:pt idx="34">
                  <c:v>757906.5924684722</c:v>
                </c:pt>
                <c:pt idx="35">
                  <c:v>868023.72824685066</c:v>
                </c:pt>
                <c:pt idx="36">
                  <c:v>988672.43701582728</c:v>
                </c:pt>
                <c:pt idx="37">
                  <c:v>1120646.3963544662</c:v>
                </c:pt>
                <c:pt idx="38">
                  <c:v>1264795.9706217602</c:v>
                </c:pt>
                <c:pt idx="39">
                  <c:v>1422032.2016182144</c:v>
                </c:pt>
                <c:pt idx="40">
                  <c:v>1593331.0790454792</c:v>
                </c:pt>
              </c:numCache>
            </c:numRef>
          </c:val>
          <c:smooth val="0"/>
          <c:extLst>
            <c:ext xmlns:c16="http://schemas.microsoft.com/office/drawing/2014/chart" uri="{C3380CC4-5D6E-409C-BE32-E72D297353CC}">
              <c16:uniqueId val="{00000004-FCF6-4167-87EC-4E15ED176C8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Table!$T$3:$T$43</c:f>
              <c:numCache>
                <c:formatCode>"$"#,##0</c:formatCode>
                <c:ptCount val="41"/>
                <c:pt idx="0">
                  <c:v>-13500</c:v>
                </c:pt>
                <c:pt idx="1">
                  <c:v>-16875</c:v>
                </c:pt>
                <c:pt idx="2">
                  <c:v>-20317.5</c:v>
                </c:pt>
                <c:pt idx="3">
                  <c:v>-23828.849999999984</c:v>
                </c:pt>
                <c:pt idx="4">
                  <c:v>-27410.426999999967</c:v>
                </c:pt>
                <c:pt idx="5">
                  <c:v>-31063.63553999997</c:v>
                </c:pt>
                <c:pt idx="6">
                  <c:v>-34789.90825079997</c:v>
                </c:pt>
                <c:pt idx="7">
                  <c:v>-38590.706415815956</c:v>
                </c:pt>
                <c:pt idx="8">
                  <c:v>-42467.520544132276</c:v>
                </c:pt>
                <c:pt idx="9">
                  <c:v>-46421.870955014921</c:v>
                </c:pt>
                <c:pt idx="10">
                  <c:v>-50455.308374115244</c:v>
                </c:pt>
                <c:pt idx="11">
                  <c:v>-54569.414541597514</c:v>
                </c:pt>
                <c:pt idx="12">
                  <c:v>-58765.80283242945</c:v>
                </c:pt>
                <c:pt idx="13">
                  <c:v>-63046.118889078025</c:v>
                </c:pt>
                <c:pt idx="14">
                  <c:v>-67412.041266859567</c:v>
                </c:pt>
                <c:pt idx="15">
                  <c:v>-71865.28209219678</c:v>
                </c:pt>
                <c:pt idx="16">
                  <c:v>-76407.587734040717</c:v>
                </c:pt>
                <c:pt idx="17">
                  <c:v>-81040.73948872152</c:v>
                </c:pt>
                <c:pt idx="18">
                  <c:v>-85766.55427849594</c:v>
                </c:pt>
                <c:pt idx="19">
                  <c:v>-90586.885364065849</c:v>
                </c:pt>
                <c:pt idx="20">
                  <c:v>-95503.623071347145</c:v>
                </c:pt>
                <c:pt idx="21">
                  <c:v>-100518.6955327741</c:v>
                </c:pt>
                <c:pt idx="22">
                  <c:v>-105634.06944342962</c:v>
                </c:pt>
                <c:pt idx="23">
                  <c:v>-110851.75083229819</c:v>
                </c:pt>
                <c:pt idx="24">
                  <c:v>-116173.78584894419</c:v>
                </c:pt>
                <c:pt idx="25">
                  <c:v>-121602.26156592308</c:v>
                </c:pt>
                <c:pt idx="26">
                  <c:v>-127139.30679724157</c:v>
                </c:pt>
                <c:pt idx="27">
                  <c:v>-132787.09293318639</c:v>
                </c:pt>
                <c:pt idx="28">
                  <c:v>-138547.83479185012</c:v>
                </c:pt>
                <c:pt idx="29">
                  <c:v>-144423.79148768712</c:v>
                </c:pt>
                <c:pt idx="30">
                  <c:v>-150417.26731744086</c:v>
                </c:pt>
                <c:pt idx="31">
                  <c:v>-156530.61266378968</c:v>
                </c:pt>
                <c:pt idx="32">
                  <c:v>-162766.22491706544</c:v>
                </c:pt>
                <c:pt idx="33">
                  <c:v>-169126.54941540674</c:v>
                </c:pt>
                <c:pt idx="34">
                  <c:v>-175614.08040371488</c:v>
                </c:pt>
                <c:pt idx="35">
                  <c:v>-182231.36201178917</c:v>
                </c:pt>
                <c:pt idx="36">
                  <c:v>-188980.98925202494</c:v>
                </c:pt>
                <c:pt idx="37">
                  <c:v>-195865.60903706544</c:v>
                </c:pt>
                <c:pt idx="38">
                  <c:v>-202887.92121780675</c:v>
                </c:pt>
                <c:pt idx="39">
                  <c:v>-210050.6796421629</c:v>
                </c:pt>
                <c:pt idx="40">
                  <c:v>-217356.69323500615</c:v>
                </c:pt>
              </c:numCache>
            </c:numRef>
          </c:val>
          <c:smooth val="0"/>
          <c:extLst>
            <c:ext xmlns:c16="http://schemas.microsoft.com/office/drawing/2014/chart" uri="{C3380CC4-5D6E-409C-BE32-E72D297353CC}">
              <c16:uniqueId val="{00000006-FCF6-4167-87EC-4E15ED176C8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Table!$AA$3:$AA$43</c:f>
              <c:numCache>
                <c:formatCode>"$"#,##0</c:formatCode>
                <c:ptCount val="41"/>
                <c:pt idx="0">
                  <c:v>-13500</c:v>
                </c:pt>
                <c:pt idx="1">
                  <c:v>-16875</c:v>
                </c:pt>
                <c:pt idx="2">
                  <c:v>-19438.649999999998</c:v>
                </c:pt>
                <c:pt idx="3">
                  <c:v>-21113.203499999981</c:v>
                </c:pt>
                <c:pt idx="4">
                  <c:v>-21815.052704999958</c:v>
                </c:pt>
                <c:pt idx="5">
                  <c:v>-21454.309853549963</c:v>
                </c:pt>
                <c:pt idx="6">
                  <c:v>-19934.359071682455</c:v>
                </c:pt>
                <c:pt idx="7">
                  <c:v>-17151.376685651885</c:v>
                </c:pt>
                <c:pt idx="8">
                  <c:v>-12993.81778217823</c:v>
                </c:pt>
                <c:pt idx="9">
                  <c:v>-7341.8666500320396</c:v>
                </c:pt>
                <c:pt idx="10">
                  <c:v>-66.848571097660169</c:v>
                </c:pt>
                <c:pt idx="11">
                  <c:v>8969.3997482509221</c:v>
                </c:pt>
                <c:pt idx="12">
                  <c:v>19915.20400434039</c:v>
                </c:pt>
                <c:pt idx="13">
                  <c:v>32929.773483830395</c:v>
                </c:pt>
                <c:pt idx="14">
                  <c:v>48183.972930868389</c:v>
                </c:pt>
                <c:pt idx="15">
                  <c:v>65861.148645262438</c:v>
                </c:pt>
                <c:pt idx="16">
                  <c:v>86158.01261184871</c:v>
                </c:pt>
                <c:pt idx="17">
                  <c:v>109285.58872732446</c:v>
                </c:pt>
                <c:pt idx="18">
                  <c:v>135470.22547553631</c:v>
                </c:pt>
                <c:pt idx="19">
                  <c:v>164954.67970686915</c:v>
                </c:pt>
                <c:pt idx="20">
                  <c:v>197999.27650335617</c:v>
                </c:pt>
                <c:pt idx="21">
                  <c:v>234883.15045993723</c:v>
                </c:pt>
                <c:pt idx="22">
                  <c:v>275905.57408550591</c:v>
                </c:pt>
                <c:pt idx="23">
                  <c:v>321387.37942673196</c:v>
                </c:pt>
                <c:pt idx="24">
                  <c:v>371672.47944494872</c:v>
                </c:pt>
                <c:pt idx="25">
                  <c:v>427129.49613360735</c:v>
                </c:pt>
                <c:pt idx="26">
                  <c:v>488153.50285302266</c:v>
                </c:pt>
                <c:pt idx="27">
                  <c:v>555167.88888259814</c:v>
                </c:pt>
                <c:pt idx="28">
                  <c:v>628626.35475084092</c:v>
                </c:pt>
                <c:pt idx="29">
                  <c:v>709015.04750279023</c:v>
                </c:pt>
                <c:pt idx="30">
                  <c:v>796854.8457057639</c:v>
                </c:pt>
                <c:pt idx="31">
                  <c:v>892703.80468050111</c:v>
                </c:pt>
                <c:pt idx="32">
                  <c:v>997159.77317897684</c:v>
                </c:pt>
                <c:pt idx="33">
                  <c:v>1110863.1935157625</c:v>
                </c:pt>
                <c:pt idx="34">
                  <c:v>1234500.0980004082</c:v>
                </c:pt>
                <c:pt idx="35">
                  <c:v>1368805.31541775</c:v>
                </c:pt>
                <c:pt idx="36">
                  <c:v>1514565.9022654521</c:v>
                </c:pt>
                <c:pt idx="37">
                  <c:v>1672624.8144878624</c:v>
                </c:pt>
                <c:pt idx="38">
                  <c:v>1843884.8365471181</c:v>
                </c:pt>
                <c:pt idx="39">
                  <c:v>2029312.7858514239</c:v>
                </c:pt>
                <c:pt idx="40">
                  <c:v>2229944.0118219508</c:v>
                </c:pt>
              </c:numCache>
            </c:numRef>
          </c:val>
          <c:smooth val="0"/>
          <c:extLst>
            <c:ext xmlns:c16="http://schemas.microsoft.com/office/drawing/2014/chart" uri="{C3380CC4-5D6E-409C-BE32-E72D297353CC}">
              <c16:uniqueId val="{00000008-FCF6-4167-87EC-4E15ED176C87}"/>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Table!$AD$3:$AD$43</c:f>
              <c:numCache>
                <c:formatCode>"$"#,##0</c:formatCode>
                <c:ptCount val="41"/>
                <c:pt idx="0">
                  <c:v>-27000</c:v>
                </c:pt>
                <c:pt idx="1">
                  <c:v>-30645</c:v>
                </c:pt>
                <c:pt idx="2">
                  <c:v>-33484.049999999996</c:v>
                </c:pt>
                <c:pt idx="3">
                  <c:v>-35439.511499999979</c:v>
                </c:pt>
                <c:pt idx="4">
                  <c:v>-36427.886864999964</c:v>
                </c:pt>
                <c:pt idx="5">
                  <c:v>-36359.400696749966</c:v>
                </c:pt>
                <c:pt idx="6">
                  <c:v>-35137.551731746455</c:v>
                </c:pt>
                <c:pt idx="7">
                  <c:v>-32658.633198917167</c:v>
                </c:pt>
                <c:pt idx="8">
                  <c:v>-28811.219425708819</c:v>
                </c:pt>
                <c:pt idx="9">
                  <c:v>-23475.616326433239</c:v>
                </c:pt>
                <c:pt idx="10">
                  <c:v>-16523.273241026884</c:v>
                </c:pt>
                <c:pt idx="11">
                  <c:v>-7816.1534150768857</c:v>
                </c:pt>
                <c:pt idx="12">
                  <c:v>2793.9397777460254</c:v>
                </c:pt>
                <c:pt idx="13">
                  <c:v>15466.083972704138</c:v>
                </c:pt>
                <c:pt idx="14">
                  <c:v>30371.009629519609</c:v>
                </c:pt>
                <c:pt idx="15">
                  <c:v>47691.926077886681</c:v>
                </c:pt>
                <c:pt idx="16">
                  <c:v>67625.405593125441</c:v>
                </c:pt>
                <c:pt idx="17">
                  <c:v>90382.32956822672</c:v>
                </c:pt>
                <c:pt idx="18">
                  <c:v>116188.90113325662</c:v>
                </c:pt>
                <c:pt idx="19">
                  <c:v>145287.72887774385</c:v>
                </c:pt>
                <c:pt idx="20">
                  <c:v>177938.98665764838</c:v>
                </c:pt>
                <c:pt idx="21">
                  <c:v>214421.65481731528</c:v>
                </c:pt>
                <c:pt idx="22">
                  <c:v>255034.84853003151</c:v>
                </c:pt>
                <c:pt idx="23">
                  <c:v>300099.23936014809</c:v>
                </c:pt>
                <c:pt idx="24">
                  <c:v>349958.57657703315</c:v>
                </c:pt>
                <c:pt idx="25">
                  <c:v>404981.31520833349</c:v>
                </c:pt>
                <c:pt idx="26">
                  <c:v>465562.35830924334</c:v>
                </c:pt>
                <c:pt idx="27">
                  <c:v>532124.9214479432</c:v>
                </c:pt>
                <c:pt idx="28">
                  <c:v>605122.52796749293</c:v>
                </c:pt>
                <c:pt idx="29">
                  <c:v>685041.14418377529</c:v>
                </c:pt>
                <c:pt idx="30">
                  <c:v>772401.4643203686</c:v>
                </c:pt>
                <c:pt idx="31">
                  <c:v>867761.35566739796</c:v>
                </c:pt>
                <c:pt idx="32">
                  <c:v>971718.47518561163</c:v>
                </c:pt>
                <c:pt idx="33">
                  <c:v>1084913.0695625299</c:v>
                </c:pt>
                <c:pt idx="34">
                  <c:v>1208030.9715681109</c:v>
                </c:pt>
                <c:pt idx="35">
                  <c:v>1341806.8064568068</c:v>
                </c:pt>
                <c:pt idx="36">
                  <c:v>1487027.4231252901</c:v>
                </c:pt>
                <c:pt idx="37">
                  <c:v>1644535.565764897</c:v>
                </c:pt>
                <c:pt idx="38">
                  <c:v>1815233.8028496937</c:v>
                </c:pt>
                <c:pt idx="39">
                  <c:v>2000088.7314800508</c:v>
                </c:pt>
                <c:pt idx="40">
                  <c:v>2200135.4763631504</c:v>
                </c:pt>
              </c:numCache>
            </c:numRef>
          </c:val>
          <c:smooth val="0"/>
          <c:extLst>
            <c:ext xmlns:c16="http://schemas.microsoft.com/office/drawing/2014/chart" uri="{C3380CC4-5D6E-409C-BE32-E72D297353CC}">
              <c16:uniqueId val="{0000000A-FCF6-4167-87EC-4E15ED176C8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Table!$AR$3:$AR$23</c:f>
              <c:numCache>
                <c:formatCode>"$"#,##0</c:formatCode>
                <c:ptCount val="21"/>
                <c:pt idx="0">
                  <c:v>0</c:v>
                </c:pt>
                <c:pt idx="1">
                  <c:v>16695.000000000029</c:v>
                </c:pt>
                <c:pt idx="2">
                  <c:v>34558.650000000023</c:v>
                </c:pt>
                <c:pt idx="3">
                  <c:v>53672.755500000028</c:v>
                </c:pt>
                <c:pt idx="4">
                  <c:v>74124.848385000078</c:v>
                </c:pt>
                <c:pt idx="5">
                  <c:v>96008.587771950115</c:v>
                </c:pt>
                <c:pt idx="6">
                  <c:v>119424.18891598663</c:v>
                </c:pt>
                <c:pt idx="7">
                  <c:v>144478.88214010571</c:v>
                </c:pt>
                <c:pt idx="8">
                  <c:v>171287.40388991311</c:v>
                </c:pt>
                <c:pt idx="9">
                  <c:v>199972.52216220705</c:v>
                </c:pt>
                <c:pt idx="10">
                  <c:v>230665.5987135616</c:v>
                </c:pt>
                <c:pt idx="11">
                  <c:v>263507.19062351092</c:v>
                </c:pt>
                <c:pt idx="12">
                  <c:v>298647.69396715669</c:v>
                </c:pt>
                <c:pt idx="13">
                  <c:v>336248.03254485771</c:v>
                </c:pt>
                <c:pt idx="14">
                  <c:v>376480.39482299774</c:v>
                </c:pt>
                <c:pt idx="15">
                  <c:v>419529.02246060758</c:v>
                </c:pt>
                <c:pt idx="16">
                  <c:v>465591.0540328502</c:v>
                </c:pt>
                <c:pt idx="17">
                  <c:v>514877.42781514977</c:v>
                </c:pt>
                <c:pt idx="18">
                  <c:v>567613.84776221029</c:v>
                </c:pt>
                <c:pt idx="19">
                  <c:v>624041.8171055651</c:v>
                </c:pt>
                <c:pt idx="20">
                  <c:v>684419.74430295476</c:v>
                </c:pt>
              </c:numCache>
            </c:numRef>
          </c:val>
          <c:smooth val="0"/>
          <c:extLst>
            <c:ext xmlns:c16="http://schemas.microsoft.com/office/drawing/2014/chart" uri="{C3380CC4-5D6E-409C-BE32-E72D297353CC}">
              <c16:uniqueId val="{00000006-5907-476C-8FE5-13EA46DEDDCE}"/>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Table!$AZ$3:$AZ$23</c:f>
              <c:numCache>
                <c:formatCode>"$"#,##0</c:formatCode>
                <c:ptCount val="21"/>
                <c:pt idx="0">
                  <c:v>-27000</c:v>
                </c:pt>
                <c:pt idx="1">
                  <c:v>-4770</c:v>
                </c:pt>
                <c:pt idx="2">
                  <c:v>17775.224999999999</c:v>
                </c:pt>
                <c:pt idx="3">
                  <c:v>40640.038875000013</c:v>
                </c:pt>
                <c:pt idx="4">
                  <c:v>63828.863668125021</c:v>
                </c:pt>
                <c:pt idx="5">
                  <c:v>87346.18031734688</c:v>
                </c:pt>
                <c:pt idx="6">
                  <c:v>111196.52939019106</c:v>
                </c:pt>
                <c:pt idx="7">
                  <c:v>135384.51182648962</c:v>
                </c:pt>
                <c:pt idx="8">
                  <c:v>159914.78968924153</c:v>
                </c:pt>
                <c:pt idx="9">
                  <c:v>184792.08692364182</c:v>
                </c:pt>
                <c:pt idx="10">
                  <c:v>210021.19012433931</c:v>
                </c:pt>
                <c:pt idx="11">
                  <c:v>235606.9493109842</c:v>
                </c:pt>
                <c:pt idx="12">
                  <c:v>261554.27871212427</c:v>
                </c:pt>
                <c:pt idx="13">
                  <c:v>287868.157557511</c:v>
                </c:pt>
                <c:pt idx="14">
                  <c:v>314553.63087887265</c:v>
                </c:pt>
                <c:pt idx="15">
                  <c:v>341615.81031921459</c:v>
                </c:pt>
                <c:pt idx="16">
                  <c:v>369059.87495070498</c:v>
                </c:pt>
                <c:pt idx="17">
                  <c:v>396891.07210120163</c:v>
                </c:pt>
                <c:pt idx="18">
                  <c:v>425114.71818948048</c:v>
                </c:pt>
                <c:pt idx="19">
                  <c:v>453736.19956921873</c:v>
                </c:pt>
                <c:pt idx="20">
                  <c:v>482760.97338179109</c:v>
                </c:pt>
              </c:numCache>
            </c:numRef>
          </c:val>
          <c:smooth val="0"/>
          <c:extLst>
            <c:ext xmlns:c16="http://schemas.microsoft.com/office/drawing/2014/chart" uri="{C3380CC4-5D6E-409C-BE32-E72D297353CC}">
              <c16:uniqueId val="{00000008-5907-476C-8FE5-13EA46DEDDCE}"/>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23</xdr:col>
      <xdr:colOff>600075</xdr:colOff>
      <xdr:row>27</xdr:row>
      <xdr:rowOff>161925</xdr:rowOff>
    </xdr:to>
    <xdr:graphicFrame macro="">
      <xdr:nvGraphicFramePr>
        <xdr:cNvPr id="2" name="Chart 5">
          <a:extLst>
            <a:ext uri="{FF2B5EF4-FFF2-40B4-BE49-F238E27FC236}">
              <a16:creationId xmlns:a16="http://schemas.microsoft.com/office/drawing/2014/main" id="{E59CEF6D-B64E-48DA-B965-C6765AA22802}"/>
            </a:ext>
            <a:ext uri="{147F2762-F138-4A5C-976F-8EAC2B608ADB}">
              <a16:predDERef xmlns:a16="http://schemas.microsoft.com/office/drawing/2014/main" pred="{D358F7A8-0B4B-481F-9400-5CF5D7AF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4" name="Chart 5">
          <a:extLst>
            <a:ext uri="{FF2B5EF4-FFF2-40B4-BE49-F238E27FC236}">
              <a16:creationId xmlns:a16="http://schemas.microsoft.com/office/drawing/2014/main" id="{7D9A1529-886F-468E-A989-FC172C272C91}"/>
            </a:ext>
            <a:ext uri="{147F2762-F138-4A5C-976F-8EAC2B608ADB}">
              <a16:predDERef xmlns:a16="http://schemas.microsoft.com/office/drawing/2014/main" pred="{E59CEF6D-B64E-48DA-B965-C6765AA2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600075</xdr:colOff>
      <xdr:row>123</xdr:row>
      <xdr:rowOff>161925</xdr:rowOff>
    </xdr:to>
    <xdr:graphicFrame macro="">
      <xdr:nvGraphicFramePr>
        <xdr:cNvPr id="5" name="Chart 5">
          <a:extLst>
            <a:ext uri="{FF2B5EF4-FFF2-40B4-BE49-F238E27FC236}">
              <a16:creationId xmlns:a16="http://schemas.microsoft.com/office/drawing/2014/main" id="{42ADC997-0054-4442-8789-1CDA604A2507}"/>
            </a:ext>
            <a:ext uri="{147F2762-F138-4A5C-976F-8EAC2B608ADB}">
              <a16:predDERef xmlns:a16="http://schemas.microsoft.com/office/drawing/2014/main" pred="{7D9A1529-886F-468E-A989-FC172C272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9525</xdr:rowOff>
    </xdr:from>
    <xdr:to>
      <xdr:col>23</xdr:col>
      <xdr:colOff>600075</xdr:colOff>
      <xdr:row>59</xdr:row>
      <xdr:rowOff>161925</xdr:rowOff>
    </xdr:to>
    <xdr:graphicFrame macro="">
      <xdr:nvGraphicFramePr>
        <xdr:cNvPr id="7" name="Chart 6">
          <a:extLst>
            <a:ext uri="{FF2B5EF4-FFF2-40B4-BE49-F238E27FC236}">
              <a16:creationId xmlns:a16="http://schemas.microsoft.com/office/drawing/2014/main" id="{E49A87E1-74CC-45B7-9A3E-639542AC14DA}"/>
            </a:ext>
            <a:ext uri="{147F2762-F138-4A5C-976F-8EAC2B608ADB}">
              <a16:predDERef xmlns:a16="http://schemas.microsoft.com/office/drawing/2014/main" pred="{42ADC997-0054-4442-8789-1CDA604A2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0</xdr:rowOff>
    </xdr:from>
    <xdr:to>
      <xdr:col>23</xdr:col>
      <xdr:colOff>590550</xdr:colOff>
      <xdr:row>59</xdr:row>
      <xdr:rowOff>180975</xdr:rowOff>
    </xdr:to>
    <xdr:graphicFrame macro="">
      <xdr:nvGraphicFramePr>
        <xdr:cNvPr id="2" name="Chart 2">
          <a:extLst>
            <a:ext uri="{FF2B5EF4-FFF2-40B4-BE49-F238E27FC236}">
              <a16:creationId xmlns:a16="http://schemas.microsoft.com/office/drawing/2014/main" i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3" name="Chart 2">
          <a:extLst>
            <a:ext uri="{FF2B5EF4-FFF2-40B4-BE49-F238E27FC236}">
              <a16:creationId xmlns:a16="http://schemas.microsoft.com/office/drawing/2014/main" id="{C8D993BF-D758-42B7-A17F-AFEE2488BC78}"/>
            </a:ext>
            <a:ext uri="{147F2762-F138-4A5C-976F-8EAC2B608ADB}">
              <a16:predDERef xmlns:a16="http://schemas.microsoft.com/office/drawing/2014/main" pre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23</xdr:col>
      <xdr:colOff>590550</xdr:colOff>
      <xdr:row>27</xdr:row>
      <xdr:rowOff>180975</xdr:rowOff>
    </xdr:to>
    <xdr:graphicFrame macro="">
      <xdr:nvGraphicFramePr>
        <xdr:cNvPr id="4" name="Chart 3">
          <a:extLst>
            <a:ext uri="{FF2B5EF4-FFF2-40B4-BE49-F238E27FC236}">
              <a16:creationId xmlns:a16="http://schemas.microsoft.com/office/drawing/2014/main" id="{DB43EC1F-AC46-4290-9CFC-BD31C4E6532F}"/>
            </a:ext>
            <a:ext uri="{147F2762-F138-4A5C-976F-8EAC2B608ADB}">
              <a16:predDERef xmlns:a16="http://schemas.microsoft.com/office/drawing/2014/main" pred="{C8D993BF-D758-42B7-A17F-AFEE2488B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96</xdr:row>
      <xdr:rowOff>19050</xdr:rowOff>
    </xdr:from>
    <xdr:to>
      <xdr:col>23</xdr:col>
      <xdr:colOff>600075</xdr:colOff>
      <xdr:row>123</xdr:row>
      <xdr:rowOff>171450</xdr:rowOff>
    </xdr:to>
    <xdr:graphicFrame macro="">
      <xdr:nvGraphicFramePr>
        <xdr:cNvPr id="5" name="Chart 4">
          <a:extLst>
            <a:ext uri="{FF2B5EF4-FFF2-40B4-BE49-F238E27FC236}">
              <a16:creationId xmlns:a16="http://schemas.microsoft.com/office/drawing/2014/main" id="{D358F7A8-0B4B-481F-9400-5CF5D7AFB6F9}"/>
            </a:ext>
            <a:ext uri="{147F2762-F138-4A5C-976F-8EAC2B608ADB}">
              <a16:predDERef xmlns:a16="http://schemas.microsoft.com/office/drawing/2014/main" pred="{DB43EC1F-AC46-4290-9CFC-BD31C4E6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6" name="Chart 2">
          <a:extLst>
            <a:ext uri="{FF2B5EF4-FFF2-40B4-BE49-F238E27FC236}">
              <a16:creationId xmlns:a16="http://schemas.microsoft.com/office/drawing/2014/main" id="{C7F70939-B794-4A25-A057-955B47CBF341}"/>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7" name="Chart 2">
          <a:extLst>
            <a:ext uri="{FF2B5EF4-FFF2-40B4-BE49-F238E27FC236}">
              <a16:creationId xmlns:a16="http://schemas.microsoft.com/office/drawing/2014/main" id="{FDC7E699-710F-4B95-AFF6-D82885D8731B}"/>
            </a:ext>
            <a:ext uri="{147F2762-F138-4A5C-976F-8EAC2B608ADB}">
              <a16:predDERef xmlns:a16="http://schemas.microsoft.com/office/drawing/2014/main" pred="{C7F70939-B794-4A25-A057-955B47CBF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8" name="Chart 2">
          <a:extLst>
            <a:ext uri="{FF2B5EF4-FFF2-40B4-BE49-F238E27FC236}">
              <a16:creationId xmlns:a16="http://schemas.microsoft.com/office/drawing/2014/main" id="{3D4F5056-8FB7-4915-9E56-B14222B1C8C2}"/>
            </a:ext>
            <a:ext uri="{147F2762-F138-4A5C-976F-8EAC2B608ADB}">
              <a16:predDERef xmlns:a16="http://schemas.microsoft.com/office/drawing/2014/main" pred="{FDC7E699-710F-4B95-AFF6-D82885D8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10" name="Chart 2">
          <a:extLst>
            <a:ext uri="{FF2B5EF4-FFF2-40B4-BE49-F238E27FC236}">
              <a16:creationId xmlns:a16="http://schemas.microsoft.com/office/drawing/2014/main" id="{D1C39051-1331-4863-891C-27A8BBCF84DD}"/>
            </a:ext>
            <a:ext uri="{147F2762-F138-4A5C-976F-8EAC2B608ADB}">
              <a16:predDERef xmlns:a16="http://schemas.microsoft.com/office/drawing/2014/main" pred="{3D4F5056-8FB7-4915-9E56-B14222B1C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2" name="Chart 2">
          <a:extLst>
            <a:ext uri="{FF2B5EF4-FFF2-40B4-BE49-F238E27FC236}">
              <a16:creationId xmlns:a16="http://schemas.microsoft.com/office/drawing/2014/main" id="{FF23F159-AE32-4585-A41D-2D1322F9CC66}"/>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3" name="Chart 2">
          <a:extLst>
            <a:ext uri="{FF2B5EF4-FFF2-40B4-BE49-F238E27FC236}">
              <a16:creationId xmlns:a16="http://schemas.microsoft.com/office/drawing/2014/main" id="{6751EC48-357D-4EFF-9ACA-4C265E1B2BD8}"/>
            </a:ext>
            <a:ext uri="{147F2762-F138-4A5C-976F-8EAC2B608ADB}">
              <a16:predDERef xmlns:a16="http://schemas.microsoft.com/office/drawing/2014/main" pred="{FF23F159-AE32-4585-A41D-2D1322F9C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4" name="Chart 2">
          <a:extLst>
            <a:ext uri="{FF2B5EF4-FFF2-40B4-BE49-F238E27FC236}">
              <a16:creationId xmlns:a16="http://schemas.microsoft.com/office/drawing/2014/main" id="{4BB24AE5-5D72-427B-BEFE-1A5C66C71502}"/>
            </a:ext>
            <a:ext uri="{147F2762-F138-4A5C-976F-8EAC2B608ADB}">
              <a16:predDERef xmlns:a16="http://schemas.microsoft.com/office/drawing/2014/main" pred="{6751EC48-357D-4EFF-9ACA-4C265E1B2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5" name="Chart 2">
          <a:extLst>
            <a:ext uri="{FF2B5EF4-FFF2-40B4-BE49-F238E27FC236}">
              <a16:creationId xmlns:a16="http://schemas.microsoft.com/office/drawing/2014/main" id="{36BE0CF5-E45D-4285-8B4A-3A66F5B6D34B}"/>
            </a:ext>
            <a:ext uri="{147F2762-F138-4A5C-976F-8EAC2B608ADB}">
              <a16:predDERef xmlns:a16="http://schemas.microsoft.com/office/drawing/2014/main" pred="{4BB24AE5-5D72-427B-BEFE-1A5C66C71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528F-A6B5-4700-A4B0-53B495A67757}">
  <dimension ref="A1:C24"/>
  <sheetViews>
    <sheetView tabSelected="1" workbookViewId="0"/>
  </sheetViews>
  <sheetFormatPr defaultRowHeight="15"/>
  <cols>
    <col min="1" max="1" width="39.140625" customWidth="1"/>
    <col min="2" max="2" width="9" bestFit="1" customWidth="1"/>
    <col min="3" max="3" width="105.140625" customWidth="1"/>
  </cols>
  <sheetData>
    <row r="1" spans="1:3">
      <c r="A1" s="9" t="s">
        <v>0</v>
      </c>
    </row>
    <row r="2" spans="1:3">
      <c r="A2" s="26" t="s">
        <v>1</v>
      </c>
      <c r="B2" s="26" t="s">
        <v>2</v>
      </c>
    </row>
    <row r="3" spans="1:3">
      <c r="A3" s="1" t="s">
        <v>3</v>
      </c>
      <c r="B3" s="4">
        <v>7.0000000000000007E-2</v>
      </c>
    </row>
    <row r="4" spans="1:3">
      <c r="A4" s="27" t="s">
        <v>4</v>
      </c>
      <c r="B4" s="28">
        <v>225000</v>
      </c>
    </row>
    <row r="5" spans="1:3">
      <c r="A5" s="1" t="s">
        <v>5</v>
      </c>
      <c r="B5" s="4">
        <v>1</v>
      </c>
    </row>
    <row r="6" spans="1:3" ht="29.25">
      <c r="A6" s="1" t="s">
        <v>6</v>
      </c>
      <c r="B6" s="4">
        <v>0.02</v>
      </c>
      <c r="C6" s="5" t="s">
        <v>7</v>
      </c>
    </row>
    <row r="7" spans="1:3">
      <c r="A7" s="1" t="s">
        <v>8</v>
      </c>
      <c r="B7" s="4">
        <v>1.4999999999999999E-2</v>
      </c>
    </row>
    <row r="8" spans="1:3">
      <c r="A8" s="1" t="s">
        <v>9</v>
      </c>
      <c r="B8" s="4">
        <v>0.02</v>
      </c>
    </row>
    <row r="9" spans="1:3">
      <c r="A9" s="34" t="s">
        <v>10</v>
      </c>
      <c r="B9" s="25">
        <v>6.8000000000000005E-2</v>
      </c>
    </row>
    <row r="10" spans="1:3">
      <c r="A10" s="6" t="s">
        <v>11</v>
      </c>
      <c r="B10" s="4">
        <v>0.06</v>
      </c>
      <c r="C10" t="s">
        <v>12</v>
      </c>
    </row>
    <row r="11" spans="1:3">
      <c r="B11" s="31"/>
    </row>
    <row r="12" spans="1:3">
      <c r="A12" s="14" t="s">
        <v>13</v>
      </c>
      <c r="B12" s="31"/>
    </row>
    <row r="13" spans="1:3">
      <c r="A13" s="1" t="s">
        <v>14</v>
      </c>
      <c r="B13" s="1">
        <v>2400</v>
      </c>
    </row>
    <row r="14" spans="1:3">
      <c r="A14" s="1" t="s">
        <v>15</v>
      </c>
      <c r="B14" s="4">
        <v>0.02</v>
      </c>
    </row>
    <row r="15" spans="1:3">
      <c r="A15" s="37" t="s">
        <v>16</v>
      </c>
      <c r="B15" s="4">
        <v>0.6</v>
      </c>
    </row>
    <row r="16" spans="1:3">
      <c r="B16" s="31"/>
    </row>
    <row r="17" spans="1:3">
      <c r="A17" s="14" t="s">
        <v>17</v>
      </c>
      <c r="B17" s="31"/>
    </row>
    <row r="18" spans="1:3">
      <c r="A18" s="26" t="s">
        <v>1</v>
      </c>
      <c r="B18" s="26" t="s">
        <v>2</v>
      </c>
    </row>
    <row r="19" spans="1:3">
      <c r="A19" s="35" t="s">
        <v>18</v>
      </c>
      <c r="B19" s="27">
        <v>2300</v>
      </c>
    </row>
    <row r="20" spans="1:3">
      <c r="A20" s="24" t="s">
        <v>19</v>
      </c>
      <c r="B20" s="25">
        <v>1.4999999999999999E-2</v>
      </c>
    </row>
    <row r="21" spans="1:3">
      <c r="A21" s="24" t="s">
        <v>20</v>
      </c>
      <c r="B21" s="24">
        <v>11.25</v>
      </c>
    </row>
    <row r="22" spans="1:3">
      <c r="A22" s="24" t="s">
        <v>21</v>
      </c>
      <c r="B22" s="34">
        <v>0</v>
      </c>
    </row>
    <row r="23" spans="1:3">
      <c r="A23" s="6" t="s">
        <v>22</v>
      </c>
      <c r="B23" s="4">
        <v>0.06</v>
      </c>
    </row>
    <row r="24" spans="1:3" ht="87">
      <c r="A24" s="51" t="s">
        <v>23</v>
      </c>
      <c r="B24" s="52">
        <v>0.15</v>
      </c>
      <c r="C24" s="5"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E975-A777-4877-87DF-CD56CF27EF27}">
  <dimension ref="A1:B5"/>
  <sheetViews>
    <sheetView workbookViewId="0"/>
  </sheetViews>
  <sheetFormatPr defaultRowHeight="15"/>
  <cols>
    <col min="1" max="1" width="34.140625" bestFit="1" customWidth="1"/>
    <col min="2" max="2" width="9" style="2" bestFit="1" customWidth="1"/>
  </cols>
  <sheetData>
    <row r="1" spans="1:2">
      <c r="A1" s="26" t="s">
        <v>25</v>
      </c>
      <c r="B1" s="36" t="s">
        <v>2</v>
      </c>
    </row>
    <row r="2" spans="1:2">
      <c r="A2" s="37" t="s">
        <v>26</v>
      </c>
      <c r="B2" s="1">
        <f>Params!$B$4*Params!$B$5</f>
        <v>225000</v>
      </c>
    </row>
    <row r="3" spans="1:2">
      <c r="A3" s="6" t="s">
        <v>27</v>
      </c>
      <c r="B3" s="1">
        <f>Params!$B$4*Params!$B$10</f>
        <v>13500</v>
      </c>
    </row>
    <row r="4" spans="1:2">
      <c r="A4" s="43" t="s">
        <v>28</v>
      </c>
      <c r="B4" s="34">
        <f>$B$2+$B$3</f>
        <v>238500</v>
      </c>
    </row>
    <row r="5" spans="1:2">
      <c r="A5" s="6" t="s">
        <v>29</v>
      </c>
      <c r="B5" s="1">
        <f>12*Params!$B$22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F062-8FBE-4DAD-977F-B69EEE5149EB}">
  <dimension ref="A1:BL43"/>
  <sheetViews>
    <sheetView workbookViewId="0"/>
  </sheetViews>
  <sheetFormatPr defaultColWidth="16.85546875" defaultRowHeight="15"/>
  <cols>
    <col min="1" max="1" width="4.85546875" bestFit="1" customWidth="1"/>
    <col min="2" max="2" width="16.140625" style="3" bestFit="1" customWidth="1"/>
    <col min="3" max="3" width="20.140625" style="2" bestFit="1" customWidth="1"/>
    <col min="4" max="4" width="20" style="2" bestFit="1" customWidth="1"/>
    <col min="5" max="5" width="11.42578125" style="2" bestFit="1" customWidth="1"/>
    <col min="6" max="6" width="22" style="2" bestFit="1" customWidth="1"/>
    <col min="7" max="7" width="13.7109375" style="2" bestFit="1" customWidth="1"/>
    <col min="8" max="8" width="19.140625" style="31" bestFit="1" customWidth="1"/>
    <col min="9" max="9" width="11.5703125" style="2" bestFit="1" customWidth="1"/>
    <col min="10" max="10" width="22.85546875" style="2" bestFit="1" customWidth="1"/>
    <col min="11" max="11" width="16.28515625" style="2" bestFit="1" customWidth="1"/>
    <col min="12" max="12" width="27" bestFit="1" customWidth="1"/>
    <col min="13" max="13" width="20.5703125" bestFit="1" customWidth="1"/>
    <col min="14" max="14" width="31.28515625" bestFit="1" customWidth="1"/>
    <col min="15" max="15" width="13.5703125" bestFit="1" customWidth="1"/>
    <col min="16" max="16" width="24.28515625" bestFit="1" customWidth="1"/>
    <col min="17" max="17" width="17.42578125" bestFit="1" customWidth="1"/>
    <col min="18" max="18" width="16.42578125" bestFit="1" customWidth="1"/>
    <col min="19" max="19" width="27" bestFit="1" customWidth="1"/>
    <col min="20" max="20" width="13.5703125" bestFit="1" customWidth="1"/>
    <col min="21" max="21" width="19.140625" style="31" bestFit="1" customWidth="1"/>
    <col min="22" max="22" width="22" bestFit="1" customWidth="1"/>
    <col min="23" max="23" width="25" bestFit="1" customWidth="1"/>
    <col min="24" max="24" width="28.42578125" bestFit="1" customWidth="1"/>
    <col min="25" max="25" width="20" bestFit="1" customWidth="1"/>
    <col min="26" max="26" width="18" bestFit="1" customWidth="1"/>
    <col min="27" max="27" width="30.85546875" bestFit="1" customWidth="1"/>
    <col min="28" max="28" width="36.28515625" style="31" bestFit="1" customWidth="1"/>
    <col min="29" max="29" width="39.140625" style="31" bestFit="1" customWidth="1"/>
    <col min="30" max="30" width="39.140625" style="31" customWidth="1"/>
    <col min="31" max="31" width="19.5703125" bestFit="1" customWidth="1"/>
    <col min="32" max="32" width="20.5703125" bestFit="1" customWidth="1"/>
    <col min="33" max="33" width="20.42578125" bestFit="1" customWidth="1"/>
    <col min="34" max="34" width="30.28515625" bestFit="1" customWidth="1"/>
    <col min="35" max="35" width="6.42578125" customWidth="1"/>
    <col min="36" max="36" width="39.7109375" style="46" bestFit="1" customWidth="1"/>
    <col min="37" max="37" width="19.85546875" bestFit="1" customWidth="1"/>
    <col min="38" max="38" width="13.7109375" bestFit="1" customWidth="1"/>
    <col min="39" max="39" width="24.28515625" bestFit="1" customWidth="1"/>
    <col min="40" max="40" width="22" bestFit="1" customWidth="1"/>
    <col min="41" max="41" width="32.5703125" bestFit="1" customWidth="1"/>
    <col min="42" max="42" width="15.42578125" bestFit="1" customWidth="1"/>
    <col min="43" max="43" width="20.85546875" style="31" bestFit="1" customWidth="1"/>
    <col min="44" max="44" width="25.7109375" bestFit="1" customWidth="1"/>
    <col min="45" max="45" width="31.140625" style="31" bestFit="1" customWidth="1"/>
    <col min="46" max="46" width="25" bestFit="1" customWidth="1"/>
    <col min="47" max="47" width="18.5703125" bestFit="1" customWidth="1"/>
    <col min="48" max="48" width="25.7109375" style="2" bestFit="1" customWidth="1"/>
    <col min="49" max="49" width="28.140625" style="2" bestFit="1" customWidth="1"/>
    <col min="50" max="50" width="28.140625" style="2" customWidth="1"/>
    <col min="51" max="51" width="23.42578125" style="2" bestFit="1" customWidth="1"/>
    <col min="52" max="52" width="27.85546875" style="2" bestFit="1" customWidth="1"/>
    <col min="53" max="53" width="26.85546875" style="31" bestFit="1" customWidth="1"/>
    <col min="54" max="54" width="45.85546875" bestFit="1" customWidth="1"/>
    <col min="57" max="57" width="42.140625" bestFit="1" customWidth="1"/>
    <col min="58" max="58" width="12.28515625" bestFit="1" customWidth="1"/>
    <col min="59" max="59" width="11.85546875" bestFit="1" customWidth="1"/>
    <col min="60" max="60" width="12.42578125" bestFit="1" customWidth="1"/>
    <col min="61" max="61" width="16.42578125" bestFit="1" customWidth="1"/>
    <col min="62" max="62" width="13.7109375" bestFit="1" customWidth="1"/>
    <col min="63" max="63" width="20.28515625" bestFit="1" customWidth="1"/>
    <col min="64" max="64" width="13" bestFit="1" customWidth="1"/>
  </cols>
  <sheetData>
    <row r="1" spans="1:64" s="9" customFormat="1">
      <c r="B1" s="10" t="s">
        <v>30</v>
      </c>
      <c r="C1" s="11"/>
      <c r="D1" s="11"/>
      <c r="E1" s="11"/>
      <c r="F1" s="11"/>
      <c r="G1" s="11"/>
      <c r="H1" s="30"/>
      <c r="I1" s="12" t="s">
        <v>31</v>
      </c>
      <c r="J1" s="11"/>
      <c r="K1" s="11"/>
      <c r="U1" s="30"/>
      <c r="AB1" s="30"/>
      <c r="AC1" s="30"/>
      <c r="AD1" s="30"/>
      <c r="AE1" s="13" t="s">
        <v>32</v>
      </c>
      <c r="AF1" s="14"/>
      <c r="AJ1" s="44" t="s">
        <v>33</v>
      </c>
      <c r="AL1" s="14"/>
      <c r="AQ1" s="30"/>
      <c r="AS1" s="30"/>
      <c r="AV1" s="11"/>
      <c r="AW1" s="11"/>
      <c r="AX1" s="11"/>
      <c r="AY1" s="11"/>
      <c r="AZ1" s="11"/>
      <c r="BA1" s="30"/>
      <c r="BB1" s="5" t="s">
        <v>34</v>
      </c>
      <c r="BE1" s="13" t="s">
        <v>35</v>
      </c>
    </row>
    <row r="2" spans="1:64" s="9" customFormat="1">
      <c r="A2" s="15" t="s">
        <v>36</v>
      </c>
      <c r="B2" s="16" t="s">
        <v>37</v>
      </c>
      <c r="C2" s="17" t="s">
        <v>38</v>
      </c>
      <c r="D2" s="17" t="s">
        <v>39</v>
      </c>
      <c r="E2" s="17" t="s">
        <v>40</v>
      </c>
      <c r="F2" s="17" t="s">
        <v>41</v>
      </c>
      <c r="G2" s="18" t="s">
        <v>42</v>
      </c>
      <c r="H2" s="32" t="s">
        <v>43</v>
      </c>
      <c r="I2" s="16" t="s">
        <v>44</v>
      </c>
      <c r="J2" s="19" t="s">
        <v>45</v>
      </c>
      <c r="K2" s="17" t="s">
        <v>46</v>
      </c>
      <c r="L2" s="20" t="s">
        <v>47</v>
      </c>
      <c r="M2" s="20" t="s">
        <v>48</v>
      </c>
      <c r="N2" s="20" t="s">
        <v>49</v>
      </c>
      <c r="O2" s="20" t="s">
        <v>50</v>
      </c>
      <c r="P2" s="21" t="s">
        <v>51</v>
      </c>
      <c r="Q2" s="20" t="s">
        <v>52</v>
      </c>
      <c r="R2" s="20" t="s">
        <v>53</v>
      </c>
      <c r="S2" s="20" t="s">
        <v>54</v>
      </c>
      <c r="T2" s="15" t="s">
        <v>55</v>
      </c>
      <c r="U2" s="32" t="s">
        <v>56</v>
      </c>
      <c r="V2" s="20" t="s">
        <v>57</v>
      </c>
      <c r="W2" s="20" t="s">
        <v>58</v>
      </c>
      <c r="X2" s="21" t="s">
        <v>59</v>
      </c>
      <c r="Y2" s="20" t="s">
        <v>39</v>
      </c>
      <c r="Z2" s="20" t="s">
        <v>60</v>
      </c>
      <c r="AA2" s="15" t="s">
        <v>61</v>
      </c>
      <c r="AB2" s="32" t="s">
        <v>62</v>
      </c>
      <c r="AC2" s="32" t="s">
        <v>63</v>
      </c>
      <c r="AD2" s="54" t="s">
        <v>64</v>
      </c>
      <c r="AE2" s="22" t="s">
        <v>36</v>
      </c>
      <c r="AF2" s="23" t="s">
        <v>65</v>
      </c>
      <c r="AG2" s="23" t="s">
        <v>66</v>
      </c>
      <c r="AH2" s="38" t="s">
        <v>67</v>
      </c>
      <c r="AI2" s="8"/>
      <c r="AJ2" s="45" t="s">
        <v>36</v>
      </c>
      <c r="AK2" s="20" t="s">
        <v>68</v>
      </c>
      <c r="AL2" s="20" t="s">
        <v>69</v>
      </c>
      <c r="AM2" s="20" t="s">
        <v>70</v>
      </c>
      <c r="AN2" s="20" t="s">
        <v>71</v>
      </c>
      <c r="AO2" s="21" t="s">
        <v>72</v>
      </c>
      <c r="AP2" s="29" t="s">
        <v>73</v>
      </c>
      <c r="AQ2" s="32" t="s">
        <v>74</v>
      </c>
      <c r="AR2" s="29" t="s">
        <v>75</v>
      </c>
      <c r="AS2" s="33" t="s">
        <v>76</v>
      </c>
      <c r="AT2" s="21" t="s">
        <v>77</v>
      </c>
      <c r="AU2" s="21" t="s">
        <v>78</v>
      </c>
      <c r="AV2" s="19" t="s">
        <v>79</v>
      </c>
      <c r="AW2" s="48" t="s">
        <v>80</v>
      </c>
      <c r="AX2" s="50" t="s">
        <v>81</v>
      </c>
      <c r="AY2" s="19" t="s">
        <v>82</v>
      </c>
      <c r="AZ2" s="42" t="s">
        <v>83</v>
      </c>
      <c r="BA2" s="33" t="s">
        <v>84</v>
      </c>
      <c r="BB2" s="20" t="s">
        <v>85</v>
      </c>
      <c r="BE2" s="53" t="s">
        <v>36</v>
      </c>
      <c r="BF2" s="9" t="s">
        <v>86</v>
      </c>
      <c r="BG2" s="9" t="s">
        <v>87</v>
      </c>
      <c r="BH2" s="9" t="s">
        <v>88</v>
      </c>
      <c r="BI2" s="9" t="s">
        <v>53</v>
      </c>
      <c r="BJ2" s="9" t="s">
        <v>69</v>
      </c>
      <c r="BK2" s="9" t="s">
        <v>89</v>
      </c>
      <c r="BL2" s="9" t="s">
        <v>90</v>
      </c>
    </row>
    <row r="3" spans="1:64">
      <c r="A3">
        <v>0</v>
      </c>
      <c r="B3" s="3">
        <v>0</v>
      </c>
      <c r="C3" s="2">
        <f>B3</f>
        <v>0</v>
      </c>
      <c r="D3" s="2">
        <f>Calcs!$B$4</f>
        <v>238500</v>
      </c>
      <c r="E3" s="2">
        <v>0</v>
      </c>
      <c r="F3" s="2">
        <f>E3</f>
        <v>0</v>
      </c>
      <c r="G3" s="2">
        <f>F3-C3</f>
        <v>0</v>
      </c>
      <c r="H3" s="31">
        <f>G3/Calcs!$B$4</f>
        <v>0</v>
      </c>
      <c r="I3" s="3">
        <f>Params!$B$4</f>
        <v>225000</v>
      </c>
      <c r="J3" s="2">
        <f>I3-Params!$B$4</f>
        <v>0</v>
      </c>
      <c r="K3" s="2">
        <v>0</v>
      </c>
      <c r="L3" s="2">
        <f>K3</f>
        <v>0</v>
      </c>
      <c r="M3" s="2">
        <f>Calcs!$B$3</f>
        <v>13500</v>
      </c>
      <c r="N3" s="2">
        <f>M3</f>
        <v>13500</v>
      </c>
      <c r="O3" s="2">
        <v>0</v>
      </c>
      <c r="P3" s="2">
        <f>O3</f>
        <v>0</v>
      </c>
      <c r="Q3" s="2">
        <v>0</v>
      </c>
      <c r="R3" s="2">
        <f>O3-Q3</f>
        <v>0</v>
      </c>
      <c r="S3" s="2">
        <f>R3</f>
        <v>0</v>
      </c>
      <c r="T3" s="2">
        <f>J3-L3-N3-S3</f>
        <v>-13500</v>
      </c>
      <c r="U3" s="31">
        <f>T3/Calcs!$B$4</f>
        <v>-5.6603773584905662E-2</v>
      </c>
      <c r="V3" s="2">
        <f>B3-K3-M3-O3</f>
        <v>-13500</v>
      </c>
      <c r="W3" s="2">
        <f>IF(V3&gt;0,V3*Params!$B$15,0)</f>
        <v>0</v>
      </c>
      <c r="X3" s="2">
        <f>W3</f>
        <v>0</v>
      </c>
      <c r="Y3" s="2">
        <v>0</v>
      </c>
      <c r="Z3" s="2">
        <f>Y3-X3</f>
        <v>0</v>
      </c>
      <c r="AA3" s="2">
        <f>T3+Z3</f>
        <v>-13500</v>
      </c>
      <c r="AB3" s="31">
        <f>AA3/Calcs!$B$4</f>
        <v>-5.6603773584905662E-2</v>
      </c>
      <c r="AC3" s="31">
        <f>AB3-H3</f>
        <v>-5.6603773584905662E-2</v>
      </c>
      <c r="AD3" s="2">
        <f>AA3-I3*Params!$B$23</f>
        <v>-27000</v>
      </c>
      <c r="AE3" s="7">
        <f>A3</f>
        <v>0</v>
      </c>
      <c r="AF3" s="2">
        <f>B3/12</f>
        <v>0</v>
      </c>
      <c r="AG3" s="2">
        <f>(K3+M3+O3)/12</f>
        <v>1125</v>
      </c>
      <c r="AH3" s="8"/>
      <c r="AI3" s="8"/>
      <c r="AJ3" s="47">
        <f>A3</f>
        <v>0</v>
      </c>
      <c r="AK3" s="2">
        <v>0</v>
      </c>
      <c r="AL3" s="2">
        <v>0</v>
      </c>
      <c r="AM3" s="2">
        <f>AK3</f>
        <v>0</v>
      </c>
      <c r="AN3" s="2">
        <v>0</v>
      </c>
      <c r="AO3" s="2">
        <f>AN3</f>
        <v>0</v>
      </c>
      <c r="AP3" s="2">
        <f>T3+AM3-AO3</f>
        <v>-13500</v>
      </c>
      <c r="AQ3" s="31">
        <f>AP3/Calcs!$B$4</f>
        <v>-5.6603773584905662E-2</v>
      </c>
      <c r="AR3" s="2">
        <f>F3</f>
        <v>0</v>
      </c>
      <c r="AS3" s="31">
        <f>AR3/Calcs!$B$4</f>
        <v>0</v>
      </c>
      <c r="AT3" s="31">
        <f>AQ3-AS3</f>
        <v>-5.6603773584905662E-2</v>
      </c>
      <c r="AU3" s="39" t="s">
        <v>91</v>
      </c>
      <c r="AV3" s="2">
        <f>I3*Params!$B$23</f>
        <v>13500</v>
      </c>
      <c r="AW3" s="49">
        <f>J3*Params!$B$24</f>
        <v>0</v>
      </c>
      <c r="AX3" s="49">
        <f>AV3+AW3</f>
        <v>13500</v>
      </c>
      <c r="AY3" s="2">
        <f>AV3</f>
        <v>13500</v>
      </c>
      <c r="AZ3" s="2">
        <f>AP3-AY3</f>
        <v>-27000</v>
      </c>
      <c r="BA3" s="31">
        <f>AZ3/Calcs!$B$4</f>
        <v>-0.11320754716981132</v>
      </c>
      <c r="BB3" s="31">
        <f>BA3-AS3</f>
        <v>-0.11320754716981132</v>
      </c>
      <c r="BE3" s="7">
        <f t="shared" ref="BE3:BE43" si="0">AJ3</f>
        <v>0</v>
      </c>
      <c r="BF3" s="2">
        <f>J3</f>
        <v>0</v>
      </c>
      <c r="BG3" s="2">
        <f>-L3</f>
        <v>0</v>
      </c>
      <c r="BH3" s="2">
        <f>-N3</f>
        <v>-13500</v>
      </c>
      <c r="BI3" s="2">
        <f>-S3</f>
        <v>0</v>
      </c>
      <c r="BJ3" s="2">
        <f>AM3</f>
        <v>0</v>
      </c>
      <c r="BK3" s="2">
        <f>-AO3</f>
        <v>0</v>
      </c>
      <c r="BL3" s="2">
        <f>-AV3</f>
        <v>-13500</v>
      </c>
    </row>
    <row r="4" spans="1:64">
      <c r="A4">
        <v>1</v>
      </c>
      <c r="B4" s="3">
        <f>12*Params!$B$13</f>
        <v>28800</v>
      </c>
      <c r="C4" s="2">
        <f>B4+C3</f>
        <v>28800</v>
      </c>
      <c r="D4" s="2">
        <f>D3*(1+Params!$B$3)</f>
        <v>255195.00000000003</v>
      </c>
      <c r="E4" s="2">
        <f>D4-D3</f>
        <v>16695.000000000029</v>
      </c>
      <c r="F4" s="2">
        <f>E4+F3</f>
        <v>16695.000000000029</v>
      </c>
      <c r="G4" s="2">
        <f>F4-C4</f>
        <v>-12104.999999999971</v>
      </c>
      <c r="H4" s="31">
        <f>G4/Calcs!$B$4/A4</f>
        <v>-5.0754716981131952E-2</v>
      </c>
      <c r="I4" s="3">
        <f>I3*(1+Params!$B$6)</f>
        <v>229500</v>
      </c>
      <c r="J4" s="2">
        <f>I4-Params!$B$4</f>
        <v>4500</v>
      </c>
      <c r="K4" s="2">
        <f>I3*Params!$B$7</f>
        <v>3375</v>
      </c>
      <c r="L4" s="2">
        <f>K4+L3</f>
        <v>3375</v>
      </c>
      <c r="M4" s="2">
        <f>I3*Params!$B$8</f>
        <v>4500</v>
      </c>
      <c r="N4" s="2">
        <f>M4+N3</f>
        <v>18000</v>
      </c>
      <c r="O4" s="2">
        <f>-PMT(Params!$B$9/12, 30*12, Params!$B$4*(1-Params!$B$5)) * 12</f>
        <v>0</v>
      </c>
      <c r="P4" s="2">
        <f>O4+P3</f>
        <v>0</v>
      </c>
      <c r="Q4" s="2">
        <f>Params!$B$4*(1-Params!$B$5)/30</f>
        <v>0</v>
      </c>
      <c r="R4" s="2">
        <f t="shared" ref="R4:R43" si="1">O4-Q4</f>
        <v>0</v>
      </c>
      <c r="S4" s="2">
        <f>R4+S3</f>
        <v>0</v>
      </c>
      <c r="T4" s="2">
        <f t="shared" ref="T4:T43" si="2">J4-L4-N4-S4</f>
        <v>-16875</v>
      </c>
      <c r="U4" s="31">
        <f>T4/Calcs!$B$4/Table!A4</f>
        <v>-7.0754716981132074E-2</v>
      </c>
      <c r="V4" s="2">
        <f>B4-K4-M4-O4</f>
        <v>20925</v>
      </c>
      <c r="W4" s="2">
        <f>IF(V4&gt;0,V4*Params!$B$15,0)</f>
        <v>12555</v>
      </c>
      <c r="X4" s="2">
        <f>X3+W4</f>
        <v>12555</v>
      </c>
      <c r="Y4" s="2">
        <f>Y3*(1+Params!$B$3)+W4</f>
        <v>12555</v>
      </c>
      <c r="Z4" s="2">
        <f t="shared" ref="Z4:Z43" si="3">Y4-X4</f>
        <v>0</v>
      </c>
      <c r="AA4" s="2">
        <f>T4+Z4</f>
        <v>-16875</v>
      </c>
      <c r="AB4" s="31">
        <f>AA4/Calcs!$B$4/A4</f>
        <v>-7.0754716981132074E-2</v>
      </c>
      <c r="AC4" s="31">
        <f t="shared" ref="AC4:AC43" si="4">AB4-H4</f>
        <v>-2.0000000000000122E-2</v>
      </c>
      <c r="AD4" s="2">
        <f>AA4-I4*Params!$B$23</f>
        <v>-30645</v>
      </c>
      <c r="AE4" s="7">
        <f t="shared" ref="AE4:AE43" si="5">A4</f>
        <v>1</v>
      </c>
      <c r="AF4" s="2">
        <f t="shared" ref="AF4:AF43" si="6">B4/12</f>
        <v>2400</v>
      </c>
      <c r="AG4" s="2">
        <f>(K4+M4+O4)/12</f>
        <v>656.25</v>
      </c>
      <c r="AH4" s="8" t="str">
        <f>IF(AND(AG4&lt;AF4,AF3&lt;=AG3),"Y", "")</f>
        <v>Y</v>
      </c>
      <c r="AI4" s="8"/>
      <c r="AJ4" s="47">
        <f t="shared" ref="AJ4:AJ43" si="7">A4</f>
        <v>1</v>
      </c>
      <c r="AK4" s="2">
        <f>Params!$B$19</f>
        <v>2300</v>
      </c>
      <c r="AL4" s="2">
        <f>Params!$B$21*AK4</f>
        <v>25875</v>
      </c>
      <c r="AM4" s="2">
        <f>AL4+AM3</f>
        <v>25875</v>
      </c>
      <c r="AN4" s="2">
        <f>Calcs!$B$5</f>
        <v>0</v>
      </c>
      <c r="AO4" s="2">
        <f>AN4+AO3</f>
        <v>0</v>
      </c>
      <c r="AP4" s="2">
        <f t="shared" ref="AP4:AP43" si="8">T4+AM4-AO4</f>
        <v>9000</v>
      </c>
      <c r="AQ4" s="31">
        <f>AP4/Calcs!$B$4/A4</f>
        <v>3.7735849056603772E-2</v>
      </c>
      <c r="AR4" s="2">
        <f>F4</f>
        <v>16695.000000000029</v>
      </c>
      <c r="AS4" s="31">
        <f>AR4/Calcs!$B$4/A4</f>
        <v>7.0000000000000118E-2</v>
      </c>
      <c r="AT4" s="31">
        <f t="shared" ref="AT4:AT43" si="9">AQ4-AS4</f>
        <v>-3.2264150943396346E-2</v>
      </c>
      <c r="AU4" s="41" t="s">
        <v>92</v>
      </c>
      <c r="AV4" s="2">
        <f>I4*Params!$B$23</f>
        <v>13770</v>
      </c>
      <c r="AW4" s="49">
        <f>J4*Params!$B$24</f>
        <v>675</v>
      </c>
      <c r="AX4" s="49">
        <f t="shared" ref="AX4:AX43" si="10">AV4+AW4</f>
        <v>14445</v>
      </c>
      <c r="AY4" s="2">
        <f t="shared" ref="AY4:AY43" si="11">AV4</f>
        <v>13770</v>
      </c>
      <c r="AZ4" s="2">
        <f>AP4-AY4</f>
        <v>-4770</v>
      </c>
      <c r="BA4" s="31">
        <f>AZ4/Calcs!$B$4/A4</f>
        <v>-0.02</v>
      </c>
      <c r="BB4" s="31">
        <f>BA4-AS4</f>
        <v>-9.0000000000000122E-2</v>
      </c>
      <c r="BE4" s="7">
        <f t="shared" si="0"/>
        <v>1</v>
      </c>
      <c r="BF4" s="2">
        <f t="shared" ref="BF4:BF43" si="12">J4</f>
        <v>4500</v>
      </c>
      <c r="BG4" s="2">
        <f t="shared" ref="BG4:BG43" si="13">-L4</f>
        <v>-3375</v>
      </c>
      <c r="BH4" s="2">
        <f t="shared" ref="BH4:BH43" si="14">-N4</f>
        <v>-18000</v>
      </c>
      <c r="BI4" s="2">
        <f t="shared" ref="BI4:BI43" si="15">-S4</f>
        <v>0</v>
      </c>
      <c r="BJ4" s="2">
        <f t="shared" ref="BJ4:BJ43" si="16">AM4</f>
        <v>25875</v>
      </c>
      <c r="BK4" s="2">
        <f t="shared" ref="BK4:BK43" si="17">-AO4</f>
        <v>0</v>
      </c>
      <c r="BL4" s="2">
        <f t="shared" ref="BL4:BL43" si="18">-AV4</f>
        <v>-13770</v>
      </c>
    </row>
    <row r="5" spans="1:64">
      <c r="A5">
        <v>2</v>
      </c>
      <c r="B5" s="3">
        <f>B4*(1+Params!$B$14)</f>
        <v>29376</v>
      </c>
      <c r="C5" s="2">
        <f t="shared" ref="C5:C33" si="19">B5+C4</f>
        <v>58176</v>
      </c>
      <c r="D5" s="2">
        <f>D4*(1+Params!$B$3)</f>
        <v>273058.65000000002</v>
      </c>
      <c r="E5" s="2">
        <f t="shared" ref="E5:E43" si="20">D5-D4</f>
        <v>17863.649999999994</v>
      </c>
      <c r="F5" s="2">
        <f t="shared" ref="F5:F43" si="21">E5+F4</f>
        <v>34558.650000000023</v>
      </c>
      <c r="G5" s="2">
        <f>F5-C5</f>
        <v>-23617.349999999977</v>
      </c>
      <c r="H5" s="31">
        <f>G5/Calcs!$B$4/A5</f>
        <v>-4.9512264150943348E-2</v>
      </c>
      <c r="I5" s="3">
        <f>I4*(1+Params!$B$6)</f>
        <v>234090</v>
      </c>
      <c r="J5" s="2">
        <f>I5-Params!$B$4</f>
        <v>9090</v>
      </c>
      <c r="K5" s="2">
        <f>I4*Params!$B$7</f>
        <v>3442.5</v>
      </c>
      <c r="L5" s="2">
        <f t="shared" ref="L5:L33" si="22">K5+L4</f>
        <v>6817.5</v>
      </c>
      <c r="M5" s="2">
        <f>I4*Params!$B$8</f>
        <v>4590</v>
      </c>
      <c r="N5" s="2">
        <f t="shared" ref="N5:N33" si="23">M5+N4</f>
        <v>22590</v>
      </c>
      <c r="O5" s="2">
        <f>-PMT(Params!$B$9/12, 30*12, Params!$B$4*(1-Params!$B$5)) * 12</f>
        <v>0</v>
      </c>
      <c r="P5" s="2">
        <f t="shared" ref="P5:P43" si="24">O5+P4</f>
        <v>0</v>
      </c>
      <c r="Q5" s="2">
        <f>Params!$B$4*(1-Params!$B$5)/30</f>
        <v>0</v>
      </c>
      <c r="R5" s="2">
        <f t="shared" si="1"/>
        <v>0</v>
      </c>
      <c r="S5" s="2">
        <f t="shared" ref="S5:S43" si="25">R5+S4</f>
        <v>0</v>
      </c>
      <c r="T5" s="2">
        <f t="shared" si="2"/>
        <v>-20317.5</v>
      </c>
      <c r="U5" s="31">
        <f>T5/Calcs!$B$4/Table!A5</f>
        <v>-4.259433962264151E-2</v>
      </c>
      <c r="V5" s="2">
        <f>B5-K5-M5-O5</f>
        <v>21343.5</v>
      </c>
      <c r="W5" s="2">
        <f>IF(V5&gt;0,V5*Params!$B$15,0)</f>
        <v>12806.1</v>
      </c>
      <c r="X5" s="2">
        <f t="shared" ref="X5:X43" si="26">X4+W5</f>
        <v>25361.1</v>
      </c>
      <c r="Y5" s="2">
        <f>Y4*(1+Params!$B$3)+W5</f>
        <v>26239.95</v>
      </c>
      <c r="Z5" s="2">
        <f t="shared" si="3"/>
        <v>878.85000000000218</v>
      </c>
      <c r="AA5" s="2">
        <f>T5+Z5</f>
        <v>-19438.649999999998</v>
      </c>
      <c r="AB5" s="31">
        <f>AA5/Calcs!$B$4/A5</f>
        <v>-4.0751886792452827E-2</v>
      </c>
      <c r="AC5" s="31">
        <f t="shared" si="4"/>
        <v>8.7603773584905217E-3</v>
      </c>
      <c r="AD5" s="2">
        <f>AA5-I5*Params!$B$23</f>
        <v>-33484.049999999996</v>
      </c>
      <c r="AE5" s="7">
        <f t="shared" si="5"/>
        <v>2</v>
      </c>
      <c r="AF5" s="2">
        <f t="shared" si="6"/>
        <v>2448</v>
      </c>
      <c r="AG5" s="2">
        <f>(K5+M5+O5)/12</f>
        <v>669.375</v>
      </c>
      <c r="AH5" s="8" t="str">
        <f t="shared" ref="AH5:AH43" si="27">IF(AND(AG5&lt;AF5,AF4&lt;=AG4),"Y", "")</f>
        <v/>
      </c>
      <c r="AI5" s="8"/>
      <c r="AJ5" s="47">
        <f t="shared" si="7"/>
        <v>2</v>
      </c>
      <c r="AK5" s="2">
        <f>AK4*(1+Params!$B$20)</f>
        <v>2334.5</v>
      </c>
      <c r="AL5" s="2">
        <f>Params!$B$21*AK5</f>
        <v>26263.125</v>
      </c>
      <c r="AM5" s="2">
        <f t="shared" ref="AM5:AM43" si="28">AL5+AM4</f>
        <v>52138.125</v>
      </c>
      <c r="AN5" s="2">
        <f>Calcs!$B$5</f>
        <v>0</v>
      </c>
      <c r="AO5" s="2">
        <f t="shared" ref="AO5:AO43" si="29">AN5+AO4</f>
        <v>0</v>
      </c>
      <c r="AP5" s="2">
        <f t="shared" si="8"/>
        <v>31820.625</v>
      </c>
      <c r="AQ5" s="31">
        <f>AP5/Calcs!$B$4/A5</f>
        <v>6.6709905660377364E-2</v>
      </c>
      <c r="AR5" s="2">
        <f>F5</f>
        <v>34558.650000000023</v>
      </c>
      <c r="AS5" s="31">
        <f>AR5/Calcs!$B$4/A5</f>
        <v>7.2450000000000042E-2</v>
      </c>
      <c r="AT5" s="31">
        <f t="shared" si="9"/>
        <v>-5.7400943396226783E-3</v>
      </c>
      <c r="AU5" s="40" t="s">
        <v>93</v>
      </c>
      <c r="AV5" s="2">
        <f>I5*Params!$B$23</f>
        <v>14045.4</v>
      </c>
      <c r="AW5" s="49">
        <f>J5*Params!$B$24</f>
        <v>1363.5</v>
      </c>
      <c r="AX5" s="49">
        <f t="shared" si="10"/>
        <v>15408.9</v>
      </c>
      <c r="AY5" s="2">
        <f t="shared" si="11"/>
        <v>14045.4</v>
      </c>
      <c r="AZ5" s="2">
        <f>AP5-AY5</f>
        <v>17775.224999999999</v>
      </c>
      <c r="BA5" s="31">
        <f>AZ5/Calcs!$B$4/A5</f>
        <v>3.7264622641509433E-2</v>
      </c>
      <c r="BB5" s="31">
        <f>BA5-AS5</f>
        <v>-3.5185377358490609E-2</v>
      </c>
      <c r="BE5" s="7">
        <f t="shared" si="0"/>
        <v>2</v>
      </c>
      <c r="BF5" s="2">
        <f t="shared" si="12"/>
        <v>9090</v>
      </c>
      <c r="BG5" s="2">
        <f t="shared" si="13"/>
        <v>-6817.5</v>
      </c>
      <c r="BH5" s="2">
        <f t="shared" si="14"/>
        <v>-22590</v>
      </c>
      <c r="BI5" s="2">
        <f t="shared" si="15"/>
        <v>0</v>
      </c>
      <c r="BJ5" s="2">
        <f t="shared" si="16"/>
        <v>52138.125</v>
      </c>
      <c r="BK5" s="2">
        <f t="shared" si="17"/>
        <v>0</v>
      </c>
      <c r="BL5" s="2">
        <f t="shared" si="18"/>
        <v>-14045.4</v>
      </c>
    </row>
    <row r="6" spans="1:64">
      <c r="A6">
        <v>3</v>
      </c>
      <c r="B6" s="3">
        <f>B5*(1+Params!$B$14)</f>
        <v>29963.52</v>
      </c>
      <c r="C6" s="2">
        <f t="shared" si="19"/>
        <v>88139.520000000004</v>
      </c>
      <c r="D6" s="2">
        <f>D5*(1+Params!$B$3)</f>
        <v>292172.75550000003</v>
      </c>
      <c r="E6" s="2">
        <f t="shared" si="20"/>
        <v>19114.105500000005</v>
      </c>
      <c r="F6" s="2">
        <f t="shared" si="21"/>
        <v>53672.755500000028</v>
      </c>
      <c r="G6" s="2">
        <f>F6-C6</f>
        <v>-34466.764499999976</v>
      </c>
      <c r="H6" s="31">
        <f>G6/Calcs!$B$4/A6</f>
        <v>-4.8171578616352163E-2</v>
      </c>
      <c r="I6" s="3">
        <f>I5*(1+Params!$B$6)</f>
        <v>238771.80000000002</v>
      </c>
      <c r="J6" s="2">
        <f>I6-Params!$B$4</f>
        <v>13771.800000000017</v>
      </c>
      <c r="K6" s="2">
        <f>I5*Params!$B$7</f>
        <v>3511.35</v>
      </c>
      <c r="L6" s="2">
        <f t="shared" si="22"/>
        <v>10328.85</v>
      </c>
      <c r="M6" s="2">
        <f>I5*Params!$B$8</f>
        <v>4681.8</v>
      </c>
      <c r="N6" s="2">
        <f t="shared" si="23"/>
        <v>27271.8</v>
      </c>
      <c r="O6" s="2">
        <f>-PMT(Params!$B$9/12, 30*12, Params!$B$4*(1-Params!$B$5)) * 12</f>
        <v>0</v>
      </c>
      <c r="P6" s="2">
        <f t="shared" si="24"/>
        <v>0</v>
      </c>
      <c r="Q6" s="2">
        <f>Params!$B$4*(1-Params!$B$5)/30</f>
        <v>0</v>
      </c>
      <c r="R6" s="2">
        <f t="shared" si="1"/>
        <v>0</v>
      </c>
      <c r="S6" s="2">
        <f t="shared" si="25"/>
        <v>0</v>
      </c>
      <c r="T6" s="2">
        <f t="shared" si="2"/>
        <v>-23828.849999999984</v>
      </c>
      <c r="U6" s="31">
        <f>T6/Calcs!$B$4/Table!A6</f>
        <v>-3.330377358490564E-2</v>
      </c>
      <c r="V6" s="2">
        <f>B6-K6-M6-O6</f>
        <v>21770.370000000003</v>
      </c>
      <c r="W6" s="2">
        <f>IF(V6&gt;0,V6*Params!$B$15,0)</f>
        <v>13062.222000000002</v>
      </c>
      <c r="X6" s="2">
        <f t="shared" si="26"/>
        <v>38423.322</v>
      </c>
      <c r="Y6" s="2">
        <f>Y5*(1+Params!$B$3)+W6</f>
        <v>41138.968500000003</v>
      </c>
      <c r="Z6" s="2">
        <f t="shared" si="3"/>
        <v>2715.6465000000026</v>
      </c>
      <c r="AA6" s="2">
        <f>T6+Z6</f>
        <v>-21113.203499999981</v>
      </c>
      <c r="AB6" s="31">
        <f>AA6/Calcs!$B$4/A6</f>
        <v>-2.9508320754716957E-2</v>
      </c>
      <c r="AC6" s="31">
        <f t="shared" si="4"/>
        <v>1.8663257861635207E-2</v>
      </c>
      <c r="AD6" s="2">
        <f>AA6-I6*Params!$B$23</f>
        <v>-35439.511499999979</v>
      </c>
      <c r="AE6" s="7">
        <f t="shared" si="5"/>
        <v>3</v>
      </c>
      <c r="AF6" s="2">
        <f t="shared" si="6"/>
        <v>2496.96</v>
      </c>
      <c r="AG6" s="2">
        <f>(K6+M6+O6)/12</f>
        <v>682.76249999999993</v>
      </c>
      <c r="AH6" s="8" t="str">
        <f t="shared" si="27"/>
        <v/>
      </c>
      <c r="AI6" s="8"/>
      <c r="AJ6" s="47">
        <f t="shared" si="7"/>
        <v>3</v>
      </c>
      <c r="AK6" s="2">
        <f>AK5*(1+Params!$B$20)</f>
        <v>2369.5174999999999</v>
      </c>
      <c r="AL6" s="2">
        <f>Params!$B$21*AK6</f>
        <v>26657.071874999998</v>
      </c>
      <c r="AM6" s="2">
        <f t="shared" si="28"/>
        <v>78795.196874999994</v>
      </c>
      <c r="AN6" s="2">
        <f>Calcs!$B$5</f>
        <v>0</v>
      </c>
      <c r="AO6" s="2">
        <f t="shared" si="29"/>
        <v>0</v>
      </c>
      <c r="AP6" s="2">
        <f t="shared" si="8"/>
        <v>54966.34687500001</v>
      </c>
      <c r="AQ6" s="31">
        <f>AP6/Calcs!$B$4/A6</f>
        <v>7.6822287735849079E-2</v>
      </c>
      <c r="AR6" s="2">
        <f>F6</f>
        <v>53672.755500000028</v>
      </c>
      <c r="AS6" s="31">
        <f>AR6/Calcs!$B$4/A6</f>
        <v>7.5014333333333377E-2</v>
      </c>
      <c r="AT6" s="31">
        <f t="shared" si="9"/>
        <v>1.8079544025157018E-3</v>
      </c>
      <c r="AU6" s="31"/>
      <c r="AV6" s="2">
        <f>I6*Params!$B$23</f>
        <v>14326.308000000001</v>
      </c>
      <c r="AW6" s="49">
        <f>J6*Params!$B$24</f>
        <v>2065.7700000000027</v>
      </c>
      <c r="AX6" s="49">
        <f t="shared" si="10"/>
        <v>16392.078000000005</v>
      </c>
      <c r="AY6" s="2">
        <f t="shared" si="11"/>
        <v>14326.308000000001</v>
      </c>
      <c r="AZ6" s="2">
        <f>AP6-AY6</f>
        <v>40640.038875000013</v>
      </c>
      <c r="BA6" s="31">
        <f>AZ6/Calcs!$B$4/A6</f>
        <v>5.6799495283018885E-2</v>
      </c>
      <c r="BB6" s="31">
        <f>BA6-AS6</f>
        <v>-1.8214838050314493E-2</v>
      </c>
      <c r="BE6" s="7">
        <f t="shared" si="0"/>
        <v>3</v>
      </c>
      <c r="BF6" s="2">
        <f t="shared" si="12"/>
        <v>13771.800000000017</v>
      </c>
      <c r="BG6" s="2">
        <f t="shared" si="13"/>
        <v>-10328.85</v>
      </c>
      <c r="BH6" s="2">
        <f t="shared" si="14"/>
        <v>-27271.8</v>
      </c>
      <c r="BI6" s="2">
        <f t="shared" si="15"/>
        <v>0</v>
      </c>
      <c r="BJ6" s="2">
        <f t="shared" si="16"/>
        <v>78795.196874999994</v>
      </c>
      <c r="BK6" s="2">
        <f t="shared" si="17"/>
        <v>0</v>
      </c>
      <c r="BL6" s="2">
        <f t="shared" si="18"/>
        <v>-14326.308000000001</v>
      </c>
    </row>
    <row r="7" spans="1:64">
      <c r="A7">
        <v>4</v>
      </c>
      <c r="B7" s="3">
        <f>B6*(1+Params!$B$14)</f>
        <v>30562.790400000002</v>
      </c>
      <c r="C7" s="2">
        <f t="shared" si="19"/>
        <v>118702.3104</v>
      </c>
      <c r="D7" s="2">
        <f>D6*(1+Params!$B$3)</f>
        <v>312624.84838500008</v>
      </c>
      <c r="E7" s="2">
        <f t="shared" si="20"/>
        <v>20452.092885000049</v>
      </c>
      <c r="F7" s="2">
        <f t="shared" si="21"/>
        <v>74124.848385000078</v>
      </c>
      <c r="G7" s="2">
        <f>F7-C7</f>
        <v>-44577.462014999925</v>
      </c>
      <c r="H7" s="31">
        <f>G7/Calcs!$B$4/A7</f>
        <v>-4.6726899386792371E-2</v>
      </c>
      <c r="I7" s="3">
        <f>I6*(1+Params!$B$6)</f>
        <v>243547.23600000003</v>
      </c>
      <c r="J7" s="2">
        <f>I7-Params!$B$4</f>
        <v>18547.236000000034</v>
      </c>
      <c r="K7" s="2">
        <f>I6*Params!$B$7</f>
        <v>3581.5770000000002</v>
      </c>
      <c r="L7" s="2">
        <f t="shared" si="22"/>
        <v>13910.427</v>
      </c>
      <c r="M7" s="2">
        <f>I6*Params!$B$8</f>
        <v>4775.4360000000006</v>
      </c>
      <c r="N7" s="2">
        <f t="shared" si="23"/>
        <v>32047.236000000001</v>
      </c>
      <c r="O7" s="2">
        <f>-PMT(Params!$B$9/12, 30*12, Params!$B$4*(1-Params!$B$5)) * 12</f>
        <v>0</v>
      </c>
      <c r="P7" s="2">
        <f t="shared" si="24"/>
        <v>0</v>
      </c>
      <c r="Q7" s="2">
        <f>Params!$B$4*(1-Params!$B$5)/30</f>
        <v>0</v>
      </c>
      <c r="R7" s="2">
        <f t="shared" si="1"/>
        <v>0</v>
      </c>
      <c r="S7" s="2">
        <f t="shared" si="25"/>
        <v>0</v>
      </c>
      <c r="T7" s="2">
        <f t="shared" si="2"/>
        <v>-27410.426999999967</v>
      </c>
      <c r="U7" s="31">
        <f>T7/Calcs!$B$4/Table!A7</f>
        <v>-2.8732103773584872E-2</v>
      </c>
      <c r="V7" s="2">
        <f>B7-K7-M7-O7</f>
        <v>22205.777399999999</v>
      </c>
      <c r="W7" s="2">
        <f>IF(V7&gt;0,V7*Params!$B$15,0)</f>
        <v>13323.466439999998</v>
      </c>
      <c r="X7" s="2">
        <f t="shared" si="26"/>
        <v>51746.788439999997</v>
      </c>
      <c r="Y7" s="2">
        <f>Y6*(1+Params!$B$3)+W7</f>
        <v>57342.162735000005</v>
      </c>
      <c r="Z7" s="2">
        <f t="shared" si="3"/>
        <v>5595.3742950000087</v>
      </c>
      <c r="AA7" s="2">
        <f>T7+Z7</f>
        <v>-21815.052704999958</v>
      </c>
      <c r="AB7" s="31">
        <f>AA7/Calcs!$B$4/A7</f>
        <v>-2.2866931556603728E-2</v>
      </c>
      <c r="AC7" s="31">
        <f t="shared" si="4"/>
        <v>2.3859967830188643E-2</v>
      </c>
      <c r="AD7" s="2">
        <f>AA7-I7*Params!$B$23</f>
        <v>-36427.886864999964</v>
      </c>
      <c r="AE7" s="7">
        <f t="shared" si="5"/>
        <v>4</v>
      </c>
      <c r="AF7" s="2">
        <f t="shared" si="6"/>
        <v>2546.8992000000003</v>
      </c>
      <c r="AG7" s="2">
        <f>(K7+M7+O7)/12</f>
        <v>696.41775000000007</v>
      </c>
      <c r="AH7" s="8" t="str">
        <f t="shared" si="27"/>
        <v/>
      </c>
      <c r="AI7" s="8"/>
      <c r="AJ7" s="47">
        <f t="shared" si="7"/>
        <v>4</v>
      </c>
      <c r="AK7" s="2">
        <f>AK6*(1+Params!$B$20)</f>
        <v>2405.0602624999997</v>
      </c>
      <c r="AL7" s="2">
        <f>Params!$B$21*AK7</f>
        <v>27056.927953124996</v>
      </c>
      <c r="AM7" s="2">
        <f t="shared" si="28"/>
        <v>105852.12482812499</v>
      </c>
      <c r="AN7" s="2">
        <f>Calcs!$B$5</f>
        <v>0</v>
      </c>
      <c r="AO7" s="2">
        <f t="shared" si="29"/>
        <v>0</v>
      </c>
      <c r="AP7" s="2">
        <f t="shared" si="8"/>
        <v>78441.697828125019</v>
      </c>
      <c r="AQ7" s="31">
        <f>AP7/Calcs!$B$4/A7</f>
        <v>8.2224001916273604E-2</v>
      </c>
      <c r="AR7" s="2">
        <f>F7</f>
        <v>74124.848385000078</v>
      </c>
      <c r="AS7" s="31">
        <f>AR7/Calcs!$B$4/A7</f>
        <v>7.7699002500000086E-2</v>
      </c>
      <c r="AT7" s="31">
        <f t="shared" si="9"/>
        <v>4.5249994162735174E-3</v>
      </c>
      <c r="AU7" s="31"/>
      <c r="AV7" s="2">
        <f>I7*Params!$B$23</f>
        <v>14612.834160000002</v>
      </c>
      <c r="AW7" s="49">
        <f>J7*Params!$B$24</f>
        <v>2782.0854000000049</v>
      </c>
      <c r="AX7" s="49">
        <f t="shared" si="10"/>
        <v>17394.919560000006</v>
      </c>
      <c r="AY7" s="2">
        <f t="shared" si="11"/>
        <v>14612.834160000002</v>
      </c>
      <c r="AZ7" s="2">
        <f>AP7-AY7</f>
        <v>63828.863668125021</v>
      </c>
      <c r="BA7" s="31">
        <f>AZ7/Calcs!$B$4/A7</f>
        <v>6.6906565689858519E-2</v>
      </c>
      <c r="BB7" s="31">
        <f>BA7-AS7</f>
        <v>-1.0792436810141567E-2</v>
      </c>
      <c r="BE7" s="7">
        <f t="shared" si="0"/>
        <v>4</v>
      </c>
      <c r="BF7" s="2">
        <f t="shared" si="12"/>
        <v>18547.236000000034</v>
      </c>
      <c r="BG7" s="2">
        <f t="shared" si="13"/>
        <v>-13910.427</v>
      </c>
      <c r="BH7" s="2">
        <f t="shared" si="14"/>
        <v>-32047.236000000001</v>
      </c>
      <c r="BI7" s="2">
        <f t="shared" si="15"/>
        <v>0</v>
      </c>
      <c r="BJ7" s="2">
        <f t="shared" si="16"/>
        <v>105852.12482812499</v>
      </c>
      <c r="BK7" s="2">
        <f t="shared" si="17"/>
        <v>0</v>
      </c>
      <c r="BL7" s="2">
        <f t="shared" si="18"/>
        <v>-14612.834160000002</v>
      </c>
    </row>
    <row r="8" spans="1:64">
      <c r="A8">
        <v>5</v>
      </c>
      <c r="B8" s="3">
        <f>B7*(1+Params!$B$14)</f>
        <v>31174.046208000003</v>
      </c>
      <c r="C8" s="2">
        <f t="shared" si="19"/>
        <v>149876.356608</v>
      </c>
      <c r="D8" s="2">
        <f>D7*(1+Params!$B$3)</f>
        <v>334508.58777195011</v>
      </c>
      <c r="E8" s="2">
        <f t="shared" si="20"/>
        <v>21883.739386950037</v>
      </c>
      <c r="F8" s="2">
        <f t="shared" si="21"/>
        <v>96008.587771950115</v>
      </c>
      <c r="G8" s="2">
        <f>F8-C8</f>
        <v>-53867.768836049887</v>
      </c>
      <c r="H8" s="31">
        <f>G8/Calcs!$B$4/A8</f>
        <v>-4.5172133195848965E-2</v>
      </c>
      <c r="I8" s="3">
        <f>I7*(1+Params!$B$6)</f>
        <v>248418.18072000003</v>
      </c>
      <c r="J8" s="2">
        <f>I8-Params!$B$4</f>
        <v>23418.180720000033</v>
      </c>
      <c r="K8" s="2">
        <f>I7*Params!$B$7</f>
        <v>3653.2085400000005</v>
      </c>
      <c r="L8" s="2">
        <f t="shared" si="22"/>
        <v>17563.635539999999</v>
      </c>
      <c r="M8" s="2">
        <f>I7*Params!$B$8</f>
        <v>4870.9447200000004</v>
      </c>
      <c r="N8" s="2">
        <f t="shared" si="23"/>
        <v>36918.180720000004</v>
      </c>
      <c r="O8" s="2">
        <f>-PMT(Params!$B$9/12, 30*12, Params!$B$4*(1-Params!$B$5)) * 12</f>
        <v>0</v>
      </c>
      <c r="P8" s="2">
        <f t="shared" si="24"/>
        <v>0</v>
      </c>
      <c r="Q8" s="2">
        <f>Params!$B$4*(1-Params!$B$5)/30</f>
        <v>0</v>
      </c>
      <c r="R8" s="2">
        <f t="shared" si="1"/>
        <v>0</v>
      </c>
      <c r="S8" s="2">
        <f t="shared" si="25"/>
        <v>0</v>
      </c>
      <c r="T8" s="2">
        <f t="shared" si="2"/>
        <v>-31063.63553999997</v>
      </c>
      <c r="U8" s="31">
        <f>T8/Calcs!$B$4/Table!A8</f>
        <v>-2.6049170264150916E-2</v>
      </c>
      <c r="V8" s="2">
        <f>B8-K8-M8-O8</f>
        <v>22649.892948000004</v>
      </c>
      <c r="W8" s="2">
        <f>IF(V8&gt;0,V8*Params!$B$15,0)</f>
        <v>13589.935768800002</v>
      </c>
      <c r="X8" s="2">
        <f t="shared" si="26"/>
        <v>65336.724208799998</v>
      </c>
      <c r="Y8" s="2">
        <f>Y7*(1+Params!$B$3)+W8</f>
        <v>74946.049895250006</v>
      </c>
      <c r="Z8" s="2">
        <f t="shared" si="3"/>
        <v>9609.3256864500072</v>
      </c>
      <c r="AA8" s="2">
        <f>T8+Z8</f>
        <v>-21454.309853549963</v>
      </c>
      <c r="AB8" s="31">
        <f>AA8/Calcs!$B$4/A8</f>
        <v>-1.7991035516603741E-2</v>
      </c>
      <c r="AC8" s="31">
        <f t="shared" si="4"/>
        <v>2.7181097679245224E-2</v>
      </c>
      <c r="AD8" s="2">
        <f>AA8-I8*Params!$B$23</f>
        <v>-36359.400696749966</v>
      </c>
      <c r="AE8" s="7">
        <f t="shared" si="5"/>
        <v>5</v>
      </c>
      <c r="AF8" s="2">
        <f t="shared" si="6"/>
        <v>2597.8371840000004</v>
      </c>
      <c r="AG8" s="2">
        <f>(K8+M8+O8)/12</f>
        <v>710.34610500000008</v>
      </c>
      <c r="AH8" s="8" t="str">
        <f t="shared" si="27"/>
        <v/>
      </c>
      <c r="AI8" s="8"/>
      <c r="AJ8" s="47">
        <f t="shared" si="7"/>
        <v>5</v>
      </c>
      <c r="AK8" s="2">
        <f>AK7*(1+Params!$B$20)</f>
        <v>2441.1361664374995</v>
      </c>
      <c r="AL8" s="2">
        <f>Params!$B$21*AK8</f>
        <v>27462.781872421871</v>
      </c>
      <c r="AM8" s="2">
        <f t="shared" si="28"/>
        <v>133314.90670054685</v>
      </c>
      <c r="AN8" s="2">
        <f>Calcs!$B$5</f>
        <v>0</v>
      </c>
      <c r="AO8" s="2">
        <f t="shared" si="29"/>
        <v>0</v>
      </c>
      <c r="AP8" s="2">
        <f t="shared" si="8"/>
        <v>102251.27116054688</v>
      </c>
      <c r="AQ8" s="31">
        <f>AP8/Calcs!$B$4/A8</f>
        <v>8.5745300763561322E-2</v>
      </c>
      <c r="AR8" s="2">
        <f>F8</f>
        <v>96008.587771950115</v>
      </c>
      <c r="AS8" s="31">
        <f>AR8/Calcs!$B$4/A8</f>
        <v>8.0510346140000105E-2</v>
      </c>
      <c r="AT8" s="31">
        <f t="shared" si="9"/>
        <v>5.2349546235612165E-3</v>
      </c>
      <c r="AU8" s="31"/>
      <c r="AV8" s="2">
        <f>I8*Params!$B$23</f>
        <v>14905.090843200001</v>
      </c>
      <c r="AW8" s="49">
        <f>J8*Params!$B$24</f>
        <v>3512.727108000005</v>
      </c>
      <c r="AX8" s="49">
        <f t="shared" si="10"/>
        <v>18417.817951200006</v>
      </c>
      <c r="AY8" s="2">
        <f t="shared" si="11"/>
        <v>14905.090843200001</v>
      </c>
      <c r="AZ8" s="2">
        <f>AP8-AY8</f>
        <v>87346.18031734688</v>
      </c>
      <c r="BA8" s="31">
        <f>AZ8/Calcs!$B$4/A8</f>
        <v>7.3246272802806614E-2</v>
      </c>
      <c r="BB8" s="31">
        <f>BA8-AS8</f>
        <v>-7.2640733371934912E-3</v>
      </c>
      <c r="BE8" s="7">
        <f t="shared" si="0"/>
        <v>5</v>
      </c>
      <c r="BF8" s="2">
        <f t="shared" si="12"/>
        <v>23418.180720000033</v>
      </c>
      <c r="BG8" s="2">
        <f t="shared" si="13"/>
        <v>-17563.635539999999</v>
      </c>
      <c r="BH8" s="2">
        <f t="shared" si="14"/>
        <v>-36918.180720000004</v>
      </c>
      <c r="BI8" s="2">
        <f t="shared" si="15"/>
        <v>0</v>
      </c>
      <c r="BJ8" s="2">
        <f t="shared" si="16"/>
        <v>133314.90670054685</v>
      </c>
      <c r="BK8" s="2">
        <f t="shared" si="17"/>
        <v>0</v>
      </c>
      <c r="BL8" s="2">
        <f t="shared" si="18"/>
        <v>-14905.090843200001</v>
      </c>
    </row>
    <row r="9" spans="1:64">
      <c r="A9">
        <v>6</v>
      </c>
      <c r="B9" s="3">
        <f>B8*(1+Params!$B$14)</f>
        <v>31797.527132160005</v>
      </c>
      <c r="C9" s="2">
        <f t="shared" si="19"/>
        <v>181673.88374016</v>
      </c>
      <c r="D9" s="2">
        <f>D8*(1+Params!$B$3)</f>
        <v>357924.18891598663</v>
      </c>
      <c r="E9" s="2">
        <f t="shared" si="20"/>
        <v>23415.601144036511</v>
      </c>
      <c r="F9" s="2">
        <f t="shared" si="21"/>
        <v>119424.18891598663</v>
      </c>
      <c r="G9" s="2">
        <f>F9-C9</f>
        <v>-62249.694824173377</v>
      </c>
      <c r="H9" s="31">
        <f>G9/Calcs!$B$4/A9</f>
        <v>-4.3500834957493628E-2</v>
      </c>
      <c r="I9" s="3">
        <f>I8*(1+Params!$B$6)</f>
        <v>253386.54433440004</v>
      </c>
      <c r="J9" s="2">
        <f>I9-Params!$B$4</f>
        <v>28386.544334400038</v>
      </c>
      <c r="K9" s="2">
        <f>I8*Params!$B$7</f>
        <v>3726.2727108000004</v>
      </c>
      <c r="L9" s="2">
        <f t="shared" si="22"/>
        <v>21289.908250799999</v>
      </c>
      <c r="M9" s="2">
        <f>I8*Params!$B$8</f>
        <v>4968.3636144000011</v>
      </c>
      <c r="N9" s="2">
        <f t="shared" si="23"/>
        <v>41886.544334400009</v>
      </c>
      <c r="O9" s="2">
        <f>-PMT(Params!$B$9/12, 30*12, Params!$B$4*(1-Params!$B$5)) * 12</f>
        <v>0</v>
      </c>
      <c r="P9" s="2">
        <f t="shared" si="24"/>
        <v>0</v>
      </c>
      <c r="Q9" s="2">
        <f>Params!$B$4*(1-Params!$B$5)/30</f>
        <v>0</v>
      </c>
      <c r="R9" s="2">
        <f t="shared" si="1"/>
        <v>0</v>
      </c>
      <c r="S9" s="2">
        <f t="shared" si="25"/>
        <v>0</v>
      </c>
      <c r="T9" s="2">
        <f t="shared" si="2"/>
        <v>-34789.90825079997</v>
      </c>
      <c r="U9" s="31">
        <f>T9/Calcs!$B$4/Table!A9</f>
        <v>-2.4311606045282999E-2</v>
      </c>
      <c r="V9" s="2">
        <f>B9-K9-M9-O9</f>
        <v>23102.890806960004</v>
      </c>
      <c r="W9" s="2">
        <f>IF(V9&gt;0,V9*Params!$B$15,0)</f>
        <v>13861.734484176002</v>
      </c>
      <c r="X9" s="2">
        <f t="shared" si="26"/>
        <v>79198.458692975997</v>
      </c>
      <c r="Y9" s="2">
        <f>Y8*(1+Params!$B$3)+W9</f>
        <v>94054.007872093513</v>
      </c>
      <c r="Z9" s="2">
        <f t="shared" si="3"/>
        <v>14855.549179117515</v>
      </c>
      <c r="AA9" s="2">
        <f>T9+Z9</f>
        <v>-19934.359071682455</v>
      </c>
      <c r="AB9" s="31">
        <f>AA9/Calcs!$B$4/A9</f>
        <v>-1.3930369721650911E-2</v>
      </c>
      <c r="AC9" s="31">
        <f t="shared" si="4"/>
        <v>2.9570465235842718E-2</v>
      </c>
      <c r="AD9" s="2">
        <f>AA9-I9*Params!$B$23</f>
        <v>-35137.551731746455</v>
      </c>
      <c r="AE9" s="7">
        <f t="shared" si="5"/>
        <v>6</v>
      </c>
      <c r="AF9" s="2">
        <f t="shared" si="6"/>
        <v>2649.7939276800003</v>
      </c>
      <c r="AG9" s="2">
        <f>(K9+M9+O9)/12</f>
        <v>724.55302710000012</v>
      </c>
      <c r="AH9" s="8" t="str">
        <f t="shared" si="27"/>
        <v/>
      </c>
      <c r="AI9" s="8"/>
      <c r="AJ9" s="47">
        <f t="shared" si="7"/>
        <v>6</v>
      </c>
      <c r="AK9" s="2">
        <f>AK8*(1+Params!$B$20)</f>
        <v>2477.7532089340616</v>
      </c>
      <c r="AL9" s="2">
        <f>Params!$B$21*AK9</f>
        <v>27874.723600508194</v>
      </c>
      <c r="AM9" s="2">
        <f t="shared" si="28"/>
        <v>161189.63030105503</v>
      </c>
      <c r="AN9" s="2">
        <f>Calcs!$B$5</f>
        <v>0</v>
      </c>
      <c r="AO9" s="2">
        <f t="shared" si="29"/>
        <v>0</v>
      </c>
      <c r="AP9" s="2">
        <f t="shared" si="8"/>
        <v>126399.72205025506</v>
      </c>
      <c r="AQ9" s="31">
        <f>AP9/Calcs!$B$4/A9</f>
        <v>8.8329645038612903E-2</v>
      </c>
      <c r="AR9" s="2">
        <f>F9</f>
        <v>119424.18891598663</v>
      </c>
      <c r="AS9" s="31">
        <f>AR9/Calcs!$B$4/A9</f>
        <v>8.3455058641500088E-2</v>
      </c>
      <c r="AT9" s="31">
        <f t="shared" si="9"/>
        <v>4.8745863971128151E-3</v>
      </c>
      <c r="AU9" s="31"/>
      <c r="AV9" s="2">
        <f>I9*Params!$B$23</f>
        <v>15203.192660064002</v>
      </c>
      <c r="AW9" s="49">
        <f>J9*Params!$B$24</f>
        <v>4257.9816501600053</v>
      </c>
      <c r="AX9" s="49">
        <f t="shared" si="10"/>
        <v>19461.174310224007</v>
      </c>
      <c r="AY9" s="2">
        <f t="shared" si="11"/>
        <v>15203.192660064002</v>
      </c>
      <c r="AZ9" s="2">
        <f>AP9-AY9</f>
        <v>111196.52939019106</v>
      </c>
      <c r="BA9" s="31">
        <f>AZ9/Calcs!$B$4/A9</f>
        <v>7.7705471271971388E-2</v>
      </c>
      <c r="BB9" s="31">
        <f>BA9-AS9</f>
        <v>-5.7495873695286998E-3</v>
      </c>
      <c r="BE9" s="7">
        <f t="shared" si="0"/>
        <v>6</v>
      </c>
      <c r="BF9" s="2">
        <f t="shared" si="12"/>
        <v>28386.544334400038</v>
      </c>
      <c r="BG9" s="2">
        <f t="shared" si="13"/>
        <v>-21289.908250799999</v>
      </c>
      <c r="BH9" s="2">
        <f t="shared" si="14"/>
        <v>-41886.544334400009</v>
      </c>
      <c r="BI9" s="2">
        <f t="shared" si="15"/>
        <v>0</v>
      </c>
      <c r="BJ9" s="2">
        <f t="shared" si="16"/>
        <v>161189.63030105503</v>
      </c>
      <c r="BK9" s="2">
        <f t="shared" si="17"/>
        <v>0</v>
      </c>
      <c r="BL9" s="2">
        <f t="shared" si="18"/>
        <v>-15203.192660064002</v>
      </c>
    </row>
    <row r="10" spans="1:64">
      <c r="A10">
        <v>7</v>
      </c>
      <c r="B10" s="3">
        <f>B9*(1+Params!$B$14)</f>
        <v>32433.477674803205</v>
      </c>
      <c r="C10" s="2">
        <f t="shared" si="19"/>
        <v>214107.3614149632</v>
      </c>
      <c r="D10" s="2">
        <f>D9*(1+Params!$B$3)</f>
        <v>382978.88214010571</v>
      </c>
      <c r="E10" s="2">
        <f t="shared" si="20"/>
        <v>25054.693224119081</v>
      </c>
      <c r="F10" s="2">
        <f t="shared" si="21"/>
        <v>144478.88214010571</v>
      </c>
      <c r="G10" s="2">
        <f>F10-C10</f>
        <v>-69628.479274857498</v>
      </c>
      <c r="H10" s="31">
        <f>G10/Calcs!$B$4/A10</f>
        <v>-4.1706187046934705E-2</v>
      </c>
      <c r="I10" s="3">
        <f>I9*(1+Params!$B$6)</f>
        <v>258454.27522108806</v>
      </c>
      <c r="J10" s="2">
        <f>I10-Params!$B$4</f>
        <v>33454.275221088057</v>
      </c>
      <c r="K10" s="2">
        <f>I9*Params!$B$7</f>
        <v>3800.7981650160004</v>
      </c>
      <c r="L10" s="2">
        <f t="shared" si="22"/>
        <v>25090.706415815999</v>
      </c>
      <c r="M10" s="2">
        <f>I9*Params!$B$8</f>
        <v>5067.7308866880012</v>
      </c>
      <c r="N10" s="2">
        <f t="shared" si="23"/>
        <v>46954.275221088013</v>
      </c>
      <c r="O10" s="2">
        <f>-PMT(Params!$B$9/12, 30*12, Params!$B$4*(1-Params!$B$5)) * 12</f>
        <v>0</v>
      </c>
      <c r="P10" s="2">
        <f t="shared" si="24"/>
        <v>0</v>
      </c>
      <c r="Q10" s="2">
        <f>Params!$B$4*(1-Params!$B$5)/30</f>
        <v>0</v>
      </c>
      <c r="R10" s="2">
        <f t="shared" si="1"/>
        <v>0</v>
      </c>
      <c r="S10" s="2">
        <f t="shared" si="25"/>
        <v>0</v>
      </c>
      <c r="T10" s="2">
        <f t="shared" si="2"/>
        <v>-38590.706415815956</v>
      </c>
      <c r="U10" s="31">
        <f>T10/Calcs!$B$4/Table!A10</f>
        <v>-2.3115128131665743E-2</v>
      </c>
      <c r="V10" s="2">
        <f>B10-K10-M10-O10</f>
        <v>23564.948623099204</v>
      </c>
      <c r="W10" s="2">
        <f>IF(V10&gt;0,V10*Params!$B$15,0)</f>
        <v>14138.969173859523</v>
      </c>
      <c r="X10" s="2">
        <f t="shared" si="26"/>
        <v>93337.427866835525</v>
      </c>
      <c r="Y10" s="2">
        <f>Y9*(1+Params!$B$3)+W10</f>
        <v>114776.7575969996</v>
      </c>
      <c r="Z10" s="2">
        <f t="shared" si="3"/>
        <v>21439.32973016407</v>
      </c>
      <c r="AA10" s="2">
        <f>T10+Z10</f>
        <v>-17151.376685651885</v>
      </c>
      <c r="AB10" s="31">
        <f>AA10/Calcs!$B$4/A10</f>
        <v>-1.0273361297185915E-2</v>
      </c>
      <c r="AC10" s="31">
        <f t="shared" si="4"/>
        <v>3.1432825749748788E-2</v>
      </c>
      <c r="AD10" s="2">
        <f>AA10-I10*Params!$B$23</f>
        <v>-32658.633198917167</v>
      </c>
      <c r="AE10" s="7">
        <f t="shared" si="5"/>
        <v>7</v>
      </c>
      <c r="AF10" s="2">
        <f t="shared" si="6"/>
        <v>2702.7898062336003</v>
      </c>
      <c r="AG10" s="2">
        <f>(K10+M10+O10)/12</f>
        <v>739.04408764200014</v>
      </c>
      <c r="AH10" s="8" t="str">
        <f t="shared" si="27"/>
        <v/>
      </c>
      <c r="AI10" s="8"/>
      <c r="AJ10" s="47">
        <f t="shared" si="7"/>
        <v>7</v>
      </c>
      <c r="AK10" s="2">
        <f>AK9*(1+Params!$B$20)</f>
        <v>2514.9195070680721</v>
      </c>
      <c r="AL10" s="2">
        <f>Params!$B$21*AK10</f>
        <v>28292.844454515813</v>
      </c>
      <c r="AM10" s="2">
        <f t="shared" si="28"/>
        <v>189482.47475557085</v>
      </c>
      <c r="AN10" s="2">
        <f>Calcs!$B$5</f>
        <v>0</v>
      </c>
      <c r="AO10" s="2">
        <f t="shared" si="29"/>
        <v>0</v>
      </c>
      <c r="AP10" s="2">
        <f t="shared" si="8"/>
        <v>150891.7683397549</v>
      </c>
      <c r="AQ10" s="31">
        <f>AP10/Calcs!$B$4/A10</f>
        <v>9.0381412602428809E-2</v>
      </c>
      <c r="AR10" s="2">
        <f>F10</f>
        <v>144478.88214010571</v>
      </c>
      <c r="AS10" s="31">
        <f>AR10/Calcs!$B$4/A10</f>
        <v>8.6540210925490094E-2</v>
      </c>
      <c r="AT10" s="31">
        <f t="shared" si="9"/>
        <v>3.8412016769387158E-3</v>
      </c>
      <c r="AU10" s="31"/>
      <c r="AV10" s="2">
        <f>I10*Params!$B$23</f>
        <v>15507.256513265284</v>
      </c>
      <c r="AW10" s="49">
        <f>J10*Params!$B$24</f>
        <v>5018.1412831632088</v>
      </c>
      <c r="AX10" s="49">
        <f t="shared" si="10"/>
        <v>20525.397796428493</v>
      </c>
      <c r="AY10" s="2">
        <f t="shared" si="11"/>
        <v>15507.256513265284</v>
      </c>
      <c r="AZ10" s="2">
        <f>AP10-AY10</f>
        <v>135384.51182648962</v>
      </c>
      <c r="BA10" s="31">
        <f>AZ10/Calcs!$B$4/A10</f>
        <v>8.1092849252165089E-2</v>
      </c>
      <c r="BB10" s="31">
        <f>BA10-AS10</f>
        <v>-5.4473616733250046E-3</v>
      </c>
      <c r="BE10" s="7">
        <f t="shared" si="0"/>
        <v>7</v>
      </c>
      <c r="BF10" s="2">
        <f t="shared" si="12"/>
        <v>33454.275221088057</v>
      </c>
      <c r="BG10" s="2">
        <f t="shared" si="13"/>
        <v>-25090.706415815999</v>
      </c>
      <c r="BH10" s="2">
        <f t="shared" si="14"/>
        <v>-46954.275221088013</v>
      </c>
      <c r="BI10" s="2">
        <f t="shared" si="15"/>
        <v>0</v>
      </c>
      <c r="BJ10" s="2">
        <f t="shared" si="16"/>
        <v>189482.47475557085</v>
      </c>
      <c r="BK10" s="2">
        <f t="shared" si="17"/>
        <v>0</v>
      </c>
      <c r="BL10" s="2">
        <f t="shared" si="18"/>
        <v>-15507.256513265284</v>
      </c>
    </row>
    <row r="11" spans="1:64">
      <c r="A11">
        <v>8</v>
      </c>
      <c r="B11" s="3">
        <f>B10*(1+Params!$B$14)</f>
        <v>33082.147228299269</v>
      </c>
      <c r="C11" s="2">
        <f t="shared" si="19"/>
        <v>247189.50864326247</v>
      </c>
      <c r="D11" s="2">
        <f>D10*(1+Params!$B$3)</f>
        <v>409787.40388991311</v>
      </c>
      <c r="E11" s="2">
        <f t="shared" si="20"/>
        <v>26808.521749807405</v>
      </c>
      <c r="F11" s="2">
        <f t="shared" si="21"/>
        <v>171287.40388991311</v>
      </c>
      <c r="G11" s="2">
        <f>F11-C11</f>
        <v>-75902.104753349355</v>
      </c>
      <c r="H11" s="31">
        <f>G11/Calcs!$B$4/A11</f>
        <v>-3.978097733404054E-2</v>
      </c>
      <c r="I11" s="3">
        <f>I10*(1+Params!$B$6)</f>
        <v>263623.36072550982</v>
      </c>
      <c r="J11" s="2">
        <f>I11-Params!$B$4</f>
        <v>38623.360725509818</v>
      </c>
      <c r="K11" s="2">
        <f>I10*Params!$B$7</f>
        <v>3876.8141283163209</v>
      </c>
      <c r="L11" s="2">
        <f t="shared" si="22"/>
        <v>28967.52054413232</v>
      </c>
      <c r="M11" s="2">
        <f>I10*Params!$B$8</f>
        <v>5169.0855044217615</v>
      </c>
      <c r="N11" s="2">
        <f t="shared" si="23"/>
        <v>52123.360725509774</v>
      </c>
      <c r="O11" s="2">
        <f>-PMT(Params!$B$9/12, 30*12, Params!$B$4*(1-Params!$B$5)) * 12</f>
        <v>0</v>
      </c>
      <c r="P11" s="2">
        <f t="shared" si="24"/>
        <v>0</v>
      </c>
      <c r="Q11" s="2">
        <f>Params!$B$4*(1-Params!$B$5)/30</f>
        <v>0</v>
      </c>
      <c r="R11" s="2">
        <f t="shared" si="1"/>
        <v>0</v>
      </c>
      <c r="S11" s="2">
        <f t="shared" si="25"/>
        <v>0</v>
      </c>
      <c r="T11" s="2">
        <f t="shared" si="2"/>
        <v>-42467.520544132276</v>
      </c>
      <c r="U11" s="31">
        <f>T11/Calcs!$B$4/Table!A11</f>
        <v>-2.2257610348077713E-2</v>
      </c>
      <c r="V11" s="2">
        <f>B11-K11-M11-O11</f>
        <v>24036.247595561188</v>
      </c>
      <c r="W11" s="2">
        <f>IF(V11&gt;0,V11*Params!$B$15,0)</f>
        <v>14421.748557336712</v>
      </c>
      <c r="X11" s="2">
        <f t="shared" si="26"/>
        <v>107759.17642417224</v>
      </c>
      <c r="Y11" s="2">
        <f>Y10*(1+Params!$B$3)+W11</f>
        <v>137232.87918612629</v>
      </c>
      <c r="Z11" s="2">
        <f t="shared" si="3"/>
        <v>29473.702761954046</v>
      </c>
      <c r="AA11" s="2">
        <f>T11+Z11</f>
        <v>-12993.81778217823</v>
      </c>
      <c r="AB11" s="31">
        <f>AA11/Calcs!$B$4/A11</f>
        <v>-6.8101770346846073E-3</v>
      </c>
      <c r="AC11" s="31">
        <f t="shared" si="4"/>
        <v>3.297080029935593E-2</v>
      </c>
      <c r="AD11" s="2">
        <f>AA11-I11*Params!$B$23</f>
        <v>-28811.219425708819</v>
      </c>
      <c r="AE11" s="7">
        <f t="shared" si="5"/>
        <v>8</v>
      </c>
      <c r="AF11" s="2">
        <f t="shared" si="6"/>
        <v>2756.8456023582726</v>
      </c>
      <c r="AG11" s="2">
        <f>(K11+M11+O11)/12</f>
        <v>753.8249693948402</v>
      </c>
      <c r="AH11" s="8" t="str">
        <f t="shared" si="27"/>
        <v/>
      </c>
      <c r="AI11" s="8"/>
      <c r="AJ11" s="47">
        <f t="shared" si="7"/>
        <v>8</v>
      </c>
      <c r="AK11" s="2">
        <f>AK10*(1+Params!$B$20)</f>
        <v>2552.6432996740928</v>
      </c>
      <c r="AL11" s="2">
        <f>Params!$B$21*AK11</f>
        <v>28717.237121333543</v>
      </c>
      <c r="AM11" s="2">
        <f t="shared" si="28"/>
        <v>218199.71187690439</v>
      </c>
      <c r="AN11" s="2">
        <f>Calcs!$B$5</f>
        <v>0</v>
      </c>
      <c r="AO11" s="2">
        <f t="shared" si="29"/>
        <v>0</v>
      </c>
      <c r="AP11" s="2">
        <f t="shared" si="8"/>
        <v>175732.19133277211</v>
      </c>
      <c r="AQ11" s="31">
        <f>AP11/Calcs!$B$4/A11</f>
        <v>9.2102825646106973E-2</v>
      </c>
      <c r="AR11" s="2">
        <f>F11</f>
        <v>171287.40388991311</v>
      </c>
      <c r="AS11" s="31">
        <f>AR11/Calcs!$B$4/A11</f>
        <v>8.9773272478990099E-2</v>
      </c>
      <c r="AT11" s="31">
        <f t="shared" si="9"/>
        <v>2.329553167116874E-3</v>
      </c>
      <c r="AU11" s="31"/>
      <c r="AV11" s="2">
        <f>I11*Params!$B$23</f>
        <v>15817.401643530589</v>
      </c>
      <c r="AW11" s="49">
        <f>J11*Params!$B$24</f>
        <v>5793.5041088264725</v>
      </c>
      <c r="AX11" s="49">
        <f t="shared" si="10"/>
        <v>21610.905752357063</v>
      </c>
      <c r="AY11" s="2">
        <f t="shared" si="11"/>
        <v>15817.401643530589</v>
      </c>
      <c r="AZ11" s="2">
        <f>AP11-AY11</f>
        <v>159914.78968924153</v>
      </c>
      <c r="BA11" s="31">
        <f>AZ11/Calcs!$B$4/A11</f>
        <v>8.3812782855996609E-2</v>
      </c>
      <c r="BB11" s="31">
        <f>BA11-AS11</f>
        <v>-5.9604896229934895E-3</v>
      </c>
      <c r="BE11" s="7">
        <f t="shared" si="0"/>
        <v>8</v>
      </c>
      <c r="BF11" s="2">
        <f t="shared" si="12"/>
        <v>38623.360725509818</v>
      </c>
      <c r="BG11" s="2">
        <f t="shared" si="13"/>
        <v>-28967.52054413232</v>
      </c>
      <c r="BH11" s="2">
        <f t="shared" si="14"/>
        <v>-52123.360725509774</v>
      </c>
      <c r="BI11" s="2">
        <f t="shared" si="15"/>
        <v>0</v>
      </c>
      <c r="BJ11" s="2">
        <f t="shared" si="16"/>
        <v>218199.71187690439</v>
      </c>
      <c r="BK11" s="2">
        <f t="shared" si="17"/>
        <v>0</v>
      </c>
      <c r="BL11" s="2">
        <f t="shared" si="18"/>
        <v>-15817.401643530589</v>
      </c>
    </row>
    <row r="12" spans="1:64">
      <c r="A12">
        <v>9</v>
      </c>
      <c r="B12" s="3">
        <f>B11*(1+Params!$B$14)</f>
        <v>33743.790172865258</v>
      </c>
      <c r="C12" s="2">
        <f t="shared" si="19"/>
        <v>280933.2988161277</v>
      </c>
      <c r="D12" s="2">
        <f>D11*(1+Params!$B$3)</f>
        <v>438472.52216220705</v>
      </c>
      <c r="E12" s="2">
        <f t="shared" si="20"/>
        <v>28685.118272293941</v>
      </c>
      <c r="F12" s="2">
        <f t="shared" si="21"/>
        <v>199972.52216220705</v>
      </c>
      <c r="G12" s="2">
        <f>F12-C12</f>
        <v>-80960.77665392065</v>
      </c>
      <c r="H12" s="31">
        <f>G12/Calcs!$B$4/A12</f>
        <v>-3.7717575892811855E-2</v>
      </c>
      <c r="I12" s="3">
        <f>I11*(1+Params!$B$6)</f>
        <v>268895.82794002001</v>
      </c>
      <c r="J12" s="2">
        <f>I12-Params!$B$4</f>
        <v>43895.827940020012</v>
      </c>
      <c r="K12" s="2">
        <f>I11*Params!$B$7</f>
        <v>3954.3504108826473</v>
      </c>
      <c r="L12" s="2">
        <f t="shared" si="22"/>
        <v>32921.870955014965</v>
      </c>
      <c r="M12" s="2">
        <f>I11*Params!$B$8</f>
        <v>5272.4672145101968</v>
      </c>
      <c r="N12" s="2">
        <f t="shared" si="23"/>
        <v>57395.827940019968</v>
      </c>
      <c r="O12" s="2">
        <f>-PMT(Params!$B$9/12, 30*12, Params!$B$4*(1-Params!$B$5)) * 12</f>
        <v>0</v>
      </c>
      <c r="P12" s="2">
        <f t="shared" si="24"/>
        <v>0</v>
      </c>
      <c r="Q12" s="2">
        <f>Params!$B$4*(1-Params!$B$5)/30</f>
        <v>0</v>
      </c>
      <c r="R12" s="2">
        <f t="shared" si="1"/>
        <v>0</v>
      </c>
      <c r="S12" s="2">
        <f t="shared" si="25"/>
        <v>0</v>
      </c>
      <c r="T12" s="2">
        <f t="shared" si="2"/>
        <v>-46421.870955014921</v>
      </c>
      <c r="U12" s="31">
        <f>T12/Calcs!$B$4/Table!A12</f>
        <v>-2.162677426276027E-2</v>
      </c>
      <c r="V12" s="2">
        <f>B12-K12-M12-O12</f>
        <v>24516.972547472415</v>
      </c>
      <c r="W12" s="2">
        <f>IF(V12&gt;0,V12*Params!$B$15,0)</f>
        <v>14710.183528483449</v>
      </c>
      <c r="X12" s="2">
        <f t="shared" si="26"/>
        <v>122469.35995265569</v>
      </c>
      <c r="Y12" s="2">
        <f>Y11*(1+Params!$B$3)+W12</f>
        <v>161549.36425763858</v>
      </c>
      <c r="Z12" s="2">
        <f t="shared" si="3"/>
        <v>39080.004304982882</v>
      </c>
      <c r="AA12" s="2">
        <f>T12+Z12</f>
        <v>-7341.8666500320396</v>
      </c>
      <c r="AB12" s="31">
        <f>AA12/Calcs!$B$4/A12</f>
        <v>-3.4203897740657067E-3</v>
      </c>
      <c r="AC12" s="31">
        <f t="shared" si="4"/>
        <v>3.4297186118746145E-2</v>
      </c>
      <c r="AD12" s="2">
        <f>AA12-I12*Params!$B$23</f>
        <v>-23475.616326433239</v>
      </c>
      <c r="AE12" s="7">
        <f t="shared" si="5"/>
        <v>9</v>
      </c>
      <c r="AF12" s="2">
        <f t="shared" si="6"/>
        <v>2811.982514405438</v>
      </c>
      <c r="AG12" s="2">
        <f>(K12+M12+O12)/12</f>
        <v>768.90146878273697</v>
      </c>
      <c r="AH12" s="8" t="str">
        <f t="shared" si="27"/>
        <v/>
      </c>
      <c r="AI12" s="8"/>
      <c r="AJ12" s="47">
        <f t="shared" si="7"/>
        <v>9</v>
      </c>
      <c r="AK12" s="2">
        <f>AK11*(1+Params!$B$20)</f>
        <v>2590.9329491692038</v>
      </c>
      <c r="AL12" s="2">
        <f>Params!$B$21*AK12</f>
        <v>29147.995678153544</v>
      </c>
      <c r="AM12" s="2">
        <f t="shared" si="28"/>
        <v>247347.70755505795</v>
      </c>
      <c r="AN12" s="2">
        <f>Calcs!$B$5</f>
        <v>0</v>
      </c>
      <c r="AO12" s="2">
        <f t="shared" si="29"/>
        <v>0</v>
      </c>
      <c r="AP12" s="2">
        <f t="shared" si="8"/>
        <v>200925.83660004303</v>
      </c>
      <c r="AQ12" s="31">
        <f>AP12/Calcs!$B$4/A12</f>
        <v>9.360625977174146E-2</v>
      </c>
      <c r="AR12" s="2">
        <f>F12</f>
        <v>199972.52216220705</v>
      </c>
      <c r="AS12" s="31">
        <f>AR12/Calcs!$B$4/A12</f>
        <v>9.3162134713350594E-2</v>
      </c>
      <c r="AT12" s="31">
        <f t="shared" si="9"/>
        <v>4.4412505839086514E-4</v>
      </c>
      <c r="AU12" s="31"/>
      <c r="AV12" s="2">
        <f>I12*Params!$B$23</f>
        <v>16133.749676401199</v>
      </c>
      <c r="AW12" s="49">
        <f>J12*Params!$B$24</f>
        <v>6584.3741910030012</v>
      </c>
      <c r="AX12" s="49">
        <f t="shared" si="10"/>
        <v>22718.1238674042</v>
      </c>
      <c r="AY12" s="2">
        <f t="shared" si="11"/>
        <v>16133.749676401199</v>
      </c>
      <c r="AZ12" s="2">
        <f>AP12-AY12</f>
        <v>184792.08692364182</v>
      </c>
      <c r="BA12" s="31">
        <f>AZ12/Calcs!$B$4/A12</f>
        <v>8.6089954308708055E-2</v>
      </c>
      <c r="BB12" s="31">
        <f>BA12-AS12</f>
        <v>-7.0721804046425391E-3</v>
      </c>
      <c r="BE12" s="7">
        <f t="shared" si="0"/>
        <v>9</v>
      </c>
      <c r="BF12" s="2">
        <f t="shared" si="12"/>
        <v>43895.827940020012</v>
      </c>
      <c r="BG12" s="2">
        <f t="shared" si="13"/>
        <v>-32921.870955014965</v>
      </c>
      <c r="BH12" s="2">
        <f t="shared" si="14"/>
        <v>-57395.827940019968</v>
      </c>
      <c r="BI12" s="2">
        <f t="shared" si="15"/>
        <v>0</v>
      </c>
      <c r="BJ12" s="2">
        <f t="shared" si="16"/>
        <v>247347.70755505795</v>
      </c>
      <c r="BK12" s="2">
        <f t="shared" si="17"/>
        <v>0</v>
      </c>
      <c r="BL12" s="2">
        <f t="shared" si="18"/>
        <v>-16133.749676401199</v>
      </c>
    </row>
    <row r="13" spans="1:64">
      <c r="A13">
        <v>10</v>
      </c>
      <c r="B13" s="3">
        <f>B12*(1+Params!$B$14)</f>
        <v>34418.665976322562</v>
      </c>
      <c r="C13" s="2">
        <f t="shared" si="19"/>
        <v>315351.96479245025</v>
      </c>
      <c r="D13" s="2">
        <f>D12*(1+Params!$B$3)</f>
        <v>469165.5987135616</v>
      </c>
      <c r="E13" s="2">
        <f t="shared" si="20"/>
        <v>30693.076551354548</v>
      </c>
      <c r="F13" s="2">
        <f t="shared" si="21"/>
        <v>230665.5987135616</v>
      </c>
      <c r="G13" s="2">
        <f>F13-C13</f>
        <v>-84686.366078888648</v>
      </c>
      <c r="H13" s="31">
        <f>G13/Calcs!$B$4/A13</f>
        <v>-3.5507910305613691E-2</v>
      </c>
      <c r="I13" s="3">
        <f>I12*(1+Params!$B$6)</f>
        <v>274273.74449882039</v>
      </c>
      <c r="J13" s="2">
        <f>I13-Params!$B$4</f>
        <v>49273.744498820393</v>
      </c>
      <c r="K13" s="2">
        <f>I12*Params!$B$7</f>
        <v>4033.4374191002998</v>
      </c>
      <c r="L13" s="2">
        <f t="shared" si="22"/>
        <v>36955.308374115266</v>
      </c>
      <c r="M13" s="2">
        <f>I12*Params!$B$8</f>
        <v>5377.9165588004007</v>
      </c>
      <c r="N13" s="2">
        <f t="shared" si="23"/>
        <v>62773.744498820372</v>
      </c>
      <c r="O13" s="2">
        <f>-PMT(Params!$B$9/12, 30*12, Params!$B$4*(1-Params!$B$5)) * 12</f>
        <v>0</v>
      </c>
      <c r="P13" s="2">
        <f t="shared" si="24"/>
        <v>0</v>
      </c>
      <c r="Q13" s="2">
        <f>Params!$B$4*(1-Params!$B$5)/30</f>
        <v>0</v>
      </c>
      <c r="R13" s="2">
        <f t="shared" si="1"/>
        <v>0</v>
      </c>
      <c r="S13" s="2">
        <f t="shared" si="25"/>
        <v>0</v>
      </c>
      <c r="T13" s="2">
        <f t="shared" si="2"/>
        <v>-50455.308374115244</v>
      </c>
      <c r="U13" s="31">
        <f>T13/Calcs!$B$4/Table!A13</f>
        <v>-2.115526556566677E-2</v>
      </c>
      <c r="V13" s="2">
        <f>B13-K13-M13-O13</f>
        <v>25007.311998421861</v>
      </c>
      <c r="W13" s="2">
        <f>IF(V13&gt;0,V13*Params!$B$15,0)</f>
        <v>15004.387199053115</v>
      </c>
      <c r="X13" s="2">
        <f t="shared" si="26"/>
        <v>137473.74715170881</v>
      </c>
      <c r="Y13" s="2">
        <f>Y12*(1+Params!$B$3)+W13</f>
        <v>187862.2069547264</v>
      </c>
      <c r="Z13" s="2">
        <f t="shared" si="3"/>
        <v>50388.459803017584</v>
      </c>
      <c r="AA13" s="2">
        <f>T13+Z13</f>
        <v>-66.848571097660169</v>
      </c>
      <c r="AB13" s="31">
        <f>AA13/Calcs!$B$4/A13</f>
        <v>-2.8028750984343888E-5</v>
      </c>
      <c r="AC13" s="31">
        <f t="shared" si="4"/>
        <v>3.5479881554629347E-2</v>
      </c>
      <c r="AD13" s="2">
        <f>AA13-I13*Params!$B$23</f>
        <v>-16523.273241026884</v>
      </c>
      <c r="AE13" s="7">
        <f t="shared" si="5"/>
        <v>10</v>
      </c>
      <c r="AF13" s="2">
        <f t="shared" si="6"/>
        <v>2868.2221646935468</v>
      </c>
      <c r="AG13" s="2">
        <f>(K13+M13+O13)/12</f>
        <v>784.27949815839168</v>
      </c>
      <c r="AH13" s="8" t="str">
        <f t="shared" si="27"/>
        <v/>
      </c>
      <c r="AI13" s="8"/>
      <c r="AJ13" s="47">
        <f t="shared" si="7"/>
        <v>10</v>
      </c>
      <c r="AK13" s="2">
        <f>AK12*(1+Params!$B$20)</f>
        <v>2629.7969434067418</v>
      </c>
      <c r="AL13" s="2">
        <f>Params!$B$21*AK13</f>
        <v>29585.215613325847</v>
      </c>
      <c r="AM13" s="2">
        <f t="shared" si="28"/>
        <v>276932.92316838377</v>
      </c>
      <c r="AN13" s="2">
        <f>Calcs!$B$5</f>
        <v>0</v>
      </c>
      <c r="AO13" s="2">
        <f t="shared" si="29"/>
        <v>0</v>
      </c>
      <c r="AP13" s="2">
        <f t="shared" si="8"/>
        <v>226477.61479426853</v>
      </c>
      <c r="AQ13" s="31">
        <f>AP13/Calcs!$B$4/A13</f>
        <v>9.4959167628624122E-2</v>
      </c>
      <c r="AR13" s="2">
        <f>F13</f>
        <v>230665.5987135616</v>
      </c>
      <c r="AS13" s="31">
        <f>AR13/Calcs!$B$4/A13</f>
        <v>9.6715135728956653E-2</v>
      </c>
      <c r="AT13" s="31">
        <f t="shared" si="9"/>
        <v>-1.7559681003325306E-3</v>
      </c>
      <c r="AU13" s="31"/>
      <c r="AV13" s="2">
        <f>I13*Params!$B$23</f>
        <v>16456.424669929223</v>
      </c>
      <c r="AW13" s="49">
        <f>J13*Params!$B$24</f>
        <v>7391.0616748230586</v>
      </c>
      <c r="AX13" s="49">
        <f t="shared" si="10"/>
        <v>23847.48634475228</v>
      </c>
      <c r="AY13" s="2">
        <f t="shared" si="11"/>
        <v>16456.424669929223</v>
      </c>
      <c r="AZ13" s="2">
        <f>AP13-AY13</f>
        <v>210021.19012433931</v>
      </c>
      <c r="BA13" s="31">
        <f>AZ13/Calcs!$B$4/A13</f>
        <v>8.8059199213559453E-2</v>
      </c>
      <c r="BB13" s="31">
        <f>BA13-AS13</f>
        <v>-8.6559365153972001E-3</v>
      </c>
      <c r="BE13" s="7">
        <f t="shared" si="0"/>
        <v>10</v>
      </c>
      <c r="BF13" s="2">
        <f t="shared" si="12"/>
        <v>49273.744498820393</v>
      </c>
      <c r="BG13" s="2">
        <f t="shared" si="13"/>
        <v>-36955.308374115266</v>
      </c>
      <c r="BH13" s="2">
        <f t="shared" si="14"/>
        <v>-62773.744498820372</v>
      </c>
      <c r="BI13" s="2">
        <f t="shared" si="15"/>
        <v>0</v>
      </c>
      <c r="BJ13" s="2">
        <f t="shared" si="16"/>
        <v>276932.92316838377</v>
      </c>
      <c r="BK13" s="2">
        <f t="shared" si="17"/>
        <v>0</v>
      </c>
      <c r="BL13" s="2">
        <f t="shared" si="18"/>
        <v>-16456.424669929223</v>
      </c>
    </row>
    <row r="14" spans="1:64">
      <c r="A14">
        <v>11</v>
      </c>
      <c r="B14" s="3">
        <f>B13*(1+Params!$B$14)</f>
        <v>35107.039295849012</v>
      </c>
      <c r="C14" s="2">
        <f t="shared" si="19"/>
        <v>350459.00408829923</v>
      </c>
      <c r="D14" s="2">
        <f>D13*(1+Params!$B$3)</f>
        <v>502007.19062351092</v>
      </c>
      <c r="E14" s="2">
        <f t="shared" si="20"/>
        <v>32841.591909949319</v>
      </c>
      <c r="F14" s="2">
        <f t="shared" si="21"/>
        <v>263507.19062351092</v>
      </c>
      <c r="G14" s="2">
        <f>F14-C14</f>
        <v>-86951.813464788313</v>
      </c>
      <c r="H14" s="31">
        <f>G14/Calcs!$B$4/A14</f>
        <v>-3.3143439475810298E-2</v>
      </c>
      <c r="I14" s="3">
        <f>I13*(1+Params!$B$6)</f>
        <v>279759.21938879683</v>
      </c>
      <c r="J14" s="2">
        <f>I14-Params!$B$4</f>
        <v>54759.219388796831</v>
      </c>
      <c r="K14" s="2">
        <f>I13*Params!$B$7</f>
        <v>4114.1061674823059</v>
      </c>
      <c r="L14" s="2">
        <f t="shared" si="22"/>
        <v>41069.414541597573</v>
      </c>
      <c r="M14" s="2">
        <f>I13*Params!$B$8</f>
        <v>5485.4748899764081</v>
      </c>
      <c r="N14" s="2">
        <f t="shared" si="23"/>
        <v>68259.219388796773</v>
      </c>
      <c r="O14" s="2">
        <f>-PMT(Params!$B$9/12, 30*12, Params!$B$4*(1-Params!$B$5)) * 12</f>
        <v>0</v>
      </c>
      <c r="P14" s="2">
        <f t="shared" si="24"/>
        <v>0</v>
      </c>
      <c r="Q14" s="2">
        <f>Params!$B$4*(1-Params!$B$5)/30</f>
        <v>0</v>
      </c>
      <c r="R14" s="2">
        <f t="shared" si="1"/>
        <v>0</v>
      </c>
      <c r="S14" s="2">
        <f t="shared" si="25"/>
        <v>0</v>
      </c>
      <c r="T14" s="2">
        <f t="shared" si="2"/>
        <v>-54569.414541597514</v>
      </c>
      <c r="U14" s="31">
        <f>T14/Calcs!$B$4/Table!A14</f>
        <v>-2.0800234244939018E-2</v>
      </c>
      <c r="V14" s="2">
        <f>B14-K14-M14-O14</f>
        <v>25507.458238390296</v>
      </c>
      <c r="W14" s="2">
        <f>IF(V14&gt;0,V14*Params!$B$15,0)</f>
        <v>15304.474943034176</v>
      </c>
      <c r="X14" s="2">
        <f t="shared" si="26"/>
        <v>152778.22209474299</v>
      </c>
      <c r="Y14" s="2">
        <f>Y13*(1+Params!$B$3)+W14</f>
        <v>216317.03638459143</v>
      </c>
      <c r="Z14" s="2">
        <f t="shared" si="3"/>
        <v>63538.814289848437</v>
      </c>
      <c r="AA14" s="2">
        <f>T14+Z14</f>
        <v>8969.3997482509221</v>
      </c>
      <c r="AB14" s="31">
        <f>AA14/Calcs!$B$4/A14</f>
        <v>3.418867828569057E-3</v>
      </c>
      <c r="AC14" s="31">
        <f t="shared" si="4"/>
        <v>3.6562307304379357E-2</v>
      </c>
      <c r="AD14" s="2">
        <f>AA14-I14*Params!$B$23</f>
        <v>-7816.1534150768857</v>
      </c>
      <c r="AE14" s="7">
        <f t="shared" si="5"/>
        <v>11</v>
      </c>
      <c r="AF14" s="2">
        <f t="shared" si="6"/>
        <v>2925.5866079874177</v>
      </c>
      <c r="AG14" s="2">
        <f>(K14+M14+O14)/12</f>
        <v>799.96508812155946</v>
      </c>
      <c r="AH14" s="8" t="str">
        <f t="shared" si="27"/>
        <v/>
      </c>
      <c r="AI14" s="8"/>
      <c r="AJ14" s="47">
        <f t="shared" si="7"/>
        <v>11</v>
      </c>
      <c r="AK14" s="2">
        <f>AK13*(1+Params!$B$20)</f>
        <v>2669.2438975578425</v>
      </c>
      <c r="AL14" s="2">
        <f>Params!$B$21*AK14</f>
        <v>30028.99384752573</v>
      </c>
      <c r="AM14" s="2">
        <f t="shared" si="28"/>
        <v>306961.91701590951</v>
      </c>
      <c r="AN14" s="2">
        <f>Calcs!$B$5</f>
        <v>0</v>
      </c>
      <c r="AO14" s="2">
        <f t="shared" si="29"/>
        <v>0</v>
      </c>
      <c r="AP14" s="2">
        <f t="shared" si="8"/>
        <v>252392.502474312</v>
      </c>
      <c r="AQ14" s="31">
        <f>AP14/Calcs!$B$4/A14</f>
        <v>9.6204498751405382E-2</v>
      </c>
      <c r="AR14" s="2">
        <f>F14</f>
        <v>263507.19062351092</v>
      </c>
      <c r="AS14" s="31">
        <f>AR14/Calcs!$B$4/A14</f>
        <v>0.10044108657271238</v>
      </c>
      <c r="AT14" s="31">
        <f t="shared" si="9"/>
        <v>-4.2365878213069946E-3</v>
      </c>
      <c r="AU14" s="31"/>
      <c r="AV14" s="2">
        <f>I14*Params!$B$23</f>
        <v>16785.553163327808</v>
      </c>
      <c r="AW14" s="49">
        <f>J14*Params!$B$24</f>
        <v>8213.8829083195251</v>
      </c>
      <c r="AX14" s="49">
        <f t="shared" si="10"/>
        <v>24999.436071647331</v>
      </c>
      <c r="AY14" s="2">
        <f t="shared" si="11"/>
        <v>16785.553163327808</v>
      </c>
      <c r="AZ14" s="2">
        <f>AP14-AY14</f>
        <v>235606.9493109842</v>
      </c>
      <c r="BA14" s="31">
        <f>AZ14/Calcs!$B$4/A14</f>
        <v>8.9806346221072697E-2</v>
      </c>
      <c r="BB14" s="31">
        <f>BA14-AS14</f>
        <v>-1.0634740351639679E-2</v>
      </c>
      <c r="BE14" s="7">
        <f t="shared" si="0"/>
        <v>11</v>
      </c>
      <c r="BF14" s="2">
        <f t="shared" si="12"/>
        <v>54759.219388796831</v>
      </c>
      <c r="BG14" s="2">
        <f t="shared" si="13"/>
        <v>-41069.414541597573</v>
      </c>
      <c r="BH14" s="2">
        <f t="shared" si="14"/>
        <v>-68259.219388796773</v>
      </c>
      <c r="BI14" s="2">
        <f t="shared" si="15"/>
        <v>0</v>
      </c>
      <c r="BJ14" s="2">
        <f t="shared" si="16"/>
        <v>306961.91701590951</v>
      </c>
      <c r="BK14" s="2">
        <f t="shared" si="17"/>
        <v>0</v>
      </c>
      <c r="BL14" s="2">
        <f t="shared" si="18"/>
        <v>-16785.553163327808</v>
      </c>
    </row>
    <row r="15" spans="1:64">
      <c r="A15">
        <v>12</v>
      </c>
      <c r="B15" s="3">
        <f>B14*(1+Params!$B$14)</f>
        <v>35809.18008176599</v>
      </c>
      <c r="C15" s="2">
        <f t="shared" si="19"/>
        <v>386268.18417006521</v>
      </c>
      <c r="D15" s="2">
        <f>D14*(1+Params!$B$3)</f>
        <v>537147.69396715669</v>
      </c>
      <c r="E15" s="2">
        <f t="shared" si="20"/>
        <v>35140.503343645774</v>
      </c>
      <c r="F15" s="2">
        <f t="shared" si="21"/>
        <v>298647.69396715669</v>
      </c>
      <c r="G15" s="2">
        <f>F15-C15</f>
        <v>-87620.490202908521</v>
      </c>
      <c r="H15" s="31">
        <f>G15/Calcs!$B$4/A15</f>
        <v>-3.0615125857060981E-2</v>
      </c>
      <c r="I15" s="3">
        <f>I14*(1+Params!$B$6)</f>
        <v>285354.40377657278</v>
      </c>
      <c r="J15" s="2">
        <f>I15-Params!$B$4</f>
        <v>60354.403776572784</v>
      </c>
      <c r="K15" s="2">
        <f>I14*Params!$B$7</f>
        <v>4196.388290831952</v>
      </c>
      <c r="L15" s="2">
        <f t="shared" si="22"/>
        <v>45265.802832429523</v>
      </c>
      <c r="M15" s="2">
        <f>I14*Params!$B$8</f>
        <v>5595.1843877759366</v>
      </c>
      <c r="N15" s="2">
        <f t="shared" si="23"/>
        <v>73854.403776572712</v>
      </c>
      <c r="O15" s="2">
        <f>-PMT(Params!$B$9/12, 30*12, Params!$B$4*(1-Params!$B$5)) * 12</f>
        <v>0</v>
      </c>
      <c r="P15" s="2">
        <f t="shared" si="24"/>
        <v>0</v>
      </c>
      <c r="Q15" s="2">
        <f>Params!$B$4*(1-Params!$B$5)/30</f>
        <v>0</v>
      </c>
      <c r="R15" s="2">
        <f t="shared" si="1"/>
        <v>0</v>
      </c>
      <c r="S15" s="2">
        <f t="shared" si="25"/>
        <v>0</v>
      </c>
      <c r="T15" s="2">
        <f t="shared" si="2"/>
        <v>-58765.80283242945</v>
      </c>
      <c r="U15" s="31">
        <f>T15/Calcs!$B$4/Table!A15</f>
        <v>-2.0533124679395335E-2</v>
      </c>
      <c r="V15" s="2">
        <f>B15-K15-M15-O15</f>
        <v>26017.607403158101</v>
      </c>
      <c r="W15" s="2">
        <f>IF(V15&gt;0,V15*Params!$B$15,0)</f>
        <v>15610.56444189486</v>
      </c>
      <c r="X15" s="2">
        <f t="shared" si="26"/>
        <v>168388.78653663784</v>
      </c>
      <c r="Y15" s="2">
        <f>Y14*(1+Params!$B$3)+W15</f>
        <v>247069.79337340768</v>
      </c>
      <c r="Z15" s="2">
        <f t="shared" si="3"/>
        <v>78681.00683676984</v>
      </c>
      <c r="AA15" s="2">
        <f>T15+Z15</f>
        <v>19915.20400434039</v>
      </c>
      <c r="AB15" s="31">
        <f>AA15/Calcs!$B$4/A15</f>
        <v>6.9584919651783338E-3</v>
      </c>
      <c r="AC15" s="31">
        <f t="shared" si="4"/>
        <v>3.7573617822239315E-2</v>
      </c>
      <c r="AD15" s="2">
        <f>AA15-I15*Params!$B$23</f>
        <v>2793.9397777460254</v>
      </c>
      <c r="AE15" s="7">
        <f t="shared" si="5"/>
        <v>12</v>
      </c>
      <c r="AF15" s="2">
        <f t="shared" si="6"/>
        <v>2984.0983401471658</v>
      </c>
      <c r="AG15" s="2">
        <f>(K15+M15+O15)/12</f>
        <v>815.96438988399075</v>
      </c>
      <c r="AH15" s="8" t="str">
        <f t="shared" si="27"/>
        <v/>
      </c>
      <c r="AI15" s="8"/>
      <c r="AJ15" s="47">
        <f t="shared" si="7"/>
        <v>12</v>
      </c>
      <c r="AK15" s="2">
        <f>AK14*(1+Params!$B$20)</f>
        <v>2709.28255602121</v>
      </c>
      <c r="AL15" s="2">
        <f>Params!$B$21*AK15</f>
        <v>30479.428755238612</v>
      </c>
      <c r="AM15" s="2">
        <f t="shared" si="28"/>
        <v>337441.3457711481</v>
      </c>
      <c r="AN15" s="2">
        <f>Calcs!$B$5</f>
        <v>0</v>
      </c>
      <c r="AO15" s="2">
        <f t="shared" si="29"/>
        <v>0</v>
      </c>
      <c r="AP15" s="2">
        <f t="shared" si="8"/>
        <v>278675.54293871863</v>
      </c>
      <c r="AQ15" s="31">
        <f>AP15/Calcs!$B$4/A15</f>
        <v>9.7370909482431378E-2</v>
      </c>
      <c r="AR15" s="2">
        <f>F15</f>
        <v>298647.69396715669</v>
      </c>
      <c r="AS15" s="31">
        <f>AR15/Calcs!$B$4/A15</f>
        <v>0.10434929908006872</v>
      </c>
      <c r="AT15" s="31">
        <f t="shared" si="9"/>
        <v>-6.9783895976373439E-3</v>
      </c>
      <c r="AU15" s="31"/>
      <c r="AV15" s="2">
        <f>I15*Params!$B$23</f>
        <v>17121.264226594365</v>
      </c>
      <c r="AW15" s="49">
        <f>J15*Params!$B$24</f>
        <v>9053.160566485918</v>
      </c>
      <c r="AX15" s="49">
        <f t="shared" si="10"/>
        <v>26174.424793080281</v>
      </c>
      <c r="AY15" s="2">
        <f t="shared" si="11"/>
        <v>17121.264226594365</v>
      </c>
      <c r="AZ15" s="2">
        <f>AP15-AY15</f>
        <v>261554.27871212427</v>
      </c>
      <c r="BA15" s="31">
        <f>AZ15/Calcs!$B$4/A15</f>
        <v>9.1388636866570325E-2</v>
      </c>
      <c r="BB15" s="31">
        <f>BA15-AS15</f>
        <v>-1.2960662213498397E-2</v>
      </c>
      <c r="BE15" s="7">
        <f t="shared" si="0"/>
        <v>12</v>
      </c>
      <c r="BF15" s="2">
        <f t="shared" si="12"/>
        <v>60354.403776572784</v>
      </c>
      <c r="BG15" s="2">
        <f t="shared" si="13"/>
        <v>-45265.802832429523</v>
      </c>
      <c r="BH15" s="2">
        <f t="shared" si="14"/>
        <v>-73854.403776572712</v>
      </c>
      <c r="BI15" s="2">
        <f t="shared" si="15"/>
        <v>0</v>
      </c>
      <c r="BJ15" s="2">
        <f t="shared" si="16"/>
        <v>337441.3457711481</v>
      </c>
      <c r="BK15" s="2">
        <f t="shared" si="17"/>
        <v>0</v>
      </c>
      <c r="BL15" s="2">
        <f t="shared" si="18"/>
        <v>-17121.264226594365</v>
      </c>
    </row>
    <row r="16" spans="1:64">
      <c r="A16">
        <v>13</v>
      </c>
      <c r="B16" s="3">
        <f>B15*(1+Params!$B$14)</f>
        <v>36525.363683401309</v>
      </c>
      <c r="C16" s="2">
        <f t="shared" si="19"/>
        <v>422793.54785346653</v>
      </c>
      <c r="D16" s="2">
        <f>D15*(1+Params!$B$3)</f>
        <v>574748.03254485771</v>
      </c>
      <c r="E16" s="2">
        <f t="shared" si="20"/>
        <v>37600.338577701012</v>
      </c>
      <c r="F16" s="2">
        <f t="shared" si="21"/>
        <v>336248.03254485771</v>
      </c>
      <c r="G16" s="2">
        <f>F16-C16</f>
        <v>-86545.515308608825</v>
      </c>
      <c r="H16" s="31">
        <f>G16/Calcs!$B$4/A16</f>
        <v>-2.7913406001809006E-2</v>
      </c>
      <c r="I16" s="3">
        <f>I15*(1+Params!$B$6)</f>
        <v>291061.49185210426</v>
      </c>
      <c r="J16" s="2">
        <f>I16-Params!$B$4</f>
        <v>66061.491852104256</v>
      </c>
      <c r="K16" s="2">
        <f>I15*Params!$B$7</f>
        <v>4280.3160566485913</v>
      </c>
      <c r="L16" s="2">
        <f t="shared" si="22"/>
        <v>49546.118889078112</v>
      </c>
      <c r="M16" s="2">
        <f>I15*Params!$B$8</f>
        <v>5707.0880755314556</v>
      </c>
      <c r="N16" s="2">
        <f t="shared" si="23"/>
        <v>79561.491852104169</v>
      </c>
      <c r="O16" s="2">
        <f>-PMT(Params!$B$9/12, 30*12, Params!$B$4*(1-Params!$B$5)) * 12</f>
        <v>0</v>
      </c>
      <c r="P16" s="2">
        <f t="shared" si="24"/>
        <v>0</v>
      </c>
      <c r="Q16" s="2">
        <f>Params!$B$4*(1-Params!$B$5)/30</f>
        <v>0</v>
      </c>
      <c r="R16" s="2">
        <f t="shared" si="1"/>
        <v>0</v>
      </c>
      <c r="S16" s="2">
        <f t="shared" si="25"/>
        <v>0</v>
      </c>
      <c r="T16" s="2">
        <f t="shared" si="2"/>
        <v>-63046.118889078025</v>
      </c>
      <c r="U16" s="31">
        <f>T16/Calcs!$B$4/Table!A16</f>
        <v>-2.0334178000025165E-2</v>
      </c>
      <c r="V16" s="2">
        <f>B16-K16-M16-O16</f>
        <v>26537.959551221262</v>
      </c>
      <c r="W16" s="2">
        <f>IF(V16&gt;0,V16*Params!$B$15,0)</f>
        <v>15922.775730732756</v>
      </c>
      <c r="X16" s="2">
        <f t="shared" si="26"/>
        <v>184311.56226737058</v>
      </c>
      <c r="Y16" s="2">
        <f>Y15*(1+Params!$B$3)+W16</f>
        <v>280287.454640279</v>
      </c>
      <c r="Z16" s="2">
        <f t="shared" si="3"/>
        <v>95975.89237290842</v>
      </c>
      <c r="AA16" s="2">
        <f>T16+Z16</f>
        <v>32929.773483830395</v>
      </c>
      <c r="AB16" s="31">
        <f>AA16/Calcs!$B$4/A16</f>
        <v>1.0620794544051087E-2</v>
      </c>
      <c r="AC16" s="31">
        <f t="shared" si="4"/>
        <v>3.8534200545860091E-2</v>
      </c>
      <c r="AD16" s="2">
        <f>AA16-I16*Params!$B$23</f>
        <v>15466.083972704138</v>
      </c>
      <c r="AE16" s="7">
        <f t="shared" si="5"/>
        <v>13</v>
      </c>
      <c r="AF16" s="2">
        <f t="shared" si="6"/>
        <v>3043.7803069501092</v>
      </c>
      <c r="AG16" s="2">
        <f>(K16+M16+O16)/12</f>
        <v>832.28367768167061</v>
      </c>
      <c r="AH16" s="8" t="str">
        <f t="shared" si="27"/>
        <v/>
      </c>
      <c r="AI16" s="8"/>
      <c r="AJ16" s="47">
        <f t="shared" si="7"/>
        <v>13</v>
      </c>
      <c r="AK16" s="2">
        <f>AK15*(1+Params!$B$20)</f>
        <v>2749.9217943615276</v>
      </c>
      <c r="AL16" s="2">
        <f>Params!$B$21*AK16</f>
        <v>30936.620186567186</v>
      </c>
      <c r="AM16" s="2">
        <f t="shared" si="28"/>
        <v>368377.96595771529</v>
      </c>
      <c r="AN16" s="2">
        <f>Calcs!$B$5</f>
        <v>0</v>
      </c>
      <c r="AO16" s="2">
        <f t="shared" si="29"/>
        <v>0</v>
      </c>
      <c r="AP16" s="2">
        <f t="shared" si="8"/>
        <v>305331.84706863726</v>
      </c>
      <c r="AQ16" s="31">
        <f>AP16/Calcs!$B$4/A16</f>
        <v>9.8478260625266018E-2</v>
      </c>
      <c r="AR16" s="2">
        <f>F16</f>
        <v>336248.03254485771</v>
      </c>
      <c r="AS16" s="31">
        <f>AR16/Calcs!$B$4/A16</f>
        <v>0.10844961539908328</v>
      </c>
      <c r="AT16" s="31">
        <f t="shared" si="9"/>
        <v>-9.971354773817262E-3</v>
      </c>
      <c r="AU16" s="31"/>
      <c r="AV16" s="2">
        <f>I16*Params!$B$23</f>
        <v>17463.689511126257</v>
      </c>
      <c r="AW16" s="49">
        <f>J16*Params!$B$24</f>
        <v>9909.2237778156377</v>
      </c>
      <c r="AX16" s="49">
        <f t="shared" si="10"/>
        <v>27372.913288941894</v>
      </c>
      <c r="AY16" s="2">
        <f t="shared" si="11"/>
        <v>17463.689511126257</v>
      </c>
      <c r="AZ16" s="2">
        <f>AP16-AY16</f>
        <v>287868.157557511</v>
      </c>
      <c r="BA16" s="31">
        <f>AZ16/Calcs!$B$4/A16</f>
        <v>9.2845720870024503E-2</v>
      </c>
      <c r="BB16" s="31">
        <f>BA16-AS16</f>
        <v>-1.5603894529058776E-2</v>
      </c>
      <c r="BE16" s="7">
        <f t="shared" si="0"/>
        <v>13</v>
      </c>
      <c r="BF16" s="2">
        <f t="shared" si="12"/>
        <v>66061.491852104256</v>
      </c>
      <c r="BG16" s="2">
        <f t="shared" si="13"/>
        <v>-49546.118889078112</v>
      </c>
      <c r="BH16" s="2">
        <f t="shared" si="14"/>
        <v>-79561.491852104169</v>
      </c>
      <c r="BI16" s="2">
        <f t="shared" si="15"/>
        <v>0</v>
      </c>
      <c r="BJ16" s="2">
        <f t="shared" si="16"/>
        <v>368377.96595771529</v>
      </c>
      <c r="BK16" s="2">
        <f t="shared" si="17"/>
        <v>0</v>
      </c>
      <c r="BL16" s="2">
        <f t="shared" si="18"/>
        <v>-17463.689511126257</v>
      </c>
    </row>
    <row r="17" spans="1:64">
      <c r="A17">
        <v>14</v>
      </c>
      <c r="B17" s="3">
        <f>B16*(1+Params!$B$14)</f>
        <v>37255.870957069339</v>
      </c>
      <c r="C17" s="2">
        <f t="shared" si="19"/>
        <v>460049.41881053586</v>
      </c>
      <c r="D17" s="2">
        <f>D16*(1+Params!$B$3)</f>
        <v>614980.39482299774</v>
      </c>
      <c r="E17" s="2">
        <f t="shared" si="20"/>
        <v>40232.362278140034</v>
      </c>
      <c r="F17" s="2">
        <f t="shared" si="21"/>
        <v>376480.39482299774</v>
      </c>
      <c r="G17" s="2">
        <f>F17-C17</f>
        <v>-83569.023987538123</v>
      </c>
      <c r="H17" s="31">
        <f>G17/Calcs!$B$4/A17</f>
        <v>-2.5028159325408243E-2</v>
      </c>
      <c r="I17" s="3">
        <f>I16*(1+Params!$B$6)</f>
        <v>296882.72168914636</v>
      </c>
      <c r="J17" s="2">
        <f>I17-Params!$B$4</f>
        <v>71882.721689146361</v>
      </c>
      <c r="K17" s="2">
        <f>I16*Params!$B$7</f>
        <v>4365.9223777815641</v>
      </c>
      <c r="L17" s="2">
        <f t="shared" si="22"/>
        <v>53912.041266859676</v>
      </c>
      <c r="M17" s="2">
        <f>I16*Params!$B$8</f>
        <v>5821.2298370420849</v>
      </c>
      <c r="N17" s="2">
        <f t="shared" si="23"/>
        <v>85382.721689146259</v>
      </c>
      <c r="O17" s="2">
        <f>-PMT(Params!$B$9/12, 30*12, Params!$B$4*(1-Params!$B$5)) * 12</f>
        <v>0</v>
      </c>
      <c r="P17" s="2">
        <f t="shared" si="24"/>
        <v>0</v>
      </c>
      <c r="Q17" s="2">
        <f>Params!$B$4*(1-Params!$B$5)/30</f>
        <v>0</v>
      </c>
      <c r="R17" s="2">
        <f t="shared" si="1"/>
        <v>0</v>
      </c>
      <c r="S17" s="2">
        <f t="shared" si="25"/>
        <v>0</v>
      </c>
      <c r="T17" s="2">
        <f t="shared" si="2"/>
        <v>-67412.041266859567</v>
      </c>
      <c r="U17" s="31">
        <f>T17/Calcs!$B$4/Table!A17</f>
        <v>-2.0189290586061566E-2</v>
      </c>
      <c r="V17" s="2">
        <f>B17-K17-M17-O17</f>
        <v>27068.718742245692</v>
      </c>
      <c r="W17" s="2">
        <f>IF(V17&gt;0,V17*Params!$B$15,0)</f>
        <v>16241.231245347415</v>
      </c>
      <c r="X17" s="2">
        <f t="shared" si="26"/>
        <v>200552.793512718</v>
      </c>
      <c r="Y17" s="2">
        <f>Y16*(1+Params!$B$3)+W17</f>
        <v>316148.80771044595</v>
      </c>
      <c r="Z17" s="2">
        <f t="shared" si="3"/>
        <v>115596.01419772796</v>
      </c>
      <c r="AA17" s="2">
        <f>T17+Z17</f>
        <v>48183.972930868389</v>
      </c>
      <c r="AB17" s="31">
        <f>AA17/Calcs!$B$4/A17</f>
        <v>1.4430659757672474E-2</v>
      </c>
      <c r="AC17" s="31">
        <f t="shared" si="4"/>
        <v>3.9458819083080715E-2</v>
      </c>
      <c r="AD17" s="2">
        <f>AA17-I17*Params!$B$23</f>
        <v>30371.009629519609</v>
      </c>
      <c r="AE17" s="7">
        <f t="shared" si="5"/>
        <v>14</v>
      </c>
      <c r="AF17" s="2">
        <f t="shared" si="6"/>
        <v>3104.6559130891114</v>
      </c>
      <c r="AG17" s="2">
        <f>(K17+M17+O17)/12</f>
        <v>848.92935123530413</v>
      </c>
      <c r="AH17" s="8" t="str">
        <f t="shared" si="27"/>
        <v/>
      </c>
      <c r="AI17" s="8"/>
      <c r="AJ17" s="47">
        <f t="shared" si="7"/>
        <v>14</v>
      </c>
      <c r="AK17" s="2">
        <f>AK16*(1+Params!$B$20)</f>
        <v>2791.1706212769504</v>
      </c>
      <c r="AL17" s="2">
        <f>Params!$B$21*AK17</f>
        <v>31400.669489365693</v>
      </c>
      <c r="AM17" s="2">
        <f t="shared" si="28"/>
        <v>399778.635447081</v>
      </c>
      <c r="AN17" s="2">
        <f>Calcs!$B$5</f>
        <v>0</v>
      </c>
      <c r="AO17" s="2">
        <f t="shared" si="29"/>
        <v>0</v>
      </c>
      <c r="AP17" s="2">
        <f t="shared" si="8"/>
        <v>332366.59418022144</v>
      </c>
      <c r="AQ17" s="31">
        <f>AP17/Calcs!$B$4/A17</f>
        <v>9.9540758963827927E-2</v>
      </c>
      <c r="AR17" s="2">
        <f>F17</f>
        <v>376480.39482299774</v>
      </c>
      <c r="AS17" s="31">
        <f>AR17/Calcs!$B$4/A17</f>
        <v>0.11275243930008917</v>
      </c>
      <c r="AT17" s="31">
        <f t="shared" si="9"/>
        <v>-1.3211680336261244E-2</v>
      </c>
      <c r="AU17" s="31"/>
      <c r="AV17" s="2">
        <f>I17*Params!$B$23</f>
        <v>17812.96330134878</v>
      </c>
      <c r="AW17" s="49">
        <f>J17*Params!$B$24</f>
        <v>10782.408253371954</v>
      </c>
      <c r="AX17" s="49">
        <f t="shared" si="10"/>
        <v>28595.371554720732</v>
      </c>
      <c r="AY17" s="2">
        <f t="shared" si="11"/>
        <v>17812.96330134878</v>
      </c>
      <c r="AZ17" s="2">
        <f>AP17-AY17</f>
        <v>314553.63087887265</v>
      </c>
      <c r="BA17" s="31">
        <f>AZ17/Calcs!$B$4/A17</f>
        <v>9.4205939167077757E-2</v>
      </c>
      <c r="BB17" s="31">
        <f>BA17-AS17</f>
        <v>-1.8546500133011415E-2</v>
      </c>
      <c r="BE17" s="7">
        <f t="shared" si="0"/>
        <v>14</v>
      </c>
      <c r="BF17" s="2">
        <f t="shared" si="12"/>
        <v>71882.721689146361</v>
      </c>
      <c r="BG17" s="2">
        <f t="shared" si="13"/>
        <v>-53912.041266859676</v>
      </c>
      <c r="BH17" s="2">
        <f t="shared" si="14"/>
        <v>-85382.721689146259</v>
      </c>
      <c r="BI17" s="2">
        <f t="shared" si="15"/>
        <v>0</v>
      </c>
      <c r="BJ17" s="2">
        <f t="shared" si="16"/>
        <v>399778.635447081</v>
      </c>
      <c r="BK17" s="2">
        <f t="shared" si="17"/>
        <v>0</v>
      </c>
      <c r="BL17" s="2">
        <f t="shared" si="18"/>
        <v>-17812.96330134878</v>
      </c>
    </row>
    <row r="18" spans="1:64">
      <c r="A18">
        <v>15</v>
      </c>
      <c r="B18" s="3">
        <f>B17*(1+Params!$B$14)</f>
        <v>38000.988376210727</v>
      </c>
      <c r="C18" s="2">
        <f t="shared" si="19"/>
        <v>498050.4071867466</v>
      </c>
      <c r="D18" s="2">
        <f>D17*(1+Params!$B$3)</f>
        <v>658029.02246060758</v>
      </c>
      <c r="E18" s="2">
        <f t="shared" si="20"/>
        <v>43048.627637609839</v>
      </c>
      <c r="F18" s="2">
        <f t="shared" si="21"/>
        <v>419529.02246060758</v>
      </c>
      <c r="G18" s="2">
        <f>F18-C18</f>
        <v>-78521.384726139018</v>
      </c>
      <c r="H18" s="31">
        <f>G18/Calcs!$B$4/A18</f>
        <v>-2.1948674975859964E-2</v>
      </c>
      <c r="I18" s="3">
        <f>I17*(1+Params!$B$6)</f>
        <v>302820.37612292927</v>
      </c>
      <c r="J18" s="2">
        <f>I18-Params!$B$4</f>
        <v>77820.376122929272</v>
      </c>
      <c r="K18" s="2">
        <f>I17*Params!$B$7</f>
        <v>4453.240825337195</v>
      </c>
      <c r="L18" s="2">
        <f t="shared" si="22"/>
        <v>58365.282092196874</v>
      </c>
      <c r="M18" s="2">
        <f>I17*Params!$B$8</f>
        <v>5937.6544337829273</v>
      </c>
      <c r="N18" s="2">
        <f t="shared" si="23"/>
        <v>91320.376122929185</v>
      </c>
      <c r="O18" s="2">
        <f>-PMT(Params!$B$9/12, 30*12, Params!$B$4*(1-Params!$B$5)) * 12</f>
        <v>0</v>
      </c>
      <c r="P18" s="2">
        <f t="shared" si="24"/>
        <v>0</v>
      </c>
      <c r="Q18" s="2">
        <f>Params!$B$4*(1-Params!$B$5)/30</f>
        <v>0</v>
      </c>
      <c r="R18" s="2">
        <f t="shared" si="1"/>
        <v>0</v>
      </c>
      <c r="S18" s="2">
        <f t="shared" si="25"/>
        <v>0</v>
      </c>
      <c r="T18" s="2">
        <f t="shared" si="2"/>
        <v>-71865.28209219678</v>
      </c>
      <c r="U18" s="31">
        <f>T18/Calcs!$B$4/Table!A18</f>
        <v>-2.0088129166232503E-2</v>
      </c>
      <c r="V18" s="2">
        <f>B18-K18-M18-O18</f>
        <v>27610.093117090604</v>
      </c>
      <c r="W18" s="2">
        <f>IF(V18&gt;0,V18*Params!$B$15,0)</f>
        <v>16566.05587025436</v>
      </c>
      <c r="X18" s="2">
        <f t="shared" si="26"/>
        <v>217118.84938297234</v>
      </c>
      <c r="Y18" s="2">
        <f>Y17*(1+Params!$B$3)+W18</f>
        <v>354845.28012043156</v>
      </c>
      <c r="Z18" s="2">
        <f t="shared" si="3"/>
        <v>137726.43073745922</v>
      </c>
      <c r="AA18" s="2">
        <f>T18+Z18</f>
        <v>65861.148645262438</v>
      </c>
      <c r="AB18" s="31">
        <f>AA18/Calcs!$B$4/A18</f>
        <v>1.8409824918312351E-2</v>
      </c>
      <c r="AC18" s="31">
        <f t="shared" si="4"/>
        <v>4.0358499894172312E-2</v>
      </c>
      <c r="AD18" s="2">
        <f>AA18-I18*Params!$B$23</f>
        <v>47691.926077886681</v>
      </c>
      <c r="AE18" s="7">
        <f t="shared" si="5"/>
        <v>15</v>
      </c>
      <c r="AF18" s="2">
        <f t="shared" si="6"/>
        <v>3166.7490313508938</v>
      </c>
      <c r="AG18" s="2">
        <f>(K18+M18+O18)/12</f>
        <v>865.90793826001027</v>
      </c>
      <c r="AH18" s="8" t="str">
        <f t="shared" si="27"/>
        <v/>
      </c>
      <c r="AI18" s="8"/>
      <c r="AJ18" s="47">
        <f t="shared" si="7"/>
        <v>15</v>
      </c>
      <c r="AK18" s="2">
        <f>AK17*(1+Params!$B$20)</f>
        <v>2833.0381805961042</v>
      </c>
      <c r="AL18" s="2">
        <f>Params!$B$21*AK18</f>
        <v>31871.679531706173</v>
      </c>
      <c r="AM18" s="2">
        <f t="shared" si="28"/>
        <v>431650.31497878715</v>
      </c>
      <c r="AN18" s="2">
        <f>Calcs!$B$5</f>
        <v>0</v>
      </c>
      <c r="AO18" s="2">
        <f t="shared" si="29"/>
        <v>0</v>
      </c>
      <c r="AP18" s="2">
        <f t="shared" si="8"/>
        <v>359785.03288659034</v>
      </c>
      <c r="AQ18" s="31">
        <f>AP18/Calcs!$B$4/A18</f>
        <v>0.10056884217654517</v>
      </c>
      <c r="AR18" s="2">
        <f>F18</f>
        <v>419529.02246060758</v>
      </c>
      <c r="AS18" s="31">
        <f>AR18/Calcs!$B$4/A18</f>
        <v>0.11726876938102239</v>
      </c>
      <c r="AT18" s="31">
        <f t="shared" si="9"/>
        <v>-1.6699927204477216E-2</v>
      </c>
      <c r="AU18" s="31"/>
      <c r="AV18" s="2">
        <f>I18*Params!$B$23</f>
        <v>18169.222567375757</v>
      </c>
      <c r="AW18" s="49">
        <f>J18*Params!$B$24</f>
        <v>11673.05641843939</v>
      </c>
      <c r="AX18" s="49">
        <f t="shared" si="10"/>
        <v>29842.278985815145</v>
      </c>
      <c r="AY18" s="2">
        <f t="shared" si="11"/>
        <v>18169.222567375757</v>
      </c>
      <c r="AZ18" s="2">
        <f>AP18-AY18</f>
        <v>341615.81031921459</v>
      </c>
      <c r="BA18" s="31">
        <f>AZ18/Calcs!$B$4/A18</f>
        <v>9.5490093730039013E-2</v>
      </c>
      <c r="BB18" s="31">
        <f>BA18-AS18</f>
        <v>-2.1778675650983376E-2</v>
      </c>
      <c r="BE18" s="7">
        <f t="shared" si="0"/>
        <v>15</v>
      </c>
      <c r="BF18" s="2">
        <f t="shared" si="12"/>
        <v>77820.376122929272</v>
      </c>
      <c r="BG18" s="2">
        <f t="shared" si="13"/>
        <v>-58365.282092196874</v>
      </c>
      <c r="BH18" s="2">
        <f t="shared" si="14"/>
        <v>-91320.376122929185</v>
      </c>
      <c r="BI18" s="2">
        <f t="shared" si="15"/>
        <v>0</v>
      </c>
      <c r="BJ18" s="2">
        <f t="shared" si="16"/>
        <v>431650.31497878715</v>
      </c>
      <c r="BK18" s="2">
        <f t="shared" si="17"/>
        <v>0</v>
      </c>
      <c r="BL18" s="2">
        <f t="shared" si="18"/>
        <v>-18169.222567375757</v>
      </c>
    </row>
    <row r="19" spans="1:64">
      <c r="A19">
        <v>16</v>
      </c>
      <c r="B19" s="3">
        <f>B18*(1+Params!$B$14)</f>
        <v>38761.008143734944</v>
      </c>
      <c r="C19" s="2">
        <f t="shared" si="19"/>
        <v>536811.41533048148</v>
      </c>
      <c r="D19" s="2">
        <f>D18*(1+Params!$B$3)</f>
        <v>704091.0540328502</v>
      </c>
      <c r="E19" s="2">
        <f t="shared" si="20"/>
        <v>46062.031572242617</v>
      </c>
      <c r="F19" s="2">
        <f t="shared" si="21"/>
        <v>465591.0540328502</v>
      </c>
      <c r="G19" s="2">
        <f>F19-C19</f>
        <v>-71220.361297631287</v>
      </c>
      <c r="H19" s="31">
        <f>G19/Calcs!$B$4/A19</f>
        <v>-1.8663616692251386E-2</v>
      </c>
      <c r="I19" s="3">
        <f>I18*(1+Params!$B$6)</f>
        <v>308876.78364538786</v>
      </c>
      <c r="J19" s="2">
        <f>I19-Params!$B$4</f>
        <v>83876.783645387855</v>
      </c>
      <c r="K19" s="2">
        <f>I18*Params!$B$7</f>
        <v>4542.3056418439392</v>
      </c>
      <c r="L19" s="2">
        <f t="shared" si="22"/>
        <v>62907.587734040811</v>
      </c>
      <c r="M19" s="2">
        <f>I18*Params!$B$8</f>
        <v>6056.4075224585858</v>
      </c>
      <c r="N19" s="2">
        <f t="shared" si="23"/>
        <v>97376.783645387768</v>
      </c>
      <c r="O19" s="2">
        <f>-PMT(Params!$B$9/12, 30*12, Params!$B$4*(1-Params!$B$5)) * 12</f>
        <v>0</v>
      </c>
      <c r="P19" s="2">
        <f t="shared" si="24"/>
        <v>0</v>
      </c>
      <c r="Q19" s="2">
        <f>Params!$B$4*(1-Params!$B$5)/30</f>
        <v>0</v>
      </c>
      <c r="R19" s="2">
        <f t="shared" si="1"/>
        <v>0</v>
      </c>
      <c r="S19" s="2">
        <f t="shared" si="25"/>
        <v>0</v>
      </c>
      <c r="T19" s="2">
        <f t="shared" si="2"/>
        <v>-76407.587734040717</v>
      </c>
      <c r="U19" s="31">
        <f>T19/Calcs!$B$4/Table!A19</f>
        <v>-2.0022952760492849E-2</v>
      </c>
      <c r="V19" s="2">
        <f>B19-K19-M19-O19</f>
        <v>28162.294979432419</v>
      </c>
      <c r="W19" s="2">
        <f>IF(V19&gt;0,V19*Params!$B$15,0)</f>
        <v>16897.376987659452</v>
      </c>
      <c r="X19" s="2">
        <f t="shared" si="26"/>
        <v>234016.2263706318</v>
      </c>
      <c r="Y19" s="2">
        <f>Y18*(1+Params!$B$3)+W19</f>
        <v>396581.82671652123</v>
      </c>
      <c r="Z19" s="2">
        <f t="shared" si="3"/>
        <v>162565.60034588943</v>
      </c>
      <c r="AA19" s="2">
        <f>T19+Z19</f>
        <v>86158.01261184871</v>
      </c>
      <c r="AB19" s="31">
        <f>AA19/Calcs!$B$4/A19</f>
        <v>2.2578095548178384E-2</v>
      </c>
      <c r="AC19" s="31">
        <f t="shared" si="4"/>
        <v>4.1241712240429773E-2</v>
      </c>
      <c r="AD19" s="2">
        <f>AA19-I19*Params!$B$23</f>
        <v>67625.405593125441</v>
      </c>
      <c r="AE19" s="7">
        <f t="shared" si="5"/>
        <v>16</v>
      </c>
      <c r="AF19" s="2">
        <f t="shared" si="6"/>
        <v>3230.0840119779118</v>
      </c>
      <c r="AG19" s="2">
        <f>(K19+M19+O19)/12</f>
        <v>883.22609702521038</v>
      </c>
      <c r="AH19" s="8" t="str">
        <f t="shared" si="27"/>
        <v/>
      </c>
      <c r="AI19" s="8"/>
      <c r="AJ19" s="47">
        <f t="shared" si="7"/>
        <v>16</v>
      </c>
      <c r="AK19" s="2">
        <f>AK18*(1+Params!$B$20)</f>
        <v>2875.5337533050456</v>
      </c>
      <c r="AL19" s="2">
        <f>Params!$B$21*AK19</f>
        <v>32349.754724681763</v>
      </c>
      <c r="AM19" s="2">
        <f t="shared" si="28"/>
        <v>464000.06970346894</v>
      </c>
      <c r="AN19" s="2">
        <f>Calcs!$B$5</f>
        <v>0</v>
      </c>
      <c r="AO19" s="2">
        <f t="shared" si="29"/>
        <v>0</v>
      </c>
      <c r="AP19" s="2">
        <f t="shared" si="8"/>
        <v>387592.48196942825</v>
      </c>
      <c r="AQ19" s="31">
        <f>AP19/Calcs!$B$4/A19</f>
        <v>0.10157035691022753</v>
      </c>
      <c r="AR19" s="2">
        <f>F19</f>
        <v>465591.0540328502</v>
      </c>
      <c r="AS19" s="31">
        <f>AR19/Calcs!$B$4/A19</f>
        <v>0.1220102342853381</v>
      </c>
      <c r="AT19" s="31">
        <f t="shared" si="9"/>
        <v>-2.0439877375110563E-2</v>
      </c>
      <c r="AU19" s="31"/>
      <c r="AV19" s="2">
        <f>I19*Params!$B$23</f>
        <v>18532.607018723269</v>
      </c>
      <c r="AW19" s="49">
        <f>J19*Params!$B$24</f>
        <v>12581.517546808178</v>
      </c>
      <c r="AX19" s="49">
        <f t="shared" si="10"/>
        <v>31114.124565531449</v>
      </c>
      <c r="AY19" s="2">
        <f t="shared" si="11"/>
        <v>18532.607018723269</v>
      </c>
      <c r="AZ19" s="2">
        <f>AP19-AY19</f>
        <v>369059.87495070498</v>
      </c>
      <c r="BA19" s="31">
        <f>AZ19/Calcs!$B$4/A19</f>
        <v>9.6713803708256024E-2</v>
      </c>
      <c r="BB19" s="31">
        <f>BA19-AS19</f>
        <v>-2.5296430577082071E-2</v>
      </c>
      <c r="BE19" s="7">
        <f t="shared" si="0"/>
        <v>16</v>
      </c>
      <c r="BF19" s="2">
        <f t="shared" si="12"/>
        <v>83876.783645387855</v>
      </c>
      <c r="BG19" s="2">
        <f t="shared" si="13"/>
        <v>-62907.587734040811</v>
      </c>
      <c r="BH19" s="2">
        <f t="shared" si="14"/>
        <v>-97376.783645387768</v>
      </c>
      <c r="BI19" s="2">
        <f t="shared" si="15"/>
        <v>0</v>
      </c>
      <c r="BJ19" s="2">
        <f t="shared" si="16"/>
        <v>464000.06970346894</v>
      </c>
      <c r="BK19" s="2">
        <f t="shared" si="17"/>
        <v>0</v>
      </c>
      <c r="BL19" s="2">
        <f t="shared" si="18"/>
        <v>-18532.607018723269</v>
      </c>
    </row>
    <row r="20" spans="1:64">
      <c r="A20">
        <v>17</v>
      </c>
      <c r="B20" s="3">
        <f>B19*(1+Params!$B$14)</f>
        <v>39536.228306609642</v>
      </c>
      <c r="C20" s="2">
        <f t="shared" si="19"/>
        <v>576347.64363709115</v>
      </c>
      <c r="D20" s="2">
        <f>D19*(1+Params!$B$3)</f>
        <v>753377.42781514977</v>
      </c>
      <c r="E20" s="2">
        <f t="shared" si="20"/>
        <v>49286.373782299575</v>
      </c>
      <c r="F20" s="2">
        <f t="shared" si="21"/>
        <v>514877.42781514977</v>
      </c>
      <c r="G20" s="2">
        <f>F20-C20</f>
        <v>-61470.215821941383</v>
      </c>
      <c r="H20" s="31">
        <f>G20/Calcs!$B$4/A20</f>
        <v>-1.5160985527670831E-2</v>
      </c>
      <c r="I20" s="3">
        <f>I19*(1+Params!$B$6)</f>
        <v>315054.31931829563</v>
      </c>
      <c r="J20" s="2">
        <f>I20-Params!$B$4</f>
        <v>90054.319318295631</v>
      </c>
      <c r="K20" s="2">
        <f>I19*Params!$B$7</f>
        <v>4633.1517546808172</v>
      </c>
      <c r="L20" s="2">
        <f t="shared" si="22"/>
        <v>67540.739488721621</v>
      </c>
      <c r="M20" s="2">
        <f>I19*Params!$B$8</f>
        <v>6177.5356729077575</v>
      </c>
      <c r="N20" s="2">
        <f t="shared" si="23"/>
        <v>103554.31931829553</v>
      </c>
      <c r="O20" s="2">
        <f>-PMT(Params!$B$9/12, 30*12, Params!$B$4*(1-Params!$B$5)) * 12</f>
        <v>0</v>
      </c>
      <c r="P20" s="2">
        <f t="shared" si="24"/>
        <v>0</v>
      </c>
      <c r="Q20" s="2">
        <f>Params!$B$4*(1-Params!$B$5)/30</f>
        <v>0</v>
      </c>
      <c r="R20" s="2">
        <f t="shared" si="1"/>
        <v>0</v>
      </c>
      <c r="S20" s="2">
        <f t="shared" si="25"/>
        <v>0</v>
      </c>
      <c r="T20" s="2">
        <f t="shared" si="2"/>
        <v>-81040.73948872152</v>
      </c>
      <c r="U20" s="31">
        <f>T20/Calcs!$B$4/Table!A20</f>
        <v>-1.9987850410339503E-2</v>
      </c>
      <c r="V20" s="2">
        <f>B20-K20-M20-O20</f>
        <v>28725.540879021068</v>
      </c>
      <c r="W20" s="2">
        <f>IF(V20&gt;0,V20*Params!$B$15,0)</f>
        <v>17235.324527412638</v>
      </c>
      <c r="X20" s="2">
        <f t="shared" si="26"/>
        <v>251251.55089804443</v>
      </c>
      <c r="Y20" s="2">
        <f>Y19*(1+Params!$B$3)+W20</f>
        <v>441577.87911409041</v>
      </c>
      <c r="Z20" s="2">
        <f t="shared" si="3"/>
        <v>190326.32821604598</v>
      </c>
      <c r="AA20" s="2">
        <f>T20+Z20</f>
        <v>109285.58872732446</v>
      </c>
      <c r="AB20" s="31">
        <f>AA20/Calcs!$B$4/A20</f>
        <v>2.6954146929911077E-2</v>
      </c>
      <c r="AC20" s="31">
        <f t="shared" si="4"/>
        <v>4.2115132457581909E-2</v>
      </c>
      <c r="AD20" s="2">
        <f>AA20-I20*Params!$B$23</f>
        <v>90382.32956822672</v>
      </c>
      <c r="AE20" s="7">
        <f t="shared" si="5"/>
        <v>17</v>
      </c>
      <c r="AF20" s="2">
        <f t="shared" si="6"/>
        <v>3294.6856922174702</v>
      </c>
      <c r="AG20" s="2">
        <f>(K20+M20+O20)/12</f>
        <v>900.89061896571457</v>
      </c>
      <c r="AH20" s="8" t="str">
        <f t="shared" si="27"/>
        <v/>
      </c>
      <c r="AI20" s="8"/>
      <c r="AJ20" s="47">
        <f t="shared" si="7"/>
        <v>17</v>
      </c>
      <c r="AK20" s="2">
        <f>AK19*(1+Params!$B$20)</f>
        <v>2918.6667596046209</v>
      </c>
      <c r="AL20" s="2">
        <f>Params!$B$21*AK20</f>
        <v>32835.001045551988</v>
      </c>
      <c r="AM20" s="2">
        <f t="shared" si="28"/>
        <v>496835.0707490209</v>
      </c>
      <c r="AN20" s="2">
        <f>Calcs!$B$5</f>
        <v>0</v>
      </c>
      <c r="AO20" s="2">
        <f t="shared" si="29"/>
        <v>0</v>
      </c>
      <c r="AP20" s="2">
        <f t="shared" si="8"/>
        <v>415794.33126029937</v>
      </c>
      <c r="AQ20" s="31">
        <f>AP20/Calcs!$B$4/A20</f>
        <v>0.10255132106555663</v>
      </c>
      <c r="AR20" s="2">
        <f>F20</f>
        <v>514877.42781514977</v>
      </c>
      <c r="AS20" s="31">
        <f>AR20/Calcs!$B$4/A20</f>
        <v>0.12698913005676404</v>
      </c>
      <c r="AT20" s="31">
        <f t="shared" si="9"/>
        <v>-2.4437808991207413E-2</v>
      </c>
      <c r="AU20" s="31"/>
      <c r="AV20" s="2">
        <f>I20*Params!$B$23</f>
        <v>18903.259159097735</v>
      </c>
      <c r="AW20" s="49">
        <f>J20*Params!$B$24</f>
        <v>13508.147897744344</v>
      </c>
      <c r="AX20" s="49">
        <f t="shared" si="10"/>
        <v>32411.407056842079</v>
      </c>
      <c r="AY20" s="2">
        <f t="shared" si="11"/>
        <v>18903.259159097735</v>
      </c>
      <c r="AZ20" s="2">
        <f>AP20-AY20</f>
        <v>396891.07210120163</v>
      </c>
      <c r="BA20" s="31">
        <f>AZ20/Calcs!$B$4/A20</f>
        <v>9.7889029991663989E-2</v>
      </c>
      <c r="BB20" s="31">
        <f>BA20-AS20</f>
        <v>-2.9100100065100054E-2</v>
      </c>
      <c r="BE20" s="7">
        <f t="shared" si="0"/>
        <v>17</v>
      </c>
      <c r="BF20" s="2">
        <f t="shared" si="12"/>
        <v>90054.319318295631</v>
      </c>
      <c r="BG20" s="2">
        <f t="shared" si="13"/>
        <v>-67540.739488721621</v>
      </c>
      <c r="BH20" s="2">
        <f t="shared" si="14"/>
        <v>-103554.31931829553</v>
      </c>
      <c r="BI20" s="2">
        <f t="shared" si="15"/>
        <v>0</v>
      </c>
      <c r="BJ20" s="2">
        <f t="shared" si="16"/>
        <v>496835.0707490209</v>
      </c>
      <c r="BK20" s="2">
        <f t="shared" si="17"/>
        <v>0</v>
      </c>
      <c r="BL20" s="2">
        <f t="shared" si="18"/>
        <v>-18903.259159097735</v>
      </c>
    </row>
    <row r="21" spans="1:64">
      <c r="A21">
        <v>18</v>
      </c>
      <c r="B21" s="3">
        <f>B20*(1+Params!$B$14)</f>
        <v>40326.952872741836</v>
      </c>
      <c r="C21" s="2">
        <f t="shared" si="19"/>
        <v>616674.59650983301</v>
      </c>
      <c r="D21" s="2">
        <f>D20*(1+Params!$B$3)</f>
        <v>806113.84776221029</v>
      </c>
      <c r="E21" s="2">
        <f t="shared" si="20"/>
        <v>52736.419947060524</v>
      </c>
      <c r="F21" s="2">
        <f t="shared" si="21"/>
        <v>567613.84776221029</v>
      </c>
      <c r="G21" s="2">
        <f>F21-C21</f>
        <v>-49060.748747622711</v>
      </c>
      <c r="H21" s="31">
        <f>G21/Calcs!$B$4/A21</f>
        <v>-1.1428080304594156E-2</v>
      </c>
      <c r="I21" s="3">
        <f>I20*(1+Params!$B$6)</f>
        <v>321355.40570466156</v>
      </c>
      <c r="J21" s="2">
        <f>I21-Params!$B$4</f>
        <v>96355.405704661564</v>
      </c>
      <c r="K21" s="2">
        <f>I20*Params!$B$7</f>
        <v>4725.8147897744338</v>
      </c>
      <c r="L21" s="2">
        <f t="shared" si="22"/>
        <v>72266.554278496056</v>
      </c>
      <c r="M21" s="2">
        <f>I20*Params!$B$8</f>
        <v>6301.0863863659124</v>
      </c>
      <c r="N21" s="2">
        <f t="shared" si="23"/>
        <v>109855.40570466145</v>
      </c>
      <c r="O21" s="2">
        <f>-PMT(Params!$B$9/12, 30*12, Params!$B$4*(1-Params!$B$5)) * 12</f>
        <v>0</v>
      </c>
      <c r="P21" s="2">
        <f t="shared" si="24"/>
        <v>0</v>
      </c>
      <c r="Q21" s="2">
        <f>Params!$B$4*(1-Params!$B$5)/30</f>
        <v>0</v>
      </c>
      <c r="R21" s="2">
        <f t="shared" si="1"/>
        <v>0</v>
      </c>
      <c r="S21" s="2">
        <f t="shared" si="25"/>
        <v>0</v>
      </c>
      <c r="T21" s="2">
        <f t="shared" si="2"/>
        <v>-85766.55427849594</v>
      </c>
      <c r="U21" s="31">
        <f>T21/Calcs!$B$4/Table!A21</f>
        <v>-1.9978233002211958E-2</v>
      </c>
      <c r="V21" s="2">
        <f>B21-K21-M21-O21</f>
        <v>29300.051696601491</v>
      </c>
      <c r="W21" s="2">
        <f>IF(V21&gt;0,V21*Params!$B$15,0)</f>
        <v>17580.031017960893</v>
      </c>
      <c r="X21" s="2">
        <f t="shared" si="26"/>
        <v>268831.58191600535</v>
      </c>
      <c r="Y21" s="2">
        <f>Y20*(1+Params!$B$3)+W21</f>
        <v>490068.36167003762</v>
      </c>
      <c r="Z21" s="2">
        <f t="shared" si="3"/>
        <v>221236.77975403226</v>
      </c>
      <c r="AA21" s="2">
        <f>T21+Z21</f>
        <v>135470.22547553631</v>
      </c>
      <c r="AB21" s="31">
        <f>AA21/Calcs!$B$4/A21</f>
        <v>3.1556073951906898E-2</v>
      </c>
      <c r="AC21" s="31">
        <f t="shared" si="4"/>
        <v>4.2984154256501053E-2</v>
      </c>
      <c r="AD21" s="2">
        <f>AA21-I21*Params!$B$23</f>
        <v>116188.90113325662</v>
      </c>
      <c r="AE21" s="7">
        <f t="shared" si="5"/>
        <v>18</v>
      </c>
      <c r="AF21" s="2">
        <f t="shared" si="6"/>
        <v>3360.5794060618196</v>
      </c>
      <c r="AG21" s="2">
        <f>(K21+M21+O21)/12</f>
        <v>918.90843134502882</v>
      </c>
      <c r="AH21" s="8" t="str">
        <f t="shared" si="27"/>
        <v/>
      </c>
      <c r="AI21" s="8"/>
      <c r="AJ21" s="47">
        <f t="shared" si="7"/>
        <v>18</v>
      </c>
      <c r="AK21" s="2">
        <f>AK20*(1+Params!$B$20)</f>
        <v>2962.44676099869</v>
      </c>
      <c r="AL21" s="2">
        <f>Params!$B$21*AK21</f>
        <v>33327.526061235265</v>
      </c>
      <c r="AM21" s="2">
        <f t="shared" si="28"/>
        <v>530162.59681025613</v>
      </c>
      <c r="AN21" s="2">
        <f>Calcs!$B$5</f>
        <v>0</v>
      </c>
      <c r="AO21" s="2">
        <f t="shared" si="29"/>
        <v>0</v>
      </c>
      <c r="AP21" s="2">
        <f t="shared" si="8"/>
        <v>444396.04253176018</v>
      </c>
      <c r="AQ21" s="31">
        <f>AP21/Calcs!$B$4/A21</f>
        <v>0.1035164319896949</v>
      </c>
      <c r="AR21" s="2">
        <f>F21</f>
        <v>567613.84776221029</v>
      </c>
      <c r="AS21" s="31">
        <f>AR21/Calcs!$B$4/A21</f>
        <v>0.13221845976291877</v>
      </c>
      <c r="AT21" s="31">
        <f t="shared" si="9"/>
        <v>-2.8702027773223865E-2</v>
      </c>
      <c r="AU21" s="31"/>
      <c r="AV21" s="2">
        <f>I21*Params!$B$23</f>
        <v>19281.324342279691</v>
      </c>
      <c r="AW21" s="49">
        <f>J21*Params!$B$24</f>
        <v>14453.310855699234</v>
      </c>
      <c r="AX21" s="49">
        <f t="shared" si="10"/>
        <v>33734.635197978925</v>
      </c>
      <c r="AY21" s="2">
        <f t="shared" si="11"/>
        <v>19281.324342279691</v>
      </c>
      <c r="AZ21" s="2">
        <f>AP21-AY21</f>
        <v>425114.71818948048</v>
      </c>
      <c r="BA21" s="31">
        <f>AZ21/Calcs!$B$4/A21</f>
        <v>9.9025091588511638E-2</v>
      </c>
      <c r="BB21" s="31">
        <f>BA21-AS21</f>
        <v>-3.3193368174407129E-2</v>
      </c>
      <c r="BE21" s="7">
        <f t="shared" si="0"/>
        <v>18</v>
      </c>
      <c r="BF21" s="2">
        <f t="shared" si="12"/>
        <v>96355.405704661564</v>
      </c>
      <c r="BG21" s="2">
        <f t="shared" si="13"/>
        <v>-72266.554278496056</v>
      </c>
      <c r="BH21" s="2">
        <f t="shared" si="14"/>
        <v>-109855.40570466145</v>
      </c>
      <c r="BI21" s="2">
        <f t="shared" si="15"/>
        <v>0</v>
      </c>
      <c r="BJ21" s="2">
        <f t="shared" si="16"/>
        <v>530162.59681025613</v>
      </c>
      <c r="BK21" s="2">
        <f t="shared" si="17"/>
        <v>0</v>
      </c>
      <c r="BL21" s="2">
        <f t="shared" si="18"/>
        <v>-19281.324342279691</v>
      </c>
    </row>
    <row r="22" spans="1:64">
      <c r="A22">
        <v>19</v>
      </c>
      <c r="B22" s="3">
        <f>B21*(1+Params!$B$14)</f>
        <v>41133.491930196673</v>
      </c>
      <c r="C22" s="2">
        <f t="shared" si="19"/>
        <v>657808.08844002965</v>
      </c>
      <c r="D22" s="2">
        <f>D21*(1+Params!$B$3)</f>
        <v>862541.8171055651</v>
      </c>
      <c r="E22" s="2">
        <f t="shared" si="20"/>
        <v>56427.969343354809</v>
      </c>
      <c r="F22" s="2">
        <f t="shared" si="21"/>
        <v>624041.8171055651</v>
      </c>
      <c r="G22" s="2">
        <f>F22-C22</f>
        <v>-33766.271334464545</v>
      </c>
      <c r="H22" s="31">
        <f>G22/Calcs!$B$4/A22</f>
        <v>-7.451455662465971E-3</v>
      </c>
      <c r="I22" s="3">
        <f>I21*(1+Params!$B$6)</f>
        <v>327782.51381875481</v>
      </c>
      <c r="J22" s="2">
        <f>I22-Params!$B$4</f>
        <v>102782.51381875481</v>
      </c>
      <c r="K22" s="2">
        <f>I21*Params!$B$7</f>
        <v>4820.3310855699228</v>
      </c>
      <c r="L22" s="2">
        <f t="shared" si="22"/>
        <v>77086.88536406598</v>
      </c>
      <c r="M22" s="2">
        <f>I21*Params!$B$8</f>
        <v>6427.1081140932311</v>
      </c>
      <c r="N22" s="2">
        <f t="shared" si="23"/>
        <v>116282.51381875468</v>
      </c>
      <c r="O22" s="2">
        <f>-PMT(Params!$B$9/12, 30*12, Params!$B$4*(1-Params!$B$5)) * 12</f>
        <v>0</v>
      </c>
      <c r="P22" s="2">
        <f t="shared" si="24"/>
        <v>0</v>
      </c>
      <c r="Q22" s="2">
        <f>Params!$B$4*(1-Params!$B$5)/30</f>
        <v>0</v>
      </c>
      <c r="R22" s="2">
        <f t="shared" si="1"/>
        <v>0</v>
      </c>
      <c r="S22" s="2">
        <f t="shared" si="25"/>
        <v>0</v>
      </c>
      <c r="T22" s="2">
        <f t="shared" si="2"/>
        <v>-90586.885364065849</v>
      </c>
      <c r="U22" s="31">
        <f>T22/Calcs!$B$4/Table!A22</f>
        <v>-1.9990485570796832E-2</v>
      </c>
      <c r="V22" s="2">
        <f>B22-K22-M22-O22</f>
        <v>29886.05273053352</v>
      </c>
      <c r="W22" s="2">
        <f>IF(V22&gt;0,V22*Params!$B$15,0)</f>
        <v>17931.631638320112</v>
      </c>
      <c r="X22" s="2">
        <f t="shared" si="26"/>
        <v>286763.21355432546</v>
      </c>
      <c r="Y22" s="2">
        <f>Y21*(1+Params!$B$3)+W22</f>
        <v>542304.77862526046</v>
      </c>
      <c r="Z22" s="2">
        <f t="shared" si="3"/>
        <v>255541.565070935</v>
      </c>
      <c r="AA22" s="2">
        <f>T22+Z22</f>
        <v>164954.67970686915</v>
      </c>
      <c r="AB22" s="31">
        <f>AA22/Calcs!$B$4/A22</f>
        <v>3.6401783009349917E-2</v>
      </c>
      <c r="AC22" s="31">
        <f t="shared" si="4"/>
        <v>4.385323867181589E-2</v>
      </c>
      <c r="AD22" s="2">
        <f>AA22-I22*Params!$B$23</f>
        <v>145287.72887774385</v>
      </c>
      <c r="AE22" s="7">
        <f t="shared" si="5"/>
        <v>19</v>
      </c>
      <c r="AF22" s="2">
        <f t="shared" si="6"/>
        <v>3427.7909941830562</v>
      </c>
      <c r="AG22" s="2">
        <f>(K22+M22+O22)/12</f>
        <v>937.28659997192938</v>
      </c>
      <c r="AH22" s="8" t="str">
        <f t="shared" si="27"/>
        <v/>
      </c>
      <c r="AI22" s="8"/>
      <c r="AJ22" s="47">
        <f t="shared" si="7"/>
        <v>19</v>
      </c>
      <c r="AK22" s="2">
        <f>AK21*(1+Params!$B$20)</f>
        <v>3006.8834624136703</v>
      </c>
      <c r="AL22" s="2">
        <f>Params!$B$21*AK22</f>
        <v>33827.438952153789</v>
      </c>
      <c r="AM22" s="2">
        <f t="shared" si="28"/>
        <v>563990.03576240991</v>
      </c>
      <c r="AN22" s="2">
        <f>Calcs!$B$5</f>
        <v>0</v>
      </c>
      <c r="AO22" s="2">
        <f t="shared" si="29"/>
        <v>0</v>
      </c>
      <c r="AP22" s="2">
        <f t="shared" si="8"/>
        <v>473403.15039834403</v>
      </c>
      <c r="AQ22" s="31">
        <f>AP22/Calcs!$B$4/A22</f>
        <v>0.10446941418919653</v>
      </c>
      <c r="AR22" s="2">
        <f>F22</f>
        <v>624041.8171055651</v>
      </c>
      <c r="AS22" s="31">
        <f>AR22/Calcs!$B$4/A22</f>
        <v>0.13771197552809558</v>
      </c>
      <c r="AT22" s="31">
        <f t="shared" si="9"/>
        <v>-3.3242561338899052E-2</v>
      </c>
      <c r="AU22" s="31"/>
      <c r="AV22" s="2">
        <f>I22*Params!$B$23</f>
        <v>19666.95082912529</v>
      </c>
      <c r="AW22" s="49">
        <f>J22*Params!$B$24</f>
        <v>15417.377072813222</v>
      </c>
      <c r="AX22" s="49">
        <f t="shared" si="10"/>
        <v>35084.327901938508</v>
      </c>
      <c r="AY22" s="2">
        <f t="shared" si="11"/>
        <v>19666.95082912529</v>
      </c>
      <c r="AZ22" s="2">
        <f>AP22-AY22</f>
        <v>453736.19956921873</v>
      </c>
      <c r="BA22" s="31">
        <f>AZ22/Calcs!$B$4/A22</f>
        <v>0.10012936104363207</v>
      </c>
      <c r="BB22" s="31">
        <f>BA22-AS22</f>
        <v>-3.7582614484463511E-2</v>
      </c>
      <c r="BE22" s="7">
        <f t="shared" si="0"/>
        <v>19</v>
      </c>
      <c r="BF22" s="2">
        <f t="shared" si="12"/>
        <v>102782.51381875481</v>
      </c>
      <c r="BG22" s="2">
        <f t="shared" si="13"/>
        <v>-77086.88536406598</v>
      </c>
      <c r="BH22" s="2">
        <f t="shared" si="14"/>
        <v>-116282.51381875468</v>
      </c>
      <c r="BI22" s="2">
        <f t="shared" si="15"/>
        <v>0</v>
      </c>
      <c r="BJ22" s="2">
        <f t="shared" si="16"/>
        <v>563990.03576240991</v>
      </c>
      <c r="BK22" s="2">
        <f t="shared" si="17"/>
        <v>0</v>
      </c>
      <c r="BL22" s="2">
        <f t="shared" si="18"/>
        <v>-19666.95082912529</v>
      </c>
    </row>
    <row r="23" spans="1:64">
      <c r="A23">
        <v>20</v>
      </c>
      <c r="B23" s="3">
        <f>B22*(1+Params!$B$14)</f>
        <v>41956.161768800608</v>
      </c>
      <c r="C23" s="2">
        <f t="shared" si="19"/>
        <v>699764.25020883023</v>
      </c>
      <c r="D23" s="2">
        <f>D22*(1+Params!$B$3)</f>
        <v>922919.74430295476</v>
      </c>
      <c r="E23" s="2">
        <f t="shared" si="20"/>
        <v>60377.927197389654</v>
      </c>
      <c r="F23" s="2">
        <f t="shared" si="21"/>
        <v>684419.74430295476</v>
      </c>
      <c r="G23" s="2">
        <f>F23-C23</f>
        <v>-15344.50590587547</v>
      </c>
      <c r="H23" s="31">
        <f>G23/Calcs!$B$4/A23</f>
        <v>-3.2168775484015663E-3</v>
      </c>
      <c r="I23" s="3">
        <f>I22*(1+Params!$B$6)</f>
        <v>334338.16409512993</v>
      </c>
      <c r="J23" s="2">
        <f>I23-Params!$B$4</f>
        <v>109338.16409512993</v>
      </c>
      <c r="K23" s="2">
        <f>I22*Params!$B$7</f>
        <v>4916.7377072813224</v>
      </c>
      <c r="L23" s="2">
        <f t="shared" si="22"/>
        <v>82003.623071347305</v>
      </c>
      <c r="M23" s="2">
        <f>I22*Params!$B$8</f>
        <v>6555.6502763750968</v>
      </c>
      <c r="N23" s="2">
        <f t="shared" si="23"/>
        <v>122838.16409512977</v>
      </c>
      <c r="O23" s="2">
        <f>-PMT(Params!$B$9/12, 30*12, Params!$B$4*(1-Params!$B$5)) * 12</f>
        <v>0</v>
      </c>
      <c r="P23" s="2">
        <f t="shared" si="24"/>
        <v>0</v>
      </c>
      <c r="Q23" s="2">
        <f>Params!$B$4*(1-Params!$B$5)/30</f>
        <v>0</v>
      </c>
      <c r="R23" s="2">
        <f t="shared" si="1"/>
        <v>0</v>
      </c>
      <c r="S23" s="2">
        <f t="shared" si="25"/>
        <v>0</v>
      </c>
      <c r="T23" s="2">
        <f t="shared" si="2"/>
        <v>-95503.623071347145</v>
      </c>
      <c r="U23" s="31">
        <f>T23/Calcs!$B$4/Table!A23</f>
        <v>-2.0021723914328542E-2</v>
      </c>
      <c r="V23" s="2">
        <f>B23-K23-M23-O23</f>
        <v>30483.773785144185</v>
      </c>
      <c r="W23" s="2">
        <f>IF(V23&gt;0,V23*Params!$B$15,0)</f>
        <v>18290.264271086511</v>
      </c>
      <c r="X23" s="2">
        <f t="shared" si="26"/>
        <v>305053.47782541194</v>
      </c>
      <c r="Y23" s="2">
        <f>Y22*(1+Params!$B$3)+W23</f>
        <v>598556.37740011525</v>
      </c>
      <c r="Z23" s="2">
        <f t="shared" si="3"/>
        <v>293502.8995747033</v>
      </c>
      <c r="AA23" s="2">
        <f>T23+Z23</f>
        <v>197999.27650335617</v>
      </c>
      <c r="AB23" s="31">
        <f>AA23/Calcs!$B$4/A23</f>
        <v>4.1509282285818905E-2</v>
      </c>
      <c r="AC23" s="31">
        <f t="shared" si="4"/>
        <v>4.4726159834220472E-2</v>
      </c>
      <c r="AD23" s="2">
        <f>AA23-I23*Params!$B$23</f>
        <v>177938.98665764838</v>
      </c>
      <c r="AE23" s="7">
        <f t="shared" si="5"/>
        <v>20</v>
      </c>
      <c r="AF23" s="2">
        <f t="shared" si="6"/>
        <v>3496.3468140667173</v>
      </c>
      <c r="AG23" s="2">
        <f>(K23+M23+O23)/12</f>
        <v>956.03233197136831</v>
      </c>
      <c r="AH23" s="8" t="str">
        <f t="shared" si="27"/>
        <v/>
      </c>
      <c r="AI23" s="8"/>
      <c r="AJ23" s="47">
        <f t="shared" si="7"/>
        <v>20</v>
      </c>
      <c r="AK23" s="2">
        <f>AK22*(1+Params!$B$20)</f>
        <v>3051.986714349875</v>
      </c>
      <c r="AL23" s="2">
        <f>Params!$B$21*AK23</f>
        <v>34334.850536436097</v>
      </c>
      <c r="AM23" s="2">
        <f t="shared" si="28"/>
        <v>598324.88629884599</v>
      </c>
      <c r="AN23" s="2">
        <f>Calcs!$B$5</f>
        <v>0</v>
      </c>
      <c r="AO23" s="2">
        <f t="shared" si="29"/>
        <v>0</v>
      </c>
      <c r="AP23" s="2">
        <f t="shared" si="8"/>
        <v>502821.26322749886</v>
      </c>
      <c r="AQ23" s="31">
        <f>AP23/Calcs!$B$4/A23</f>
        <v>0.10541326273113183</v>
      </c>
      <c r="AR23" s="2">
        <f>F23</f>
        <v>684419.74430295476</v>
      </c>
      <c r="AS23" s="31">
        <f>AR23/Calcs!$B$4/A23</f>
        <v>0.14348422312430917</v>
      </c>
      <c r="AT23" s="31">
        <f t="shared" si="9"/>
        <v>-3.8070960393177339E-2</v>
      </c>
      <c r="AU23" s="31"/>
      <c r="AV23" s="2">
        <f>I23*Params!$B$23</f>
        <v>20060.289845707794</v>
      </c>
      <c r="AW23" s="49">
        <f>J23*Params!$B$24</f>
        <v>16400.724614269489</v>
      </c>
      <c r="AX23" s="49">
        <f t="shared" si="10"/>
        <v>36461.014459977283</v>
      </c>
      <c r="AY23" s="2">
        <f t="shared" si="11"/>
        <v>20060.289845707794</v>
      </c>
      <c r="AZ23" s="2">
        <f>AP23-AY23</f>
        <v>482760.97338179109</v>
      </c>
      <c r="BA23" s="31">
        <f>AZ23/Calcs!$B$4/A23</f>
        <v>0.1012077512330799</v>
      </c>
      <c r="BB23" s="31">
        <f>BA23-AS23</f>
        <v>-4.2276471891229267E-2</v>
      </c>
      <c r="BE23" s="7">
        <f t="shared" si="0"/>
        <v>20</v>
      </c>
      <c r="BF23" s="2">
        <f t="shared" si="12"/>
        <v>109338.16409512993</v>
      </c>
      <c r="BG23" s="2">
        <f t="shared" si="13"/>
        <v>-82003.623071347305</v>
      </c>
      <c r="BH23" s="2">
        <f t="shared" si="14"/>
        <v>-122838.16409512977</v>
      </c>
      <c r="BI23" s="2">
        <f t="shared" si="15"/>
        <v>0</v>
      </c>
      <c r="BJ23" s="2">
        <f t="shared" si="16"/>
        <v>598324.88629884599</v>
      </c>
      <c r="BK23" s="2">
        <f t="shared" si="17"/>
        <v>0</v>
      </c>
      <c r="BL23" s="2">
        <f t="shared" si="18"/>
        <v>-20060.289845707794</v>
      </c>
    </row>
    <row r="24" spans="1:64">
      <c r="A24">
        <v>21</v>
      </c>
      <c r="B24" s="3">
        <f>B23*(1+Params!$B$14)</f>
        <v>42795.285004176621</v>
      </c>
      <c r="C24" s="2">
        <f t="shared" si="19"/>
        <v>742559.53521300689</v>
      </c>
      <c r="D24" s="2">
        <f>D23*(1+Params!$B$3)</f>
        <v>987524.12640416168</v>
      </c>
      <c r="E24" s="2">
        <f t="shared" si="20"/>
        <v>64604.382101206924</v>
      </c>
      <c r="F24" s="2">
        <f t="shared" si="21"/>
        <v>749024.12640416168</v>
      </c>
      <c r="G24" s="2">
        <f>F24-C24</f>
        <v>6464.5911911547882</v>
      </c>
      <c r="H24" s="31">
        <f>G24/Calcs!$B$4/A24</f>
        <v>1.2907240074183464E-3</v>
      </c>
      <c r="I24" s="3">
        <f>I23*(1+Params!$B$6)</f>
        <v>341024.92737703252</v>
      </c>
      <c r="J24" s="2">
        <f>I24-Params!$B$4</f>
        <v>116024.92737703252</v>
      </c>
      <c r="K24" s="2">
        <f>I23*Params!$B$7</f>
        <v>5015.0724614269484</v>
      </c>
      <c r="L24" s="2">
        <f t="shared" si="22"/>
        <v>87018.695532774247</v>
      </c>
      <c r="M24" s="2">
        <f>I23*Params!$B$8</f>
        <v>6686.7632819025985</v>
      </c>
      <c r="N24" s="2">
        <f t="shared" si="23"/>
        <v>129524.92737703238</v>
      </c>
      <c r="O24" s="2">
        <f>-PMT(Params!$B$9/12, 30*12, Params!$B$4*(1-Params!$B$5)) * 12</f>
        <v>0</v>
      </c>
      <c r="P24" s="2">
        <f t="shared" si="24"/>
        <v>0</v>
      </c>
      <c r="Q24" s="2">
        <f>Params!$B$4*(1-Params!$B$5)/30</f>
        <v>0</v>
      </c>
      <c r="R24" s="2">
        <f t="shared" si="1"/>
        <v>0</v>
      </c>
      <c r="S24" s="2">
        <f t="shared" si="25"/>
        <v>0</v>
      </c>
      <c r="T24" s="2">
        <f t="shared" si="2"/>
        <v>-100518.6955327741</v>
      </c>
      <c r="U24" s="31">
        <f>T24/Calcs!$B$4/Table!A24</f>
        <v>-2.0069620751277648E-2</v>
      </c>
      <c r="V24" s="2">
        <f>B24-K24-M24-O24</f>
        <v>31093.449260847075</v>
      </c>
      <c r="W24" s="2">
        <f>IF(V24&gt;0,V24*Params!$B$15,0)</f>
        <v>18656.069556508246</v>
      </c>
      <c r="X24" s="2">
        <f t="shared" si="26"/>
        <v>323709.54738192022</v>
      </c>
      <c r="Y24" s="2">
        <f>Y23*(1+Params!$B$3)+W24</f>
        <v>659111.39337463153</v>
      </c>
      <c r="Z24" s="2">
        <f t="shared" si="3"/>
        <v>335401.84599271131</v>
      </c>
      <c r="AA24" s="2">
        <f>T24+Z24</f>
        <v>234883.15045993723</v>
      </c>
      <c r="AB24" s="31">
        <f>AA24/Calcs!$B$4/A24</f>
        <v>4.6896905352887541E-2</v>
      </c>
      <c r="AC24" s="31">
        <f t="shared" si="4"/>
        <v>4.5606181345469197E-2</v>
      </c>
      <c r="AD24" s="2">
        <f>AA24-I24*Params!$B$23</f>
        <v>214421.65481731528</v>
      </c>
      <c r="AE24" s="7">
        <f t="shared" si="5"/>
        <v>21</v>
      </c>
      <c r="AF24" s="2">
        <f t="shared" si="6"/>
        <v>3566.2737503480516</v>
      </c>
      <c r="AG24" s="2">
        <f>(K24+M24+O24)/12</f>
        <v>975.15297861079546</v>
      </c>
      <c r="AH24" s="8" t="str">
        <f t="shared" si="27"/>
        <v/>
      </c>
      <c r="AI24" s="8"/>
      <c r="AJ24" s="47">
        <f t="shared" si="7"/>
        <v>21</v>
      </c>
      <c r="AK24" s="2">
        <f>AK23*(1+Params!$B$20)</f>
        <v>3097.7665150651228</v>
      </c>
      <c r="AL24" s="2">
        <f>Params!$B$21*AK24</f>
        <v>34849.873294482633</v>
      </c>
      <c r="AM24" s="2">
        <f t="shared" si="28"/>
        <v>633174.75959332858</v>
      </c>
      <c r="AN24" s="2">
        <f>Calcs!$B$5</f>
        <v>0</v>
      </c>
      <c r="AO24" s="2">
        <f t="shared" si="29"/>
        <v>0</v>
      </c>
      <c r="AP24" s="2">
        <f t="shared" si="8"/>
        <v>532656.06406055449</v>
      </c>
      <c r="AQ24" s="31">
        <f>AP24/Calcs!$B$4/A24</f>
        <v>0.10635041710303574</v>
      </c>
      <c r="AR24" s="2">
        <f>F24</f>
        <v>749024.12640416168</v>
      </c>
      <c r="AS24" s="31">
        <f>AR24/Calcs!$B$4/A24</f>
        <v>0.14955058927905793</v>
      </c>
      <c r="AT24" s="31">
        <f t="shared" si="9"/>
        <v>-4.3200172176022192E-2</v>
      </c>
      <c r="AU24" s="31"/>
      <c r="AV24" s="2">
        <f>I24*Params!$B$23</f>
        <v>20461.495642621951</v>
      </c>
      <c r="AW24" s="49">
        <f>J24*Params!$B$24</f>
        <v>17403.739106554876</v>
      </c>
      <c r="AX24" s="49">
        <f t="shared" si="10"/>
        <v>37865.234749176831</v>
      </c>
      <c r="AY24" s="2">
        <f t="shared" si="11"/>
        <v>20461.495642621951</v>
      </c>
      <c r="AZ24" s="2">
        <f>AP24-AY24</f>
        <v>512194.56841793255</v>
      </c>
      <c r="BA24" s="31">
        <f>AZ24/Calcs!$B$4/A24</f>
        <v>0.1022650630763567</v>
      </c>
      <c r="BB24" s="31">
        <f>BA24-AS24</f>
        <v>-4.7285526202701225E-2</v>
      </c>
      <c r="BE24" s="7">
        <f t="shared" si="0"/>
        <v>21</v>
      </c>
      <c r="BF24" s="2">
        <f t="shared" si="12"/>
        <v>116024.92737703252</v>
      </c>
      <c r="BG24" s="2">
        <f t="shared" si="13"/>
        <v>-87018.695532774247</v>
      </c>
      <c r="BH24" s="2">
        <f t="shared" si="14"/>
        <v>-129524.92737703238</v>
      </c>
      <c r="BI24" s="2">
        <f t="shared" si="15"/>
        <v>0</v>
      </c>
      <c r="BJ24" s="2">
        <f t="shared" si="16"/>
        <v>633174.75959332858</v>
      </c>
      <c r="BK24" s="2">
        <f t="shared" si="17"/>
        <v>0</v>
      </c>
      <c r="BL24" s="2">
        <f t="shared" si="18"/>
        <v>-20461.495642621951</v>
      </c>
    </row>
    <row r="25" spans="1:64">
      <c r="A25">
        <v>22</v>
      </c>
      <c r="B25" s="3">
        <f>B24*(1+Params!$B$14)</f>
        <v>43651.190704260152</v>
      </c>
      <c r="C25" s="2">
        <f t="shared" si="19"/>
        <v>786210.72591726703</v>
      </c>
      <c r="D25" s="2">
        <f>D24*(1+Params!$B$3)</f>
        <v>1056650.8152524531</v>
      </c>
      <c r="E25" s="2">
        <f t="shared" si="20"/>
        <v>69126.688848291407</v>
      </c>
      <c r="F25" s="2">
        <f t="shared" si="21"/>
        <v>818150.81525245309</v>
      </c>
      <c r="G25" s="2">
        <f>F25-C25</f>
        <v>31940.089335186058</v>
      </c>
      <c r="H25" s="31">
        <f>G25/Calcs!$B$4/A25</f>
        <v>6.0873050000354598E-3</v>
      </c>
      <c r="I25" s="3">
        <f>I24*(1+Params!$B$6)</f>
        <v>347845.42592457315</v>
      </c>
      <c r="J25" s="2">
        <f>I25-Params!$B$4</f>
        <v>122845.42592457315</v>
      </c>
      <c r="K25" s="2">
        <f>I24*Params!$B$7</f>
        <v>5115.3739106554876</v>
      </c>
      <c r="L25" s="2">
        <f t="shared" si="22"/>
        <v>92134.069443429733</v>
      </c>
      <c r="M25" s="2">
        <f>I24*Params!$B$8</f>
        <v>6820.4985475406502</v>
      </c>
      <c r="N25" s="2">
        <f t="shared" si="23"/>
        <v>136345.42592457304</v>
      </c>
      <c r="O25" s="2">
        <f>-PMT(Params!$B$9/12, 30*12, Params!$B$4*(1-Params!$B$5)) * 12</f>
        <v>0</v>
      </c>
      <c r="P25" s="2">
        <f t="shared" si="24"/>
        <v>0</v>
      </c>
      <c r="Q25" s="2">
        <f>Params!$B$4*(1-Params!$B$5)/30</f>
        <v>0</v>
      </c>
      <c r="R25" s="2">
        <f t="shared" si="1"/>
        <v>0</v>
      </c>
      <c r="S25" s="2">
        <f t="shared" si="25"/>
        <v>0</v>
      </c>
      <c r="T25" s="2">
        <f t="shared" si="2"/>
        <v>-105634.06944342962</v>
      </c>
      <c r="U25" s="31">
        <f>T25/Calcs!$B$4/Table!A25</f>
        <v>-2.0132279291677078E-2</v>
      </c>
      <c r="V25" s="2">
        <f>B25-K25-M25-O25</f>
        <v>31715.318246064016</v>
      </c>
      <c r="W25" s="2">
        <f>IF(V25&gt;0,V25*Params!$B$15,0)</f>
        <v>19029.19094763841</v>
      </c>
      <c r="X25" s="2">
        <f t="shared" si="26"/>
        <v>342738.73832955863</v>
      </c>
      <c r="Y25" s="2">
        <f>Y24*(1+Params!$B$3)+W25</f>
        <v>724278.38185849413</v>
      </c>
      <c r="Z25" s="2">
        <f t="shared" si="3"/>
        <v>381539.6435289355</v>
      </c>
      <c r="AA25" s="2">
        <f>T25+Z25</f>
        <v>275905.57408550591</v>
      </c>
      <c r="AB25" s="31">
        <f>AA25/Calcs!$B$4/A25</f>
        <v>5.258349039174879E-2</v>
      </c>
      <c r="AC25" s="31">
        <f t="shared" si="4"/>
        <v>4.6496185391713331E-2</v>
      </c>
      <c r="AD25" s="2">
        <f>AA25-I25*Params!$B$23</f>
        <v>255034.84853003151</v>
      </c>
      <c r="AE25" s="7">
        <f t="shared" si="5"/>
        <v>22</v>
      </c>
      <c r="AF25" s="2">
        <f t="shared" si="6"/>
        <v>3637.5992253550125</v>
      </c>
      <c r="AG25" s="2">
        <f>(K25+M25+O25)/12</f>
        <v>994.65603818301145</v>
      </c>
      <c r="AH25" s="8" t="str">
        <f t="shared" si="27"/>
        <v/>
      </c>
      <c r="AI25" s="8"/>
      <c r="AJ25" s="47">
        <f t="shared" si="7"/>
        <v>22</v>
      </c>
      <c r="AK25" s="2">
        <f>AK24*(1+Params!$B$20)</f>
        <v>3144.2330127910996</v>
      </c>
      <c r="AL25" s="2">
        <f>Params!$B$21*AK25</f>
        <v>35372.62139389987</v>
      </c>
      <c r="AM25" s="2">
        <f t="shared" si="28"/>
        <v>668547.38098722848</v>
      </c>
      <c r="AN25" s="2">
        <f>Calcs!$B$5</f>
        <v>0</v>
      </c>
      <c r="AO25" s="2">
        <f t="shared" si="29"/>
        <v>0</v>
      </c>
      <c r="AP25" s="2">
        <f t="shared" si="8"/>
        <v>562913.31154379889</v>
      </c>
      <c r="AQ25" s="31">
        <f>AP25/Calcs!$B$4/A25</f>
        <v>0.10728288765843318</v>
      </c>
      <c r="AR25" s="2">
        <f>F25</f>
        <v>818150.81525245309</v>
      </c>
      <c r="AS25" s="31">
        <f>AR25/Calcs!$B$4/A25</f>
        <v>0.15592735186820147</v>
      </c>
      <c r="AT25" s="31">
        <f t="shared" si="9"/>
        <v>-4.8644464209768298E-2</v>
      </c>
      <c r="AU25" s="31"/>
      <c r="AV25" s="2">
        <f>I25*Params!$B$23</f>
        <v>20870.72555547439</v>
      </c>
      <c r="AW25" s="49">
        <f>J25*Params!$B$24</f>
        <v>18426.813888685971</v>
      </c>
      <c r="AX25" s="49">
        <f t="shared" si="10"/>
        <v>39297.539444160357</v>
      </c>
      <c r="AY25" s="2">
        <f t="shared" si="11"/>
        <v>20870.72555547439</v>
      </c>
      <c r="AZ25" s="2">
        <f>AP25-AY25</f>
        <v>542042.58598832448</v>
      </c>
      <c r="BA25" s="31">
        <f>AZ25/Calcs!$B$4/A25</f>
        <v>0.10330523841973022</v>
      </c>
      <c r="BB25" s="31">
        <f>BA25-AS25</f>
        <v>-5.2622113448471258E-2</v>
      </c>
      <c r="BE25" s="7">
        <f t="shared" si="0"/>
        <v>22</v>
      </c>
      <c r="BF25" s="2">
        <f t="shared" si="12"/>
        <v>122845.42592457315</v>
      </c>
      <c r="BG25" s="2">
        <f t="shared" si="13"/>
        <v>-92134.069443429733</v>
      </c>
      <c r="BH25" s="2">
        <f t="shared" si="14"/>
        <v>-136345.42592457304</v>
      </c>
      <c r="BI25" s="2">
        <f t="shared" si="15"/>
        <v>0</v>
      </c>
      <c r="BJ25" s="2">
        <f t="shared" si="16"/>
        <v>668547.38098722848</v>
      </c>
      <c r="BK25" s="2">
        <f t="shared" si="17"/>
        <v>0</v>
      </c>
      <c r="BL25" s="2">
        <f t="shared" si="18"/>
        <v>-20870.72555547439</v>
      </c>
    </row>
    <row r="26" spans="1:64">
      <c r="A26">
        <v>23</v>
      </c>
      <c r="B26" s="3">
        <f>B25*(1+Params!$B$14)</f>
        <v>44524.214518345354</v>
      </c>
      <c r="C26" s="2">
        <f t="shared" si="19"/>
        <v>830734.94043561234</v>
      </c>
      <c r="D26" s="2">
        <f>D25*(1+Params!$B$3)</f>
        <v>1130616.3723201249</v>
      </c>
      <c r="E26" s="2">
        <f t="shared" si="20"/>
        <v>73965.557067671791</v>
      </c>
      <c r="F26" s="2">
        <f t="shared" si="21"/>
        <v>892116.37232012488</v>
      </c>
      <c r="G26" s="2">
        <f>F26-C26</f>
        <v>61381.431884512538</v>
      </c>
      <c r="H26" s="31">
        <f>G26/Calcs!$B$4/A26</f>
        <v>1.1189760620638509E-2</v>
      </c>
      <c r="I26" s="3">
        <f>I25*(1+Params!$B$6)</f>
        <v>354802.33444306464</v>
      </c>
      <c r="J26" s="2">
        <f>I26-Params!$B$4</f>
        <v>129802.33444306464</v>
      </c>
      <c r="K26" s="2">
        <f>I25*Params!$B$7</f>
        <v>5217.6813888685974</v>
      </c>
      <c r="L26" s="2">
        <f t="shared" si="22"/>
        <v>97351.750832298334</v>
      </c>
      <c r="M26" s="2">
        <f>I25*Params!$B$8</f>
        <v>6956.9085184914629</v>
      </c>
      <c r="N26" s="2">
        <f t="shared" si="23"/>
        <v>143302.33444306449</v>
      </c>
      <c r="O26" s="2">
        <f>-PMT(Params!$B$9/12, 30*12, Params!$B$4*(1-Params!$B$5)) * 12</f>
        <v>0</v>
      </c>
      <c r="P26" s="2">
        <f t="shared" si="24"/>
        <v>0</v>
      </c>
      <c r="Q26" s="2">
        <f>Params!$B$4*(1-Params!$B$5)/30</f>
        <v>0</v>
      </c>
      <c r="R26" s="2">
        <f t="shared" si="1"/>
        <v>0</v>
      </c>
      <c r="S26" s="2">
        <f t="shared" si="25"/>
        <v>0</v>
      </c>
      <c r="T26" s="2">
        <f t="shared" si="2"/>
        <v>-110851.75083229819</v>
      </c>
      <c r="U26" s="31">
        <f>T26/Calcs!$B$4/Table!A26</f>
        <v>-2.0208139792598338E-2</v>
      </c>
      <c r="V26" s="2">
        <f>B26-K26-M26-O26</f>
        <v>32349.624610985291</v>
      </c>
      <c r="W26" s="2">
        <f>IF(V26&gt;0,V26*Params!$B$15,0)</f>
        <v>19409.774766591174</v>
      </c>
      <c r="X26" s="2">
        <f t="shared" si="26"/>
        <v>362148.51309614978</v>
      </c>
      <c r="Y26" s="2">
        <f>Y25*(1+Params!$B$3)+W26</f>
        <v>794387.64335517993</v>
      </c>
      <c r="Z26" s="2">
        <f t="shared" si="3"/>
        <v>432239.13025903015</v>
      </c>
      <c r="AA26" s="2">
        <f>T26+Z26</f>
        <v>321387.37942673196</v>
      </c>
      <c r="AB26" s="31">
        <f>AA26/Calcs!$B$4/A26</f>
        <v>5.8588529655771028E-2</v>
      </c>
      <c r="AC26" s="31">
        <f t="shared" si="4"/>
        <v>4.7398769035132515E-2</v>
      </c>
      <c r="AD26" s="2">
        <f>AA26-I26*Params!$B$23</f>
        <v>300099.23936014809</v>
      </c>
      <c r="AE26" s="7">
        <f t="shared" si="5"/>
        <v>23</v>
      </c>
      <c r="AF26" s="2">
        <f t="shared" si="6"/>
        <v>3710.3512098621127</v>
      </c>
      <c r="AG26" s="2">
        <f>(K26+M26+O26)/12</f>
        <v>1014.5491589466716</v>
      </c>
      <c r="AH26" s="8" t="str">
        <f t="shared" si="27"/>
        <v/>
      </c>
      <c r="AI26" s="8"/>
      <c r="AJ26" s="47">
        <f t="shared" si="7"/>
        <v>23</v>
      </c>
      <c r="AK26" s="2">
        <f>AK25*(1+Params!$B$20)</f>
        <v>3191.3965079829659</v>
      </c>
      <c r="AL26" s="2">
        <f>Params!$B$21*AK26</f>
        <v>35903.210714808367</v>
      </c>
      <c r="AM26" s="2">
        <f t="shared" si="28"/>
        <v>704450.59170203679</v>
      </c>
      <c r="AN26" s="2">
        <f>Calcs!$B$5</f>
        <v>0</v>
      </c>
      <c r="AO26" s="2">
        <f t="shared" si="29"/>
        <v>0</v>
      </c>
      <c r="AP26" s="2">
        <f t="shared" si="8"/>
        <v>593598.8408697386</v>
      </c>
      <c r="AQ26" s="31">
        <f>AP26/Calcs!$B$4/A26</f>
        <v>0.10821234907843197</v>
      </c>
      <c r="AR26" s="2">
        <f>F26</f>
        <v>892116.37232012488</v>
      </c>
      <c r="AS26" s="31">
        <f>AR26/Calcs!$B$4/A26</f>
        <v>0.16263173317293317</v>
      </c>
      <c r="AT26" s="31">
        <f t="shared" si="9"/>
        <v>-5.44193840945012E-2</v>
      </c>
      <c r="AU26" s="31"/>
      <c r="AV26" s="2">
        <f>I26*Params!$B$23</f>
        <v>21288.140066583877</v>
      </c>
      <c r="AW26" s="49">
        <f>J26*Params!$B$24</f>
        <v>19470.350166459695</v>
      </c>
      <c r="AX26" s="49">
        <f t="shared" si="10"/>
        <v>40758.490233043573</v>
      </c>
      <c r="AY26" s="2">
        <f t="shared" si="11"/>
        <v>21288.140066583877</v>
      </c>
      <c r="AZ26" s="2">
        <f>AP26-AY26</f>
        <v>572310.70080315473</v>
      </c>
      <c r="BA26" s="31">
        <f>AZ26/Calcs!$B$4/A26</f>
        <v>0.10433154695162787</v>
      </c>
      <c r="BB26" s="31">
        <f>BA26-AS26</f>
        <v>-5.8300186221305297E-2</v>
      </c>
      <c r="BE26" s="7">
        <f t="shared" si="0"/>
        <v>23</v>
      </c>
      <c r="BF26" s="2">
        <f t="shared" si="12"/>
        <v>129802.33444306464</v>
      </c>
      <c r="BG26" s="2">
        <f t="shared" si="13"/>
        <v>-97351.750832298334</v>
      </c>
      <c r="BH26" s="2">
        <f t="shared" si="14"/>
        <v>-143302.33444306449</v>
      </c>
      <c r="BI26" s="2">
        <f t="shared" si="15"/>
        <v>0</v>
      </c>
      <c r="BJ26" s="2">
        <f t="shared" si="16"/>
        <v>704450.59170203679</v>
      </c>
      <c r="BK26" s="2">
        <f t="shared" si="17"/>
        <v>0</v>
      </c>
      <c r="BL26" s="2">
        <f t="shared" si="18"/>
        <v>-21288.140066583877</v>
      </c>
    </row>
    <row r="27" spans="1:64">
      <c r="A27">
        <v>24</v>
      </c>
      <c r="B27" s="3">
        <f>B26*(1+Params!$B$14)</f>
        <v>45414.698808712259</v>
      </c>
      <c r="C27" s="2">
        <f t="shared" si="19"/>
        <v>876149.63924432464</v>
      </c>
      <c r="D27" s="2">
        <f>D26*(1+Params!$B$3)</f>
        <v>1209759.5183825337</v>
      </c>
      <c r="E27" s="2">
        <f t="shared" si="20"/>
        <v>79143.146062408807</v>
      </c>
      <c r="F27" s="2">
        <f t="shared" si="21"/>
        <v>971259.51838253369</v>
      </c>
      <c r="G27" s="2">
        <f>F27-C27</f>
        <v>95109.879138209042</v>
      </c>
      <c r="H27" s="31">
        <f>G27/Calcs!$B$4/A27</f>
        <v>1.661598168033002E-2</v>
      </c>
      <c r="I27" s="3">
        <f>I26*(1+Params!$B$6)</f>
        <v>361898.38113192591</v>
      </c>
      <c r="J27" s="2">
        <f>I27-Params!$B$4</f>
        <v>136898.38113192591</v>
      </c>
      <c r="K27" s="2">
        <f>I26*Params!$B$7</f>
        <v>5322.0350166459693</v>
      </c>
      <c r="L27" s="2">
        <f t="shared" si="22"/>
        <v>102673.7858489443</v>
      </c>
      <c r="M27" s="2">
        <f>I26*Params!$B$8</f>
        <v>7096.0466888612928</v>
      </c>
      <c r="N27" s="2">
        <f t="shared" si="23"/>
        <v>150398.38113192579</v>
      </c>
      <c r="O27" s="2">
        <f>-PMT(Params!$B$9/12, 30*12, Params!$B$4*(1-Params!$B$5)) * 12</f>
        <v>0</v>
      </c>
      <c r="P27" s="2">
        <f t="shared" si="24"/>
        <v>0</v>
      </c>
      <c r="Q27" s="2">
        <f>Params!$B$4*(1-Params!$B$5)/30</f>
        <v>0</v>
      </c>
      <c r="R27" s="2">
        <f t="shared" si="1"/>
        <v>0</v>
      </c>
      <c r="S27" s="2">
        <f t="shared" si="25"/>
        <v>0</v>
      </c>
      <c r="T27" s="2">
        <f t="shared" si="2"/>
        <v>-116173.78584894419</v>
      </c>
      <c r="U27" s="31">
        <f>T27/Calcs!$B$4/Table!A27</f>
        <v>-2.029590947745356E-2</v>
      </c>
      <c r="V27" s="2">
        <f>B27-K27-M27-O27</f>
        <v>32996.617103204997</v>
      </c>
      <c r="W27" s="2">
        <f>IF(V27&gt;0,V27*Params!$B$15,0)</f>
        <v>19797.970261922997</v>
      </c>
      <c r="X27" s="2">
        <f t="shared" si="26"/>
        <v>381946.48335807276</v>
      </c>
      <c r="Y27" s="2">
        <f>Y26*(1+Params!$B$3)+W27</f>
        <v>869792.74865196564</v>
      </c>
      <c r="Z27" s="2">
        <f t="shared" si="3"/>
        <v>487846.26529389288</v>
      </c>
      <c r="AA27" s="2">
        <f>T27+Z27</f>
        <v>371672.47944494872</v>
      </c>
      <c r="AB27" s="31">
        <f>AA27/Calcs!$B$4/A27</f>
        <v>6.4932298994575241E-2</v>
      </c>
      <c r="AC27" s="31">
        <f t="shared" si="4"/>
        <v>4.8316317314245225E-2</v>
      </c>
      <c r="AD27" s="2">
        <f>AA27-I27*Params!$B$23</f>
        <v>349958.57657703315</v>
      </c>
      <c r="AE27" s="7">
        <f t="shared" si="5"/>
        <v>24</v>
      </c>
      <c r="AF27" s="2">
        <f t="shared" si="6"/>
        <v>3784.5582340593551</v>
      </c>
      <c r="AG27" s="2">
        <f>(K27+M27+O27)/12</f>
        <v>1034.8401421256051</v>
      </c>
      <c r="AH27" s="8" t="str">
        <f t="shared" si="27"/>
        <v/>
      </c>
      <c r="AI27" s="8"/>
      <c r="AJ27" s="47">
        <f t="shared" si="7"/>
        <v>24</v>
      </c>
      <c r="AK27" s="2">
        <f>AK26*(1+Params!$B$20)</f>
        <v>3239.26745560271</v>
      </c>
      <c r="AL27" s="2">
        <f>Params!$B$21*AK27</f>
        <v>36441.75887553049</v>
      </c>
      <c r="AM27" s="2">
        <f t="shared" si="28"/>
        <v>740892.35057756724</v>
      </c>
      <c r="AN27" s="2">
        <f>Calcs!$B$5</f>
        <v>0</v>
      </c>
      <c r="AO27" s="2">
        <f t="shared" si="29"/>
        <v>0</v>
      </c>
      <c r="AP27" s="2">
        <f t="shared" si="8"/>
        <v>624718.56472862302</v>
      </c>
      <c r="AQ27" s="31">
        <f>AP27/Calcs!$B$4/A27</f>
        <v>0.10914021046971052</v>
      </c>
      <c r="AR27" s="2">
        <f>F27</f>
        <v>971259.51838253369</v>
      </c>
      <c r="AS27" s="31">
        <f>AR27/Calcs!$B$4/A27</f>
        <v>0.16968195639107855</v>
      </c>
      <c r="AT27" s="31">
        <f t="shared" si="9"/>
        <v>-6.0541745921368031E-2</v>
      </c>
      <c r="AU27" s="31"/>
      <c r="AV27" s="2">
        <f>I27*Params!$B$23</f>
        <v>21713.902867915553</v>
      </c>
      <c r="AW27" s="49">
        <f>J27*Params!$B$24</f>
        <v>20534.757169788885</v>
      </c>
      <c r="AX27" s="49">
        <f t="shared" si="10"/>
        <v>42248.660037704438</v>
      </c>
      <c r="AY27" s="2">
        <f t="shared" si="11"/>
        <v>21713.902867915553</v>
      </c>
      <c r="AZ27" s="2">
        <f>AP27-AY27</f>
        <v>603004.66186070745</v>
      </c>
      <c r="BA27" s="31">
        <f>AZ27/Calcs!$B$4/A27</f>
        <v>0.10534672639075952</v>
      </c>
      <c r="BB27" s="31">
        <f>BA27-AS27</f>
        <v>-6.433523000031903E-2</v>
      </c>
      <c r="BE27" s="7">
        <f t="shared" si="0"/>
        <v>24</v>
      </c>
      <c r="BF27" s="2">
        <f t="shared" si="12"/>
        <v>136898.38113192591</v>
      </c>
      <c r="BG27" s="2">
        <f t="shared" si="13"/>
        <v>-102673.7858489443</v>
      </c>
      <c r="BH27" s="2">
        <f t="shared" si="14"/>
        <v>-150398.38113192579</v>
      </c>
      <c r="BI27" s="2">
        <f t="shared" si="15"/>
        <v>0</v>
      </c>
      <c r="BJ27" s="2">
        <f t="shared" si="16"/>
        <v>740892.35057756724</v>
      </c>
      <c r="BK27" s="2">
        <f t="shared" si="17"/>
        <v>0</v>
      </c>
      <c r="BL27" s="2">
        <f t="shared" si="18"/>
        <v>-21713.902867915553</v>
      </c>
    </row>
    <row r="28" spans="1:64">
      <c r="A28">
        <v>25</v>
      </c>
      <c r="B28" s="3">
        <f>B27*(1+Params!$B$14)</f>
        <v>46322.992784886505</v>
      </c>
      <c r="C28" s="2">
        <f t="shared" si="19"/>
        <v>922472.63202921115</v>
      </c>
      <c r="D28" s="2">
        <f>D27*(1+Params!$B$3)</f>
        <v>1294442.6846693112</v>
      </c>
      <c r="E28" s="2">
        <f t="shared" si="20"/>
        <v>84683.166286777472</v>
      </c>
      <c r="F28" s="2">
        <f t="shared" si="21"/>
        <v>1055942.6846693112</v>
      </c>
      <c r="G28" s="2">
        <f>F28-C28</f>
        <v>133470.05264010001</v>
      </c>
      <c r="H28" s="31">
        <f>G28/Calcs!$B$4/A28</f>
        <v>2.2384914488905661E-2</v>
      </c>
      <c r="I28" s="3">
        <f>I27*(1+Params!$B$6)</f>
        <v>369136.34875456442</v>
      </c>
      <c r="J28" s="2">
        <f>I28-Params!$B$4</f>
        <v>144136.34875456442</v>
      </c>
      <c r="K28" s="2">
        <f>I27*Params!$B$7</f>
        <v>5428.4757169788882</v>
      </c>
      <c r="L28" s="2">
        <f t="shared" si="22"/>
        <v>108102.2615659232</v>
      </c>
      <c r="M28" s="2">
        <f>I27*Params!$B$8</f>
        <v>7237.9676226385182</v>
      </c>
      <c r="N28" s="2">
        <f t="shared" si="23"/>
        <v>157636.3487545643</v>
      </c>
      <c r="O28" s="2">
        <f>-PMT(Params!$B$9/12, 30*12, Params!$B$4*(1-Params!$B$5)) * 12</f>
        <v>0</v>
      </c>
      <c r="P28" s="2">
        <f t="shared" si="24"/>
        <v>0</v>
      </c>
      <c r="Q28" s="2">
        <f>Params!$B$4*(1-Params!$B$5)/30</f>
        <v>0</v>
      </c>
      <c r="R28" s="2">
        <f t="shared" si="1"/>
        <v>0</v>
      </c>
      <c r="S28" s="2">
        <f t="shared" si="25"/>
        <v>0</v>
      </c>
      <c r="T28" s="2">
        <f t="shared" si="2"/>
        <v>-121602.26156592308</v>
      </c>
      <c r="U28" s="31">
        <f>T28/Calcs!$B$4/Table!A28</f>
        <v>-2.0394509277303664E-2</v>
      </c>
      <c r="V28" s="2">
        <f>B28-K28-M28-O28</f>
        <v>33656.549445269098</v>
      </c>
      <c r="W28" s="2">
        <f>IF(V28&gt;0,V28*Params!$B$15,0)</f>
        <v>20193.929667161457</v>
      </c>
      <c r="X28" s="2">
        <f t="shared" si="26"/>
        <v>402140.41302523424</v>
      </c>
      <c r="Y28" s="2">
        <f>Y27*(1+Params!$B$3)+W28</f>
        <v>950872.1707247647</v>
      </c>
      <c r="Z28" s="2">
        <f t="shared" si="3"/>
        <v>548731.75769953046</v>
      </c>
      <c r="AA28" s="2">
        <f>T28+Z28</f>
        <v>427129.49613360735</v>
      </c>
      <c r="AB28" s="31">
        <f>AA28/Calcs!$B$4/A28</f>
        <v>7.1635974194315694E-2</v>
      </c>
      <c r="AC28" s="31">
        <f t="shared" si="4"/>
        <v>4.9251059705410036E-2</v>
      </c>
      <c r="AD28" s="2">
        <f>AA28-I28*Params!$B$23</f>
        <v>404981.31520833349</v>
      </c>
      <c r="AE28" s="7">
        <f t="shared" si="5"/>
        <v>25</v>
      </c>
      <c r="AF28" s="2">
        <f t="shared" si="6"/>
        <v>3860.2493987405419</v>
      </c>
      <c r="AG28" s="2">
        <f>(K28+M28+O28)/12</f>
        <v>1055.5369449681173</v>
      </c>
      <c r="AH28" s="8" t="str">
        <f t="shared" si="27"/>
        <v/>
      </c>
      <c r="AI28" s="8"/>
      <c r="AJ28" s="47">
        <f t="shared" si="7"/>
        <v>25</v>
      </c>
      <c r="AK28" s="2">
        <f>AK27*(1+Params!$B$20)</f>
        <v>3287.8564674367503</v>
      </c>
      <c r="AL28" s="2">
        <f>Params!$B$21*AK28</f>
        <v>36988.385258663438</v>
      </c>
      <c r="AM28" s="2">
        <f t="shared" si="28"/>
        <v>777880.73583623068</v>
      </c>
      <c r="AN28" s="2">
        <f>Calcs!$B$5</f>
        <v>0</v>
      </c>
      <c r="AO28" s="2">
        <f t="shared" si="29"/>
        <v>0</v>
      </c>
      <c r="AP28" s="2">
        <f t="shared" si="8"/>
        <v>656278.47427030758</v>
      </c>
      <c r="AQ28" s="31">
        <f>AP28/Calcs!$B$4/A28</f>
        <v>0.11006766864072244</v>
      </c>
      <c r="AR28" s="2">
        <f>F28</f>
        <v>1055942.6846693112</v>
      </c>
      <c r="AS28" s="31">
        <f>AR28/Calcs!$B$4/A28</f>
        <v>0.17709730560491593</v>
      </c>
      <c r="AT28" s="31">
        <f t="shared" si="9"/>
        <v>-6.7029636964193492E-2</v>
      </c>
      <c r="AU28" s="31"/>
      <c r="AV28" s="2">
        <f>I28*Params!$B$23</f>
        <v>22148.180925273864</v>
      </c>
      <c r="AW28" s="49">
        <f>J28*Params!$B$24</f>
        <v>21620.452313184662</v>
      </c>
      <c r="AX28" s="49">
        <f t="shared" si="10"/>
        <v>43768.633238458526</v>
      </c>
      <c r="AY28" s="2">
        <f t="shared" si="11"/>
        <v>22148.180925273864</v>
      </c>
      <c r="AZ28" s="2">
        <f>AP28-AY28</f>
        <v>634130.29334503366</v>
      </c>
      <c r="BA28" s="31">
        <f>AZ28/Calcs!$B$4/A28</f>
        <v>0.10635308903061361</v>
      </c>
      <c r="BB28" s="31">
        <f>BA28-AS28</f>
        <v>-7.0744216574302327E-2</v>
      </c>
      <c r="BE28" s="7">
        <f t="shared" si="0"/>
        <v>25</v>
      </c>
      <c r="BF28" s="2">
        <f t="shared" si="12"/>
        <v>144136.34875456442</v>
      </c>
      <c r="BG28" s="2">
        <f t="shared" si="13"/>
        <v>-108102.2615659232</v>
      </c>
      <c r="BH28" s="2">
        <f t="shared" si="14"/>
        <v>-157636.3487545643</v>
      </c>
      <c r="BI28" s="2">
        <f t="shared" si="15"/>
        <v>0</v>
      </c>
      <c r="BJ28" s="2">
        <f t="shared" si="16"/>
        <v>777880.73583623068</v>
      </c>
      <c r="BK28" s="2">
        <f t="shared" si="17"/>
        <v>0</v>
      </c>
      <c r="BL28" s="2">
        <f t="shared" si="18"/>
        <v>-22148.180925273864</v>
      </c>
    </row>
    <row r="29" spans="1:64">
      <c r="A29">
        <v>26</v>
      </c>
      <c r="B29" s="3">
        <f>B28*(1+Params!$B$14)</f>
        <v>47249.452640584233</v>
      </c>
      <c r="C29" s="2">
        <f t="shared" si="19"/>
        <v>969722.08466979535</v>
      </c>
      <c r="D29" s="2">
        <f>D28*(1+Params!$B$3)</f>
        <v>1385053.6725961631</v>
      </c>
      <c r="E29" s="2">
        <f t="shared" si="20"/>
        <v>90610.987926851958</v>
      </c>
      <c r="F29" s="2">
        <f t="shared" si="21"/>
        <v>1146553.6725961631</v>
      </c>
      <c r="G29" s="2">
        <f>F29-C29</f>
        <v>176831.58792636776</v>
      </c>
      <c r="H29" s="31">
        <f>G29/Calcs!$B$4/A29</f>
        <v>2.8516624403542617E-2</v>
      </c>
      <c r="I29" s="3">
        <f>I28*(1+Params!$B$6)</f>
        <v>376519.07572965568</v>
      </c>
      <c r="J29" s="2">
        <f>I29-Params!$B$4</f>
        <v>151519.07572965568</v>
      </c>
      <c r="K29" s="2">
        <f>I28*Params!$B$7</f>
        <v>5537.045231318466</v>
      </c>
      <c r="L29" s="2">
        <f t="shared" si="22"/>
        <v>113639.30679724166</v>
      </c>
      <c r="M29" s="2">
        <f>I28*Params!$B$8</f>
        <v>7382.7269750912883</v>
      </c>
      <c r="N29" s="2">
        <f t="shared" si="23"/>
        <v>165019.0757296556</v>
      </c>
      <c r="O29" s="2">
        <f>-PMT(Params!$B$9/12, 30*12, Params!$B$4*(1-Params!$B$5)) * 12</f>
        <v>0</v>
      </c>
      <c r="P29" s="2">
        <f t="shared" si="24"/>
        <v>0</v>
      </c>
      <c r="Q29" s="2">
        <f>Params!$B$4*(1-Params!$B$5)/30</f>
        <v>0</v>
      </c>
      <c r="R29" s="2">
        <f t="shared" si="1"/>
        <v>0</v>
      </c>
      <c r="S29" s="2">
        <f t="shared" si="25"/>
        <v>0</v>
      </c>
      <c r="T29" s="2">
        <f t="shared" si="2"/>
        <v>-127139.30679724157</v>
      </c>
      <c r="U29" s="31">
        <f>T29/Calcs!$B$4/Table!A29</f>
        <v>-2.0503032865221989E-2</v>
      </c>
      <c r="V29" s="2">
        <f>B29-K29-M29-O29</f>
        <v>34329.680434174479</v>
      </c>
      <c r="W29" s="2">
        <f>IF(V29&gt;0,V29*Params!$B$15,0)</f>
        <v>20597.808260504687</v>
      </c>
      <c r="X29" s="2">
        <f t="shared" si="26"/>
        <v>422738.22128573892</v>
      </c>
      <c r="Y29" s="2">
        <f>Y28*(1+Params!$B$3)+W29</f>
        <v>1038031.0309360031</v>
      </c>
      <c r="Z29" s="2">
        <f t="shared" si="3"/>
        <v>615292.80965026421</v>
      </c>
      <c r="AA29" s="2">
        <f>T29+Z29</f>
        <v>488153.50285302266</v>
      </c>
      <c r="AB29" s="31">
        <f>AA29/Calcs!$B$4/A29</f>
        <v>7.8721738889376336E-2</v>
      </c>
      <c r="AC29" s="31">
        <f t="shared" si="4"/>
        <v>5.0205114485833716E-2</v>
      </c>
      <c r="AD29" s="2">
        <f>AA29-I29*Params!$B$23</f>
        <v>465562.35830924334</v>
      </c>
      <c r="AE29" s="7">
        <f t="shared" si="5"/>
        <v>26</v>
      </c>
      <c r="AF29" s="2">
        <f t="shared" si="6"/>
        <v>3937.4543867153529</v>
      </c>
      <c r="AG29" s="2">
        <f>(K29+M29+O29)/12</f>
        <v>1076.6476838674796</v>
      </c>
      <c r="AH29" s="8" t="str">
        <f t="shared" si="27"/>
        <v/>
      </c>
      <c r="AI29" s="8"/>
      <c r="AJ29" s="47">
        <f t="shared" si="7"/>
        <v>26</v>
      </c>
      <c r="AK29" s="2">
        <f>AK28*(1+Params!$B$20)</f>
        <v>3337.1743144483012</v>
      </c>
      <c r="AL29" s="2">
        <f>Params!$B$21*AK29</f>
        <v>37543.211037543391</v>
      </c>
      <c r="AM29" s="2">
        <f t="shared" si="28"/>
        <v>815423.94687377405</v>
      </c>
      <c r="AN29" s="2">
        <f>Calcs!$B$5</f>
        <v>0</v>
      </c>
      <c r="AO29" s="2">
        <f t="shared" si="29"/>
        <v>0</v>
      </c>
      <c r="AP29" s="2">
        <f t="shared" si="8"/>
        <v>688284.64007653249</v>
      </c>
      <c r="AQ29" s="31">
        <f>AP29/Calcs!$B$4/A29</f>
        <v>0.11099574908507216</v>
      </c>
      <c r="AR29" s="2">
        <f>F29</f>
        <v>1146553.6725961631</v>
      </c>
      <c r="AS29" s="31">
        <f>AR29/Calcs!$B$4/A29</f>
        <v>0.18489818942044239</v>
      </c>
      <c r="AT29" s="31">
        <f t="shared" si="9"/>
        <v>-7.3902440335370231E-2</v>
      </c>
      <c r="AU29" s="31"/>
      <c r="AV29" s="2">
        <f>I29*Params!$B$23</f>
        <v>22591.144543779341</v>
      </c>
      <c r="AW29" s="49">
        <f>J29*Params!$B$24</f>
        <v>22727.86135944835</v>
      </c>
      <c r="AX29" s="49">
        <f t="shared" si="10"/>
        <v>45319.005903227691</v>
      </c>
      <c r="AY29" s="2">
        <f t="shared" si="11"/>
        <v>22591.144543779341</v>
      </c>
      <c r="AZ29" s="2">
        <f>AP29-AY29</f>
        <v>665693.49553275318</v>
      </c>
      <c r="BA29" s="31">
        <f>AZ29/Calcs!$B$4/A29</f>
        <v>0.10735260369823466</v>
      </c>
      <c r="BB29" s="31">
        <f>BA29-AS29</f>
        <v>-7.7545585722207738E-2</v>
      </c>
      <c r="BE29" s="7">
        <f t="shared" si="0"/>
        <v>26</v>
      </c>
      <c r="BF29" s="2">
        <f t="shared" si="12"/>
        <v>151519.07572965568</v>
      </c>
      <c r="BG29" s="2">
        <f t="shared" si="13"/>
        <v>-113639.30679724166</v>
      </c>
      <c r="BH29" s="2">
        <f t="shared" si="14"/>
        <v>-165019.0757296556</v>
      </c>
      <c r="BI29" s="2">
        <f t="shared" si="15"/>
        <v>0</v>
      </c>
      <c r="BJ29" s="2">
        <f t="shared" si="16"/>
        <v>815423.94687377405</v>
      </c>
      <c r="BK29" s="2">
        <f t="shared" si="17"/>
        <v>0</v>
      </c>
      <c r="BL29" s="2">
        <f t="shared" si="18"/>
        <v>-22591.144543779341</v>
      </c>
    </row>
    <row r="30" spans="1:64">
      <c r="A30">
        <v>27</v>
      </c>
      <c r="B30" s="3">
        <f>B29*(1+Params!$B$14)</f>
        <v>48194.441693395922</v>
      </c>
      <c r="C30" s="2">
        <f t="shared" si="19"/>
        <v>1017916.5263631913</v>
      </c>
      <c r="D30" s="2">
        <f>D29*(1+Params!$B$3)</f>
        <v>1482007.4296778946</v>
      </c>
      <c r="E30" s="2">
        <f t="shared" si="20"/>
        <v>96953.757081731455</v>
      </c>
      <c r="F30" s="2">
        <f t="shared" si="21"/>
        <v>1243507.4296778946</v>
      </c>
      <c r="G30" s="2">
        <f>F30-C30</f>
        <v>225590.90331470326</v>
      </c>
      <c r="H30" s="31">
        <f>G30/Calcs!$B$4/A30</f>
        <v>3.5032363275829377E-2</v>
      </c>
      <c r="I30" s="3">
        <f>I29*(1+Params!$B$6)</f>
        <v>384049.45724424883</v>
      </c>
      <c r="J30" s="2">
        <f>I30-Params!$B$4</f>
        <v>159049.45724424883</v>
      </c>
      <c r="K30" s="2">
        <f>I29*Params!$B$7</f>
        <v>5647.7861359448352</v>
      </c>
      <c r="L30" s="2">
        <f t="shared" si="22"/>
        <v>119287.09293318649</v>
      </c>
      <c r="M30" s="2">
        <f>I29*Params!$B$8</f>
        <v>7530.3815145931139</v>
      </c>
      <c r="N30" s="2">
        <f t="shared" si="23"/>
        <v>172549.45724424871</v>
      </c>
      <c r="O30" s="2">
        <f>-PMT(Params!$B$9/12, 30*12, Params!$B$4*(1-Params!$B$5)) * 12</f>
        <v>0</v>
      </c>
      <c r="P30" s="2">
        <f t="shared" si="24"/>
        <v>0</v>
      </c>
      <c r="Q30" s="2">
        <f>Params!$B$4*(1-Params!$B$5)/30</f>
        <v>0</v>
      </c>
      <c r="R30" s="2">
        <f t="shared" si="1"/>
        <v>0</v>
      </c>
      <c r="S30" s="2">
        <f t="shared" si="25"/>
        <v>0</v>
      </c>
      <c r="T30" s="2">
        <f t="shared" si="2"/>
        <v>-132787.09293318639</v>
      </c>
      <c r="U30" s="31">
        <f>T30/Calcs!$B$4/Table!A30</f>
        <v>-2.0620714796674645E-2</v>
      </c>
      <c r="V30" s="2">
        <f>B30-K30-M30-O30</f>
        <v>35016.274042857971</v>
      </c>
      <c r="W30" s="2">
        <f>IF(V30&gt;0,V30*Params!$B$15,0)</f>
        <v>21009.76442571478</v>
      </c>
      <c r="X30" s="2">
        <f t="shared" si="26"/>
        <v>443747.98571145372</v>
      </c>
      <c r="Y30" s="2">
        <f>Y29*(1+Params!$B$3)+W30</f>
        <v>1131702.9675272382</v>
      </c>
      <c r="Z30" s="2">
        <f t="shared" si="3"/>
        <v>687954.98181578447</v>
      </c>
      <c r="AA30" s="2">
        <f>T30+Z30</f>
        <v>555167.88888259814</v>
      </c>
      <c r="AB30" s="31">
        <f>AA30/Calcs!$B$4/A30</f>
        <v>8.6212887473033337E-2</v>
      </c>
      <c r="AC30" s="31">
        <f t="shared" si="4"/>
        <v>5.118052419720396E-2</v>
      </c>
      <c r="AD30" s="2">
        <f>AA30-I30*Params!$B$23</f>
        <v>532124.9214479432</v>
      </c>
      <c r="AE30" s="7">
        <f t="shared" si="5"/>
        <v>27</v>
      </c>
      <c r="AF30" s="2">
        <f t="shared" si="6"/>
        <v>4016.20347444966</v>
      </c>
      <c r="AG30" s="2">
        <f>(K30+M30+O30)/12</f>
        <v>1098.1806375448291</v>
      </c>
      <c r="AH30" s="8" t="str">
        <f t="shared" si="27"/>
        <v/>
      </c>
      <c r="AI30" s="8"/>
      <c r="AJ30" s="47">
        <f t="shared" si="7"/>
        <v>27</v>
      </c>
      <c r="AK30" s="2">
        <f>AK29*(1+Params!$B$20)</f>
        <v>3387.2319291650256</v>
      </c>
      <c r="AL30" s="2">
        <f>Params!$B$21*AK30</f>
        <v>38106.359203106535</v>
      </c>
      <c r="AM30" s="2">
        <f t="shared" si="28"/>
        <v>853530.30607688054</v>
      </c>
      <c r="AN30" s="2">
        <f>Calcs!$B$5</f>
        <v>0</v>
      </c>
      <c r="AO30" s="2">
        <f t="shared" si="29"/>
        <v>0</v>
      </c>
      <c r="AP30" s="2">
        <f t="shared" si="8"/>
        <v>720743.21314369421</v>
      </c>
      <c r="AQ30" s="31">
        <f>AP30/Calcs!$B$4/A30</f>
        <v>0.11192533785910308</v>
      </c>
      <c r="AR30" s="2">
        <f>F30</f>
        <v>1243507.4296778946</v>
      </c>
      <c r="AS30" s="31">
        <f>AR30/Calcs!$B$4/A30</f>
        <v>0.1931062085065447</v>
      </c>
      <c r="AT30" s="31">
        <f t="shared" si="9"/>
        <v>-8.1180870647441616E-2</v>
      </c>
      <c r="AU30" s="31"/>
      <c r="AV30" s="2">
        <f>I30*Params!$B$23</f>
        <v>23042.967434654929</v>
      </c>
      <c r="AW30" s="49">
        <f>J30*Params!$B$24</f>
        <v>23857.418586637323</v>
      </c>
      <c r="AX30" s="49">
        <f t="shared" si="10"/>
        <v>46900.386021292252</v>
      </c>
      <c r="AY30" s="2">
        <f t="shared" si="11"/>
        <v>23042.967434654929</v>
      </c>
      <c r="AZ30" s="2">
        <f>AP30-AY30</f>
        <v>697700.24570903927</v>
      </c>
      <c r="BA30" s="31">
        <f>AZ30/Calcs!$B$4/A30</f>
        <v>0.1083469595013649</v>
      </c>
      <c r="BB30" s="31">
        <f>BA30-AS30</f>
        <v>-8.4759249005179796E-2</v>
      </c>
      <c r="BE30" s="7">
        <f t="shared" si="0"/>
        <v>27</v>
      </c>
      <c r="BF30" s="2">
        <f t="shared" si="12"/>
        <v>159049.45724424883</v>
      </c>
      <c r="BG30" s="2">
        <f t="shared" si="13"/>
        <v>-119287.09293318649</v>
      </c>
      <c r="BH30" s="2">
        <f t="shared" si="14"/>
        <v>-172549.45724424871</v>
      </c>
      <c r="BI30" s="2">
        <f t="shared" si="15"/>
        <v>0</v>
      </c>
      <c r="BJ30" s="2">
        <f t="shared" si="16"/>
        <v>853530.30607688054</v>
      </c>
      <c r="BK30" s="2">
        <f t="shared" si="17"/>
        <v>0</v>
      </c>
      <c r="BL30" s="2">
        <f t="shared" si="18"/>
        <v>-23042.967434654929</v>
      </c>
    </row>
    <row r="31" spans="1:64">
      <c r="A31">
        <v>28</v>
      </c>
      <c r="B31" s="3">
        <f>B30*(1+Params!$B$14)</f>
        <v>49158.330527263839</v>
      </c>
      <c r="C31" s="2">
        <f t="shared" si="19"/>
        <v>1067074.8568904551</v>
      </c>
      <c r="D31" s="2">
        <f>D30*(1+Params!$B$3)</f>
        <v>1585747.9497553473</v>
      </c>
      <c r="E31" s="2">
        <f t="shared" si="20"/>
        <v>103740.52007745276</v>
      </c>
      <c r="F31" s="2">
        <f t="shared" si="21"/>
        <v>1347247.9497553473</v>
      </c>
      <c r="G31" s="2">
        <f>F31-C31</f>
        <v>280173.09286489221</v>
      </c>
      <c r="H31" s="31">
        <f>G31/Calcs!$B$4/A31</f>
        <v>4.1954641039965886E-2</v>
      </c>
      <c r="I31" s="3">
        <f>I30*(1+Params!$B$6)</f>
        <v>391730.44638913381</v>
      </c>
      <c r="J31" s="2">
        <f>I31-Params!$B$4</f>
        <v>166730.44638913381</v>
      </c>
      <c r="K31" s="2">
        <f>I30*Params!$B$7</f>
        <v>5760.7418586637323</v>
      </c>
      <c r="L31" s="2">
        <f t="shared" si="22"/>
        <v>125047.83479185023</v>
      </c>
      <c r="M31" s="2">
        <f>I30*Params!$B$8</f>
        <v>7680.9891448849767</v>
      </c>
      <c r="N31" s="2">
        <f t="shared" si="23"/>
        <v>180230.44638913369</v>
      </c>
      <c r="O31" s="2">
        <f>-PMT(Params!$B$9/12, 30*12, Params!$B$4*(1-Params!$B$5)) * 12</f>
        <v>0</v>
      </c>
      <c r="P31" s="2">
        <f t="shared" si="24"/>
        <v>0</v>
      </c>
      <c r="Q31" s="2">
        <f>Params!$B$4*(1-Params!$B$5)/30</f>
        <v>0</v>
      </c>
      <c r="R31" s="2">
        <f t="shared" si="1"/>
        <v>0</v>
      </c>
      <c r="S31" s="2">
        <f t="shared" si="25"/>
        <v>0</v>
      </c>
      <c r="T31" s="2">
        <f t="shared" si="2"/>
        <v>-138547.83479185012</v>
      </c>
      <c r="U31" s="31">
        <f>T31/Calcs!$B$4/Table!A31</f>
        <v>-2.0746905479462431E-2</v>
      </c>
      <c r="V31" s="2">
        <f>B31-K31-M31-O31</f>
        <v>35716.599523715129</v>
      </c>
      <c r="W31" s="2">
        <f>IF(V31&gt;0,V31*Params!$B$15,0)</f>
        <v>21429.959714229077</v>
      </c>
      <c r="X31" s="2">
        <f t="shared" si="26"/>
        <v>465177.94542568282</v>
      </c>
      <c r="Y31" s="2">
        <f>Y30*(1+Params!$B$3)+W31</f>
        <v>1232352.1349683739</v>
      </c>
      <c r="Z31" s="2">
        <f t="shared" si="3"/>
        <v>767174.18954269111</v>
      </c>
      <c r="AA31" s="2">
        <f>T31+Z31</f>
        <v>628626.35475084092</v>
      </c>
      <c r="AB31" s="31">
        <f>AA31/Calcs!$B$4/A31</f>
        <v>9.413392553920949E-2</v>
      </c>
      <c r="AC31" s="31">
        <f t="shared" si="4"/>
        <v>5.2179284499243604E-2</v>
      </c>
      <c r="AD31" s="2">
        <f>AA31-I31*Params!$B$23</f>
        <v>605122.52796749293</v>
      </c>
      <c r="AE31" s="7">
        <f t="shared" si="5"/>
        <v>28</v>
      </c>
      <c r="AF31" s="2">
        <f t="shared" si="6"/>
        <v>4096.5275439386533</v>
      </c>
      <c r="AG31" s="2">
        <f>(K31+M31+O31)/12</f>
        <v>1120.1442502957259</v>
      </c>
      <c r="AH31" s="8" t="str">
        <f t="shared" si="27"/>
        <v/>
      </c>
      <c r="AI31" s="8"/>
      <c r="AJ31" s="47">
        <f t="shared" si="7"/>
        <v>28</v>
      </c>
      <c r="AK31" s="2">
        <f>AK30*(1+Params!$B$20)</f>
        <v>3438.0404081025008</v>
      </c>
      <c r="AL31" s="2">
        <f>Params!$B$21*AK31</f>
        <v>38677.954591153131</v>
      </c>
      <c r="AM31" s="2">
        <f t="shared" si="28"/>
        <v>892208.26066803373</v>
      </c>
      <c r="AN31" s="2">
        <f>Calcs!$B$5</f>
        <v>0</v>
      </c>
      <c r="AO31" s="2">
        <f t="shared" si="29"/>
        <v>0</v>
      </c>
      <c r="AP31" s="2">
        <f t="shared" si="8"/>
        <v>753660.42587618367</v>
      </c>
      <c r="AQ31" s="31">
        <f>AP31/Calcs!$B$4/A31</f>
        <v>0.11285720663015629</v>
      </c>
      <c r="AR31" s="2">
        <f>F31</f>
        <v>1347247.9497553473</v>
      </c>
      <c r="AS31" s="31">
        <f>AR31/Calcs!$B$4/A31</f>
        <v>0.20174422727693134</v>
      </c>
      <c r="AT31" s="31">
        <f t="shared" si="9"/>
        <v>-8.8887020646775047E-2</v>
      </c>
      <c r="AU31" s="31"/>
      <c r="AV31" s="2">
        <f>I31*Params!$B$23</f>
        <v>23503.826783348028</v>
      </c>
      <c r="AW31" s="49">
        <f>J31*Params!$B$24</f>
        <v>25009.566958370069</v>
      </c>
      <c r="AX31" s="49">
        <f t="shared" si="10"/>
        <v>48513.393741718101</v>
      </c>
      <c r="AY31" s="2">
        <f t="shared" si="11"/>
        <v>23503.826783348028</v>
      </c>
      <c r="AZ31" s="2">
        <f>AP31-AY31</f>
        <v>730156.59909283568</v>
      </c>
      <c r="BA31" s="31">
        <f>AZ31/Calcs!$B$4/A31</f>
        <v>0.10933761591686668</v>
      </c>
      <c r="BB31" s="31">
        <f>BA31-AS31</f>
        <v>-9.2406611360064658E-2</v>
      </c>
      <c r="BE31" s="7">
        <f t="shared" si="0"/>
        <v>28</v>
      </c>
      <c r="BF31" s="2">
        <f t="shared" si="12"/>
        <v>166730.44638913381</v>
      </c>
      <c r="BG31" s="2">
        <f t="shared" si="13"/>
        <v>-125047.83479185023</v>
      </c>
      <c r="BH31" s="2">
        <f t="shared" si="14"/>
        <v>-180230.44638913369</v>
      </c>
      <c r="BI31" s="2">
        <f t="shared" si="15"/>
        <v>0</v>
      </c>
      <c r="BJ31" s="2">
        <f t="shared" si="16"/>
        <v>892208.26066803373</v>
      </c>
      <c r="BK31" s="2">
        <f t="shared" si="17"/>
        <v>0</v>
      </c>
      <c r="BL31" s="2">
        <f t="shared" si="18"/>
        <v>-23503.826783348028</v>
      </c>
    </row>
    <row r="32" spans="1:64">
      <c r="A32">
        <v>29</v>
      </c>
      <c r="B32" s="3">
        <f>B31*(1+Params!$B$14)</f>
        <v>50141.497137809114</v>
      </c>
      <c r="C32" s="2">
        <f t="shared" si="19"/>
        <v>1117216.3540282643</v>
      </c>
      <c r="D32" s="2">
        <f>D31*(1+Params!$B$3)</f>
        <v>1696750.3062382217</v>
      </c>
      <c r="E32" s="2">
        <f t="shared" si="20"/>
        <v>111002.35648287437</v>
      </c>
      <c r="F32" s="2">
        <f t="shared" si="21"/>
        <v>1458250.3062382217</v>
      </c>
      <c r="G32" s="2">
        <f>F32-C32</f>
        <v>341033.95220995741</v>
      </c>
      <c r="H32" s="31">
        <f>G32/Calcs!$B$4/A32</f>
        <v>4.930730170027578E-2</v>
      </c>
      <c r="I32" s="3">
        <f>I31*(1+Params!$B$6)</f>
        <v>399565.05531691649</v>
      </c>
      <c r="J32" s="2">
        <f>I32-Params!$B$4</f>
        <v>174565.05531691649</v>
      </c>
      <c r="K32" s="2">
        <f>I31*Params!$B$7</f>
        <v>5875.9566958370069</v>
      </c>
      <c r="L32" s="2">
        <f t="shared" si="22"/>
        <v>130923.79148768724</v>
      </c>
      <c r="M32" s="2">
        <f>I31*Params!$B$8</f>
        <v>7834.6089277826759</v>
      </c>
      <c r="N32" s="2">
        <f t="shared" si="23"/>
        <v>188065.05531691638</v>
      </c>
      <c r="O32" s="2">
        <f>-PMT(Params!$B$9/12, 30*12, Params!$B$4*(1-Params!$B$5)) * 12</f>
        <v>0</v>
      </c>
      <c r="P32" s="2">
        <f t="shared" si="24"/>
        <v>0</v>
      </c>
      <c r="Q32" s="2">
        <f>Params!$B$4*(1-Params!$B$5)/30</f>
        <v>0</v>
      </c>
      <c r="R32" s="2">
        <f t="shared" si="1"/>
        <v>0</v>
      </c>
      <c r="S32" s="2">
        <f t="shared" si="25"/>
        <v>0</v>
      </c>
      <c r="T32" s="2">
        <f t="shared" si="2"/>
        <v>-144423.79148768712</v>
      </c>
      <c r="U32" s="31">
        <f>T32/Calcs!$B$4/Table!A32</f>
        <v>-2.088105132475777E-2</v>
      </c>
      <c r="V32" s="2">
        <f>B32-K32-M32-O32</f>
        <v>36430.931514189433</v>
      </c>
      <c r="W32" s="2">
        <f>IF(V32&gt;0,V32*Params!$B$15,0)</f>
        <v>21858.55890851366</v>
      </c>
      <c r="X32" s="2">
        <f t="shared" si="26"/>
        <v>487036.50433419645</v>
      </c>
      <c r="Y32" s="2">
        <f>Y31*(1+Params!$B$3)+W32</f>
        <v>1340475.3433246738</v>
      </c>
      <c r="Z32" s="2">
        <f t="shared" si="3"/>
        <v>853438.83899047738</v>
      </c>
      <c r="AA32" s="2">
        <f>T32+Z32</f>
        <v>709015.04750279023</v>
      </c>
      <c r="AB32" s="31">
        <f>AA32/Calcs!$B$4/A32</f>
        <v>0.10251066977557871</v>
      </c>
      <c r="AC32" s="31">
        <f t="shared" si="4"/>
        <v>5.3203368075302931E-2</v>
      </c>
      <c r="AD32" s="2">
        <f>AA32-I32*Params!$B$23</f>
        <v>685041.14418377529</v>
      </c>
      <c r="AE32" s="7">
        <f t="shared" si="5"/>
        <v>29</v>
      </c>
      <c r="AF32" s="2">
        <f t="shared" si="6"/>
        <v>4178.4580948174262</v>
      </c>
      <c r="AG32" s="2">
        <f>(K32+M32+O32)/12</f>
        <v>1142.5471353016403</v>
      </c>
      <c r="AH32" s="8" t="str">
        <f t="shared" si="27"/>
        <v/>
      </c>
      <c r="AI32" s="8"/>
      <c r="AJ32" s="47">
        <f t="shared" si="7"/>
        <v>29</v>
      </c>
      <c r="AK32" s="2">
        <f>AK31*(1+Params!$B$20)</f>
        <v>3489.6110142240382</v>
      </c>
      <c r="AL32" s="2">
        <f>Params!$B$21*AK32</f>
        <v>39258.123910020433</v>
      </c>
      <c r="AM32" s="2">
        <f t="shared" si="28"/>
        <v>931466.38457805419</v>
      </c>
      <c r="AN32" s="2">
        <f>Calcs!$B$5</f>
        <v>0</v>
      </c>
      <c r="AO32" s="2">
        <f t="shared" si="29"/>
        <v>0</v>
      </c>
      <c r="AP32" s="2">
        <f t="shared" si="8"/>
        <v>787042.59309036704</v>
      </c>
      <c r="AQ32" s="31">
        <f>AP32/Calcs!$B$4/A32</f>
        <v>0.1137920325439698</v>
      </c>
      <c r="AR32" s="2">
        <f>F32</f>
        <v>1458250.3062382217</v>
      </c>
      <c r="AS32" s="31">
        <f>AR32/Calcs!$B$4/A32</f>
        <v>0.21083644997299528</v>
      </c>
      <c r="AT32" s="31">
        <f t="shared" si="9"/>
        <v>-9.7044417429025476E-2</v>
      </c>
      <c r="AU32" s="31"/>
      <c r="AV32" s="2">
        <f>I32*Params!$B$23</f>
        <v>23973.903319014989</v>
      </c>
      <c r="AW32" s="49">
        <f>J32*Params!$B$24</f>
        <v>26184.758297537472</v>
      </c>
      <c r="AX32" s="49">
        <f t="shared" si="10"/>
        <v>50158.661616552461</v>
      </c>
      <c r="AY32" s="2">
        <f t="shared" si="11"/>
        <v>23973.903319014989</v>
      </c>
      <c r="AZ32" s="2">
        <f>AP32-AY32</f>
        <v>763068.6897713521</v>
      </c>
      <c r="BA32" s="31">
        <f>AZ32/Calcs!$B$4/A32</f>
        <v>0.11032584251736458</v>
      </c>
      <c r="BB32" s="31">
        <f>BA32-AS32</f>
        <v>-0.1005106074556307</v>
      </c>
      <c r="BE32" s="7">
        <f t="shared" si="0"/>
        <v>29</v>
      </c>
      <c r="BF32" s="2">
        <f t="shared" si="12"/>
        <v>174565.05531691649</v>
      </c>
      <c r="BG32" s="2">
        <f t="shared" si="13"/>
        <v>-130923.79148768724</v>
      </c>
      <c r="BH32" s="2">
        <f t="shared" si="14"/>
        <v>-188065.05531691638</v>
      </c>
      <c r="BI32" s="2">
        <f t="shared" si="15"/>
        <v>0</v>
      </c>
      <c r="BJ32" s="2">
        <f t="shared" si="16"/>
        <v>931466.38457805419</v>
      </c>
      <c r="BK32" s="2">
        <f t="shared" si="17"/>
        <v>0</v>
      </c>
      <c r="BL32" s="2">
        <f t="shared" si="18"/>
        <v>-23973.903319014989</v>
      </c>
    </row>
    <row r="33" spans="1:64">
      <c r="A33">
        <v>30</v>
      </c>
      <c r="B33" s="3">
        <f>B32*(1+Params!$B$14)</f>
        <v>51144.327080565294</v>
      </c>
      <c r="C33" s="2">
        <f t="shared" si="19"/>
        <v>1168360.6811088296</v>
      </c>
      <c r="D33" s="2">
        <f>D32*(1+Params!$B$3)</f>
        <v>1815522.8276748974</v>
      </c>
      <c r="E33" s="2">
        <f t="shared" si="20"/>
        <v>118772.52143667568</v>
      </c>
      <c r="F33" s="2">
        <f t="shared" si="21"/>
        <v>1577022.8276748974</v>
      </c>
      <c r="G33" s="2">
        <f>F33-C33</f>
        <v>408662.14656606782</v>
      </c>
      <c r="H33" s="31">
        <f>G33/Calcs!$B$4/A33</f>
        <v>5.7115603992462308E-2</v>
      </c>
      <c r="I33" s="3">
        <f>I32*(1+Params!$B$6)</f>
        <v>407556.35642325482</v>
      </c>
      <c r="J33" s="2">
        <f>I33-Params!$B$4</f>
        <v>182556.35642325482</v>
      </c>
      <c r="K33" s="2">
        <f>I32*Params!$B$7</f>
        <v>5993.4758297537473</v>
      </c>
      <c r="L33" s="2">
        <f t="shared" si="22"/>
        <v>136917.26731744097</v>
      </c>
      <c r="M33" s="2">
        <f>I32*Params!$B$8</f>
        <v>7991.3011063383301</v>
      </c>
      <c r="N33" s="2">
        <f t="shared" si="23"/>
        <v>196056.35642325471</v>
      </c>
      <c r="O33" s="2">
        <f>-PMT(Params!$B$9/12, 30*12, Params!$B$4*(1-Params!$B$5)) * 12</f>
        <v>0</v>
      </c>
      <c r="P33" s="2">
        <f t="shared" si="24"/>
        <v>0</v>
      </c>
      <c r="Q33" s="2">
        <f>Params!$B$4*(1-Params!$B$5)/30</f>
        <v>0</v>
      </c>
      <c r="R33" s="2">
        <f t="shared" si="1"/>
        <v>0</v>
      </c>
      <c r="S33" s="2">
        <f t="shared" si="25"/>
        <v>0</v>
      </c>
      <c r="T33" s="2">
        <f t="shared" si="2"/>
        <v>-150417.26731744086</v>
      </c>
      <c r="U33" s="31">
        <f>T33/Calcs!$B$4/Table!A33</f>
        <v>-2.1022678870362101E-2</v>
      </c>
      <c r="V33" s="2">
        <f>B33-K33-M33-O33</f>
        <v>37159.550144473214</v>
      </c>
      <c r="W33" s="2">
        <f>IF(V33&gt;0,V33*Params!$B$15,0)</f>
        <v>22295.730086683929</v>
      </c>
      <c r="X33" s="2">
        <f t="shared" si="26"/>
        <v>509332.23442088038</v>
      </c>
      <c r="Y33" s="2">
        <f>Y32*(1+Params!$B$3)+W33</f>
        <v>1456604.3474440852</v>
      </c>
      <c r="Z33" s="2">
        <f t="shared" si="3"/>
        <v>947272.11302320473</v>
      </c>
      <c r="AA33" s="2">
        <f>T33+Z33</f>
        <v>796854.8457057639</v>
      </c>
      <c r="AB33" s="31">
        <f>AA33/Calcs!$B$4/A33</f>
        <v>0.11137034880583703</v>
      </c>
      <c r="AC33" s="31">
        <f t="shared" si="4"/>
        <v>5.4254744813374722E-2</v>
      </c>
      <c r="AD33" s="2">
        <f>AA33-I33*Params!$B$23</f>
        <v>772401.4643203686</v>
      </c>
      <c r="AE33" s="7">
        <f t="shared" si="5"/>
        <v>30</v>
      </c>
      <c r="AF33" s="2">
        <f t="shared" si="6"/>
        <v>4262.0272567137745</v>
      </c>
      <c r="AG33" s="2">
        <f>(K33+M33+O33)/12</f>
        <v>1165.3980780076731</v>
      </c>
      <c r="AH33" s="8" t="str">
        <f t="shared" si="27"/>
        <v/>
      </c>
      <c r="AI33" s="8"/>
      <c r="AJ33" s="47">
        <f t="shared" si="7"/>
        <v>30</v>
      </c>
      <c r="AK33" s="2">
        <f>AK32*(1+Params!$B$20)</f>
        <v>3541.9551794373983</v>
      </c>
      <c r="AL33" s="2">
        <f>Params!$B$21*AK33</f>
        <v>39846.995768670735</v>
      </c>
      <c r="AM33" s="2">
        <f t="shared" si="28"/>
        <v>971313.38034672488</v>
      </c>
      <c r="AN33" s="2">
        <f>Calcs!$B$5</f>
        <v>0</v>
      </c>
      <c r="AO33" s="2">
        <f t="shared" si="29"/>
        <v>0</v>
      </c>
      <c r="AP33" s="2">
        <f t="shared" si="8"/>
        <v>820896.11302928405</v>
      </c>
      <c r="AQ33" s="31">
        <f>AP33/Calcs!$B$4/A33</f>
        <v>0.1147304141200956</v>
      </c>
      <c r="AR33" s="2">
        <f>F33</f>
        <v>1577022.8276748974</v>
      </c>
      <c r="AS33" s="31">
        <f>AR33/Calcs!$B$4/A33</f>
        <v>0.22040850142206814</v>
      </c>
      <c r="AT33" s="31">
        <f t="shared" si="9"/>
        <v>-0.10567808730197253</v>
      </c>
      <c r="AU33" s="31"/>
      <c r="AV33" s="2">
        <f>I33*Params!$B$23</f>
        <v>24453.381385395289</v>
      </c>
      <c r="AW33" s="49">
        <f>J33*Params!$B$24</f>
        <v>27383.453463488222</v>
      </c>
      <c r="AX33" s="49">
        <f t="shared" si="10"/>
        <v>51836.834848883511</v>
      </c>
      <c r="AY33" s="2">
        <f t="shared" si="11"/>
        <v>24453.381385395289</v>
      </c>
      <c r="AZ33" s="2">
        <f>AP33-AY33</f>
        <v>796442.73164388875</v>
      </c>
      <c r="BA33" s="31">
        <f>AZ33/Calcs!$B$4/A33</f>
        <v>0.11131275075386286</v>
      </c>
      <c r="BB33" s="31">
        <f>BA33-AS33</f>
        <v>-0.10909575066820527</v>
      </c>
      <c r="BE33" s="7">
        <f t="shared" si="0"/>
        <v>30</v>
      </c>
      <c r="BF33" s="2">
        <f t="shared" si="12"/>
        <v>182556.35642325482</v>
      </c>
      <c r="BG33" s="2">
        <f t="shared" si="13"/>
        <v>-136917.26731744097</v>
      </c>
      <c r="BH33" s="2">
        <f t="shared" si="14"/>
        <v>-196056.35642325471</v>
      </c>
      <c r="BI33" s="2">
        <f t="shared" si="15"/>
        <v>0</v>
      </c>
      <c r="BJ33" s="2">
        <f t="shared" si="16"/>
        <v>971313.38034672488</v>
      </c>
      <c r="BK33" s="2">
        <f t="shared" si="17"/>
        <v>0</v>
      </c>
      <c r="BL33" s="2">
        <f t="shared" si="18"/>
        <v>-24453.381385395289</v>
      </c>
    </row>
    <row r="34" spans="1:64">
      <c r="A34">
        <v>31</v>
      </c>
      <c r="B34" s="3">
        <f>B33*(1+Params!$B$14)</f>
        <v>52167.213622176598</v>
      </c>
      <c r="C34" s="2">
        <f t="shared" ref="C34:C43" si="30">B34+C33</f>
        <v>1220527.8947310061</v>
      </c>
      <c r="D34" s="2">
        <f>D33*(1+Params!$B$3)</f>
        <v>1942609.4256121402</v>
      </c>
      <c r="E34" s="2">
        <f t="shared" si="20"/>
        <v>127086.59793724283</v>
      </c>
      <c r="F34" s="2">
        <f t="shared" si="21"/>
        <v>1704109.4256121402</v>
      </c>
      <c r="G34" s="2">
        <f>F34-C34</f>
        <v>483581.53088113409</v>
      </c>
      <c r="H34" s="31">
        <f>G34/Calcs!$B$4/A34</f>
        <v>6.5406307010365067E-2</v>
      </c>
      <c r="I34" s="3">
        <f>I33*(1+Params!$B$6)</f>
        <v>415707.48355171992</v>
      </c>
      <c r="J34" s="2">
        <f>I34-Params!$B$4</f>
        <v>190707.48355171992</v>
      </c>
      <c r="K34" s="2">
        <f>I33*Params!$B$7</f>
        <v>6113.3453463488222</v>
      </c>
      <c r="L34" s="2">
        <f t="shared" ref="L34:L43" si="31">K34+L33</f>
        <v>143030.6126637898</v>
      </c>
      <c r="M34" s="2">
        <f>I33*Params!$B$8</f>
        <v>8151.1271284650966</v>
      </c>
      <c r="N34" s="2">
        <f t="shared" ref="N34:N43" si="32">M34+N33</f>
        <v>204207.48355171981</v>
      </c>
      <c r="O34" s="2">
        <v>0</v>
      </c>
      <c r="P34" s="2">
        <f t="shared" si="24"/>
        <v>0</v>
      </c>
      <c r="Q34" s="2">
        <v>0</v>
      </c>
      <c r="R34" s="2">
        <f t="shared" si="1"/>
        <v>0</v>
      </c>
      <c r="S34" s="2">
        <f t="shared" si="25"/>
        <v>0</v>
      </c>
      <c r="T34" s="2">
        <f t="shared" si="2"/>
        <v>-156530.61266378968</v>
      </c>
      <c r="U34" s="31">
        <f>T34/Calcs!$B$4/Table!A34</f>
        <v>-2.11713819792777E-2</v>
      </c>
      <c r="V34" s="2">
        <f>B34-K34-M34-O34</f>
        <v>37902.741147362678</v>
      </c>
      <c r="W34" s="2">
        <f>IF(V34&gt;0,V34*Params!$B$15,0)</f>
        <v>22741.644688417608</v>
      </c>
      <c r="X34" s="2">
        <f t="shared" si="26"/>
        <v>532073.879109298</v>
      </c>
      <c r="Y34" s="2">
        <f>Y33*(1+Params!$B$3)+W34</f>
        <v>1581308.2964535889</v>
      </c>
      <c r="Z34" s="2">
        <f t="shared" si="3"/>
        <v>1049234.4173442908</v>
      </c>
      <c r="AA34" s="2">
        <f>T34+Z34</f>
        <v>892703.80468050111</v>
      </c>
      <c r="AB34" s="31">
        <f>AA34/Calcs!$B$4/A34</f>
        <v>0.12074170618523042</v>
      </c>
      <c r="AC34" s="31">
        <f t="shared" si="4"/>
        <v>5.5335399174865352E-2</v>
      </c>
      <c r="AD34" s="2">
        <f>AA34-I34*Params!$B$23</f>
        <v>867761.35566739796</v>
      </c>
      <c r="AE34" s="7">
        <f t="shared" si="5"/>
        <v>31</v>
      </c>
      <c r="AF34" s="2">
        <f t="shared" si="6"/>
        <v>4347.2678018480501</v>
      </c>
      <c r="AG34" s="2">
        <f>(K34+M34+O34)/12</f>
        <v>1188.7060395678266</v>
      </c>
      <c r="AH34" s="8" t="str">
        <f t="shared" si="27"/>
        <v/>
      </c>
      <c r="AI34" s="8"/>
      <c r="AJ34" s="47">
        <f t="shared" si="7"/>
        <v>31</v>
      </c>
      <c r="AK34" s="2">
        <f>AK33*(1+Params!$B$20)</f>
        <v>3595.0845071289591</v>
      </c>
      <c r="AL34" s="2">
        <f>Params!$B$21*AK34</f>
        <v>40444.70070520079</v>
      </c>
      <c r="AM34" s="2">
        <f t="shared" si="28"/>
        <v>1011758.0810519257</v>
      </c>
      <c r="AN34" s="2">
        <f>Calcs!$B$5</f>
        <v>0</v>
      </c>
      <c r="AO34" s="2">
        <f t="shared" si="29"/>
        <v>0</v>
      </c>
      <c r="AP34" s="2">
        <f t="shared" si="8"/>
        <v>855227.46838813601</v>
      </c>
      <c r="AQ34" s="31">
        <f>AP34/Calcs!$B$4/A34</f>
        <v>0.11567288407224399</v>
      </c>
      <c r="AR34" s="2">
        <f>F34</f>
        <v>1704109.4256121402</v>
      </c>
      <c r="AS34" s="31">
        <f>AR34/Calcs!$B$4/A34</f>
        <v>0.23048751276285118</v>
      </c>
      <c r="AT34" s="31">
        <f t="shared" si="9"/>
        <v>-0.11481462869060718</v>
      </c>
      <c r="AU34" s="31"/>
      <c r="AV34" s="2">
        <f>I34*Params!$B$23</f>
        <v>24942.449013103196</v>
      </c>
      <c r="AW34" s="49">
        <f>J34*Params!$B$24</f>
        <v>28606.122532757989</v>
      </c>
      <c r="AX34" s="49">
        <f t="shared" si="10"/>
        <v>53548.571545861181</v>
      </c>
      <c r="AY34" s="2">
        <f t="shared" si="11"/>
        <v>24942.449013103196</v>
      </c>
      <c r="AZ34" s="2">
        <f>AP34-AY34</f>
        <v>830285.01937503286</v>
      </c>
      <c r="BA34" s="31">
        <f>AZ34/Calcs!$B$4/A34</f>
        <v>0.1122993195881562</v>
      </c>
      <c r="BB34" s="31">
        <f>BA34-AS34</f>
        <v>-0.11818819317469498</v>
      </c>
      <c r="BE34" s="7">
        <f t="shared" si="0"/>
        <v>31</v>
      </c>
      <c r="BF34" s="2">
        <f t="shared" si="12"/>
        <v>190707.48355171992</v>
      </c>
      <c r="BG34" s="2">
        <f t="shared" si="13"/>
        <v>-143030.6126637898</v>
      </c>
      <c r="BH34" s="2">
        <f t="shared" si="14"/>
        <v>-204207.48355171981</v>
      </c>
      <c r="BI34" s="2">
        <f t="shared" si="15"/>
        <v>0</v>
      </c>
      <c r="BJ34" s="2">
        <f t="shared" si="16"/>
        <v>1011758.0810519257</v>
      </c>
      <c r="BK34" s="2">
        <f t="shared" si="17"/>
        <v>0</v>
      </c>
      <c r="BL34" s="2">
        <f t="shared" si="18"/>
        <v>-24942.449013103196</v>
      </c>
    </row>
    <row r="35" spans="1:64">
      <c r="A35">
        <v>32</v>
      </c>
      <c r="B35" s="3">
        <f>B34*(1+Params!$B$14)</f>
        <v>53210.557894620128</v>
      </c>
      <c r="C35" s="2">
        <f t="shared" si="30"/>
        <v>1273738.4526256262</v>
      </c>
      <c r="D35" s="2">
        <f>D34*(1+Params!$B$3)</f>
        <v>2078592.0854049902</v>
      </c>
      <c r="E35" s="2">
        <f t="shared" si="20"/>
        <v>135982.65979285003</v>
      </c>
      <c r="F35" s="2">
        <f t="shared" si="21"/>
        <v>1840092.0854049902</v>
      </c>
      <c r="G35" s="2">
        <f>F35-C35</f>
        <v>566353.63277936401</v>
      </c>
      <c r="H35" s="31">
        <f>G35/Calcs!$B$4/A35</f>
        <v>7.4207761108407239E-2</v>
      </c>
      <c r="I35" s="3">
        <f>I34*(1+Params!$B$6)</f>
        <v>424021.63322275435</v>
      </c>
      <c r="J35" s="2">
        <f>I35-Params!$B$4</f>
        <v>199021.63322275435</v>
      </c>
      <c r="K35" s="2">
        <f>I34*Params!$B$7</f>
        <v>6235.612253275799</v>
      </c>
      <c r="L35" s="2">
        <f t="shared" si="31"/>
        <v>149266.22491706559</v>
      </c>
      <c r="M35" s="2">
        <f>I34*Params!$B$8</f>
        <v>8314.1496710343981</v>
      </c>
      <c r="N35" s="2">
        <f t="shared" si="32"/>
        <v>212521.6332227542</v>
      </c>
      <c r="O35" s="2">
        <v>0</v>
      </c>
      <c r="P35" s="2">
        <f t="shared" si="24"/>
        <v>0</v>
      </c>
      <c r="Q35" s="2">
        <v>0</v>
      </c>
      <c r="R35" s="2">
        <f t="shared" si="1"/>
        <v>0</v>
      </c>
      <c r="S35" s="2">
        <f t="shared" si="25"/>
        <v>0</v>
      </c>
      <c r="T35" s="2">
        <f t="shared" si="2"/>
        <v>-162766.22491706544</v>
      </c>
      <c r="U35" s="31">
        <f>T35/Calcs!$B$4/Table!A35</f>
        <v>-2.1326811440915285E-2</v>
      </c>
      <c r="V35" s="2">
        <f>B35-K35-M35-O35</f>
        <v>38660.795970309926</v>
      </c>
      <c r="W35" s="2">
        <f>IF(V35&gt;0,V35*Params!$B$15,0)</f>
        <v>23196.477582185955</v>
      </c>
      <c r="X35" s="2">
        <f t="shared" si="26"/>
        <v>555270.35669148399</v>
      </c>
      <c r="Y35" s="2">
        <f>Y34*(1+Params!$B$3)+W35</f>
        <v>1715196.3547875262</v>
      </c>
      <c r="Z35" s="2">
        <f t="shared" si="3"/>
        <v>1159925.9980960423</v>
      </c>
      <c r="AA35" s="2">
        <f>T35+Z35</f>
        <v>997159.77317897684</v>
      </c>
      <c r="AB35" s="31">
        <f>AA35/Calcs!$B$4/A35</f>
        <v>0.13065510654860807</v>
      </c>
      <c r="AC35" s="31">
        <f t="shared" si="4"/>
        <v>5.644734544020083E-2</v>
      </c>
      <c r="AD35" s="2">
        <f>AA35-I35*Params!$B$23</f>
        <v>971718.47518561163</v>
      </c>
      <c r="AE35" s="7">
        <f t="shared" si="5"/>
        <v>32</v>
      </c>
      <c r="AF35" s="2">
        <f t="shared" si="6"/>
        <v>4434.2131578850103</v>
      </c>
      <c r="AG35" s="2">
        <f>(K35+M35+O35)/12</f>
        <v>1212.4801603591832</v>
      </c>
      <c r="AH35" s="8" t="str">
        <f t="shared" si="27"/>
        <v/>
      </c>
      <c r="AI35" s="8"/>
      <c r="AJ35" s="47">
        <f t="shared" si="7"/>
        <v>32</v>
      </c>
      <c r="AK35" s="2">
        <f>AK34*(1+Params!$B$20)</f>
        <v>3649.0107747358929</v>
      </c>
      <c r="AL35" s="2">
        <f>Params!$B$21*AK35</f>
        <v>41051.371215778796</v>
      </c>
      <c r="AM35" s="2">
        <f t="shared" si="28"/>
        <v>1052809.4522677045</v>
      </c>
      <c r="AN35" s="2">
        <f>Calcs!$B$5</f>
        <v>0</v>
      </c>
      <c r="AO35" s="2">
        <f t="shared" si="29"/>
        <v>0</v>
      </c>
      <c r="AP35" s="2">
        <f t="shared" si="8"/>
        <v>890043.22735063906</v>
      </c>
      <c r="AQ35" s="31">
        <f>AP35/Calcs!$B$4/A35</f>
        <v>0.11661991972623677</v>
      </c>
      <c r="AR35" s="2">
        <f>F35</f>
        <v>1840092.0854049902</v>
      </c>
      <c r="AS35" s="31">
        <f>AR35/Calcs!$B$4/A35</f>
        <v>0.24110221244824295</v>
      </c>
      <c r="AT35" s="31">
        <f t="shared" si="9"/>
        <v>-0.12448229272200619</v>
      </c>
      <c r="AU35" s="31"/>
      <c r="AV35" s="2">
        <f>I35*Params!$B$23</f>
        <v>25441.29799336526</v>
      </c>
      <c r="AW35" s="49">
        <f>J35*Params!$B$24</f>
        <v>29853.244983413151</v>
      </c>
      <c r="AX35" s="49">
        <f t="shared" si="10"/>
        <v>55294.542976778408</v>
      </c>
      <c r="AY35" s="2">
        <f t="shared" si="11"/>
        <v>25441.29799336526</v>
      </c>
      <c r="AZ35" s="2">
        <f>AP35-AY35</f>
        <v>864601.92935727385</v>
      </c>
      <c r="BA35" s="31">
        <f>AZ35/Calcs!$B$4/A35</f>
        <v>0.11328641632039751</v>
      </c>
      <c r="BB35" s="31">
        <f>BA35-AS35</f>
        <v>-0.12781579612784544</v>
      </c>
      <c r="BE35" s="7">
        <f t="shared" si="0"/>
        <v>32</v>
      </c>
      <c r="BF35" s="2">
        <f t="shared" si="12"/>
        <v>199021.63322275435</v>
      </c>
      <c r="BG35" s="2">
        <f t="shared" si="13"/>
        <v>-149266.22491706559</v>
      </c>
      <c r="BH35" s="2">
        <f t="shared" si="14"/>
        <v>-212521.6332227542</v>
      </c>
      <c r="BI35" s="2">
        <f t="shared" si="15"/>
        <v>0</v>
      </c>
      <c r="BJ35" s="2">
        <f t="shared" si="16"/>
        <v>1052809.4522677045</v>
      </c>
      <c r="BK35" s="2">
        <f t="shared" si="17"/>
        <v>0</v>
      </c>
      <c r="BL35" s="2">
        <f t="shared" si="18"/>
        <v>-25441.29799336526</v>
      </c>
    </row>
    <row r="36" spans="1:64">
      <c r="A36">
        <v>33</v>
      </c>
      <c r="B36" s="3">
        <f>B35*(1+Params!$B$14)</f>
        <v>54274.769052512529</v>
      </c>
      <c r="C36" s="2">
        <f t="shared" si="30"/>
        <v>1328013.2216781387</v>
      </c>
      <c r="D36" s="2">
        <f>D35*(1+Params!$B$3)</f>
        <v>2224093.5313833398</v>
      </c>
      <c r="E36" s="2">
        <f t="shared" si="20"/>
        <v>145501.44597834954</v>
      </c>
      <c r="F36" s="2">
        <f t="shared" si="21"/>
        <v>1985593.5313833398</v>
      </c>
      <c r="G36" s="2">
        <f>F36-C36</f>
        <v>657580.30970520107</v>
      </c>
      <c r="H36" s="31">
        <f>G36/Calcs!$B$4/A36</f>
        <v>8.3550004409529394E-2</v>
      </c>
      <c r="I36" s="3">
        <f>I35*(1+Params!$B$6)</f>
        <v>432502.06588720944</v>
      </c>
      <c r="J36" s="2">
        <f>I36-Params!$B$4</f>
        <v>207502.06588720944</v>
      </c>
      <c r="K36" s="2">
        <f>I35*Params!$B$7</f>
        <v>6360.3244983413151</v>
      </c>
      <c r="L36" s="2">
        <f t="shared" si="31"/>
        <v>155626.54941540689</v>
      </c>
      <c r="M36" s="2">
        <f>I35*Params!$B$8</f>
        <v>8480.4326644550874</v>
      </c>
      <c r="N36" s="2">
        <f t="shared" si="32"/>
        <v>221002.06588720929</v>
      </c>
      <c r="O36" s="2">
        <v>0</v>
      </c>
      <c r="P36" s="2">
        <f t="shared" si="24"/>
        <v>0</v>
      </c>
      <c r="Q36" s="2">
        <v>0</v>
      </c>
      <c r="R36" s="2">
        <f t="shared" si="1"/>
        <v>0</v>
      </c>
      <c r="S36" s="2">
        <f t="shared" si="25"/>
        <v>0</v>
      </c>
      <c r="T36" s="2">
        <f t="shared" si="2"/>
        <v>-169126.54941540674</v>
      </c>
      <c r="U36" s="31">
        <f>T36/Calcs!$B$4/Table!A36</f>
        <v>-2.1488666465333428E-2</v>
      </c>
      <c r="V36" s="2">
        <f>B36-K36-M36-O36</f>
        <v>39434.011889716123</v>
      </c>
      <c r="W36" s="2">
        <f>IF(V36&gt;0,V36*Params!$B$15,0)</f>
        <v>23660.407133829674</v>
      </c>
      <c r="X36" s="2">
        <f t="shared" si="26"/>
        <v>578930.76382531365</v>
      </c>
      <c r="Y36" s="2">
        <f>Y35*(1+Params!$B$3)+W36</f>
        <v>1858920.5067564829</v>
      </c>
      <c r="Z36" s="2">
        <f t="shared" si="3"/>
        <v>1279989.7429311692</v>
      </c>
      <c r="AA36" s="2">
        <f>T36+Z36</f>
        <v>1110863.1935157625</v>
      </c>
      <c r="AB36" s="31">
        <f>AA36/Calcs!$B$4/A36</f>
        <v>0.14114264576783719</v>
      </c>
      <c r="AC36" s="31">
        <f t="shared" si="4"/>
        <v>5.75926413583078E-2</v>
      </c>
      <c r="AD36" s="2">
        <f>AA36-I36*Params!$B$23</f>
        <v>1084913.0695625299</v>
      </c>
      <c r="AE36" s="7">
        <f t="shared" si="5"/>
        <v>33</v>
      </c>
      <c r="AF36" s="2">
        <f t="shared" si="6"/>
        <v>4522.8974210427104</v>
      </c>
      <c r="AG36" s="2">
        <f>(K36+M36+O36)/12</f>
        <v>1236.729763566367</v>
      </c>
      <c r="AH36" s="8" t="str">
        <f t="shared" si="27"/>
        <v/>
      </c>
      <c r="AI36" s="8"/>
      <c r="AJ36" s="47">
        <f t="shared" si="7"/>
        <v>33</v>
      </c>
      <c r="AK36" s="2">
        <f>AK35*(1+Params!$B$20)</f>
        <v>3703.745936356931</v>
      </c>
      <c r="AL36" s="2">
        <f>Params!$B$21*AK36</f>
        <v>41667.141784015475</v>
      </c>
      <c r="AM36" s="2">
        <f t="shared" si="28"/>
        <v>1094476.5940517201</v>
      </c>
      <c r="AN36" s="2">
        <f>Calcs!$B$5</f>
        <v>0</v>
      </c>
      <c r="AO36" s="2">
        <f t="shared" si="29"/>
        <v>0</v>
      </c>
      <c r="AP36" s="2">
        <f t="shared" si="8"/>
        <v>925350.04463631334</v>
      </c>
      <c r="AQ36" s="31">
        <f>AP36/Calcs!$B$4/A36</f>
        <v>0.11757195154517672</v>
      </c>
      <c r="AR36" s="2">
        <f>F36</f>
        <v>1985593.5313833398</v>
      </c>
      <c r="AS36" s="31">
        <f>AR36/Calcs!$B$4/A36</f>
        <v>0.25228302285538906</v>
      </c>
      <c r="AT36" s="31">
        <f t="shared" si="9"/>
        <v>-0.13471107131021234</v>
      </c>
      <c r="AU36" s="31"/>
      <c r="AV36" s="2">
        <f>I36*Params!$B$23</f>
        <v>25950.123953232564</v>
      </c>
      <c r="AW36" s="49">
        <f>J36*Params!$B$24</f>
        <v>31125.309883081412</v>
      </c>
      <c r="AX36" s="49">
        <f t="shared" si="10"/>
        <v>57075.433836313976</v>
      </c>
      <c r="AY36" s="2">
        <f t="shared" si="11"/>
        <v>25950.123953232564</v>
      </c>
      <c r="AZ36" s="2">
        <f>AP36-AY36</f>
        <v>899399.9206830808</v>
      </c>
      <c r="BA36" s="31">
        <f>AZ36/Calcs!$B$4/A36</f>
        <v>0.11427481363103752</v>
      </c>
      <c r="BB36" s="31">
        <f>BA36-AS36</f>
        <v>-0.13800820922435153</v>
      </c>
      <c r="BE36" s="7">
        <f t="shared" si="0"/>
        <v>33</v>
      </c>
      <c r="BF36" s="2">
        <f t="shared" si="12"/>
        <v>207502.06588720944</v>
      </c>
      <c r="BG36" s="2">
        <f t="shared" si="13"/>
        <v>-155626.54941540689</v>
      </c>
      <c r="BH36" s="2">
        <f t="shared" si="14"/>
        <v>-221002.06588720929</v>
      </c>
      <c r="BI36" s="2">
        <f t="shared" si="15"/>
        <v>0</v>
      </c>
      <c r="BJ36" s="2">
        <f t="shared" si="16"/>
        <v>1094476.5940517201</v>
      </c>
      <c r="BK36" s="2">
        <f t="shared" si="17"/>
        <v>0</v>
      </c>
      <c r="BL36" s="2">
        <f t="shared" si="18"/>
        <v>-25950.123953232564</v>
      </c>
    </row>
    <row r="37" spans="1:64">
      <c r="A37">
        <v>34</v>
      </c>
      <c r="B37" s="3">
        <f>B36*(1+Params!$B$14)</f>
        <v>55360.264433562777</v>
      </c>
      <c r="C37" s="2">
        <f t="shared" si="30"/>
        <v>1383373.4861117015</v>
      </c>
      <c r="D37" s="2">
        <f>D36*(1+Params!$B$3)</f>
        <v>2379780.0785801737</v>
      </c>
      <c r="E37" s="2">
        <f t="shared" si="20"/>
        <v>155686.54719683388</v>
      </c>
      <c r="F37" s="2">
        <f t="shared" si="21"/>
        <v>2141280.0785801737</v>
      </c>
      <c r="G37" s="2">
        <f>F37-C37</f>
        <v>757906.5924684722</v>
      </c>
      <c r="H37" s="31">
        <f>G37/Calcs!$B$4/A37</f>
        <v>9.3464865269265285E-2</v>
      </c>
      <c r="I37" s="3">
        <f>I36*(1+Params!$B$6)</f>
        <v>441152.10720495362</v>
      </c>
      <c r="J37" s="2">
        <f>I37-Params!$B$4</f>
        <v>216152.10720495362</v>
      </c>
      <c r="K37" s="2">
        <f>I36*Params!$B$7</f>
        <v>6487.5309883081409</v>
      </c>
      <c r="L37" s="2">
        <f t="shared" si="31"/>
        <v>162114.08040371502</v>
      </c>
      <c r="M37" s="2">
        <f>I36*Params!$B$8</f>
        <v>8650.0413177441897</v>
      </c>
      <c r="N37" s="2">
        <f t="shared" si="32"/>
        <v>229652.10720495347</v>
      </c>
      <c r="O37" s="2">
        <v>0</v>
      </c>
      <c r="P37" s="2">
        <f t="shared" si="24"/>
        <v>0</v>
      </c>
      <c r="Q37" s="2">
        <v>0</v>
      </c>
      <c r="R37" s="2">
        <f t="shared" si="1"/>
        <v>0</v>
      </c>
      <c r="S37" s="2">
        <f t="shared" si="25"/>
        <v>0</v>
      </c>
      <c r="T37" s="2">
        <f t="shared" si="2"/>
        <v>-175614.08040371488</v>
      </c>
      <c r="U37" s="31">
        <f>T37/Calcs!$B$4/Table!A37</f>
        <v>-2.1656687680813278E-2</v>
      </c>
      <c r="V37" s="2">
        <f>B37-K37-M37-O37</f>
        <v>40222.692127510447</v>
      </c>
      <c r="W37" s="2">
        <f>IF(V37&gt;0,V37*Params!$B$15,0)</f>
        <v>24133.615276506269</v>
      </c>
      <c r="X37" s="2">
        <f t="shared" si="26"/>
        <v>603064.37910181994</v>
      </c>
      <c r="Y37" s="2">
        <f>Y36*(1+Params!$B$3)+W37</f>
        <v>2013178.5575059429</v>
      </c>
      <c r="Z37" s="2">
        <f t="shared" si="3"/>
        <v>1410114.1784041231</v>
      </c>
      <c r="AA37" s="2">
        <f>T37+Z37</f>
        <v>1234500.0980004082</v>
      </c>
      <c r="AB37" s="31">
        <f>AA37/Calcs!$B$4/A37</f>
        <v>0.1522382658774705</v>
      </c>
      <c r="AC37" s="31">
        <f t="shared" si="4"/>
        <v>5.8773400608205212E-2</v>
      </c>
      <c r="AD37" s="2">
        <f>AA37-I37*Params!$B$23</f>
        <v>1208030.9715681109</v>
      </c>
      <c r="AE37" s="7">
        <f t="shared" si="5"/>
        <v>34</v>
      </c>
      <c r="AF37" s="2">
        <f t="shared" si="6"/>
        <v>4613.3553694635648</v>
      </c>
      <c r="AG37" s="2">
        <f>(K37+M37+O37)/12</f>
        <v>1261.4643588376941</v>
      </c>
      <c r="AH37" s="8" t="str">
        <f t="shared" si="27"/>
        <v/>
      </c>
      <c r="AI37" s="8"/>
      <c r="AJ37" s="47">
        <f t="shared" si="7"/>
        <v>34</v>
      </c>
      <c r="AK37" s="2">
        <f>AK36*(1+Params!$B$20)</f>
        <v>3759.3021254022847</v>
      </c>
      <c r="AL37" s="2">
        <f>Params!$B$21*AK37</f>
        <v>42292.148910775701</v>
      </c>
      <c r="AM37" s="2">
        <f t="shared" si="28"/>
        <v>1136768.7429624959</v>
      </c>
      <c r="AN37" s="2">
        <f>Calcs!$B$5</f>
        <v>0</v>
      </c>
      <c r="AO37" s="2">
        <f t="shared" si="29"/>
        <v>0</v>
      </c>
      <c r="AP37" s="2">
        <f t="shared" si="8"/>
        <v>961154.66255878098</v>
      </c>
      <c r="AQ37" s="31">
        <f>AP37/Calcs!$B$4/A37</f>
        <v>0.11852937015153298</v>
      </c>
      <c r="AR37" s="2">
        <f>F37</f>
        <v>2141280.0785801737</v>
      </c>
      <c r="AS37" s="31">
        <f>AR37/Calcs!$B$4/A37</f>
        <v>0.26406216285364087</v>
      </c>
      <c r="AT37" s="31">
        <f t="shared" si="9"/>
        <v>-0.14553279270210789</v>
      </c>
      <c r="AU37" s="31"/>
      <c r="AV37" s="2">
        <f>I37*Params!$B$23</f>
        <v>26469.126432297217</v>
      </c>
      <c r="AW37" s="49">
        <f>J37*Params!$B$24</f>
        <v>32422.816080743039</v>
      </c>
      <c r="AX37" s="49">
        <f t="shared" si="10"/>
        <v>58891.942513040252</v>
      </c>
      <c r="AY37" s="2">
        <f t="shared" si="11"/>
        <v>26469.126432297217</v>
      </c>
      <c r="AZ37" s="2">
        <f>AP37-AY37</f>
        <v>934685.53612648381</v>
      </c>
      <c r="BA37" s="31">
        <f>AZ37/Calcs!$B$4/A37</f>
        <v>0.11526520361653519</v>
      </c>
      <c r="BB37" s="31">
        <f>BA37-AS37</f>
        <v>-0.14879695923710567</v>
      </c>
      <c r="BE37" s="7">
        <f t="shared" si="0"/>
        <v>34</v>
      </c>
      <c r="BF37" s="2">
        <f t="shared" si="12"/>
        <v>216152.10720495362</v>
      </c>
      <c r="BG37" s="2">
        <f t="shared" si="13"/>
        <v>-162114.08040371502</v>
      </c>
      <c r="BH37" s="2">
        <f t="shared" si="14"/>
        <v>-229652.10720495347</v>
      </c>
      <c r="BI37" s="2">
        <f t="shared" si="15"/>
        <v>0</v>
      </c>
      <c r="BJ37" s="2">
        <f t="shared" si="16"/>
        <v>1136768.7429624959</v>
      </c>
      <c r="BK37" s="2">
        <f t="shared" si="17"/>
        <v>0</v>
      </c>
      <c r="BL37" s="2">
        <f t="shared" si="18"/>
        <v>-26469.126432297217</v>
      </c>
    </row>
    <row r="38" spans="1:64">
      <c r="A38">
        <v>35</v>
      </c>
      <c r="B38" s="3">
        <f>B37*(1+Params!$B$14)</f>
        <v>56467.469722234033</v>
      </c>
      <c r="C38" s="2">
        <f t="shared" si="30"/>
        <v>1439840.9558339354</v>
      </c>
      <c r="D38" s="2">
        <f>D37*(1+Params!$B$3)</f>
        <v>2546364.6840807861</v>
      </c>
      <c r="E38" s="2">
        <f t="shared" si="20"/>
        <v>166584.60550061241</v>
      </c>
      <c r="F38" s="2">
        <f t="shared" si="21"/>
        <v>2307864.6840807861</v>
      </c>
      <c r="G38" s="2">
        <f>F38-C38</f>
        <v>868023.72824685066</v>
      </c>
      <c r="H38" s="31">
        <f>G38/Calcs!$B$4/A38</f>
        <v>0.10398607106880511</v>
      </c>
      <c r="I38" s="3">
        <f>I37*(1+Params!$B$6)</f>
        <v>449975.14934905269</v>
      </c>
      <c r="J38" s="2">
        <f>I38-Params!$B$4</f>
        <v>224975.14934905269</v>
      </c>
      <c r="K38" s="2">
        <f>I37*Params!$B$7</f>
        <v>6617.2816080743041</v>
      </c>
      <c r="L38" s="2">
        <f t="shared" si="31"/>
        <v>168731.36201178932</v>
      </c>
      <c r="M38" s="2">
        <f>I37*Params!$B$8</f>
        <v>8823.0421440990722</v>
      </c>
      <c r="N38" s="2">
        <f t="shared" si="32"/>
        <v>238475.14934905255</v>
      </c>
      <c r="O38" s="2">
        <v>0</v>
      </c>
      <c r="P38" s="2">
        <f t="shared" si="24"/>
        <v>0</v>
      </c>
      <c r="Q38" s="2">
        <v>0</v>
      </c>
      <c r="R38" s="2">
        <f t="shared" si="1"/>
        <v>0</v>
      </c>
      <c r="S38" s="2">
        <f t="shared" si="25"/>
        <v>0</v>
      </c>
      <c r="T38" s="2">
        <f t="shared" si="2"/>
        <v>-182231.36201178917</v>
      </c>
      <c r="U38" s="31">
        <f>T38/Calcs!$B$4/Table!A38</f>
        <v>-2.1830651334146651E-2</v>
      </c>
      <c r="V38" s="2">
        <f>B38-K38-M38-O38</f>
        <v>41027.14597006065</v>
      </c>
      <c r="W38" s="2">
        <f>IF(V38&gt;0,V38*Params!$B$15,0)</f>
        <v>24616.287582036388</v>
      </c>
      <c r="X38" s="2">
        <f t="shared" si="26"/>
        <v>627680.66668385628</v>
      </c>
      <c r="Y38" s="2">
        <f>Y37*(1+Params!$B$3)+W38</f>
        <v>2178717.3441133955</v>
      </c>
      <c r="Z38" s="2">
        <f t="shared" si="3"/>
        <v>1551036.6774295392</v>
      </c>
      <c r="AA38" s="2">
        <f>T38+Z38</f>
        <v>1368805.31541775</v>
      </c>
      <c r="AB38" s="31">
        <f>AA38/Calcs!$B$4/A38</f>
        <v>0.16397787546184486</v>
      </c>
      <c r="AC38" s="31">
        <f t="shared" si="4"/>
        <v>5.9991804393039749E-2</v>
      </c>
      <c r="AD38" s="2">
        <f>AA38-I38*Params!$B$23</f>
        <v>1341806.8064568068</v>
      </c>
      <c r="AE38" s="7">
        <f t="shared" si="5"/>
        <v>35</v>
      </c>
      <c r="AF38" s="2">
        <f t="shared" si="6"/>
        <v>4705.6224768528364</v>
      </c>
      <c r="AG38" s="2">
        <f>(K38+M38+O38)/12</f>
        <v>1286.6936460144479</v>
      </c>
      <c r="AH38" s="8" t="str">
        <f t="shared" si="27"/>
        <v/>
      </c>
      <c r="AI38" s="8"/>
      <c r="AJ38" s="47">
        <f t="shared" si="7"/>
        <v>35</v>
      </c>
      <c r="AK38" s="2">
        <f>AK37*(1+Params!$B$20)</f>
        <v>3815.6916572833184</v>
      </c>
      <c r="AL38" s="2">
        <f>Params!$B$21*AK38</f>
        <v>42926.531144437329</v>
      </c>
      <c r="AM38" s="2">
        <f t="shared" si="28"/>
        <v>1179695.2741069333</v>
      </c>
      <c r="AN38" s="2">
        <f>Calcs!$B$5</f>
        <v>0</v>
      </c>
      <c r="AO38" s="2">
        <f t="shared" si="29"/>
        <v>0</v>
      </c>
      <c r="AP38" s="2">
        <f t="shared" si="8"/>
        <v>997463.91209514416</v>
      </c>
      <c r="AQ38" s="31">
        <f>AP38/Calcs!$B$4/A38</f>
        <v>0.11949253214676779</v>
      </c>
      <c r="AR38" s="2">
        <f>F38</f>
        <v>2307864.6840807861</v>
      </c>
      <c r="AS38" s="31">
        <f>AR38/Calcs!$B$4/A38</f>
        <v>0.27647375670329871</v>
      </c>
      <c r="AT38" s="31">
        <f t="shared" si="9"/>
        <v>-0.15698122455653091</v>
      </c>
      <c r="AU38" s="31"/>
      <c r="AV38" s="2">
        <f>I38*Params!$B$23</f>
        <v>26998.50896094316</v>
      </c>
      <c r="AW38" s="49">
        <f>J38*Params!$B$24</f>
        <v>33746.272402357899</v>
      </c>
      <c r="AX38" s="49">
        <f t="shared" si="10"/>
        <v>60744.781363301059</v>
      </c>
      <c r="AY38" s="2">
        <f t="shared" si="11"/>
        <v>26998.50896094316</v>
      </c>
      <c r="AZ38" s="2">
        <f>AP38-AY38</f>
        <v>970465.40313420095</v>
      </c>
      <c r="BA38" s="31">
        <f>AZ38/Calcs!$B$4/A38</f>
        <v>0.11625820942008998</v>
      </c>
      <c r="BB38" s="31">
        <f>BA38-AS38</f>
        <v>-0.16021554728320875</v>
      </c>
      <c r="BE38" s="7">
        <f t="shared" si="0"/>
        <v>35</v>
      </c>
      <c r="BF38" s="2">
        <f t="shared" si="12"/>
        <v>224975.14934905269</v>
      </c>
      <c r="BG38" s="2">
        <f t="shared" si="13"/>
        <v>-168731.36201178932</v>
      </c>
      <c r="BH38" s="2">
        <f t="shared" si="14"/>
        <v>-238475.14934905255</v>
      </c>
      <c r="BI38" s="2">
        <f t="shared" si="15"/>
        <v>0</v>
      </c>
      <c r="BJ38" s="2">
        <f t="shared" si="16"/>
        <v>1179695.2741069333</v>
      </c>
      <c r="BK38" s="2">
        <f t="shared" si="17"/>
        <v>0</v>
      </c>
      <c r="BL38" s="2">
        <f t="shared" si="18"/>
        <v>-26998.50896094316</v>
      </c>
    </row>
    <row r="39" spans="1:64">
      <c r="A39">
        <v>36</v>
      </c>
      <c r="B39" s="3">
        <f>B38*(1+Params!$B$14)</f>
        <v>57596.819116678715</v>
      </c>
      <c r="C39" s="2">
        <f t="shared" si="30"/>
        <v>1497437.7749506142</v>
      </c>
      <c r="D39" s="2">
        <f>D38*(1+Params!$B$3)</f>
        <v>2724610.2119664415</v>
      </c>
      <c r="E39" s="2">
        <f t="shared" si="20"/>
        <v>178245.52788565541</v>
      </c>
      <c r="F39" s="2">
        <f t="shared" si="21"/>
        <v>2486110.2119664415</v>
      </c>
      <c r="G39" s="2">
        <f>F39-C39</f>
        <v>988672.43701582728</v>
      </c>
      <c r="H39" s="31">
        <f>G39/Calcs!$B$4/A39</f>
        <v>0.11514936373349956</v>
      </c>
      <c r="I39" s="3">
        <f>I38*(1+Params!$B$6)</f>
        <v>458974.65233603376</v>
      </c>
      <c r="J39" s="2">
        <f>I39-Params!$B$4</f>
        <v>233974.65233603376</v>
      </c>
      <c r="K39" s="2">
        <f>I38*Params!$B$7</f>
        <v>6749.6272402357899</v>
      </c>
      <c r="L39" s="2">
        <f t="shared" si="31"/>
        <v>175480.98925202512</v>
      </c>
      <c r="M39" s="2">
        <f>I38*Params!$B$8</f>
        <v>8999.5029869810533</v>
      </c>
      <c r="N39" s="2">
        <f t="shared" si="32"/>
        <v>247474.65233603359</v>
      </c>
      <c r="O39" s="2">
        <v>0</v>
      </c>
      <c r="P39" s="2">
        <f t="shared" si="24"/>
        <v>0</v>
      </c>
      <c r="Q39" s="2">
        <v>0</v>
      </c>
      <c r="R39" s="2">
        <f t="shared" si="1"/>
        <v>0</v>
      </c>
      <c r="S39" s="2">
        <f t="shared" si="25"/>
        <v>0</v>
      </c>
      <c r="T39" s="2">
        <f t="shared" si="2"/>
        <v>-188980.98925202494</v>
      </c>
      <c r="U39" s="31">
        <f>T39/Calcs!$B$4/Table!A39</f>
        <v>-2.2010364459821213E-2</v>
      </c>
      <c r="V39" s="2">
        <f>B39-K39-M39-O39</f>
        <v>41847.688889461875</v>
      </c>
      <c r="W39" s="2">
        <f>IF(V39&gt;0,V39*Params!$B$15,0)</f>
        <v>25108.613333677124</v>
      </c>
      <c r="X39" s="2">
        <f t="shared" si="26"/>
        <v>652789.28001753346</v>
      </c>
      <c r="Y39" s="2">
        <f>Y38*(1+Params!$B$3)+W39</f>
        <v>2356336.1715350104</v>
      </c>
      <c r="Z39" s="2">
        <f t="shared" si="3"/>
        <v>1703546.8915174771</v>
      </c>
      <c r="AA39" s="2">
        <f>T39+Z39</f>
        <v>1514565.9022654521</v>
      </c>
      <c r="AB39" s="31">
        <f>AA39/Calcs!$B$4/A39</f>
        <v>0.1763994761548395</v>
      </c>
      <c r="AC39" s="31">
        <f t="shared" si="4"/>
        <v>6.1250112421339944E-2</v>
      </c>
      <c r="AD39" s="2">
        <f>AA39-I39*Params!$B$23</f>
        <v>1487027.4231252901</v>
      </c>
      <c r="AE39" s="7">
        <f t="shared" si="5"/>
        <v>36</v>
      </c>
      <c r="AF39" s="2">
        <f t="shared" si="6"/>
        <v>4799.7349263898932</v>
      </c>
      <c r="AG39" s="2">
        <f>(K39+M39+O39)/12</f>
        <v>1312.427518934737</v>
      </c>
      <c r="AH39" s="8" t="str">
        <f t="shared" si="27"/>
        <v/>
      </c>
      <c r="AI39" s="8"/>
      <c r="AJ39" s="47">
        <f t="shared" si="7"/>
        <v>36</v>
      </c>
      <c r="AK39" s="2">
        <f>AK38*(1+Params!$B$20)</f>
        <v>3872.9270321425679</v>
      </c>
      <c r="AL39" s="2">
        <f>Params!$B$21*AK39</f>
        <v>43570.429111603888</v>
      </c>
      <c r="AM39" s="2">
        <f t="shared" si="28"/>
        <v>1223265.7032185371</v>
      </c>
      <c r="AN39" s="2">
        <f>Calcs!$B$5</f>
        <v>0</v>
      </c>
      <c r="AO39" s="2">
        <f t="shared" si="29"/>
        <v>0</v>
      </c>
      <c r="AP39" s="2">
        <f t="shared" si="8"/>
        <v>1034284.7139665122</v>
      </c>
      <c r="AQ39" s="31">
        <f>AP39/Calcs!$B$4/A39</f>
        <v>0.1204617649623238</v>
      </c>
      <c r="AR39" s="2">
        <f>F39</f>
        <v>2486110.2119664415</v>
      </c>
      <c r="AS39" s="31">
        <f>AR39/Calcs!$B$4/A39</f>
        <v>0.28955394968162607</v>
      </c>
      <c r="AT39" s="31">
        <f t="shared" si="9"/>
        <v>-0.16909218471930226</v>
      </c>
      <c r="AU39" s="31"/>
      <c r="AV39" s="2">
        <f>I39*Params!$B$23</f>
        <v>27538.479140162024</v>
      </c>
      <c r="AW39" s="49">
        <f>J39*Params!$B$24</f>
        <v>35096.197850405064</v>
      </c>
      <c r="AX39" s="49">
        <f t="shared" si="10"/>
        <v>62634.676990567088</v>
      </c>
      <c r="AY39" s="2">
        <f t="shared" si="11"/>
        <v>27538.479140162024</v>
      </c>
      <c r="AZ39" s="2">
        <f>AP39-AY39</f>
        <v>1006746.2348263502</v>
      </c>
      <c r="BA39" s="31">
        <f>AZ39/Calcs!$B$4/A39</f>
        <v>0.11725439492503496</v>
      </c>
      <c r="BB39" s="31">
        <f>BA39-AS39</f>
        <v>-0.17229955475659109</v>
      </c>
      <c r="BE39" s="7">
        <f t="shared" si="0"/>
        <v>36</v>
      </c>
      <c r="BF39" s="2">
        <f t="shared" si="12"/>
        <v>233974.65233603376</v>
      </c>
      <c r="BG39" s="2">
        <f t="shared" si="13"/>
        <v>-175480.98925202512</v>
      </c>
      <c r="BH39" s="2">
        <f t="shared" si="14"/>
        <v>-247474.65233603359</v>
      </c>
      <c r="BI39" s="2">
        <f t="shared" si="15"/>
        <v>0</v>
      </c>
      <c r="BJ39" s="2">
        <f t="shared" si="16"/>
        <v>1223265.7032185371</v>
      </c>
      <c r="BK39" s="2">
        <f t="shared" si="17"/>
        <v>0</v>
      </c>
      <c r="BL39" s="2">
        <f t="shared" si="18"/>
        <v>-27538.479140162024</v>
      </c>
    </row>
    <row r="40" spans="1:64">
      <c r="A40">
        <v>37</v>
      </c>
      <c r="B40" s="3">
        <f>B39*(1+Params!$B$14)</f>
        <v>58748.755499012288</v>
      </c>
      <c r="C40" s="2">
        <f t="shared" si="30"/>
        <v>1556186.5304496265</v>
      </c>
      <c r="D40" s="2">
        <f>D39*(1+Params!$B$3)</f>
        <v>2915332.9268040927</v>
      </c>
      <c r="E40" s="2">
        <f t="shared" si="20"/>
        <v>190722.71483765123</v>
      </c>
      <c r="F40" s="2">
        <f t="shared" si="21"/>
        <v>2676832.9268040927</v>
      </c>
      <c r="G40" s="2">
        <f>F40-C40</f>
        <v>1120646.3963544662</v>
      </c>
      <c r="H40" s="31">
        <f>G40/Calcs!$B$4/A40</f>
        <v>0.12699262239837567</v>
      </c>
      <c r="I40" s="3">
        <f>I39*(1+Params!$B$6)</f>
        <v>468154.14538275445</v>
      </c>
      <c r="J40" s="2">
        <f>I40-Params!$B$4</f>
        <v>243154.14538275445</v>
      </c>
      <c r="K40" s="2">
        <f>I39*Params!$B$7</f>
        <v>6884.619785040506</v>
      </c>
      <c r="L40" s="2">
        <f t="shared" si="31"/>
        <v>182365.60903706562</v>
      </c>
      <c r="M40" s="2">
        <f>I39*Params!$B$8</f>
        <v>9179.4930467206759</v>
      </c>
      <c r="N40" s="2">
        <f t="shared" si="32"/>
        <v>256654.14538275427</v>
      </c>
      <c r="O40" s="2">
        <v>0</v>
      </c>
      <c r="P40" s="2">
        <f t="shared" si="24"/>
        <v>0</v>
      </c>
      <c r="Q40" s="2">
        <v>0</v>
      </c>
      <c r="R40" s="2">
        <f t="shared" si="1"/>
        <v>0</v>
      </c>
      <c r="S40" s="2">
        <f t="shared" si="25"/>
        <v>0</v>
      </c>
      <c r="T40" s="2">
        <f t="shared" si="2"/>
        <v>-195865.60903706544</v>
      </c>
      <c r="U40" s="31">
        <f>T40/Calcs!$B$4/Table!A40</f>
        <v>-2.219566083484225E-2</v>
      </c>
      <c r="V40" s="2">
        <f>B40-K40-M40-O40</f>
        <v>42684.642667251101</v>
      </c>
      <c r="W40" s="2">
        <f>IF(V40&gt;0,V40*Params!$B$15,0)</f>
        <v>25610.78560035066</v>
      </c>
      <c r="X40" s="2">
        <f t="shared" si="26"/>
        <v>678400.06561788416</v>
      </c>
      <c r="Y40" s="2">
        <f>Y39*(1+Params!$B$3)+W40</f>
        <v>2546890.4891428119</v>
      </c>
      <c r="Z40" s="2">
        <f t="shared" si="3"/>
        <v>1868490.4235249278</v>
      </c>
      <c r="AA40" s="2">
        <f>T40+Z40</f>
        <v>1672624.8144878624</v>
      </c>
      <c r="AB40" s="31">
        <f>AA40/Calcs!$B$4/A40</f>
        <v>0.18954329587941099</v>
      </c>
      <c r="AC40" s="31">
        <f t="shared" si="4"/>
        <v>6.2550673481035324E-2</v>
      </c>
      <c r="AD40" s="2">
        <f>AA40-I40*Params!$B$23</f>
        <v>1644535.565764897</v>
      </c>
      <c r="AE40" s="7">
        <f t="shared" si="5"/>
        <v>37</v>
      </c>
      <c r="AF40" s="2">
        <f t="shared" si="6"/>
        <v>4895.7296249176907</v>
      </c>
      <c r="AG40" s="2">
        <f>(K40+M40+O40)/12</f>
        <v>1338.6760693134318</v>
      </c>
      <c r="AH40" s="8" t="str">
        <f t="shared" si="27"/>
        <v/>
      </c>
      <c r="AI40" s="8"/>
      <c r="AJ40" s="47">
        <f t="shared" si="7"/>
        <v>37</v>
      </c>
      <c r="AK40" s="2">
        <f>AK39*(1+Params!$B$20)</f>
        <v>3931.0209376247062</v>
      </c>
      <c r="AL40" s="2">
        <f>Params!$B$21*AK40</f>
        <v>44223.985548277946</v>
      </c>
      <c r="AM40" s="2">
        <f t="shared" si="28"/>
        <v>1267489.688766815</v>
      </c>
      <c r="AN40" s="2">
        <f>Calcs!$B$5</f>
        <v>0</v>
      </c>
      <c r="AO40" s="2">
        <f t="shared" si="29"/>
        <v>0</v>
      </c>
      <c r="AP40" s="2">
        <f t="shared" si="8"/>
        <v>1071624.0797297496</v>
      </c>
      <c r="AQ40" s="31">
        <f>AP40/Calcs!$B$4/A40</f>
        <v>0.12143737092523652</v>
      </c>
      <c r="AR40" s="2">
        <f>F40</f>
        <v>2676832.9268040927</v>
      </c>
      <c r="AS40" s="31">
        <f>AR40/Calcs!$B$4/A40</f>
        <v>0.30334103085773612</v>
      </c>
      <c r="AT40" s="31">
        <f t="shared" si="9"/>
        <v>-0.1819036599324996</v>
      </c>
      <c r="AU40" s="31"/>
      <c r="AV40" s="2">
        <f>I40*Params!$B$23</f>
        <v>28089.248722965265</v>
      </c>
      <c r="AW40" s="49">
        <f>J40*Params!$B$24</f>
        <v>36473.121807413168</v>
      </c>
      <c r="AX40" s="49">
        <f t="shared" si="10"/>
        <v>64562.370530378437</v>
      </c>
      <c r="AY40" s="2">
        <f t="shared" si="11"/>
        <v>28089.248722965265</v>
      </c>
      <c r="AZ40" s="2">
        <f>AP40-AY40</f>
        <v>1043534.8310067843</v>
      </c>
      <c r="BA40" s="31">
        <f>AZ40/Calcs!$B$4/A40</f>
        <v>0.11825427287741905</v>
      </c>
      <c r="BB40" s="31">
        <f>BA40-AS40</f>
        <v>-0.18508675798031707</v>
      </c>
      <c r="BE40" s="7">
        <f t="shared" si="0"/>
        <v>37</v>
      </c>
      <c r="BF40" s="2">
        <f t="shared" si="12"/>
        <v>243154.14538275445</v>
      </c>
      <c r="BG40" s="2">
        <f t="shared" si="13"/>
        <v>-182365.60903706562</v>
      </c>
      <c r="BH40" s="2">
        <f t="shared" si="14"/>
        <v>-256654.14538275427</v>
      </c>
      <c r="BI40" s="2">
        <f t="shared" si="15"/>
        <v>0</v>
      </c>
      <c r="BJ40" s="2">
        <f t="shared" si="16"/>
        <v>1267489.688766815</v>
      </c>
      <c r="BK40" s="2">
        <f t="shared" si="17"/>
        <v>0</v>
      </c>
      <c r="BL40" s="2">
        <f t="shared" si="18"/>
        <v>-28089.248722965265</v>
      </c>
    </row>
    <row r="41" spans="1:64">
      <c r="A41">
        <v>38</v>
      </c>
      <c r="B41" s="3">
        <f>B40*(1+Params!$B$14)</f>
        <v>59923.730608992533</v>
      </c>
      <c r="C41" s="2">
        <f t="shared" si="30"/>
        <v>1616110.261058619</v>
      </c>
      <c r="D41" s="2">
        <f>D40*(1+Params!$B$3)</f>
        <v>3119406.2316803792</v>
      </c>
      <c r="E41" s="2">
        <f t="shared" si="20"/>
        <v>204073.30487628654</v>
      </c>
      <c r="F41" s="2">
        <f t="shared" si="21"/>
        <v>2880906.2316803792</v>
      </c>
      <c r="G41" s="2">
        <f>F41-C41</f>
        <v>1264795.9706217602</v>
      </c>
      <c r="H41" s="31">
        <f>G41/Calcs!$B$4/A41</f>
        <v>0.13955599366895732</v>
      </c>
      <c r="I41" s="3">
        <f>I40*(1+Params!$B$6)</f>
        <v>477517.22829040955</v>
      </c>
      <c r="J41" s="2">
        <f>I41-Params!$B$4</f>
        <v>252517.22829040955</v>
      </c>
      <c r="K41" s="2">
        <f>I40*Params!$B$7</f>
        <v>7022.3121807413163</v>
      </c>
      <c r="L41" s="2">
        <f t="shared" si="31"/>
        <v>189387.92121780693</v>
      </c>
      <c r="M41" s="2">
        <f>I40*Params!$B$8</f>
        <v>9363.082907655089</v>
      </c>
      <c r="N41" s="2">
        <f t="shared" si="32"/>
        <v>266017.22829040937</v>
      </c>
      <c r="O41" s="2">
        <v>0</v>
      </c>
      <c r="P41" s="2">
        <f t="shared" si="24"/>
        <v>0</v>
      </c>
      <c r="Q41" s="2">
        <v>0</v>
      </c>
      <c r="R41" s="2">
        <f t="shared" si="1"/>
        <v>0</v>
      </c>
      <c r="S41" s="2">
        <f t="shared" si="25"/>
        <v>0</v>
      </c>
      <c r="T41" s="2">
        <f t="shared" si="2"/>
        <v>-202887.92121780675</v>
      </c>
      <c r="U41" s="31">
        <f>T41/Calcs!$B$4/Table!A41</f>
        <v>-2.2386397574512495E-2</v>
      </c>
      <c r="V41" s="2">
        <f>B41-K41-M41-O41</f>
        <v>43538.335520596127</v>
      </c>
      <c r="W41" s="2">
        <f>IF(V41&gt;0,V41*Params!$B$15,0)</f>
        <v>26123.001312357675</v>
      </c>
      <c r="X41" s="2">
        <f t="shared" si="26"/>
        <v>704523.06693024188</v>
      </c>
      <c r="Y41" s="2">
        <f>Y40*(1+Params!$B$3)+W41</f>
        <v>2751295.8246951667</v>
      </c>
      <c r="Z41" s="2">
        <f t="shared" si="3"/>
        <v>2046772.7577649248</v>
      </c>
      <c r="AA41" s="2">
        <f>T41+Z41</f>
        <v>1843884.8365471181</v>
      </c>
      <c r="AB41" s="31">
        <f>AA41/Calcs!$B$4/A41</f>
        <v>0.20345192944357476</v>
      </c>
      <c r="AC41" s="31">
        <f t="shared" si="4"/>
        <v>6.3895935774617441E-2</v>
      </c>
      <c r="AD41" s="2">
        <f>AA41-I41*Params!$B$23</f>
        <v>1815233.8028496937</v>
      </c>
      <c r="AE41" s="7">
        <f t="shared" si="5"/>
        <v>38</v>
      </c>
      <c r="AF41" s="2">
        <f t="shared" si="6"/>
        <v>4993.6442174160447</v>
      </c>
      <c r="AG41" s="2">
        <f>(K41+M41+O41)/12</f>
        <v>1365.4495906997006</v>
      </c>
      <c r="AH41" s="8" t="str">
        <f t="shared" si="27"/>
        <v/>
      </c>
      <c r="AI41" s="8"/>
      <c r="AJ41" s="47">
        <f t="shared" si="7"/>
        <v>38</v>
      </c>
      <c r="AK41" s="2">
        <f>AK40*(1+Params!$B$20)</f>
        <v>3989.9862516890767</v>
      </c>
      <c r="AL41" s="2">
        <f>Params!$B$21*AK41</f>
        <v>44887.345331502111</v>
      </c>
      <c r="AM41" s="2">
        <f t="shared" si="28"/>
        <v>1312377.0340983171</v>
      </c>
      <c r="AN41" s="2">
        <f>Calcs!$B$5</f>
        <v>0</v>
      </c>
      <c r="AO41" s="2">
        <f t="shared" si="29"/>
        <v>0</v>
      </c>
      <c r="AP41" s="2">
        <f t="shared" si="8"/>
        <v>1109489.1128805103</v>
      </c>
      <c r="AQ41" s="31">
        <f>AP41/Calcs!$B$4/A41</f>
        <v>0.1224196306830531</v>
      </c>
      <c r="AR41" s="2">
        <f>F41</f>
        <v>2880906.2316803792</v>
      </c>
      <c r="AS41" s="31">
        <f>AR41/Calcs!$B$4/A41</f>
        <v>0.31787556346467827</v>
      </c>
      <c r="AT41" s="31">
        <f t="shared" si="9"/>
        <v>-0.19545593278162515</v>
      </c>
      <c r="AU41" s="31"/>
      <c r="AV41" s="2">
        <f>I41*Params!$B$23</f>
        <v>28651.033697424573</v>
      </c>
      <c r="AW41" s="49">
        <f>J41*Params!$B$24</f>
        <v>37877.584243561432</v>
      </c>
      <c r="AX41" s="49">
        <f t="shared" si="10"/>
        <v>66528.617940986005</v>
      </c>
      <c r="AY41" s="2">
        <f t="shared" si="11"/>
        <v>28651.033697424573</v>
      </c>
      <c r="AZ41" s="2">
        <f>AP41-AY41</f>
        <v>1080838.0791830858</v>
      </c>
      <c r="BA41" s="31">
        <f>AZ41/Calcs!$B$4/A41</f>
        <v>0.11925831172714177</v>
      </c>
      <c r="BB41" s="31">
        <f>BA41-AS41</f>
        <v>-0.1986172517375365</v>
      </c>
      <c r="BE41" s="7">
        <f t="shared" si="0"/>
        <v>38</v>
      </c>
      <c r="BF41" s="2">
        <f t="shared" si="12"/>
        <v>252517.22829040955</v>
      </c>
      <c r="BG41" s="2">
        <f t="shared" si="13"/>
        <v>-189387.92121780693</v>
      </c>
      <c r="BH41" s="2">
        <f t="shared" si="14"/>
        <v>-266017.22829040937</v>
      </c>
      <c r="BI41" s="2">
        <f t="shared" si="15"/>
        <v>0</v>
      </c>
      <c r="BJ41" s="2">
        <f t="shared" si="16"/>
        <v>1312377.0340983171</v>
      </c>
      <c r="BK41" s="2">
        <f t="shared" si="17"/>
        <v>0</v>
      </c>
      <c r="BL41" s="2">
        <f t="shared" si="18"/>
        <v>-28651.033697424573</v>
      </c>
    </row>
    <row r="42" spans="1:64">
      <c r="A42">
        <v>39</v>
      </c>
      <c r="B42" s="3">
        <f>B41*(1+Params!$B$14)</f>
        <v>61122.205221172386</v>
      </c>
      <c r="C42" s="2">
        <f t="shared" si="30"/>
        <v>1677232.4662797914</v>
      </c>
      <c r="D42" s="2">
        <f>D41*(1+Params!$B$3)</f>
        <v>3337764.6678980058</v>
      </c>
      <c r="E42" s="2">
        <f t="shared" si="20"/>
        <v>218358.43621762656</v>
      </c>
      <c r="F42" s="2">
        <f t="shared" si="21"/>
        <v>3099264.6678980058</v>
      </c>
      <c r="G42" s="2">
        <f>F42-C42</f>
        <v>1422032.2016182144</v>
      </c>
      <c r="H42" s="31">
        <f>G42/Calcs!$B$4/A42</f>
        <v>0.15288202995411648</v>
      </c>
      <c r="I42" s="3">
        <f>I41*(1+Params!$B$6)</f>
        <v>487067.57285621774</v>
      </c>
      <c r="J42" s="2">
        <f>I42-Params!$B$4</f>
        <v>262067.57285621774</v>
      </c>
      <c r="K42" s="2">
        <f>I41*Params!$B$7</f>
        <v>7162.7584243561432</v>
      </c>
      <c r="L42" s="2">
        <f t="shared" si="31"/>
        <v>196550.67964216307</v>
      </c>
      <c r="M42" s="2">
        <f>I41*Params!$B$8</f>
        <v>9550.344565808191</v>
      </c>
      <c r="N42" s="2">
        <f t="shared" si="32"/>
        <v>275567.57285621756</v>
      </c>
      <c r="O42" s="2">
        <v>0</v>
      </c>
      <c r="P42" s="2">
        <f t="shared" si="24"/>
        <v>0</v>
      </c>
      <c r="Q42" s="2">
        <v>0</v>
      </c>
      <c r="R42" s="2">
        <f t="shared" si="1"/>
        <v>0</v>
      </c>
      <c r="S42" s="2">
        <f t="shared" si="25"/>
        <v>0</v>
      </c>
      <c r="T42" s="2">
        <f t="shared" si="2"/>
        <v>-210050.6796421629</v>
      </c>
      <c r="U42" s="31">
        <f>T42/Calcs!$B$4/Table!A42</f>
        <v>-2.258245225417007E-2</v>
      </c>
      <c r="V42" s="2">
        <f>B42-K42-M42-O42</f>
        <v>44409.102231008052</v>
      </c>
      <c r="W42" s="2">
        <f>IF(V42&gt;0,V42*Params!$B$15,0)</f>
        <v>26645.46133860483</v>
      </c>
      <c r="X42" s="2">
        <f t="shared" si="26"/>
        <v>731168.52826884668</v>
      </c>
      <c r="Y42" s="2">
        <f>Y41*(1+Params!$B$3)+W42</f>
        <v>2970531.9937624335</v>
      </c>
      <c r="Z42" s="2">
        <f t="shared" si="3"/>
        <v>2239363.4654935868</v>
      </c>
      <c r="AA42" s="2">
        <f>T42+Z42</f>
        <v>2029312.7858514239</v>
      </c>
      <c r="AB42" s="31">
        <f>AA42/Calcs!$B$4/A42</f>
        <v>0.21817048710975909</v>
      </c>
      <c r="AC42" s="31">
        <f t="shared" si="4"/>
        <v>6.5288457155642604E-2</v>
      </c>
      <c r="AD42" s="2">
        <f>AA42-I42*Params!$B$23</f>
        <v>2000088.7314800508</v>
      </c>
      <c r="AE42" s="7">
        <f t="shared" si="5"/>
        <v>39</v>
      </c>
      <c r="AF42" s="2">
        <f t="shared" si="6"/>
        <v>5093.5171017643652</v>
      </c>
      <c r="AG42" s="2">
        <f>(K42+M42+O42)/12</f>
        <v>1392.7585825136946</v>
      </c>
      <c r="AH42" s="8" t="str">
        <f t="shared" si="27"/>
        <v/>
      </c>
      <c r="AI42" s="8"/>
      <c r="AJ42" s="47">
        <f t="shared" si="7"/>
        <v>39</v>
      </c>
      <c r="AK42" s="2">
        <f>AK41*(1+Params!$B$20)</f>
        <v>4049.8360454644126</v>
      </c>
      <c r="AL42" s="2">
        <f>Params!$B$21*AK42</f>
        <v>45560.655511474644</v>
      </c>
      <c r="AM42" s="2">
        <f t="shared" si="28"/>
        <v>1357937.6896097919</v>
      </c>
      <c r="AN42" s="2">
        <f>Calcs!$B$5</f>
        <v>0</v>
      </c>
      <c r="AO42" s="2">
        <f t="shared" si="29"/>
        <v>0</v>
      </c>
      <c r="AP42" s="2">
        <f t="shared" si="8"/>
        <v>1147887.0099676289</v>
      </c>
      <c r="AQ42" s="31">
        <f>AP42/Calcs!$B$4/A42</f>
        <v>0.12340880610306175</v>
      </c>
      <c r="AR42" s="2">
        <f>F42</f>
        <v>3099264.6678980058</v>
      </c>
      <c r="AS42" s="31">
        <f>AR42/Calcs!$B$4/A42</f>
        <v>0.33320052334548256</v>
      </c>
      <c r="AT42" s="31">
        <f t="shared" si="9"/>
        <v>-0.20979171724242079</v>
      </c>
      <c r="AU42" s="31"/>
      <c r="AV42" s="2">
        <f>I42*Params!$B$23</f>
        <v>29224.054371373062</v>
      </c>
      <c r="AW42" s="49">
        <f>J42*Params!$B$24</f>
        <v>39310.135928432661</v>
      </c>
      <c r="AX42" s="49">
        <f t="shared" si="10"/>
        <v>68534.190299805719</v>
      </c>
      <c r="AY42" s="2">
        <f t="shared" si="11"/>
        <v>29224.054371373062</v>
      </c>
      <c r="AZ42" s="2">
        <f>AP42-AY42</f>
        <v>1118662.9555962558</v>
      </c>
      <c r="BA42" s="31">
        <f>AZ42/Calcs!$B$4/A42</f>
        <v>0.12026694141764832</v>
      </c>
      <c r="BB42" s="31">
        <f>BA42-AS42</f>
        <v>-0.21293358192783424</v>
      </c>
      <c r="BE42" s="7">
        <f t="shared" si="0"/>
        <v>39</v>
      </c>
      <c r="BF42" s="2">
        <f t="shared" si="12"/>
        <v>262067.57285621774</v>
      </c>
      <c r="BG42" s="2">
        <f t="shared" si="13"/>
        <v>-196550.67964216307</v>
      </c>
      <c r="BH42" s="2">
        <f t="shared" si="14"/>
        <v>-275567.57285621756</v>
      </c>
      <c r="BI42" s="2">
        <f t="shared" si="15"/>
        <v>0</v>
      </c>
      <c r="BJ42" s="2">
        <f t="shared" si="16"/>
        <v>1357937.6896097919</v>
      </c>
      <c r="BK42" s="2">
        <f t="shared" si="17"/>
        <v>0</v>
      </c>
      <c r="BL42" s="2">
        <f t="shared" si="18"/>
        <v>-29224.054371373062</v>
      </c>
    </row>
    <row r="43" spans="1:64">
      <c r="A43">
        <v>40</v>
      </c>
      <c r="B43" s="3">
        <f>B42*(1+Params!$B$14)</f>
        <v>62344.649325595834</v>
      </c>
      <c r="C43" s="2">
        <f t="shared" si="30"/>
        <v>1739577.1156053874</v>
      </c>
      <c r="D43" s="2">
        <f>D42*(1+Params!$B$3)</f>
        <v>3571408.1946508666</v>
      </c>
      <c r="E43" s="2">
        <f t="shared" si="20"/>
        <v>233643.52675286075</v>
      </c>
      <c r="F43" s="2">
        <f t="shared" si="21"/>
        <v>3332908.1946508666</v>
      </c>
      <c r="G43" s="2">
        <f>F43-C43</f>
        <v>1593331.0790454792</v>
      </c>
      <c r="H43" s="31">
        <f>G43/Calcs!$B$4/A43</f>
        <v>0.16701583637793282</v>
      </c>
      <c r="I43" s="3">
        <f>I42*(1+Params!$B$6)</f>
        <v>496808.92431334208</v>
      </c>
      <c r="J43" s="2">
        <f>I43-Params!$B$4</f>
        <v>271808.92431334208</v>
      </c>
      <c r="K43" s="2">
        <f>I42*Params!$B$7</f>
        <v>7306.0135928432655</v>
      </c>
      <c r="L43" s="2">
        <f t="shared" si="31"/>
        <v>203856.69323500633</v>
      </c>
      <c r="M43" s="2">
        <f>I42*Params!$B$8</f>
        <v>9741.3514571243559</v>
      </c>
      <c r="N43" s="2">
        <f t="shared" si="32"/>
        <v>285308.92431334191</v>
      </c>
      <c r="O43" s="2">
        <v>0</v>
      </c>
      <c r="P43" s="2">
        <f t="shared" si="24"/>
        <v>0</v>
      </c>
      <c r="Q43" s="2">
        <v>0</v>
      </c>
      <c r="R43" s="2">
        <f t="shared" si="1"/>
        <v>0</v>
      </c>
      <c r="S43" s="2">
        <f t="shared" si="25"/>
        <v>0</v>
      </c>
      <c r="T43" s="2">
        <f t="shared" si="2"/>
        <v>-217356.69323500615</v>
      </c>
      <c r="U43" s="31">
        <f>T43/Calcs!$B$4/Table!A43</f>
        <v>-2.2783720464885339E-2</v>
      </c>
      <c r="V43" s="2">
        <f>B43-K43-M43-O43</f>
        <v>45297.284275628212</v>
      </c>
      <c r="W43" s="2">
        <f>IF(V43&gt;0,V43*Params!$B$15,0)</f>
        <v>27178.370565376925</v>
      </c>
      <c r="X43" s="2">
        <f t="shared" si="26"/>
        <v>758346.89883422363</v>
      </c>
      <c r="Y43" s="2">
        <f>Y42*(1+Params!$B$3)+W43</f>
        <v>3205647.6038911808</v>
      </c>
      <c r="Z43" s="2">
        <f t="shared" si="3"/>
        <v>2447300.705056957</v>
      </c>
      <c r="AA43" s="2">
        <f>T43+Z43</f>
        <v>2229944.0118219508</v>
      </c>
      <c r="AB43" s="31">
        <f>AA43/Calcs!$B$4/A43</f>
        <v>0.23374675176330723</v>
      </c>
      <c r="AC43" s="31">
        <f t="shared" si="4"/>
        <v>6.6730915385374401E-2</v>
      </c>
      <c r="AD43" s="2">
        <f>AA43-I43*Params!$B$23</f>
        <v>2200135.4763631504</v>
      </c>
      <c r="AE43" s="7">
        <f t="shared" si="5"/>
        <v>40</v>
      </c>
      <c r="AF43" s="2">
        <f t="shared" si="6"/>
        <v>5195.3874437996528</v>
      </c>
      <c r="AG43" s="2">
        <f>(K43+M43+O43)/12</f>
        <v>1420.6137541639685</v>
      </c>
      <c r="AH43" s="8" t="str">
        <f t="shared" si="27"/>
        <v/>
      </c>
      <c r="AI43" s="8"/>
      <c r="AJ43" s="47">
        <f t="shared" si="7"/>
        <v>40</v>
      </c>
      <c r="AK43" s="2">
        <f>AK42*(1+Params!$B$20)</f>
        <v>4110.5835861463784</v>
      </c>
      <c r="AL43" s="2">
        <f>Params!$B$21*AK43</f>
        <v>46244.065344146758</v>
      </c>
      <c r="AM43" s="2">
        <f t="shared" si="28"/>
        <v>1404181.7549539385</v>
      </c>
      <c r="AN43" s="2">
        <f>Calcs!$B$5</f>
        <v>0</v>
      </c>
      <c r="AO43" s="2">
        <f t="shared" si="29"/>
        <v>0</v>
      </c>
      <c r="AP43" s="2">
        <f t="shared" si="8"/>
        <v>1186825.0617189324</v>
      </c>
      <c r="AQ43" s="31">
        <f>AP43/Calcs!$B$4/A43</f>
        <v>0.12440514273783358</v>
      </c>
      <c r="AR43" s="2">
        <f>F43</f>
        <v>3332908.1946508666</v>
      </c>
      <c r="AS43" s="31">
        <f>AR43/Calcs!$B$4/A43</f>
        <v>0.34936144598017471</v>
      </c>
      <c r="AT43" s="31">
        <f t="shared" si="9"/>
        <v>-0.22495630324234112</v>
      </c>
      <c r="AU43" s="31"/>
      <c r="AV43" s="2">
        <f>I43*Params!$B$23</f>
        <v>29808.535458800525</v>
      </c>
      <c r="AW43" s="49">
        <f>J43*Params!$B$24</f>
        <v>40771.338647001314</v>
      </c>
      <c r="AX43" s="49">
        <f t="shared" si="10"/>
        <v>70579.874105801835</v>
      </c>
      <c r="AY43" s="2">
        <f t="shared" si="11"/>
        <v>29808.535458800525</v>
      </c>
      <c r="AZ43" s="2">
        <f>AP43-AY43</f>
        <v>1157016.5262601317</v>
      </c>
      <c r="BA43" s="31">
        <f>AZ43/Calcs!$B$4/A43</f>
        <v>0.12128055830818991</v>
      </c>
      <c r="BB43" s="31">
        <f>BA43-AS43</f>
        <v>-0.22808088767198481</v>
      </c>
      <c r="BE43" s="7">
        <f t="shared" si="0"/>
        <v>40</v>
      </c>
      <c r="BF43" s="2">
        <f t="shared" si="12"/>
        <v>271808.92431334208</v>
      </c>
      <c r="BG43" s="2">
        <f t="shared" si="13"/>
        <v>-203856.69323500633</v>
      </c>
      <c r="BH43" s="2">
        <f t="shared" si="14"/>
        <v>-285308.92431334191</v>
      </c>
      <c r="BI43" s="2">
        <f t="shared" si="15"/>
        <v>0</v>
      </c>
      <c r="BJ43" s="2">
        <f t="shared" si="16"/>
        <v>1404181.7549539385</v>
      </c>
      <c r="BK43" s="2">
        <f t="shared" si="17"/>
        <v>0</v>
      </c>
      <c r="BL43" s="2">
        <f t="shared" si="18"/>
        <v>-29808.535458800525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91F4-4798-4AFA-A8C8-BA43DEA88675}">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BE11-6ED8-40B2-9DB3-578210E9C158}">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0679-C697-40D5-BF04-3BC462A047A8}">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D10D-5CDA-48D9-8128-975D5EE22EBB}">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EA82-F43B-412A-858A-1DEBFC1E9F67}">
  <dimension ref="A1:A8"/>
  <sheetViews>
    <sheetView workbookViewId="0"/>
  </sheetViews>
  <sheetFormatPr defaultRowHeight="15"/>
  <cols>
    <col min="1" max="1" width="226.5703125" customWidth="1"/>
  </cols>
  <sheetData>
    <row r="1" spans="1:1">
      <c r="A1" s="8" t="s">
        <v>94</v>
      </c>
    </row>
    <row r="2" spans="1:1" ht="43.5">
      <c r="A2" s="37" t="s">
        <v>95</v>
      </c>
    </row>
    <row r="3" spans="1:1">
      <c r="A3" s="37" t="s">
        <v>96</v>
      </c>
    </row>
    <row r="4" spans="1:1" ht="103.5" customHeight="1">
      <c r="A4" s="37" t="s">
        <v>97</v>
      </c>
    </row>
    <row r="5" spans="1:1" ht="29.25">
      <c r="A5" s="37" t="s">
        <v>98</v>
      </c>
    </row>
    <row r="6" spans="1:1" ht="101.25">
      <c r="A6" s="37" t="s">
        <v>99</v>
      </c>
    </row>
    <row r="7" spans="1:1">
      <c r="A7" s="37" t="s">
        <v>100</v>
      </c>
    </row>
    <row r="8" spans="1:1">
      <c r="A8" s="6" t="s">
        <v>101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AFD2-25AC-466A-B050-8D1D35F06CE4}">
  <dimension ref="A1:A2"/>
  <sheetViews>
    <sheetView workbookViewId="0"/>
  </sheetViews>
  <sheetFormatPr defaultRowHeight="15"/>
  <cols>
    <col min="1" max="1" width="167.5703125" customWidth="1"/>
  </cols>
  <sheetData>
    <row r="1" spans="1:1">
      <c r="A1" s="5" t="s">
        <v>102</v>
      </c>
    </row>
    <row r="2" spans="1:1">
      <c r="A2" s="5"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 Soffer</cp:lastModifiedBy>
  <cp:revision/>
  <dcterms:created xsi:type="dcterms:W3CDTF">2025-02-04T22:35:44Z</dcterms:created>
  <dcterms:modified xsi:type="dcterms:W3CDTF">2025-02-15T23:06:55Z</dcterms:modified>
  <cp:category/>
  <cp:contentStatus/>
</cp:coreProperties>
</file>