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xr:revisionPtr revIDLastSave="2026" documentId="11_0B1D56BE9CDCCE836B02CE7A5FB0D4A9BBFD1C62" xr6:coauthVersionLast="47" xr6:coauthVersionMax="47" xr10:uidLastSave="{06C62817-7192-45CE-817E-936613FFBAA6}"/>
  <bookViews>
    <workbookView xWindow="240" yWindow="105" windowWidth="14805" windowHeight="8010" xr2:uid="{00000000-000D-0000-FFFF-FFFF00000000}"/>
  </bookViews>
  <sheets>
    <sheet name="Parameters" sheetId="9" r:id="rId1"/>
    <sheet name="Calculations" sheetId="11" r:id="rId2"/>
    <sheet name="Table" sheetId="3" r:id="rId3"/>
    <sheet name="Monthly Costs Graphs" sheetId="12" r:id="rId4"/>
    <sheet name="To Live In Graphs" sheetId="8" r:id="rId5"/>
    <sheet name="As Investment Graphs" sheetId="10" r:id="rId6"/>
    <sheet name="Notes" sheetId="7" r:id="rId7"/>
    <sheet name="Potential Additions"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 i="3" l="1"/>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3" i="3"/>
  <c r="AN3" i="3"/>
  <c r="B5" i="11"/>
  <c r="AJ4" i="3"/>
  <c r="AK4" i="3" s="1"/>
  <c r="B2" i="11"/>
  <c r="AJ5" i="3"/>
  <c r="F3" i="3"/>
  <c r="AQ3" i="3" s="1"/>
  <c r="AL3" i="3"/>
  <c r="B10" i="9"/>
  <c r="B3" i="11" s="1"/>
  <c r="M3" i="3" s="1"/>
  <c r="AE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3" i="3"/>
  <c r="AF3" i="3"/>
  <c r="V3" i="3"/>
  <c r="W3" i="3"/>
  <c r="X3" i="3" s="1"/>
  <c r="Z3" i="3" s="1"/>
  <c r="R34" i="3"/>
  <c r="R35" i="3"/>
  <c r="R36" i="3"/>
  <c r="R37" i="3"/>
  <c r="R38" i="3"/>
  <c r="R39" i="3"/>
  <c r="R40" i="3"/>
  <c r="R41" i="3"/>
  <c r="R42" i="3"/>
  <c r="R43" i="3"/>
  <c r="P3" i="3"/>
  <c r="R3" i="3"/>
  <c r="S3" i="3" s="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4" i="3"/>
  <c r="P4" i="3" s="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N3" i="3"/>
  <c r="L3" i="3"/>
  <c r="B4" i="3"/>
  <c r="AE4" i="3" s="1"/>
  <c r="I3" i="3"/>
  <c r="AU3" i="3" s="1"/>
  <c r="C3" i="3"/>
  <c r="AM5" i="3" l="1"/>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 i="3"/>
  <c r="AN4" i="3" s="1"/>
  <c r="AN5" i="3"/>
  <c r="AN6" i="3" s="1"/>
  <c r="AN7" i="3" s="1"/>
  <c r="AN8" i="3" s="1"/>
  <c r="AN9" i="3" s="1"/>
  <c r="AN10" i="3" s="1"/>
  <c r="AN11" i="3" s="1"/>
  <c r="AN12" i="3" s="1"/>
  <c r="AN13" i="3" s="1"/>
  <c r="AN14" i="3" s="1"/>
  <c r="AN15" i="3" s="1"/>
  <c r="AN16" i="3" s="1"/>
  <c r="AN17" i="3" s="1"/>
  <c r="AN18" i="3" s="1"/>
  <c r="AN19" i="3" s="1"/>
  <c r="AN20" i="3" s="1"/>
  <c r="AN21" i="3" s="1"/>
  <c r="AN22" i="3" s="1"/>
  <c r="AN23" i="3" s="1"/>
  <c r="AN24" i="3" s="1"/>
  <c r="AN25" i="3" s="1"/>
  <c r="AN26" i="3" s="1"/>
  <c r="AN27" i="3" s="1"/>
  <c r="AN28" i="3" s="1"/>
  <c r="AN29" i="3" s="1"/>
  <c r="AN30" i="3" s="1"/>
  <c r="AN31" i="3" s="1"/>
  <c r="AN32" i="3" s="1"/>
  <c r="AN33" i="3" s="1"/>
  <c r="AN34" i="3" s="1"/>
  <c r="AN35" i="3" s="1"/>
  <c r="AN36" i="3" s="1"/>
  <c r="AN37" i="3" s="1"/>
  <c r="AN38" i="3" s="1"/>
  <c r="AN39" i="3" s="1"/>
  <c r="AN40" i="3" s="1"/>
  <c r="AN41" i="3" s="1"/>
  <c r="AN42" i="3" s="1"/>
  <c r="AN43" i="3" s="1"/>
  <c r="AJ6" i="3"/>
  <c r="AK5" i="3"/>
  <c r="AL4" i="3"/>
  <c r="B4" i="11"/>
  <c r="P5" i="3"/>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J3" i="3"/>
  <c r="M4" i="3"/>
  <c r="K4" i="3"/>
  <c r="R4" i="3"/>
  <c r="S4" i="3" s="1"/>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S5" i="3" s="1"/>
  <c r="I4" i="3"/>
  <c r="AU4" i="3" s="1"/>
  <c r="B5" i="3"/>
  <c r="AE5" i="3" s="1"/>
  <c r="C4" i="3"/>
  <c r="T3" i="3" l="1"/>
  <c r="AV3" i="3"/>
  <c r="AW3" i="3" s="1"/>
  <c r="AL5" i="3"/>
  <c r="AJ7" i="3"/>
  <c r="AK6" i="3"/>
  <c r="AL6" i="3" s="1"/>
  <c r="D3" i="3"/>
  <c r="D4" i="3" s="1"/>
  <c r="E4" i="3" s="1"/>
  <c r="F4" i="3" s="1"/>
  <c r="AQ4" i="3" s="1"/>
  <c r="AR4" i="3" s="1"/>
  <c r="AR3" i="3"/>
  <c r="AA3" i="3"/>
  <c r="AB3" i="3" s="1"/>
  <c r="V4" i="3"/>
  <c r="W4" i="3" s="1"/>
  <c r="AF4" i="3"/>
  <c r="AG4" i="3" s="1"/>
  <c r="Y4" i="3"/>
  <c r="X4" i="3"/>
  <c r="P35" i="3"/>
  <c r="M5" i="3"/>
  <c r="K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s="1"/>
  <c r="J4" i="3"/>
  <c r="AV4" i="3" s="1"/>
  <c r="AW4" i="3" s="1"/>
  <c r="N4" i="3"/>
  <c r="L4" i="3"/>
  <c r="G3" i="3"/>
  <c r="H3" i="3" s="1"/>
  <c r="B6" i="3"/>
  <c r="AE6" i="3" s="1"/>
  <c r="C5" i="3"/>
  <c r="I5" i="3"/>
  <c r="AU5" i="3" s="1"/>
  <c r="D5" i="3"/>
  <c r="E5" i="3" s="1"/>
  <c r="F5" i="3" s="1"/>
  <c r="AQ5" i="3" s="1"/>
  <c r="AR5" i="3" s="1"/>
  <c r="G4" i="3"/>
  <c r="H4" i="3" s="1"/>
  <c r="AC3" i="3" l="1"/>
  <c r="AO3" i="3"/>
  <c r="AP3" i="3" s="1"/>
  <c r="U3" i="3"/>
  <c r="AS3" i="3"/>
  <c r="AX3" i="3"/>
  <c r="AY3" i="3" s="1"/>
  <c r="AZ3" i="3" s="1"/>
  <c r="AJ8" i="3"/>
  <c r="AK7" i="3"/>
  <c r="AL7" i="3" s="1"/>
  <c r="V5" i="3"/>
  <c r="W5" i="3" s="1"/>
  <c r="Y5" i="3" s="1"/>
  <c r="AF5" i="3"/>
  <c r="AG5" i="3" s="1"/>
  <c r="X5" i="3"/>
  <c r="Z4" i="3"/>
  <c r="S35" i="3"/>
  <c r="P36" i="3"/>
  <c r="M6" i="3"/>
  <c r="K6" i="3"/>
  <c r="T4" i="3"/>
  <c r="J5" i="3"/>
  <c r="AV5" i="3" s="1"/>
  <c r="AW5" i="3" s="1"/>
  <c r="N5" i="3"/>
  <c r="L5" i="3"/>
  <c r="D6" i="3"/>
  <c r="E6" i="3" s="1"/>
  <c r="F6" i="3" s="1"/>
  <c r="AQ6" i="3" s="1"/>
  <c r="AR6" i="3" s="1"/>
  <c r="G5" i="3"/>
  <c r="H5" i="3" s="1"/>
  <c r="I6" i="3"/>
  <c r="AU6" i="3" s="1"/>
  <c r="B7" i="3"/>
  <c r="AE7" i="3" s="1"/>
  <c r="C6" i="3"/>
  <c r="AO4" i="3" l="1"/>
  <c r="AP4" i="3" s="1"/>
  <c r="U4" i="3"/>
  <c r="AJ9" i="3"/>
  <c r="AK8" i="3"/>
  <c r="AL8" i="3" s="1"/>
  <c r="AA4" i="3"/>
  <c r="AB4" i="3" s="1"/>
  <c r="AC4" i="3" s="1"/>
  <c r="V6" i="3"/>
  <c r="W6" i="3" s="1"/>
  <c r="Y6" i="3" s="1"/>
  <c r="AF6" i="3"/>
  <c r="AG6" i="3" s="1"/>
  <c r="X6" i="3"/>
  <c r="Z5" i="3"/>
  <c r="P37" i="3"/>
  <c r="S36" i="3"/>
  <c r="M7" i="3"/>
  <c r="K7" i="3"/>
  <c r="T5" i="3"/>
  <c r="J6" i="3"/>
  <c r="AV6" i="3" s="1"/>
  <c r="AW6" i="3" s="1"/>
  <c r="N6" i="3"/>
  <c r="L6" i="3"/>
  <c r="B8" i="3"/>
  <c r="AE8" i="3" s="1"/>
  <c r="C7" i="3"/>
  <c r="I7" i="3"/>
  <c r="AU7" i="3" s="1"/>
  <c r="D7" i="3"/>
  <c r="E7" i="3" s="1"/>
  <c r="F7" i="3" s="1"/>
  <c r="AQ7" i="3" s="1"/>
  <c r="AR7" i="3" s="1"/>
  <c r="G6" i="3"/>
  <c r="H6" i="3" s="1"/>
  <c r="AO5" i="3" l="1"/>
  <c r="U5" i="3"/>
  <c r="AX4" i="3"/>
  <c r="AY4" i="3" s="1"/>
  <c r="AZ4" i="3" s="1"/>
  <c r="AJ10" i="3"/>
  <c r="AK9" i="3"/>
  <c r="AL9" i="3" s="1"/>
  <c r="AS4" i="3"/>
  <c r="AA5" i="3"/>
  <c r="AB5" i="3" s="1"/>
  <c r="AC5" i="3" s="1"/>
  <c r="V7" i="3"/>
  <c r="W7" i="3" s="1"/>
  <c r="Y7" i="3" s="1"/>
  <c r="AF7" i="3"/>
  <c r="AG7" i="3" s="1"/>
  <c r="X7" i="3"/>
  <c r="Z6" i="3"/>
  <c r="S37" i="3"/>
  <c r="P38" i="3"/>
  <c r="M8" i="3"/>
  <c r="K8" i="3"/>
  <c r="T6" i="3"/>
  <c r="J7" i="3"/>
  <c r="AV7" i="3" s="1"/>
  <c r="AW7" i="3" s="1"/>
  <c r="N7" i="3"/>
  <c r="L7" i="3"/>
  <c r="D8" i="3"/>
  <c r="E8" i="3" s="1"/>
  <c r="F8" i="3" s="1"/>
  <c r="AQ8" i="3" s="1"/>
  <c r="AR8" i="3" s="1"/>
  <c r="G7" i="3"/>
  <c r="H7" i="3" s="1"/>
  <c r="I8" i="3"/>
  <c r="AU8" i="3" s="1"/>
  <c r="B9" i="3"/>
  <c r="AE9" i="3" s="1"/>
  <c r="C8" i="3"/>
  <c r="AO6" i="3" l="1"/>
  <c r="U6" i="3"/>
  <c r="AP5" i="3"/>
  <c r="AX5" i="3"/>
  <c r="AY5" i="3" s="1"/>
  <c r="AZ5" i="3" s="1"/>
  <c r="AJ11" i="3"/>
  <c r="AK10" i="3"/>
  <c r="AL10" i="3" s="1"/>
  <c r="AS5" i="3"/>
  <c r="AA6" i="3"/>
  <c r="AB6" i="3" s="1"/>
  <c r="AC6" i="3" s="1"/>
  <c r="V8" i="3"/>
  <c r="W8" i="3" s="1"/>
  <c r="Y8" i="3" s="1"/>
  <c r="AF8" i="3"/>
  <c r="AG8" i="3" s="1"/>
  <c r="X8" i="3"/>
  <c r="Z7" i="3"/>
  <c r="P39" i="3"/>
  <c r="S38" i="3"/>
  <c r="M9" i="3"/>
  <c r="K9" i="3"/>
  <c r="T7" i="3"/>
  <c r="J8" i="3"/>
  <c r="AV8" i="3" s="1"/>
  <c r="AW8" i="3" s="1"/>
  <c r="N8" i="3"/>
  <c r="L8" i="3"/>
  <c r="B10" i="3"/>
  <c r="AE10" i="3" s="1"/>
  <c r="C9" i="3"/>
  <c r="I9" i="3"/>
  <c r="AU9" i="3" s="1"/>
  <c r="D9" i="3"/>
  <c r="E9" i="3" s="1"/>
  <c r="F9" i="3" s="1"/>
  <c r="AQ9" i="3" s="1"/>
  <c r="AR9" i="3" s="1"/>
  <c r="G8" i="3"/>
  <c r="H8" i="3" s="1"/>
  <c r="AO7" i="3" l="1"/>
  <c r="U7" i="3"/>
  <c r="AP6" i="3"/>
  <c r="AX6" i="3"/>
  <c r="AY6" i="3" s="1"/>
  <c r="AZ6" i="3" s="1"/>
  <c r="AJ12" i="3"/>
  <c r="AK11" i="3"/>
  <c r="AL11" i="3" s="1"/>
  <c r="AS6" i="3"/>
  <c r="AA7" i="3"/>
  <c r="AB7" i="3" s="1"/>
  <c r="AC7" i="3" s="1"/>
  <c r="V9" i="3"/>
  <c r="W9" i="3" s="1"/>
  <c r="Y9" i="3" s="1"/>
  <c r="AF9" i="3"/>
  <c r="AG9" i="3" s="1"/>
  <c r="X9" i="3"/>
  <c r="Z8" i="3"/>
  <c r="S39" i="3"/>
  <c r="P40" i="3"/>
  <c r="M10" i="3"/>
  <c r="K10" i="3"/>
  <c r="T8" i="3"/>
  <c r="J9" i="3"/>
  <c r="AV9" i="3" s="1"/>
  <c r="AW9" i="3" s="1"/>
  <c r="N9" i="3"/>
  <c r="L9" i="3"/>
  <c r="D10" i="3"/>
  <c r="E10" i="3" s="1"/>
  <c r="F10" i="3" s="1"/>
  <c r="AQ10" i="3" s="1"/>
  <c r="AR10" i="3" s="1"/>
  <c r="G9" i="3"/>
  <c r="H9" i="3" s="1"/>
  <c r="I10" i="3"/>
  <c r="AU10" i="3" s="1"/>
  <c r="B11" i="3"/>
  <c r="AE11" i="3" s="1"/>
  <c r="C10" i="3"/>
  <c r="AO8" i="3" l="1"/>
  <c r="U8" i="3"/>
  <c r="AP7" i="3"/>
  <c r="AX7" i="3"/>
  <c r="AY7" i="3" s="1"/>
  <c r="AZ7" i="3" s="1"/>
  <c r="AJ13" i="3"/>
  <c r="AK12" i="3"/>
  <c r="AL12" i="3" s="1"/>
  <c r="AS7" i="3"/>
  <c r="AA8" i="3"/>
  <c r="AB8" i="3" s="1"/>
  <c r="AC8" i="3" s="1"/>
  <c r="V10" i="3"/>
  <c r="W10" i="3" s="1"/>
  <c r="Y10" i="3" s="1"/>
  <c r="AF10" i="3"/>
  <c r="AG10" i="3" s="1"/>
  <c r="X10" i="3"/>
  <c r="Z9" i="3"/>
  <c r="P41" i="3"/>
  <c r="S40" i="3"/>
  <c r="M11" i="3"/>
  <c r="K11" i="3"/>
  <c r="T9" i="3"/>
  <c r="J10" i="3"/>
  <c r="AV10" i="3" s="1"/>
  <c r="AW10" i="3" s="1"/>
  <c r="N10" i="3"/>
  <c r="L10" i="3"/>
  <c r="B12" i="3"/>
  <c r="AE12" i="3" s="1"/>
  <c r="C11" i="3"/>
  <c r="I11" i="3"/>
  <c r="AU11" i="3" s="1"/>
  <c r="D11" i="3"/>
  <c r="E11" i="3" s="1"/>
  <c r="F11" i="3" s="1"/>
  <c r="AQ11" i="3" s="1"/>
  <c r="AR11" i="3" s="1"/>
  <c r="G10" i="3"/>
  <c r="H10" i="3" s="1"/>
  <c r="AO9" i="3" l="1"/>
  <c r="U9" i="3"/>
  <c r="AP8" i="3"/>
  <c r="AX8" i="3"/>
  <c r="AY8" i="3" s="1"/>
  <c r="AZ8" i="3" s="1"/>
  <c r="AJ14" i="3"/>
  <c r="AK13" i="3"/>
  <c r="AL13" i="3" s="1"/>
  <c r="AS8" i="3"/>
  <c r="AA9" i="3"/>
  <c r="AB9" i="3" s="1"/>
  <c r="AC9" i="3" s="1"/>
  <c r="V11" i="3"/>
  <c r="W11" i="3" s="1"/>
  <c r="Y11" i="3" s="1"/>
  <c r="AF11" i="3"/>
  <c r="AG11" i="3" s="1"/>
  <c r="X11" i="3"/>
  <c r="Z10" i="3"/>
  <c r="S41" i="3"/>
  <c r="P42" i="3"/>
  <c r="M12" i="3"/>
  <c r="K12" i="3"/>
  <c r="T10" i="3"/>
  <c r="J11" i="3"/>
  <c r="AV11" i="3" s="1"/>
  <c r="AW11" i="3" s="1"/>
  <c r="N11" i="3"/>
  <c r="L11" i="3"/>
  <c r="D12" i="3"/>
  <c r="E12" i="3" s="1"/>
  <c r="F12" i="3" s="1"/>
  <c r="AQ12" i="3" s="1"/>
  <c r="AR12" i="3" s="1"/>
  <c r="G11" i="3"/>
  <c r="H11" i="3" s="1"/>
  <c r="I12" i="3"/>
  <c r="AU12" i="3" s="1"/>
  <c r="B13" i="3"/>
  <c r="AE13" i="3" s="1"/>
  <c r="C12" i="3"/>
  <c r="AO10" i="3" l="1"/>
  <c r="U10" i="3"/>
  <c r="AP9" i="3"/>
  <c r="AX9" i="3"/>
  <c r="AY9" i="3" s="1"/>
  <c r="AZ9" i="3" s="1"/>
  <c r="AJ15" i="3"/>
  <c r="AK14" i="3"/>
  <c r="AL14" i="3" s="1"/>
  <c r="AS9" i="3"/>
  <c r="AA10" i="3"/>
  <c r="AB10" i="3" s="1"/>
  <c r="AC10" i="3" s="1"/>
  <c r="V12" i="3"/>
  <c r="W12" i="3" s="1"/>
  <c r="Y12" i="3" s="1"/>
  <c r="AF12" i="3"/>
  <c r="AG12" i="3" s="1"/>
  <c r="X12" i="3"/>
  <c r="Z11" i="3"/>
  <c r="P43" i="3"/>
  <c r="S42" i="3"/>
  <c r="M13" i="3"/>
  <c r="K13" i="3"/>
  <c r="T11" i="3"/>
  <c r="J12" i="3"/>
  <c r="AV12" i="3" s="1"/>
  <c r="AW12" i="3" s="1"/>
  <c r="N12" i="3"/>
  <c r="L12" i="3"/>
  <c r="B14" i="3"/>
  <c r="AE14" i="3" s="1"/>
  <c r="C13" i="3"/>
  <c r="I13" i="3"/>
  <c r="AU13" i="3" s="1"/>
  <c r="D13" i="3"/>
  <c r="E13" i="3" s="1"/>
  <c r="F13" i="3" s="1"/>
  <c r="AQ13" i="3" s="1"/>
  <c r="AR13" i="3" s="1"/>
  <c r="G12" i="3"/>
  <c r="H12" i="3" s="1"/>
  <c r="AO11" i="3" l="1"/>
  <c r="U11" i="3"/>
  <c r="AP10" i="3"/>
  <c r="AX10" i="3"/>
  <c r="AY10" i="3" s="1"/>
  <c r="AZ10" i="3" s="1"/>
  <c r="AJ16" i="3"/>
  <c r="AK15" i="3"/>
  <c r="AL15" i="3" s="1"/>
  <c r="AS10" i="3"/>
  <c r="AA11" i="3"/>
  <c r="AB11" i="3" s="1"/>
  <c r="AC11" i="3" s="1"/>
  <c r="V13" i="3"/>
  <c r="W13" i="3" s="1"/>
  <c r="Y13" i="3" s="1"/>
  <c r="AF13" i="3"/>
  <c r="AG13" i="3" s="1"/>
  <c r="X13" i="3"/>
  <c r="Z12" i="3"/>
  <c r="S43" i="3"/>
  <c r="M14" i="3"/>
  <c r="K14" i="3"/>
  <c r="T12" i="3"/>
  <c r="J13" i="3"/>
  <c r="AV13" i="3" s="1"/>
  <c r="AW13" i="3" s="1"/>
  <c r="N13" i="3"/>
  <c r="L13" i="3"/>
  <c r="D14" i="3"/>
  <c r="E14" i="3" s="1"/>
  <c r="F14" i="3" s="1"/>
  <c r="AQ14" i="3" s="1"/>
  <c r="AR14" i="3" s="1"/>
  <c r="G13" i="3"/>
  <c r="H13" i="3" s="1"/>
  <c r="I14" i="3"/>
  <c r="AU14" i="3" s="1"/>
  <c r="B15" i="3"/>
  <c r="AE15" i="3" s="1"/>
  <c r="C14" i="3"/>
  <c r="AO12" i="3" l="1"/>
  <c r="U12" i="3"/>
  <c r="AP11" i="3"/>
  <c r="AX11" i="3"/>
  <c r="AY11" i="3" s="1"/>
  <c r="AZ11" i="3" s="1"/>
  <c r="AJ17" i="3"/>
  <c r="AK16" i="3"/>
  <c r="AL16" i="3" s="1"/>
  <c r="AS11" i="3"/>
  <c r="AA12" i="3"/>
  <c r="AB12" i="3" s="1"/>
  <c r="AC12" i="3" s="1"/>
  <c r="V14" i="3"/>
  <c r="W14" i="3" s="1"/>
  <c r="Y14" i="3" s="1"/>
  <c r="AF14" i="3"/>
  <c r="AG14" i="3" s="1"/>
  <c r="X14" i="3"/>
  <c r="Z13" i="3"/>
  <c r="M15" i="3"/>
  <c r="K15" i="3"/>
  <c r="T13" i="3"/>
  <c r="J14" i="3"/>
  <c r="AV14" i="3" s="1"/>
  <c r="AW14" i="3" s="1"/>
  <c r="N14" i="3"/>
  <c r="L14" i="3"/>
  <c r="B16" i="3"/>
  <c r="AE16" i="3" s="1"/>
  <c r="C15" i="3"/>
  <c r="I15" i="3"/>
  <c r="AU15" i="3" s="1"/>
  <c r="D15" i="3"/>
  <c r="E15" i="3" s="1"/>
  <c r="F15" i="3" s="1"/>
  <c r="AQ15" i="3" s="1"/>
  <c r="AR15" i="3" s="1"/>
  <c r="G14" i="3"/>
  <c r="H14" i="3" s="1"/>
  <c r="AO13" i="3" l="1"/>
  <c r="U13" i="3"/>
  <c r="AP12" i="3"/>
  <c r="AX12" i="3"/>
  <c r="AY12" i="3" s="1"/>
  <c r="AZ12" i="3" s="1"/>
  <c r="AJ18" i="3"/>
  <c r="AK17" i="3"/>
  <c r="AL17" i="3" s="1"/>
  <c r="AS12" i="3"/>
  <c r="AA13" i="3"/>
  <c r="AB13" i="3" s="1"/>
  <c r="AC13" i="3" s="1"/>
  <c r="V15" i="3"/>
  <c r="W15" i="3" s="1"/>
  <c r="Y15" i="3" s="1"/>
  <c r="AF15" i="3"/>
  <c r="AG15" i="3" s="1"/>
  <c r="X15" i="3"/>
  <c r="Z14" i="3"/>
  <c r="M16" i="3"/>
  <c r="K16" i="3"/>
  <c r="T14" i="3"/>
  <c r="J15" i="3"/>
  <c r="AV15" i="3" s="1"/>
  <c r="AW15" i="3" s="1"/>
  <c r="N15" i="3"/>
  <c r="L15" i="3"/>
  <c r="D16" i="3"/>
  <c r="E16" i="3" s="1"/>
  <c r="F16" i="3" s="1"/>
  <c r="AQ16" i="3" s="1"/>
  <c r="AR16" i="3" s="1"/>
  <c r="G15" i="3"/>
  <c r="H15" i="3" s="1"/>
  <c r="I16" i="3"/>
  <c r="AU16" i="3" s="1"/>
  <c r="B17" i="3"/>
  <c r="AE17" i="3" s="1"/>
  <c r="C16" i="3"/>
  <c r="AO14" i="3" l="1"/>
  <c r="U14" i="3"/>
  <c r="AP13" i="3"/>
  <c r="AX13" i="3"/>
  <c r="AY13" i="3" s="1"/>
  <c r="AZ13" i="3" s="1"/>
  <c r="AJ19" i="3"/>
  <c r="AK18" i="3"/>
  <c r="AL18" i="3" s="1"/>
  <c r="AS13" i="3"/>
  <c r="AA14" i="3"/>
  <c r="AB14" i="3" s="1"/>
  <c r="AC14" i="3" s="1"/>
  <c r="V16" i="3"/>
  <c r="W16" i="3" s="1"/>
  <c r="Y16" i="3" s="1"/>
  <c r="AF16" i="3"/>
  <c r="AG16" i="3" s="1"/>
  <c r="X16" i="3"/>
  <c r="Z15" i="3"/>
  <c r="M17" i="3"/>
  <c r="K17" i="3"/>
  <c r="T15" i="3"/>
  <c r="J16" i="3"/>
  <c r="AV16" i="3" s="1"/>
  <c r="AW16" i="3" s="1"/>
  <c r="N16" i="3"/>
  <c r="L16" i="3"/>
  <c r="B18" i="3"/>
  <c r="AE18" i="3" s="1"/>
  <c r="C17" i="3"/>
  <c r="I17" i="3"/>
  <c r="AU17" i="3" s="1"/>
  <c r="D17" i="3"/>
  <c r="E17" i="3" s="1"/>
  <c r="F17" i="3" s="1"/>
  <c r="AQ17" i="3" s="1"/>
  <c r="AR17" i="3" s="1"/>
  <c r="G16" i="3"/>
  <c r="H16" i="3" s="1"/>
  <c r="AO15" i="3" l="1"/>
  <c r="U15" i="3"/>
  <c r="AP14" i="3"/>
  <c r="AX14" i="3"/>
  <c r="AY14" i="3" s="1"/>
  <c r="AZ14" i="3" s="1"/>
  <c r="AJ20" i="3"/>
  <c r="AK19" i="3"/>
  <c r="AL19" i="3" s="1"/>
  <c r="AS14" i="3"/>
  <c r="AA15" i="3"/>
  <c r="AB15" i="3" s="1"/>
  <c r="AC15" i="3" s="1"/>
  <c r="V17" i="3"/>
  <c r="W17" i="3" s="1"/>
  <c r="Y17" i="3" s="1"/>
  <c r="AF17" i="3"/>
  <c r="AG17" i="3" s="1"/>
  <c r="X17" i="3"/>
  <c r="Z16" i="3"/>
  <c r="M18" i="3"/>
  <c r="K18" i="3"/>
  <c r="T16" i="3"/>
  <c r="J17" i="3"/>
  <c r="AV17" i="3" s="1"/>
  <c r="AW17" i="3" s="1"/>
  <c r="N17" i="3"/>
  <c r="L17" i="3"/>
  <c r="D18" i="3"/>
  <c r="E18" i="3" s="1"/>
  <c r="F18" i="3" s="1"/>
  <c r="AQ18" i="3" s="1"/>
  <c r="AR18" i="3" s="1"/>
  <c r="G17" i="3"/>
  <c r="H17" i="3" s="1"/>
  <c r="I18" i="3"/>
  <c r="AU18" i="3" s="1"/>
  <c r="B19" i="3"/>
  <c r="AE19" i="3" s="1"/>
  <c r="C18" i="3"/>
  <c r="AO16" i="3" l="1"/>
  <c r="U16" i="3"/>
  <c r="AP15" i="3"/>
  <c r="AX15" i="3"/>
  <c r="AY15" i="3" s="1"/>
  <c r="AZ15" i="3" s="1"/>
  <c r="AJ21" i="3"/>
  <c r="AK20" i="3"/>
  <c r="AL20" i="3" s="1"/>
  <c r="AS15" i="3"/>
  <c r="AA16" i="3"/>
  <c r="AB16" i="3" s="1"/>
  <c r="AC16" i="3" s="1"/>
  <c r="V18" i="3"/>
  <c r="W18" i="3" s="1"/>
  <c r="Y18" i="3" s="1"/>
  <c r="AF18" i="3"/>
  <c r="AG18" i="3" s="1"/>
  <c r="X18" i="3"/>
  <c r="Z17" i="3"/>
  <c r="M19" i="3"/>
  <c r="K19" i="3"/>
  <c r="T17" i="3"/>
  <c r="J18" i="3"/>
  <c r="AV18" i="3" s="1"/>
  <c r="AW18" i="3" s="1"/>
  <c r="N18" i="3"/>
  <c r="L18" i="3"/>
  <c r="B20" i="3"/>
  <c r="AE20" i="3" s="1"/>
  <c r="C19" i="3"/>
  <c r="I19" i="3"/>
  <c r="AU19" i="3" s="1"/>
  <c r="D19" i="3"/>
  <c r="E19" i="3" s="1"/>
  <c r="F19" i="3" s="1"/>
  <c r="AQ19" i="3" s="1"/>
  <c r="AR19" i="3" s="1"/>
  <c r="G18" i="3"/>
  <c r="H18" i="3" s="1"/>
  <c r="AO17" i="3" l="1"/>
  <c r="U17" i="3"/>
  <c r="AP16" i="3"/>
  <c r="AX16" i="3"/>
  <c r="AY16" i="3" s="1"/>
  <c r="AZ16" i="3" s="1"/>
  <c r="AJ22" i="3"/>
  <c r="AK21" i="3"/>
  <c r="AL21" i="3" s="1"/>
  <c r="AS16" i="3"/>
  <c r="AA17" i="3"/>
  <c r="AB17" i="3" s="1"/>
  <c r="AC17" i="3" s="1"/>
  <c r="V19" i="3"/>
  <c r="W19" i="3" s="1"/>
  <c r="Y19" i="3" s="1"/>
  <c r="AF19" i="3"/>
  <c r="AG19" i="3" s="1"/>
  <c r="X19" i="3"/>
  <c r="Z18" i="3"/>
  <c r="M20" i="3"/>
  <c r="K20" i="3"/>
  <c r="T18" i="3"/>
  <c r="J19" i="3"/>
  <c r="AV19" i="3" s="1"/>
  <c r="AW19" i="3" s="1"/>
  <c r="N19" i="3"/>
  <c r="L19" i="3"/>
  <c r="D20" i="3"/>
  <c r="E20" i="3" s="1"/>
  <c r="F20" i="3" s="1"/>
  <c r="AQ20" i="3" s="1"/>
  <c r="AR20" i="3" s="1"/>
  <c r="G19" i="3"/>
  <c r="H19" i="3" s="1"/>
  <c r="I20" i="3"/>
  <c r="AU20" i="3" s="1"/>
  <c r="B21" i="3"/>
  <c r="AE21" i="3" s="1"/>
  <c r="C20" i="3"/>
  <c r="AO18" i="3" l="1"/>
  <c r="U18" i="3"/>
  <c r="AP17" i="3"/>
  <c r="AX17" i="3"/>
  <c r="AY17" i="3" s="1"/>
  <c r="AZ17" i="3" s="1"/>
  <c r="AJ23" i="3"/>
  <c r="AK22" i="3"/>
  <c r="AL22" i="3" s="1"/>
  <c r="AS17" i="3"/>
  <c r="AA18" i="3"/>
  <c r="AB18" i="3" s="1"/>
  <c r="AC18" i="3" s="1"/>
  <c r="V20" i="3"/>
  <c r="W20" i="3" s="1"/>
  <c r="Y20" i="3" s="1"/>
  <c r="AF20" i="3"/>
  <c r="AG20" i="3" s="1"/>
  <c r="X20" i="3"/>
  <c r="Z19" i="3"/>
  <c r="M21" i="3"/>
  <c r="K21" i="3"/>
  <c r="T19" i="3"/>
  <c r="J20" i="3"/>
  <c r="AV20" i="3" s="1"/>
  <c r="AW20" i="3" s="1"/>
  <c r="N20" i="3"/>
  <c r="L20" i="3"/>
  <c r="B22" i="3"/>
  <c r="AE22" i="3" s="1"/>
  <c r="C21" i="3"/>
  <c r="I21" i="3"/>
  <c r="AU21" i="3" s="1"/>
  <c r="D21" i="3"/>
  <c r="E21" i="3" s="1"/>
  <c r="F21" i="3" s="1"/>
  <c r="AQ21" i="3" s="1"/>
  <c r="AR21" i="3" s="1"/>
  <c r="G20" i="3"/>
  <c r="H20" i="3" s="1"/>
  <c r="AO19" i="3" l="1"/>
  <c r="U19" i="3"/>
  <c r="AP18" i="3"/>
  <c r="AX18" i="3"/>
  <c r="AY18" i="3" s="1"/>
  <c r="AZ18" i="3" s="1"/>
  <c r="AJ24" i="3"/>
  <c r="AK23" i="3"/>
  <c r="AL23" i="3" s="1"/>
  <c r="AS18" i="3"/>
  <c r="AA19" i="3"/>
  <c r="AB19" i="3" s="1"/>
  <c r="AC19" i="3" s="1"/>
  <c r="V21" i="3"/>
  <c r="W21" i="3" s="1"/>
  <c r="Y21" i="3" s="1"/>
  <c r="AF21" i="3"/>
  <c r="AG21" i="3" s="1"/>
  <c r="X21" i="3"/>
  <c r="Z20" i="3"/>
  <c r="M22" i="3"/>
  <c r="K22" i="3"/>
  <c r="T20" i="3"/>
  <c r="J21" i="3"/>
  <c r="AV21" i="3" s="1"/>
  <c r="AW21" i="3" s="1"/>
  <c r="N21" i="3"/>
  <c r="L21" i="3"/>
  <c r="D22" i="3"/>
  <c r="E22" i="3" s="1"/>
  <c r="F22" i="3" s="1"/>
  <c r="AQ22" i="3" s="1"/>
  <c r="AR22" i="3" s="1"/>
  <c r="G21" i="3"/>
  <c r="H21" i="3" s="1"/>
  <c r="I22" i="3"/>
  <c r="AU22" i="3" s="1"/>
  <c r="B23" i="3"/>
  <c r="AE23" i="3" s="1"/>
  <c r="C22" i="3"/>
  <c r="AO20" i="3" l="1"/>
  <c r="U20" i="3"/>
  <c r="AP19" i="3"/>
  <c r="AX19" i="3"/>
  <c r="AY19" i="3" s="1"/>
  <c r="AZ19" i="3" s="1"/>
  <c r="AJ25" i="3"/>
  <c r="AK24" i="3"/>
  <c r="AL24" i="3" s="1"/>
  <c r="AS19" i="3"/>
  <c r="AA20" i="3"/>
  <c r="AB20" i="3" s="1"/>
  <c r="AC20" i="3" s="1"/>
  <c r="V22" i="3"/>
  <c r="W22" i="3" s="1"/>
  <c r="Y22" i="3" s="1"/>
  <c r="AF22" i="3"/>
  <c r="AG22" i="3" s="1"/>
  <c r="X22" i="3"/>
  <c r="Z21" i="3"/>
  <c r="M23" i="3"/>
  <c r="K23" i="3"/>
  <c r="T21" i="3"/>
  <c r="J22" i="3"/>
  <c r="AV22" i="3" s="1"/>
  <c r="AW22" i="3" s="1"/>
  <c r="N22" i="3"/>
  <c r="L22" i="3"/>
  <c r="B24" i="3"/>
  <c r="AE24" i="3" s="1"/>
  <c r="C23" i="3"/>
  <c r="I23" i="3"/>
  <c r="AU23" i="3" s="1"/>
  <c r="D23" i="3"/>
  <c r="E23" i="3" s="1"/>
  <c r="F23" i="3" s="1"/>
  <c r="AQ23" i="3" s="1"/>
  <c r="AR23" i="3" s="1"/>
  <c r="G22" i="3"/>
  <c r="H22" i="3" s="1"/>
  <c r="AO21" i="3" l="1"/>
  <c r="U21" i="3"/>
  <c r="AP20" i="3"/>
  <c r="AX20" i="3"/>
  <c r="AY20" i="3" s="1"/>
  <c r="AZ20" i="3" s="1"/>
  <c r="AJ26" i="3"/>
  <c r="AK25" i="3"/>
  <c r="AL25" i="3" s="1"/>
  <c r="AS20" i="3"/>
  <c r="AA21" i="3"/>
  <c r="AB21" i="3" s="1"/>
  <c r="AC21" i="3" s="1"/>
  <c r="V23" i="3"/>
  <c r="W23" i="3" s="1"/>
  <c r="Y23" i="3" s="1"/>
  <c r="AF23" i="3"/>
  <c r="AG23" i="3" s="1"/>
  <c r="X23" i="3"/>
  <c r="Z22" i="3"/>
  <c r="M24" i="3"/>
  <c r="K24" i="3"/>
  <c r="T22" i="3"/>
  <c r="J23" i="3"/>
  <c r="AV23" i="3" s="1"/>
  <c r="AW23" i="3" s="1"/>
  <c r="N23" i="3"/>
  <c r="L23" i="3"/>
  <c r="D24" i="3"/>
  <c r="E24" i="3" s="1"/>
  <c r="F24" i="3" s="1"/>
  <c r="AQ24" i="3" s="1"/>
  <c r="AR24" i="3" s="1"/>
  <c r="G23" i="3"/>
  <c r="H23" i="3" s="1"/>
  <c r="I24" i="3"/>
  <c r="AU24" i="3" s="1"/>
  <c r="B25" i="3"/>
  <c r="AE25" i="3" s="1"/>
  <c r="C24" i="3"/>
  <c r="AO22" i="3" l="1"/>
  <c r="U22" i="3"/>
  <c r="AP21" i="3"/>
  <c r="AX21" i="3"/>
  <c r="AY21" i="3" s="1"/>
  <c r="AZ21" i="3" s="1"/>
  <c r="AJ27" i="3"/>
  <c r="AK26" i="3"/>
  <c r="AL26" i="3" s="1"/>
  <c r="AS21" i="3"/>
  <c r="AA22" i="3"/>
  <c r="AB22" i="3" s="1"/>
  <c r="AC22" i="3" s="1"/>
  <c r="V24" i="3"/>
  <c r="W24" i="3" s="1"/>
  <c r="Y24" i="3" s="1"/>
  <c r="AF24" i="3"/>
  <c r="AG24" i="3" s="1"/>
  <c r="X24" i="3"/>
  <c r="Z23" i="3"/>
  <c r="M25" i="3"/>
  <c r="K25" i="3"/>
  <c r="T23" i="3"/>
  <c r="J24" i="3"/>
  <c r="AV24" i="3" s="1"/>
  <c r="AW24" i="3" s="1"/>
  <c r="N24" i="3"/>
  <c r="L24" i="3"/>
  <c r="B26" i="3"/>
  <c r="AE26" i="3" s="1"/>
  <c r="C25" i="3"/>
  <c r="I25" i="3"/>
  <c r="AU25" i="3" s="1"/>
  <c r="D25" i="3"/>
  <c r="E25" i="3" s="1"/>
  <c r="F25" i="3" s="1"/>
  <c r="AQ25" i="3" s="1"/>
  <c r="AR25" i="3" s="1"/>
  <c r="G24" i="3"/>
  <c r="H24" i="3" s="1"/>
  <c r="AO23" i="3" l="1"/>
  <c r="U23" i="3"/>
  <c r="AP22" i="3"/>
  <c r="AX22" i="3"/>
  <c r="AY22" i="3" s="1"/>
  <c r="AZ22" i="3" s="1"/>
  <c r="AJ28" i="3"/>
  <c r="AK27" i="3"/>
  <c r="AL27" i="3" s="1"/>
  <c r="AS22" i="3"/>
  <c r="AA23" i="3"/>
  <c r="AB23" i="3" s="1"/>
  <c r="AC23" i="3" s="1"/>
  <c r="V25" i="3"/>
  <c r="W25" i="3" s="1"/>
  <c r="Y25" i="3" s="1"/>
  <c r="AF25" i="3"/>
  <c r="AG25" i="3" s="1"/>
  <c r="X25" i="3"/>
  <c r="Z24" i="3"/>
  <c r="M26" i="3"/>
  <c r="K26" i="3"/>
  <c r="T24" i="3"/>
  <c r="J25" i="3"/>
  <c r="AV25" i="3" s="1"/>
  <c r="AW25" i="3" s="1"/>
  <c r="N25" i="3"/>
  <c r="L25" i="3"/>
  <c r="D26" i="3"/>
  <c r="E26" i="3" s="1"/>
  <c r="F26" i="3" s="1"/>
  <c r="AQ26" i="3" s="1"/>
  <c r="AR26" i="3" s="1"/>
  <c r="G25" i="3"/>
  <c r="H25" i="3" s="1"/>
  <c r="I26" i="3"/>
  <c r="AU26" i="3" s="1"/>
  <c r="B27" i="3"/>
  <c r="AE27" i="3" s="1"/>
  <c r="C26" i="3"/>
  <c r="AO24" i="3" l="1"/>
  <c r="U24" i="3"/>
  <c r="AP23" i="3"/>
  <c r="AX23" i="3"/>
  <c r="AY23" i="3" s="1"/>
  <c r="AZ23" i="3" s="1"/>
  <c r="AJ29" i="3"/>
  <c r="AK28" i="3"/>
  <c r="AL28" i="3" s="1"/>
  <c r="AS23" i="3"/>
  <c r="AA24" i="3"/>
  <c r="AB24" i="3" s="1"/>
  <c r="AC24" i="3" s="1"/>
  <c r="V26" i="3"/>
  <c r="W26" i="3" s="1"/>
  <c r="Y26" i="3" s="1"/>
  <c r="AF26" i="3"/>
  <c r="AG26" i="3" s="1"/>
  <c r="X26" i="3"/>
  <c r="Z25" i="3"/>
  <c r="M27" i="3"/>
  <c r="K27" i="3"/>
  <c r="T25" i="3"/>
  <c r="J26" i="3"/>
  <c r="AV26" i="3" s="1"/>
  <c r="AW26" i="3" s="1"/>
  <c r="N26" i="3"/>
  <c r="L26" i="3"/>
  <c r="B28" i="3"/>
  <c r="AE28" i="3" s="1"/>
  <c r="C27" i="3"/>
  <c r="I27" i="3"/>
  <c r="AU27" i="3" s="1"/>
  <c r="D27" i="3"/>
  <c r="E27" i="3" s="1"/>
  <c r="F27" i="3" s="1"/>
  <c r="AQ27" i="3" s="1"/>
  <c r="AR27" i="3" s="1"/>
  <c r="G26" i="3"/>
  <c r="H26" i="3" s="1"/>
  <c r="AO25" i="3" l="1"/>
  <c r="U25" i="3"/>
  <c r="AP24" i="3"/>
  <c r="AX24" i="3"/>
  <c r="AY24" i="3" s="1"/>
  <c r="AZ24" i="3" s="1"/>
  <c r="AJ30" i="3"/>
  <c r="AK29" i="3"/>
  <c r="AL29" i="3" s="1"/>
  <c r="AS24" i="3"/>
  <c r="AA25" i="3"/>
  <c r="AB25" i="3" s="1"/>
  <c r="AC25" i="3" s="1"/>
  <c r="V27" i="3"/>
  <c r="W27" i="3" s="1"/>
  <c r="Y27" i="3" s="1"/>
  <c r="AF27" i="3"/>
  <c r="AG27" i="3" s="1"/>
  <c r="X27" i="3"/>
  <c r="Z26" i="3"/>
  <c r="M28" i="3"/>
  <c r="K28" i="3"/>
  <c r="T26" i="3"/>
  <c r="J27" i="3"/>
  <c r="AV27" i="3" s="1"/>
  <c r="AW27" i="3" s="1"/>
  <c r="N27" i="3"/>
  <c r="L27" i="3"/>
  <c r="D28" i="3"/>
  <c r="E28" i="3" s="1"/>
  <c r="F28" i="3" s="1"/>
  <c r="AQ28" i="3" s="1"/>
  <c r="AR28" i="3" s="1"/>
  <c r="G27" i="3"/>
  <c r="H27" i="3" s="1"/>
  <c r="I28" i="3"/>
  <c r="AU28" i="3" s="1"/>
  <c r="B29" i="3"/>
  <c r="AE29" i="3" s="1"/>
  <c r="C28" i="3"/>
  <c r="AO26" i="3" l="1"/>
  <c r="U26" i="3"/>
  <c r="AP25" i="3"/>
  <c r="AX25" i="3"/>
  <c r="AY25" i="3" s="1"/>
  <c r="AZ25" i="3" s="1"/>
  <c r="AJ31" i="3"/>
  <c r="AK30" i="3"/>
  <c r="AL30" i="3" s="1"/>
  <c r="AS25" i="3"/>
  <c r="AA26" i="3"/>
  <c r="AB26" i="3" s="1"/>
  <c r="AC26" i="3" s="1"/>
  <c r="V28" i="3"/>
  <c r="W28" i="3" s="1"/>
  <c r="Y28" i="3" s="1"/>
  <c r="AF28" i="3"/>
  <c r="AG28" i="3" s="1"/>
  <c r="X28" i="3"/>
  <c r="Z27" i="3"/>
  <c r="M29" i="3"/>
  <c r="K29" i="3"/>
  <c r="T27" i="3"/>
  <c r="J28" i="3"/>
  <c r="AV28" i="3" s="1"/>
  <c r="AW28" i="3" s="1"/>
  <c r="N28" i="3"/>
  <c r="L28" i="3"/>
  <c r="B30" i="3"/>
  <c r="AE30" i="3" s="1"/>
  <c r="C29" i="3"/>
  <c r="I29" i="3"/>
  <c r="AU29" i="3" s="1"/>
  <c r="D29" i="3"/>
  <c r="E29" i="3" s="1"/>
  <c r="F29" i="3" s="1"/>
  <c r="AQ29" i="3" s="1"/>
  <c r="AR29" i="3" s="1"/>
  <c r="G28" i="3"/>
  <c r="H28" i="3" s="1"/>
  <c r="AO27" i="3" l="1"/>
  <c r="U27" i="3"/>
  <c r="AP26" i="3"/>
  <c r="AX26" i="3"/>
  <c r="AY26" i="3" s="1"/>
  <c r="AZ26" i="3" s="1"/>
  <c r="AJ32" i="3"/>
  <c r="AK31" i="3"/>
  <c r="AL31" i="3" s="1"/>
  <c r="AS26" i="3"/>
  <c r="AA27" i="3"/>
  <c r="AB27" i="3" s="1"/>
  <c r="AC27" i="3" s="1"/>
  <c r="V29" i="3"/>
  <c r="W29" i="3" s="1"/>
  <c r="Y29" i="3" s="1"/>
  <c r="AF29" i="3"/>
  <c r="AG29" i="3" s="1"/>
  <c r="X29" i="3"/>
  <c r="Z28" i="3"/>
  <c r="M30" i="3"/>
  <c r="K30" i="3"/>
  <c r="T28" i="3"/>
  <c r="J29" i="3"/>
  <c r="AV29" i="3" s="1"/>
  <c r="AW29" i="3" s="1"/>
  <c r="N29" i="3"/>
  <c r="L29" i="3"/>
  <c r="D30" i="3"/>
  <c r="E30" i="3" s="1"/>
  <c r="F30" i="3" s="1"/>
  <c r="AQ30" i="3" s="1"/>
  <c r="AR30" i="3" s="1"/>
  <c r="G29" i="3"/>
  <c r="H29" i="3" s="1"/>
  <c r="I30" i="3"/>
  <c r="AU30" i="3" s="1"/>
  <c r="B31" i="3"/>
  <c r="AE31" i="3" s="1"/>
  <c r="C30" i="3"/>
  <c r="AO28" i="3" l="1"/>
  <c r="U28" i="3"/>
  <c r="AP27" i="3"/>
  <c r="AX27" i="3"/>
  <c r="AY27" i="3" s="1"/>
  <c r="AZ27" i="3" s="1"/>
  <c r="AJ33" i="3"/>
  <c r="AK32" i="3"/>
  <c r="AL32" i="3" s="1"/>
  <c r="AS27" i="3"/>
  <c r="AA28" i="3"/>
  <c r="AB28" i="3" s="1"/>
  <c r="AC28" i="3" s="1"/>
  <c r="V30" i="3"/>
  <c r="W30" i="3" s="1"/>
  <c r="Y30" i="3" s="1"/>
  <c r="AF30" i="3"/>
  <c r="AG30" i="3" s="1"/>
  <c r="X30" i="3"/>
  <c r="Z29" i="3"/>
  <c r="M31" i="3"/>
  <c r="K31" i="3"/>
  <c r="T29" i="3"/>
  <c r="J30" i="3"/>
  <c r="AV30" i="3" s="1"/>
  <c r="AW30" i="3" s="1"/>
  <c r="N30" i="3"/>
  <c r="L30" i="3"/>
  <c r="B32" i="3"/>
  <c r="AE32" i="3" s="1"/>
  <c r="C31" i="3"/>
  <c r="I31" i="3"/>
  <c r="AU31" i="3" s="1"/>
  <c r="D31" i="3"/>
  <c r="E31" i="3" s="1"/>
  <c r="F31" i="3" s="1"/>
  <c r="AQ31" i="3" s="1"/>
  <c r="AR31" i="3" s="1"/>
  <c r="G30" i="3"/>
  <c r="H30" i="3" s="1"/>
  <c r="AO29" i="3" l="1"/>
  <c r="U29" i="3"/>
  <c r="AP28" i="3"/>
  <c r="AX28" i="3"/>
  <c r="AY28" i="3" s="1"/>
  <c r="AZ28" i="3" s="1"/>
  <c r="AJ34" i="3"/>
  <c r="AK33" i="3"/>
  <c r="AL33" i="3" s="1"/>
  <c r="AS28" i="3"/>
  <c r="AA29" i="3"/>
  <c r="AB29" i="3" s="1"/>
  <c r="AC29" i="3" s="1"/>
  <c r="V31" i="3"/>
  <c r="W31" i="3" s="1"/>
  <c r="Y31" i="3" s="1"/>
  <c r="AF31" i="3"/>
  <c r="AG31" i="3" s="1"/>
  <c r="X31" i="3"/>
  <c r="Z30" i="3"/>
  <c r="M32" i="3"/>
  <c r="K32" i="3"/>
  <c r="T30" i="3"/>
  <c r="J31" i="3"/>
  <c r="AV31" i="3" s="1"/>
  <c r="AW31" i="3" s="1"/>
  <c r="N31" i="3"/>
  <c r="L31" i="3"/>
  <c r="D32" i="3"/>
  <c r="E32" i="3" s="1"/>
  <c r="F32" i="3" s="1"/>
  <c r="AQ32" i="3" s="1"/>
  <c r="AR32" i="3" s="1"/>
  <c r="G31" i="3"/>
  <c r="H31" i="3" s="1"/>
  <c r="I32" i="3"/>
  <c r="B33" i="3"/>
  <c r="AE33" i="3" s="1"/>
  <c r="C32" i="3"/>
  <c r="AO30" i="3" l="1"/>
  <c r="U30" i="3"/>
  <c r="AP29" i="3"/>
  <c r="AX29" i="3"/>
  <c r="AY29" i="3" s="1"/>
  <c r="AZ29" i="3" s="1"/>
  <c r="M33" i="3"/>
  <c r="AU32" i="3"/>
  <c r="AJ35" i="3"/>
  <c r="AK34" i="3"/>
  <c r="AL34" i="3" s="1"/>
  <c r="AS29" i="3"/>
  <c r="AA30" i="3"/>
  <c r="AB30" i="3" s="1"/>
  <c r="AC30" i="3" s="1"/>
  <c r="V32" i="3"/>
  <c r="W32" i="3" s="1"/>
  <c r="Y32" i="3" s="1"/>
  <c r="AF32" i="3"/>
  <c r="AG32" i="3" s="1"/>
  <c r="X32" i="3"/>
  <c r="Z31" i="3"/>
  <c r="B34" i="3"/>
  <c r="AE34" i="3" s="1"/>
  <c r="B35" i="3"/>
  <c r="AE35" i="3" s="1"/>
  <c r="K33" i="3"/>
  <c r="T31" i="3"/>
  <c r="J32" i="3"/>
  <c r="AV32" i="3" s="1"/>
  <c r="N32" i="3"/>
  <c r="L32" i="3"/>
  <c r="C33" i="3"/>
  <c r="C34" i="3" s="1"/>
  <c r="I33" i="3"/>
  <c r="AU33" i="3" s="1"/>
  <c r="D33" i="3"/>
  <c r="E33" i="3" s="1"/>
  <c r="F33" i="3" s="1"/>
  <c r="AQ33" i="3" s="1"/>
  <c r="AR33" i="3" s="1"/>
  <c r="G32" i="3"/>
  <c r="H32" i="3" s="1"/>
  <c r="AO31" i="3" l="1"/>
  <c r="U31" i="3"/>
  <c r="AP30" i="3"/>
  <c r="AX30" i="3"/>
  <c r="AY30" i="3" s="1"/>
  <c r="AZ30" i="3" s="1"/>
  <c r="AJ36" i="3"/>
  <c r="AK35" i="3"/>
  <c r="AL35" i="3" s="1"/>
  <c r="AW32" i="3"/>
  <c r="AS30" i="3"/>
  <c r="D34" i="3"/>
  <c r="E34" i="3" s="1"/>
  <c r="F34" i="3" s="1"/>
  <c r="AQ34" i="3" s="1"/>
  <c r="AR34" i="3" s="1"/>
  <c r="AA31" i="3"/>
  <c r="AB31" i="3" s="1"/>
  <c r="AC31" i="3" s="1"/>
  <c r="V33" i="3"/>
  <c r="W33" i="3" s="1"/>
  <c r="Y33" i="3" s="1"/>
  <c r="AF33" i="3"/>
  <c r="X33" i="3"/>
  <c r="Z32" i="3"/>
  <c r="M34" i="3"/>
  <c r="K34" i="3"/>
  <c r="I34" i="3"/>
  <c r="AU34" i="3" s="1"/>
  <c r="V34" i="3"/>
  <c r="W34" i="3" s="1"/>
  <c r="Y34" i="3" s="1"/>
  <c r="C35" i="3"/>
  <c r="B36" i="3"/>
  <c r="AE36" i="3" s="1"/>
  <c r="G34" i="3"/>
  <c r="H34" i="3" s="1"/>
  <c r="D35" i="3"/>
  <c r="E35" i="3" s="1"/>
  <c r="F35" i="3" s="1"/>
  <c r="AQ35" i="3" s="1"/>
  <c r="AR35" i="3" s="1"/>
  <c r="G33" i="3"/>
  <c r="H33" i="3" s="1"/>
  <c r="T32" i="3"/>
  <c r="J33" i="3"/>
  <c r="AV33" i="3" s="1"/>
  <c r="AW33" i="3" s="1"/>
  <c r="N33" i="3"/>
  <c r="L33" i="3"/>
  <c r="AO32" i="3" l="1"/>
  <c r="U32" i="3"/>
  <c r="AP31" i="3"/>
  <c r="AX31" i="3"/>
  <c r="AY31" i="3" s="1"/>
  <c r="AZ31" i="3" s="1"/>
  <c r="AJ37" i="3"/>
  <c r="AK36" i="3"/>
  <c r="AL36" i="3" s="1"/>
  <c r="AS31" i="3"/>
  <c r="AF34" i="3"/>
  <c r="AA32" i="3"/>
  <c r="AB32" i="3" s="1"/>
  <c r="AC32" i="3" s="1"/>
  <c r="AG33" i="3"/>
  <c r="AG34" i="3"/>
  <c r="X34" i="3"/>
  <c r="Z33" i="3"/>
  <c r="M35" i="3"/>
  <c r="K35" i="3"/>
  <c r="J34" i="3"/>
  <c r="AV34" i="3" s="1"/>
  <c r="AW34" i="3" s="1"/>
  <c r="I35" i="3"/>
  <c r="AU35" i="3" s="1"/>
  <c r="L34" i="3"/>
  <c r="N34" i="3"/>
  <c r="C36" i="3"/>
  <c r="B37" i="3"/>
  <c r="AE37" i="3" s="1"/>
  <c r="G35" i="3"/>
  <c r="H35" i="3" s="1"/>
  <c r="D36" i="3"/>
  <c r="E36" i="3" s="1"/>
  <c r="F36" i="3" s="1"/>
  <c r="AQ36" i="3" s="1"/>
  <c r="AR36" i="3" s="1"/>
  <c r="T33" i="3"/>
  <c r="AF35" i="3" l="1"/>
  <c r="AG35" i="3" s="1"/>
  <c r="AO33" i="3"/>
  <c r="U33" i="3"/>
  <c r="AP32" i="3"/>
  <c r="AX32" i="3"/>
  <c r="AY32" i="3" s="1"/>
  <c r="AZ32" i="3" s="1"/>
  <c r="AJ38" i="3"/>
  <c r="AK37" i="3"/>
  <c r="AL37" i="3" s="1"/>
  <c r="AS32" i="3"/>
  <c r="AA33" i="3"/>
  <c r="AB33" i="3" s="1"/>
  <c r="AC33" i="3" s="1"/>
  <c r="Z34" i="3"/>
  <c r="M36" i="3"/>
  <c r="K36" i="3"/>
  <c r="AF36" i="3" s="1"/>
  <c r="AG36" i="3" s="1"/>
  <c r="J35" i="3"/>
  <c r="AV35" i="3" s="1"/>
  <c r="AW35" i="3" s="1"/>
  <c r="I36" i="3"/>
  <c r="AU36" i="3" s="1"/>
  <c r="T34" i="3"/>
  <c r="L35" i="3"/>
  <c r="V35" i="3"/>
  <c r="W35" i="3" s="1"/>
  <c r="N35" i="3"/>
  <c r="C37" i="3"/>
  <c r="B38" i="3"/>
  <c r="AE38" i="3" s="1"/>
  <c r="G36" i="3"/>
  <c r="H36" i="3" s="1"/>
  <c r="D37" i="3"/>
  <c r="E37" i="3" s="1"/>
  <c r="F37" i="3" s="1"/>
  <c r="AQ37" i="3" s="1"/>
  <c r="AR37" i="3" s="1"/>
  <c r="AO34" i="3" l="1"/>
  <c r="U34" i="3"/>
  <c r="AP33" i="3"/>
  <c r="AX33" i="3"/>
  <c r="AY33" i="3" s="1"/>
  <c r="AZ33" i="3" s="1"/>
  <c r="AJ39" i="3"/>
  <c r="AK38" i="3"/>
  <c r="AL38" i="3" s="1"/>
  <c r="AS33" i="3"/>
  <c r="AA34" i="3"/>
  <c r="AB34" i="3" s="1"/>
  <c r="AC34" i="3" s="1"/>
  <c r="Y35" i="3"/>
  <c r="X35" i="3"/>
  <c r="M37" i="3"/>
  <c r="K37" i="3"/>
  <c r="AF37" i="3" s="1"/>
  <c r="AG37" i="3" s="1"/>
  <c r="J36" i="3"/>
  <c r="AV36" i="3" s="1"/>
  <c r="AW36" i="3" s="1"/>
  <c r="I37" i="3"/>
  <c r="AU37" i="3" s="1"/>
  <c r="T35" i="3"/>
  <c r="L36" i="3"/>
  <c r="V36" i="3"/>
  <c r="W36" i="3" s="1"/>
  <c r="Y36" i="3" s="1"/>
  <c r="N36" i="3"/>
  <c r="C38" i="3"/>
  <c r="B39" i="3"/>
  <c r="AE39" i="3" s="1"/>
  <c r="G37" i="3"/>
  <c r="H37" i="3" s="1"/>
  <c r="D38" i="3"/>
  <c r="E38" i="3" s="1"/>
  <c r="F38" i="3" s="1"/>
  <c r="AQ38" i="3" s="1"/>
  <c r="AR38" i="3" s="1"/>
  <c r="AO35" i="3" l="1"/>
  <c r="U35" i="3"/>
  <c r="AP35" i="3"/>
  <c r="AX35" i="3"/>
  <c r="AY35" i="3" s="1"/>
  <c r="AZ35" i="3" s="1"/>
  <c r="AP34" i="3"/>
  <c r="AX34" i="3"/>
  <c r="AY34" i="3" s="1"/>
  <c r="AZ34" i="3" s="1"/>
  <c r="AJ40" i="3"/>
  <c r="AK39" i="3"/>
  <c r="AL39" i="3" s="1"/>
  <c r="AS35" i="3"/>
  <c r="AS34" i="3"/>
  <c r="X36" i="3"/>
  <c r="Z35" i="3"/>
  <c r="AA35" i="3" s="1"/>
  <c r="AB35" i="3" s="1"/>
  <c r="AC35" i="3" s="1"/>
  <c r="M38" i="3"/>
  <c r="K38" i="3"/>
  <c r="AF38" i="3" s="1"/>
  <c r="AG38" i="3" s="1"/>
  <c r="J37" i="3"/>
  <c r="AV37" i="3" s="1"/>
  <c r="AW37" i="3" s="1"/>
  <c r="I38" i="3"/>
  <c r="AU38" i="3" s="1"/>
  <c r="T36" i="3"/>
  <c r="L37" i="3"/>
  <c r="V37" i="3"/>
  <c r="W37" i="3" s="1"/>
  <c r="Y37" i="3" s="1"/>
  <c r="N37" i="3"/>
  <c r="C39" i="3"/>
  <c r="B40" i="3"/>
  <c r="AE40" i="3" s="1"/>
  <c r="G38" i="3"/>
  <c r="H38" i="3" s="1"/>
  <c r="D39" i="3"/>
  <c r="E39" i="3" s="1"/>
  <c r="F39" i="3" s="1"/>
  <c r="AQ39" i="3" s="1"/>
  <c r="AR39" i="3" s="1"/>
  <c r="AO36" i="3" l="1"/>
  <c r="U36" i="3"/>
  <c r="AP36" i="3"/>
  <c r="AX36" i="3"/>
  <c r="AY36" i="3" s="1"/>
  <c r="AZ36" i="3" s="1"/>
  <c r="AJ41" i="3"/>
  <c r="AK40" i="3"/>
  <c r="AL40" i="3" s="1"/>
  <c r="AS36" i="3"/>
  <c r="X37" i="3"/>
  <c r="Z36" i="3"/>
  <c r="AA36" i="3" s="1"/>
  <c r="AB36" i="3" s="1"/>
  <c r="AC36" i="3" s="1"/>
  <c r="M39" i="3"/>
  <c r="K39" i="3"/>
  <c r="AF39" i="3" s="1"/>
  <c r="AG39" i="3" s="1"/>
  <c r="J38" i="3"/>
  <c r="AV38" i="3" s="1"/>
  <c r="AW38" i="3" s="1"/>
  <c r="I39" i="3"/>
  <c r="AU39" i="3" s="1"/>
  <c r="T37" i="3"/>
  <c r="L38" i="3"/>
  <c r="V38" i="3"/>
  <c r="W38" i="3" s="1"/>
  <c r="Y38" i="3" s="1"/>
  <c r="N38" i="3"/>
  <c r="C40" i="3"/>
  <c r="B41" i="3"/>
  <c r="AE41" i="3" s="1"/>
  <c r="G39" i="3"/>
  <c r="H39" i="3" s="1"/>
  <c r="D40" i="3"/>
  <c r="E40" i="3" s="1"/>
  <c r="F40" i="3" s="1"/>
  <c r="AQ40" i="3" s="1"/>
  <c r="AR40" i="3" s="1"/>
  <c r="AO37" i="3" l="1"/>
  <c r="U37" i="3"/>
  <c r="AP37" i="3"/>
  <c r="AX37" i="3"/>
  <c r="AY37" i="3" s="1"/>
  <c r="AZ37" i="3" s="1"/>
  <c r="AJ42" i="3"/>
  <c r="AK41" i="3"/>
  <c r="AL41" i="3" s="1"/>
  <c r="AS37" i="3"/>
  <c r="X38" i="3"/>
  <c r="Z37" i="3"/>
  <c r="AA37" i="3" s="1"/>
  <c r="AB37" i="3" s="1"/>
  <c r="AC37" i="3" s="1"/>
  <c r="M40" i="3"/>
  <c r="K40" i="3"/>
  <c r="AF40" i="3" s="1"/>
  <c r="AG40" i="3" s="1"/>
  <c r="J39" i="3"/>
  <c r="AV39" i="3" s="1"/>
  <c r="AW39" i="3" s="1"/>
  <c r="I40" i="3"/>
  <c r="AU40" i="3" s="1"/>
  <c r="T38" i="3"/>
  <c r="L39" i="3"/>
  <c r="V39" i="3"/>
  <c r="W39" i="3" s="1"/>
  <c r="Y39" i="3" s="1"/>
  <c r="N39" i="3"/>
  <c r="C41" i="3"/>
  <c r="B42" i="3"/>
  <c r="AE42" i="3" s="1"/>
  <c r="G40" i="3"/>
  <c r="H40" i="3" s="1"/>
  <c r="D41" i="3"/>
  <c r="E41" i="3" s="1"/>
  <c r="F41" i="3" s="1"/>
  <c r="AQ41" i="3" s="1"/>
  <c r="AR41" i="3" s="1"/>
  <c r="AO38" i="3" l="1"/>
  <c r="U38" i="3"/>
  <c r="AP38" i="3"/>
  <c r="AX38" i="3"/>
  <c r="AY38" i="3" s="1"/>
  <c r="AZ38" i="3" s="1"/>
  <c r="AJ43" i="3"/>
  <c r="AK43" i="3" s="1"/>
  <c r="AK42" i="3"/>
  <c r="AL42" i="3" s="1"/>
  <c r="AS38" i="3"/>
  <c r="X39" i="3"/>
  <c r="Z38" i="3"/>
  <c r="AA38" i="3" s="1"/>
  <c r="AB38" i="3" s="1"/>
  <c r="AC38" i="3" s="1"/>
  <c r="M41" i="3"/>
  <c r="K41" i="3"/>
  <c r="AF41" i="3" s="1"/>
  <c r="AG41" i="3" s="1"/>
  <c r="J40" i="3"/>
  <c r="AV40" i="3" s="1"/>
  <c r="AW40" i="3" s="1"/>
  <c r="I41" i="3"/>
  <c r="AU41" i="3" s="1"/>
  <c r="T39" i="3"/>
  <c r="L40" i="3"/>
  <c r="V40" i="3"/>
  <c r="W40" i="3" s="1"/>
  <c r="Y40" i="3" s="1"/>
  <c r="N40" i="3"/>
  <c r="C42" i="3"/>
  <c r="B43" i="3"/>
  <c r="AE43" i="3" s="1"/>
  <c r="G41" i="3"/>
  <c r="H41" i="3" s="1"/>
  <c r="D42" i="3"/>
  <c r="E42" i="3" s="1"/>
  <c r="F42" i="3" s="1"/>
  <c r="AQ42" i="3" s="1"/>
  <c r="AR42" i="3" s="1"/>
  <c r="AO39" i="3" l="1"/>
  <c r="U39" i="3"/>
  <c r="AP39" i="3"/>
  <c r="AX39" i="3"/>
  <c r="AY39" i="3" s="1"/>
  <c r="AZ39" i="3" s="1"/>
  <c r="AL43" i="3"/>
  <c r="AS39" i="3"/>
  <c r="X40" i="3"/>
  <c r="Z39" i="3"/>
  <c r="AA39" i="3" s="1"/>
  <c r="AB39" i="3" s="1"/>
  <c r="AC39" i="3" s="1"/>
  <c r="C43" i="3"/>
  <c r="M42" i="3"/>
  <c r="K42" i="3"/>
  <c r="AF42" i="3" s="1"/>
  <c r="AG42" i="3" s="1"/>
  <c r="J41" i="3"/>
  <c r="AV41" i="3" s="1"/>
  <c r="AW41" i="3" s="1"/>
  <c r="I42" i="3"/>
  <c r="AU42" i="3" s="1"/>
  <c r="T40" i="3"/>
  <c r="L41" i="3"/>
  <c r="V41" i="3"/>
  <c r="W41" i="3" s="1"/>
  <c r="Y41" i="3" s="1"/>
  <c r="N41" i="3"/>
  <c r="G42" i="3"/>
  <c r="H42" i="3" s="1"/>
  <c r="D43" i="3"/>
  <c r="E43" i="3" s="1"/>
  <c r="F43" i="3" s="1"/>
  <c r="AQ43" i="3" s="1"/>
  <c r="AR43" i="3" s="1"/>
  <c r="AO40" i="3" l="1"/>
  <c r="U40" i="3"/>
  <c r="AP40" i="3"/>
  <c r="AX40" i="3"/>
  <c r="AY40" i="3" s="1"/>
  <c r="AZ40" i="3" s="1"/>
  <c r="AS40" i="3"/>
  <c r="G43" i="3"/>
  <c r="H43" i="3" s="1"/>
  <c r="X41" i="3"/>
  <c r="Z40" i="3"/>
  <c r="AA40" i="3" s="1"/>
  <c r="AB40" i="3" s="1"/>
  <c r="AC40" i="3" s="1"/>
  <c r="M43" i="3"/>
  <c r="K43" i="3"/>
  <c r="AF43" i="3" s="1"/>
  <c r="AG43" i="3" s="1"/>
  <c r="J42" i="3"/>
  <c r="AV42" i="3" s="1"/>
  <c r="AW42" i="3" s="1"/>
  <c r="I43" i="3"/>
  <c r="T41" i="3"/>
  <c r="L42" i="3"/>
  <c r="V42" i="3"/>
  <c r="W42" i="3" s="1"/>
  <c r="Y42" i="3" s="1"/>
  <c r="N42" i="3"/>
  <c r="AO41" i="3" l="1"/>
  <c r="U41" i="3"/>
  <c r="AP41" i="3"/>
  <c r="AX41" i="3"/>
  <c r="AY41" i="3" s="1"/>
  <c r="AZ41" i="3" s="1"/>
  <c r="J43" i="3"/>
  <c r="AV43" i="3" s="1"/>
  <c r="AU43" i="3"/>
  <c r="AW43" i="3" s="1"/>
  <c r="AS41" i="3"/>
  <c r="X42" i="3"/>
  <c r="Z41" i="3"/>
  <c r="AA41" i="3" s="1"/>
  <c r="AB41" i="3" s="1"/>
  <c r="AC41" i="3" s="1"/>
  <c r="T42" i="3"/>
  <c r="L43" i="3"/>
  <c r="V43" i="3"/>
  <c r="W43" i="3" s="1"/>
  <c r="Y43" i="3" s="1"/>
  <c r="N43" i="3"/>
  <c r="AO42" i="3" l="1"/>
  <c r="U42" i="3"/>
  <c r="AP42" i="3"/>
  <c r="AX42" i="3"/>
  <c r="AY42" i="3" s="1"/>
  <c r="AZ42" i="3" s="1"/>
  <c r="AS42" i="3"/>
  <c r="X43" i="3"/>
  <c r="Z43" i="3" s="1"/>
  <c r="Z42" i="3"/>
  <c r="AA42" i="3" s="1"/>
  <c r="AB42" i="3" s="1"/>
  <c r="AC42" i="3" s="1"/>
  <c r="T43" i="3"/>
  <c r="AO43" i="3" l="1"/>
  <c r="U43" i="3"/>
  <c r="AA43" i="3"/>
  <c r="AB43" i="3" s="1"/>
  <c r="AC43" i="3" s="1"/>
  <c r="AP43" i="3" l="1"/>
  <c r="AX43" i="3"/>
  <c r="AY43" i="3" s="1"/>
  <c r="AZ43" i="3" s="1"/>
  <c r="AS43" i="3"/>
</calcChain>
</file>

<file path=xl/sharedStrings.xml><?xml version="1.0" encoding="utf-8"?>
<sst xmlns="http://schemas.openxmlformats.org/spreadsheetml/2006/main" count="98" uniqueCount="92">
  <si>
    <t>Global Parameters</t>
  </si>
  <si>
    <t>Parameter</t>
  </si>
  <si>
    <t>Value</t>
  </si>
  <si>
    <t>Home Cost</t>
  </si>
  <si>
    <t>Annual Stock Market Gain %</t>
  </si>
  <si>
    <t>Annual Home Appreciation %</t>
  </si>
  <si>
    <t>Property Tax %</t>
  </si>
  <si>
    <t>Own Maint/Reno/Misc %</t>
  </si>
  <si>
    <t>Down Payment %</t>
  </si>
  <si>
    <t>Mortgage Interest Rate %</t>
  </si>
  <si>
    <t>Own Buying Closing Cost %</t>
  </si>
  <si>
    <t>As Home (to Live in) Parameters</t>
  </si>
  <si>
    <t>Rent Cost</t>
  </si>
  <si>
    <t>Annual Rent Hike %</t>
  </si>
  <si>
    <t>Income Savings Reinvestment %</t>
  </si>
  <si>
    <t>As Investment (Not to Live in) Parameters</t>
  </si>
  <si>
    <t>Own - Rental Starting Rent</t>
  </si>
  <si>
    <t>Own - Rental Annual Rent Hike %</t>
  </si>
  <si>
    <t>Own - Rental Avg Annual Months Occupied</t>
  </si>
  <si>
    <t>Own - Seller Closing Cost %</t>
  </si>
  <si>
    <t>Own - Appreciation Gain Tax %</t>
  </si>
  <si>
    <t>Own - Monthly Property Management Fee</t>
  </si>
  <si>
    <t>Calculation</t>
  </si>
  <si>
    <t>Down Payment Amount</t>
  </si>
  <si>
    <t>Own Buying Closing Cost Amount</t>
  </si>
  <si>
    <t>Initial Stock Market Investment Amount</t>
  </si>
  <si>
    <t>Annual Rental Property Manager Cost</t>
  </si>
  <si>
    <t>Renting</t>
  </si>
  <si>
    <t>Owning</t>
  </si>
  <si>
    <t>Actual Monthly Costs</t>
  </si>
  <si>
    <t>Purely as Investment Property, Not to Live In</t>
  </si>
  <si>
    <t>( Max might indicate when selling makes most sense)</t>
  </si>
  <si>
    <t>Year</t>
  </si>
  <si>
    <t>Annual Rent Cost</t>
  </si>
  <si>
    <t>Cumulative Rent Cost</t>
  </si>
  <si>
    <t>Stock Market Balance</t>
  </si>
  <si>
    <t>Stock Gains</t>
  </si>
  <si>
    <t>Cumulative Stock Gains</t>
  </si>
  <si>
    <t>Rent Net Made</t>
  </si>
  <si>
    <t>Rent Cumulative ROI</t>
  </si>
  <si>
    <t>Home Value</t>
  </si>
  <si>
    <t>Cumulative Appreciation</t>
  </si>
  <si>
    <t>Property Tax Cost</t>
  </si>
  <si>
    <t>Cumulative Property Tax Cost</t>
  </si>
  <si>
    <t>Maint/Reno/Misc Cost</t>
  </si>
  <si>
    <t>Cumulative Maint/Reno/Misc Cost</t>
  </si>
  <si>
    <t>Mortgage Cost</t>
  </si>
  <si>
    <t>Cumulative Mortgage Cost</t>
  </si>
  <si>
    <t>Mortgage Principle</t>
  </si>
  <si>
    <t>Mortgage Interest</t>
  </si>
  <si>
    <t>Cumulative Mortgage Interest</t>
  </si>
  <si>
    <t>Own Net Made</t>
  </si>
  <si>
    <t>Own Cumulative ROI</t>
  </si>
  <si>
    <t xml:space="preserve"> Income Savings vs Rent</t>
  </si>
  <si>
    <t>Income Savings Reinvested</t>
  </si>
  <si>
    <t>Cumulative Income Reinvested</t>
  </si>
  <si>
    <t>Stock Market Gains</t>
  </si>
  <si>
    <t>Own With Reinvestment Net Made</t>
  </si>
  <si>
    <t>Own With Reinvestment Cumulative ROI</t>
  </si>
  <si>
    <t>Gap in ROI - Own with Reinvestment vs Rent</t>
  </si>
  <si>
    <t>Rent Avg Monthly Cost</t>
  </si>
  <si>
    <t>Own Avg Monthly Cost</t>
  </si>
  <si>
    <t>Year Where Rent First Costs More</t>
  </si>
  <si>
    <t>Rental Rent Amount</t>
  </si>
  <si>
    <t>Rental Income</t>
  </si>
  <si>
    <t>Cumulative Rental Income</t>
  </si>
  <si>
    <t>Property Manager Costs</t>
  </si>
  <si>
    <t>Cumulative Property Manager Costs</t>
  </si>
  <si>
    <t>Rental Net Made</t>
  </si>
  <si>
    <t>Rental Cumulative ROI</t>
  </si>
  <si>
    <t>Pure Stock Market Net Made</t>
  </si>
  <si>
    <t>Pure Stock Market Cumulative ROI</t>
  </si>
  <si>
    <t>Gap in ROI Rental vs Stocks</t>
  </si>
  <si>
    <t>Rental Income Tax</t>
  </si>
  <si>
    <t>If Sold - Seller Closing Costs</t>
  </si>
  <si>
    <t>If Sold - Appreciation Gains Tax</t>
  </si>
  <si>
    <t>If Sold - Total Seller Costs</t>
  </si>
  <si>
    <t>Rental If Sold In Year Net Made</t>
  </si>
  <si>
    <t>Rental If Sold Cumulative ROI</t>
  </si>
  <si>
    <t>Gap in ROI Upon Selling</t>
  </si>
  <si>
    <t>Let's ignore for now,</t>
  </si>
  <si>
    <t>depends on person's</t>
  </si>
  <si>
    <t>income bracket too</t>
  </si>
  <si>
    <t>Notes</t>
  </si>
  <si>
    <t xml:space="preserve">The principle portion included in the mortgage, that is the property sale amount minus the down payment, is not considered made or paid here. That is because it is both, and neither. It is made in real estate assets and paid in cash as part of the mortgage. It is neither, because it is just moving cash to a different asset. The investor has not "made" anything by doing so. This same idea applies to the initial investment. The question being answered here is whether the initial investment, from cash to either stocks or property, leads to more gains / less overall cost, compared to one another. It's irrelevant how much you end up with in individual assets with either investment, because you spend to get there. </t>
  </si>
  <si>
    <t xml:space="preserve">The rent amount doesn't necessarily need to be equivelent to the going rate for the home value. You can enter a cheaper rent amount because you wouldn't really rent out a place as big or special as you'd buy. It's still a useful comparison. </t>
  </si>
  <si>
    <t xml:space="preserve">I was going to add a third line that is owning but reinvesting your income savings compared to rent in the stock market. The problem there is that, with a mortgage, some months can cost more while owning, so do you then allow the rent side to invest that incremental money? It isn't reasonable to do also because you don't know that you'll have the freedom in either case to invest all of the savings into the stock market, let alone keep it there indefinitely compounding gains. So it's best to ignore this option. Update: I added a separate line to look at owning with income reinvestment, where you take a percentage (adjustable in the model) of the yearly income you saved by buying instead of renting, and put it into the stock market. As mentioned though, there are a lot of assumptions made in creating this that may not be realistic. One is that you can actually afford to reinvest the amount you've set. Another is that during the early years, where depending on the values set, you might end up paying less per month/year on rent vs owning, I'm assuming you can't afford to reinvest that "saved" income compared to the alternative. So this is biased against the renter, but in general I feel like this might be more realistic, since rent is already high enough to leave you with less room for extra reinvestment. Note that this does not imply you don't invest in stocks while renting, just that during those periods, you wouldn't invest more than you would if you had bought. It's the incremental investment that we consider. However, maybe this should be changed to also allow incremental stock investing for the rent side, because we shouldn't be comparing options where only one is viable. If the own case is affordable even if higher monthly costs, then that gap in income should be capitalized on by the renter. I think if you do this, have both split out, just like for the own case. </t>
  </si>
  <si>
    <t xml:space="preserve">An interesting philosophy heard: "Apartments you rent and houses you buy". The idea being that in apartments, you still have neighbors stomping on top of you, and you have people all over you and affecting you, and telling you what to do in one way or another, and that this is not something to get tied to. </t>
  </si>
  <si>
    <t xml:space="preserve">Every single parameter you minutely tweak has incredible impact. If you double the down payment percent, suddenly renting can seem so much better, but then you drop the expected stock market gains by 1% and rent seems to be an awful choice again. I had initially attempted to boil it down to a simple ratio or couple of ratios that are the biggest drivers of whether one beats the other. The truth is that every single factor matters, greatly. And not just in the "well how much better is owning than renting?" way, but actually changing which comes out on top. It seems that a big factor is leverage. The larger the down payment, the worse ownership performs, because you earn appreciation on the full amount of the home value whether you've paid for it or not. In general, having money locked up in real estate is bad. It doesn't appreciate nearly as quickly as stocks, and brings with it property taxes and more. If you buy a rental property, you should sell likely around 10-15 years in, depending on the specifics. </t>
  </si>
  <si>
    <t>Helpful Reference - Wealthfront Historical ROI: https://www.wealthfront.com/historical-performance</t>
  </si>
  <si>
    <t>Mortgage Term - right not assumes only 30 years</t>
  </si>
  <si>
    <t>Non-fixed interest spread - should be higher in early mortgage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</si>
</sst>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font>
      <sz val="11"/>
      <color theme="1"/>
      <name val="Aptos Narrow"/>
      <family val="2"/>
      <scheme val="minor"/>
    </font>
    <font>
      <sz val="11"/>
      <color rgb="FF242424"/>
      <name val="Aptos Narrow"/>
      <charset val="1"/>
    </font>
    <font>
      <b/>
      <sz val="11"/>
      <color theme="1"/>
      <name val="Aptos Narrow"/>
      <family val="2"/>
      <scheme val="minor"/>
    </font>
    <font>
      <sz val="11"/>
      <color rgb="FF000000"/>
      <name val="Aptos Narrow"/>
      <charset val="1"/>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s>
  <borders count="7">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9">
    <xf numFmtId="0" fontId="0" fillId="0" borderId="0" xfId="0"/>
    <xf numFmtId="164" fontId="0" fillId="0" borderId="2" xfId="0" applyNumberFormat="1" applyBorder="1"/>
    <xf numFmtId="164" fontId="0" fillId="0" borderId="0" xfId="0" applyNumberFormat="1"/>
    <xf numFmtId="164" fontId="0" fillId="0" borderId="1" xfId="0" applyNumberFormat="1" applyBorder="1"/>
    <xf numFmtId="165" fontId="0" fillId="0" borderId="2" xfId="0" applyNumberFormat="1" applyBorder="1"/>
    <xf numFmtId="0" fontId="0" fillId="0" borderId="0" xfId="0" applyAlignment="1">
      <alignment wrapText="1"/>
    </xf>
    <xf numFmtId="0" fontId="0" fillId="0" borderId="2" xfId="0" applyBorder="1"/>
    <xf numFmtId="1" fontId="0" fillId="0" borderId="1" xfId="0" applyNumberFormat="1" applyBorder="1"/>
    <xf numFmtId="0" fontId="0" fillId="0" borderId="0" xfId="0" applyAlignment="1">
      <alignment horizontal="center"/>
    </xf>
    <xf numFmtId="0" fontId="2" fillId="0" borderId="0" xfId="0" applyFont="1"/>
    <xf numFmtId="164" fontId="2" fillId="0" borderId="1" xfId="0" applyNumberFormat="1" applyFont="1" applyBorder="1" applyAlignment="1">
      <alignment wrapText="1"/>
    </xf>
    <xf numFmtId="164" fontId="2" fillId="0" borderId="0" xfId="0" applyNumberFormat="1" applyFont="1"/>
    <xf numFmtId="164" fontId="2" fillId="0" borderId="1" xfId="0" applyNumberFormat="1" applyFont="1" applyBorder="1"/>
    <xf numFmtId="0" fontId="2" fillId="0" borderId="1" xfId="0" applyFont="1" applyBorder="1" applyAlignment="1">
      <alignment wrapText="1"/>
    </xf>
    <xf numFmtId="0" fontId="2" fillId="0" borderId="0" xfId="0" applyFont="1" applyAlignment="1">
      <alignment wrapText="1"/>
    </xf>
    <xf numFmtId="0" fontId="2" fillId="2" borderId="3" xfId="0" applyFont="1" applyFill="1" applyBorder="1"/>
    <xf numFmtId="164" fontId="2" fillId="0" borderId="4" xfId="0" applyNumberFormat="1" applyFont="1" applyBorder="1"/>
    <xf numFmtId="164" fontId="2" fillId="0" borderId="3" xfId="0" applyNumberFormat="1" applyFont="1" applyBorder="1" applyAlignment="1">
      <alignment wrapText="1"/>
    </xf>
    <xf numFmtId="164" fontId="2" fillId="2" borderId="3" xfId="0" applyNumberFormat="1" applyFont="1" applyFill="1" applyBorder="1" applyAlignment="1">
      <alignment wrapText="1"/>
    </xf>
    <xf numFmtId="164" fontId="2" fillId="0" borderId="3" xfId="0" applyNumberFormat="1" applyFont="1" applyBorder="1"/>
    <xf numFmtId="0" fontId="2" fillId="0" borderId="3" xfId="0" applyFont="1" applyBorder="1"/>
    <xf numFmtId="0" fontId="2" fillId="0" borderId="3" xfId="0" applyFont="1" applyBorder="1" applyAlignment="1">
      <alignment wrapText="1"/>
    </xf>
    <xf numFmtId="0" fontId="2" fillId="3" borderId="4" xfId="0" applyFont="1" applyFill="1" applyBorder="1" applyAlignment="1">
      <alignment wrapText="1"/>
    </xf>
    <xf numFmtId="0" fontId="2" fillId="3" borderId="3" xfId="0" applyFont="1" applyFill="1" applyBorder="1" applyAlignment="1">
      <alignment wrapText="1"/>
    </xf>
    <xf numFmtId="0" fontId="0" fillId="0" borderId="5" xfId="0" applyBorder="1"/>
    <xf numFmtId="165" fontId="0" fillId="0" borderId="5" xfId="0" applyNumberFormat="1" applyBorder="1"/>
    <xf numFmtId="0" fontId="2" fillId="0" borderId="2" xfId="0" applyFont="1" applyBorder="1"/>
    <xf numFmtId="164" fontId="0" fillId="0" borderId="6" xfId="0" applyNumberFormat="1" applyBorder="1"/>
    <xf numFmtId="164" fontId="1" fillId="0" borderId="6" xfId="0" applyNumberFormat="1" applyFont="1" applyBorder="1"/>
    <xf numFmtId="0" fontId="2" fillId="4" borderId="3" xfId="0" applyFont="1" applyFill="1" applyBorder="1" applyAlignment="1">
      <alignment wrapText="1"/>
    </xf>
    <xf numFmtId="165" fontId="2" fillId="0" borderId="0" xfId="0" applyNumberFormat="1" applyFont="1"/>
    <xf numFmtId="165" fontId="0" fillId="0" borderId="0" xfId="0" applyNumberFormat="1"/>
    <xf numFmtId="165" fontId="2" fillId="0" borderId="3" xfId="0" applyNumberFormat="1" applyFont="1" applyBorder="1" applyAlignment="1">
      <alignment wrapText="1"/>
    </xf>
    <xf numFmtId="165" fontId="2" fillId="0" borderId="3" xfId="0" applyNumberFormat="1" applyFont="1" applyBorder="1"/>
    <xf numFmtId="164" fontId="0" fillId="0" borderId="5" xfId="0" applyNumberFormat="1" applyBorder="1"/>
    <xf numFmtId="0" fontId="0" fillId="0" borderId="6" xfId="0" applyBorder="1"/>
    <xf numFmtId="164" fontId="2" fillId="0" borderId="2" xfId="0" applyNumberFormat="1" applyFont="1" applyBorder="1"/>
    <xf numFmtId="0" fontId="0" fillId="0" borderId="2" xfId="0" applyBorder="1" applyAlignment="1">
      <alignment wrapText="1"/>
    </xf>
    <xf numFmtId="0" fontId="2" fillId="5" borderId="3" xfId="0" applyFont="1" applyFill="1" applyBorder="1"/>
    <xf numFmtId="165" fontId="0" fillId="0" borderId="0" xfId="0" applyNumberFormat="1" applyAlignment="1">
      <alignment wrapText="1"/>
    </xf>
    <xf numFmtId="0" fontId="3" fillId="0" borderId="0" xfId="0" applyFont="1"/>
    <xf numFmtId="0" fontId="3" fillId="0" borderId="0" xfId="0" applyFont="1" applyAlignment="1">
      <alignment wrapText="1"/>
    </xf>
    <xf numFmtId="164" fontId="2" fillId="4" borderId="3" xfId="0" applyNumberFormat="1" applyFont="1" applyFill="1" applyBorder="1" applyAlignment="1">
      <alignment wrapText="1"/>
    </xf>
    <xf numFmtId="0" fontId="3" fillId="0" borderId="5" xfId="0" applyFont="1" applyBorder="1"/>
    <xf numFmtId="1" fontId="2" fillId="0" borderId="1" xfId="0" applyNumberFormat="1" applyFont="1" applyBorder="1" applyAlignment="1">
      <alignment horizontal="left" wrapText="1"/>
    </xf>
    <xf numFmtId="1" fontId="2" fillId="0" borderId="4" xfId="0" applyNumberFormat="1" applyFont="1" applyBorder="1" applyAlignment="1">
      <alignment horizontal="left"/>
    </xf>
    <xf numFmtId="1" fontId="0" fillId="0" borderId="0" xfId="0" applyNumberFormat="1" applyAlignment="1">
      <alignment horizontal="left"/>
    </xf>
    <xf numFmtId="1" fontId="0" fillId="0" borderId="1" xfId="0" applyNumberFormat="1" applyBorder="1" applyAlignment="1">
      <alignment horizontal="right"/>
    </xf>
    <xf numFmtId="0" fontId="0" fillId="0" borderId="0"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Table!$AE$3:$AE$13</c:f>
              <c:numCache>
                <c:formatCode>"$"#,##0</c:formatCode>
                <c:ptCount val="1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numCache>
            </c:numRef>
          </c:val>
          <c:smooth val="0"/>
          <c:extLst>
            <c:ext xmlns:c16="http://schemas.microsoft.com/office/drawing/2014/chart" uri="{C3380CC4-5D6E-409C-BE32-E72D297353CC}">
              <c16:uniqueId val="{00000006-E3E2-4279-9C4A-BFE52211F401}"/>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Table!$AF$3:$AF$13</c:f>
              <c:numCache>
                <c:formatCode>"$"#,##0</c:formatCode>
                <c:ptCount val="11"/>
                <c:pt idx="0">
                  <c:v>800</c:v>
                </c:pt>
                <c:pt idx="1">
                  <c:v>2602.2618150355056</c:v>
                </c:pt>
                <c:pt idx="2">
                  <c:v>2620.9284817021721</c:v>
                </c:pt>
                <c:pt idx="3">
                  <c:v>2639.9684817021721</c:v>
                </c:pt>
                <c:pt idx="4">
                  <c:v>2659.389281702172</c:v>
                </c:pt>
                <c:pt idx="5">
                  <c:v>2679.1984977021721</c:v>
                </c:pt>
                <c:pt idx="6">
                  <c:v>2699.4038980221721</c:v>
                </c:pt>
                <c:pt idx="7">
                  <c:v>2720.0134063485725</c:v>
                </c:pt>
                <c:pt idx="8">
                  <c:v>2741.0351048415</c:v>
                </c:pt>
                <c:pt idx="9">
                  <c:v>2762.477237304287</c:v>
                </c:pt>
                <c:pt idx="10">
                  <c:v>2784.3482124163288</c:v>
                </c:pt>
              </c:numCache>
            </c:numRef>
          </c:val>
          <c:smooth val="0"/>
          <c:extLst>
            <c:ext xmlns:c16="http://schemas.microsoft.com/office/drawing/2014/chart" uri="{C3380CC4-5D6E-409C-BE32-E72D297353CC}">
              <c16:uniqueId val="{00000008-E3E2-4279-9C4A-BFE52211F40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Table!$AQ$3:$AQ$33</c:f>
              <c:numCache>
                <c:formatCode>"$"#,##0</c:formatCode>
                <c:ptCount val="3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pt idx="11">
                  <c:v>81317.10368926794</c:v>
                </c:pt>
                <c:pt idx="12">
                  <c:v>92161.30094751672</c:v>
                </c:pt>
                <c:pt idx="13">
                  <c:v>103764.59201384289</c:v>
                </c:pt>
                <c:pt idx="14">
                  <c:v>116180.11345481192</c:v>
                </c:pt>
                <c:pt idx="15">
                  <c:v>129464.72139664876</c:v>
                </c:pt>
                <c:pt idx="16">
                  <c:v>143679.25189441419</c:v>
                </c:pt>
                <c:pt idx="17">
                  <c:v>158888.79952702319</c:v>
                </c:pt>
                <c:pt idx="18">
                  <c:v>175163.01549391483</c:v>
                </c:pt>
                <c:pt idx="19">
                  <c:v>192576.4265784889</c:v>
                </c:pt>
                <c:pt idx="20">
                  <c:v>211208.77643898316</c:v>
                </c:pt>
                <c:pt idx="21">
                  <c:v>231145.39078971202</c:v>
                </c:pt>
                <c:pt idx="22">
                  <c:v>252477.56814499188</c:v>
                </c:pt>
                <c:pt idx="23">
                  <c:v>275302.99791514134</c:v>
                </c:pt>
                <c:pt idx="24">
                  <c:v>299726.20776920125</c:v>
                </c:pt>
                <c:pt idx="25">
                  <c:v>325859.04231304536</c:v>
                </c:pt>
                <c:pt idx="26">
                  <c:v>353821.17527495854</c:v>
                </c:pt>
                <c:pt idx="27">
                  <c:v>383740.65754420566</c:v>
                </c:pt>
                <c:pt idx="28">
                  <c:v>415754.50357230008</c:v>
                </c:pt>
                <c:pt idx="29">
                  <c:v>450009.31882236112</c:v>
                </c:pt>
                <c:pt idx="30">
                  <c:v>486661.97113992646</c:v>
                </c:pt>
              </c:numCache>
            </c:numRef>
          </c:val>
          <c:smooth val="0"/>
          <c:extLst>
            <c:ext xmlns:c16="http://schemas.microsoft.com/office/drawing/2014/chart" uri="{C3380CC4-5D6E-409C-BE32-E72D297353CC}">
              <c16:uniqueId val="{00000006-E2EC-401C-A941-D08DC74817C5}"/>
            </c:ext>
          </c:extLst>
        </c:ser>
        <c:ser>
          <c:idx val="2"/>
          <c:order val="1"/>
          <c:tx>
            <c:strRef>
              <c:f>Table!$AX$2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Table!$AX$3:$AX$33</c:f>
              <c:numCache>
                <c:formatCode>"$"#,##0</c:formatCode>
                <c:ptCount val="31"/>
                <c:pt idx="0">
                  <c:v>-28800</c:v>
                </c:pt>
                <c:pt idx="1">
                  <c:v>-21275.308447092735</c:v>
                </c:pt>
                <c:pt idx="2">
                  <c:v>-13322.246894185471</c:v>
                </c:pt>
                <c:pt idx="3">
                  <c:v>-4932.2479412782086</c:v>
                </c:pt>
                <c:pt idx="4">
                  <c:v>3903.4271596290564</c:v>
                </c:pt>
                <c:pt idx="5">
                  <c:v>13193.691931496305</c:v>
                </c:pt>
                <c:pt idx="6">
                  <c:v>22947.6381677428</c:v>
                </c:pt>
                <c:pt idx="7">
                  <c:v>33174.539497656064</c:v>
                </c:pt>
                <c:pt idx="8">
                  <c:v>43883.855023109434</c:v>
                </c:pt>
                <c:pt idx="9">
                  <c:v>55085.233028013703</c:v>
                </c:pt>
                <c:pt idx="10">
                  <c:v>66788.514761957951</c:v>
                </c:pt>
                <c:pt idx="11">
                  <c:v>79003.738299522927</c:v>
                </c:pt>
                <c:pt idx="12">
                  <c:v>91741.142476781068</c:v>
                </c:pt>
                <c:pt idx="13">
                  <c:v>105011.17090652621</c:v>
                </c:pt>
                <c:pt idx="14">
                  <c:v>118824.47607380818</c:v>
                </c:pt>
                <c:pt idx="15">
                  <c:v>133191.92351337755</c:v>
                </c:pt>
                <c:pt idx="16">
                  <c:v>148124.59607068019</c:v>
                </c:pt>
                <c:pt idx="17">
                  <c:v>163633.79824807076</c:v>
                </c:pt>
                <c:pt idx="18">
                  <c:v>179731.06063795101</c:v>
                </c:pt>
                <c:pt idx="19">
                  <c:v>196428.1444445707</c:v>
                </c:pt>
                <c:pt idx="20">
                  <c:v>213737.04609626462</c:v>
                </c:pt>
                <c:pt idx="21">
                  <c:v>231670.00194993435</c:v>
                </c:pt>
                <c:pt idx="22">
                  <c:v>250239.49308961921</c:v>
                </c:pt>
                <c:pt idx="23">
                  <c:v>269458.25022103969</c:v>
                </c:pt>
                <c:pt idx="24">
                  <c:v>289339.25866403047</c:v>
                </c:pt>
                <c:pt idx="25">
                  <c:v>309895.76344482298</c:v>
                </c:pt>
                <c:pt idx="26">
                  <c:v>331141.27449017309</c:v>
                </c:pt>
                <c:pt idx="27">
                  <c:v>353089.57192537212</c:v>
                </c:pt>
                <c:pt idx="28">
                  <c:v>375754.71147821704</c:v>
                </c:pt>
                <c:pt idx="29">
                  <c:v>399151.02999106061</c:v>
                </c:pt>
                <c:pt idx="30">
                  <c:v>423293.15104310284</c:v>
                </c:pt>
              </c:numCache>
            </c:numRef>
          </c:val>
          <c:smooth val="0"/>
          <c:extLst>
            <c:ext xmlns:c16="http://schemas.microsoft.com/office/drawing/2014/chart" uri="{C3380CC4-5D6E-409C-BE32-E72D297353CC}">
              <c16:uniqueId val="{00000008-E2EC-401C-A941-D08DC74817C5}"/>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Table!$AQ$3:$AQ$43</c:f>
              <c:numCache>
                <c:formatCode>"$"#,##0</c:formatCode>
                <c:ptCount val="4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pt idx="11">
                  <c:v>81317.10368926794</c:v>
                </c:pt>
                <c:pt idx="12">
                  <c:v>92161.30094751672</c:v>
                </c:pt>
                <c:pt idx="13">
                  <c:v>103764.59201384289</c:v>
                </c:pt>
                <c:pt idx="14">
                  <c:v>116180.11345481192</c:v>
                </c:pt>
                <c:pt idx="15">
                  <c:v>129464.72139664876</c:v>
                </c:pt>
                <c:pt idx="16">
                  <c:v>143679.25189441419</c:v>
                </c:pt>
                <c:pt idx="17">
                  <c:v>158888.79952702319</c:v>
                </c:pt>
                <c:pt idx="18">
                  <c:v>175163.01549391483</c:v>
                </c:pt>
                <c:pt idx="19">
                  <c:v>192576.4265784889</c:v>
                </c:pt>
                <c:pt idx="20">
                  <c:v>211208.77643898316</c:v>
                </c:pt>
                <c:pt idx="21">
                  <c:v>231145.39078971202</c:v>
                </c:pt>
                <c:pt idx="22">
                  <c:v>252477.56814499188</c:v>
                </c:pt>
                <c:pt idx="23">
                  <c:v>275302.99791514134</c:v>
                </c:pt>
                <c:pt idx="24">
                  <c:v>299726.20776920125</c:v>
                </c:pt>
                <c:pt idx="25">
                  <c:v>325859.04231304536</c:v>
                </c:pt>
                <c:pt idx="26">
                  <c:v>353821.17527495854</c:v>
                </c:pt>
                <c:pt idx="27">
                  <c:v>383740.65754420566</c:v>
                </c:pt>
                <c:pt idx="28">
                  <c:v>415754.50357230008</c:v>
                </c:pt>
                <c:pt idx="29">
                  <c:v>450009.31882236112</c:v>
                </c:pt>
                <c:pt idx="30">
                  <c:v>486661.97113992646</c:v>
                </c:pt>
                <c:pt idx="31">
                  <c:v>525880.30911972129</c:v>
                </c:pt>
                <c:pt idx="32">
                  <c:v>567843.93075810187</c:v>
                </c:pt>
                <c:pt idx="33">
                  <c:v>612745.00591116899</c:v>
                </c:pt>
                <c:pt idx="34">
                  <c:v>660789.15632495086</c:v>
                </c:pt>
                <c:pt idx="35">
                  <c:v>712196.3972676975</c:v>
                </c:pt>
                <c:pt idx="36">
                  <c:v>767202.14507643634</c:v>
                </c:pt>
                <c:pt idx="37">
                  <c:v>826058.29523178691</c:v>
                </c:pt>
                <c:pt idx="38">
                  <c:v>889034.37589801208</c:v>
                </c:pt>
                <c:pt idx="39">
                  <c:v>956418.78221087297</c:v>
                </c:pt>
                <c:pt idx="40">
                  <c:v>1028520.096965634</c:v>
                </c:pt>
              </c:numCache>
            </c:numRef>
          </c:val>
          <c:smooth val="0"/>
          <c:extLst>
            <c:ext xmlns:c16="http://schemas.microsoft.com/office/drawing/2014/chart" uri="{C3380CC4-5D6E-409C-BE32-E72D297353CC}">
              <c16:uniqueId val="{00000006-E098-4754-8051-1EBE557F5877}"/>
            </c:ext>
          </c:extLst>
        </c:ser>
        <c:ser>
          <c:idx val="2"/>
          <c:order val="1"/>
          <c:tx>
            <c:strRef>
              <c:f>Table!$AX$2</c:f>
              <c:strCache>
                <c:ptCount val="1"/>
                <c:pt idx="0">
                  <c:v>Rental If Sold In Year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Table!$AX$3:$AX$43</c:f>
              <c:numCache>
                <c:formatCode>"$"#,##0</c:formatCode>
                <c:ptCount val="41"/>
                <c:pt idx="0">
                  <c:v>-28800</c:v>
                </c:pt>
                <c:pt idx="1">
                  <c:v>-21275.308447092735</c:v>
                </c:pt>
                <c:pt idx="2">
                  <c:v>-13322.246894185471</c:v>
                </c:pt>
                <c:pt idx="3">
                  <c:v>-4932.2479412782086</c:v>
                </c:pt>
                <c:pt idx="4">
                  <c:v>3903.4271596290564</c:v>
                </c:pt>
                <c:pt idx="5">
                  <c:v>13193.691931496305</c:v>
                </c:pt>
                <c:pt idx="6">
                  <c:v>22947.6381677428</c:v>
                </c:pt>
                <c:pt idx="7">
                  <c:v>33174.539497656064</c:v>
                </c:pt>
                <c:pt idx="8">
                  <c:v>43883.855023109434</c:v>
                </c:pt>
                <c:pt idx="9">
                  <c:v>55085.233028013703</c:v>
                </c:pt>
                <c:pt idx="10">
                  <c:v>66788.514761957951</c:v>
                </c:pt>
                <c:pt idx="11">
                  <c:v>79003.738299522927</c:v>
                </c:pt>
                <c:pt idx="12">
                  <c:v>91741.142476781068</c:v>
                </c:pt>
                <c:pt idx="13">
                  <c:v>105011.17090652621</c:v>
                </c:pt>
                <c:pt idx="14">
                  <c:v>118824.47607380818</c:v>
                </c:pt>
                <c:pt idx="15">
                  <c:v>133191.92351337755</c:v>
                </c:pt>
                <c:pt idx="16">
                  <c:v>148124.59607068019</c:v>
                </c:pt>
                <c:pt idx="17">
                  <c:v>163633.79824807076</c:v>
                </c:pt>
                <c:pt idx="18">
                  <c:v>179731.06063795101</c:v>
                </c:pt>
                <c:pt idx="19">
                  <c:v>196428.1444445707</c:v>
                </c:pt>
                <c:pt idx="20">
                  <c:v>213737.04609626462</c:v>
                </c:pt>
                <c:pt idx="21">
                  <c:v>231670.00194993435</c:v>
                </c:pt>
                <c:pt idx="22">
                  <c:v>250239.49308961921</c:v>
                </c:pt>
                <c:pt idx="23">
                  <c:v>269458.25022103969</c:v>
                </c:pt>
                <c:pt idx="24">
                  <c:v>289339.25866403047</c:v>
                </c:pt>
                <c:pt idx="25">
                  <c:v>309895.76344482298</c:v>
                </c:pt>
                <c:pt idx="26">
                  <c:v>331141.27449017309</c:v>
                </c:pt>
                <c:pt idx="27">
                  <c:v>353089.57192537212</c:v>
                </c:pt>
                <c:pt idx="28">
                  <c:v>375754.71147821704</c:v>
                </c:pt>
                <c:pt idx="29">
                  <c:v>399151.02999106061</c:v>
                </c:pt>
                <c:pt idx="30">
                  <c:v>423293.15104310284</c:v>
                </c:pt>
                <c:pt idx="31">
                  <c:v>459689.79913222068</c:v>
                </c:pt>
                <c:pt idx="32">
                  <c:v>496862.38018312072</c:v>
                </c:pt>
                <c:pt idx="33">
                  <c:v>534826.41285503865</c:v>
                </c:pt>
                <c:pt idx="34">
                  <c:v>573597.72618039511</c:v>
                </c:pt>
                <c:pt idx="35">
                  <c:v>613192.4657722587</c:v>
                </c:pt>
                <c:pt idx="36">
                  <c:v>653627.1001559596</c:v>
                </c:pt>
                <c:pt idx="37">
                  <c:v>694918.42722733447</c:v>
                </c:pt>
                <c:pt idx="38">
                  <c:v>737083.58084013686</c:v>
                </c:pt>
                <c:pt idx="39">
                  <c:v>780140.03752519528</c:v>
                </c:pt>
                <c:pt idx="40">
                  <c:v>824105.62334395479</c:v>
                </c:pt>
              </c:numCache>
            </c:numRef>
          </c:val>
          <c:smooth val="0"/>
          <c:extLst>
            <c:ext xmlns:c16="http://schemas.microsoft.com/office/drawing/2014/chart" uri="{C3380CC4-5D6E-409C-BE32-E72D297353CC}">
              <c16:uniqueId val="{00000008-E098-4754-8051-1EBE557F587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Table!$AQ$3:$AQ$13</c:f>
              <c:numCache>
                <c:formatCode>"$"#,##0</c:formatCode>
                <c:ptCount val="1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numCache>
            </c:numRef>
          </c:val>
          <c:smooth val="0"/>
          <c:extLst>
            <c:ext xmlns:c16="http://schemas.microsoft.com/office/drawing/2014/chart" uri="{C3380CC4-5D6E-409C-BE32-E72D297353CC}">
              <c16:uniqueId val="{00000006-5A3B-40F8-AFC0-D6A70CC01A42}"/>
            </c:ext>
          </c:extLst>
        </c:ser>
        <c:ser>
          <c:idx val="2"/>
          <c:order val="1"/>
          <c:tx>
            <c:strRef>
              <c:f>Table!$AX$2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Table!$AX$3:$AX$13</c:f>
              <c:numCache>
                <c:formatCode>"$"#,##0</c:formatCode>
                <c:ptCount val="11"/>
                <c:pt idx="0">
                  <c:v>-28800</c:v>
                </c:pt>
                <c:pt idx="1">
                  <c:v>-21275.308447092735</c:v>
                </c:pt>
                <c:pt idx="2">
                  <c:v>-13322.246894185471</c:v>
                </c:pt>
                <c:pt idx="3">
                  <c:v>-4932.2479412782086</c:v>
                </c:pt>
                <c:pt idx="4">
                  <c:v>3903.4271596290564</c:v>
                </c:pt>
                <c:pt idx="5">
                  <c:v>13193.691931496305</c:v>
                </c:pt>
                <c:pt idx="6">
                  <c:v>22947.6381677428</c:v>
                </c:pt>
                <c:pt idx="7">
                  <c:v>33174.539497656064</c:v>
                </c:pt>
                <c:pt idx="8">
                  <c:v>43883.855023109434</c:v>
                </c:pt>
                <c:pt idx="9">
                  <c:v>55085.233028013703</c:v>
                </c:pt>
                <c:pt idx="10">
                  <c:v>66788.514761957951</c:v>
                </c:pt>
              </c:numCache>
            </c:numRef>
          </c:val>
          <c:smooth val="0"/>
          <c:extLst>
            <c:ext xmlns:c16="http://schemas.microsoft.com/office/drawing/2014/chart" uri="{C3380CC4-5D6E-409C-BE32-E72D297353CC}">
              <c16:uniqueId val="{00000008-5A3B-40F8-AFC0-D6A70CC01A4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Table!$AE$3:$AE$33</c:f>
              <c:numCache>
                <c:formatCode>"$"#,##0</c:formatCode>
                <c:ptCount val="3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pt idx="21">
                  <c:v>4096.5411007259854</c:v>
                </c:pt>
                <c:pt idx="22">
                  <c:v>4198.9546282441352</c:v>
                </c:pt>
                <c:pt idx="23">
                  <c:v>4303.9284939502386</c:v>
                </c:pt>
                <c:pt idx="24">
                  <c:v>4411.5267062989942</c:v>
                </c:pt>
                <c:pt idx="25">
                  <c:v>4521.8148739564685</c:v>
                </c:pt>
                <c:pt idx="26">
                  <c:v>4634.8602458053801</c:v>
                </c:pt>
                <c:pt idx="27">
                  <c:v>4750.7317519505141</c:v>
                </c:pt>
                <c:pt idx="28">
                  <c:v>4869.5000457492761</c:v>
                </c:pt>
                <c:pt idx="29">
                  <c:v>4991.2375468930077</c:v>
                </c:pt>
                <c:pt idx="30">
                  <c:v>5116.0184855653324</c:v>
                </c:pt>
              </c:numCache>
            </c:numRef>
          </c:val>
          <c:smooth val="0"/>
          <c:extLst>
            <c:ext xmlns:c16="http://schemas.microsoft.com/office/drawing/2014/chart" uri="{C3380CC4-5D6E-409C-BE32-E72D297353CC}">
              <c16:uniqueId val="{00000006-4979-48A4-B9A6-70ABE604625C}"/>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Table!$AF$3:$AF$33</c:f>
              <c:numCache>
                <c:formatCode>"$"#,##0</c:formatCode>
                <c:ptCount val="31"/>
                <c:pt idx="0">
                  <c:v>800</c:v>
                </c:pt>
                <c:pt idx="1">
                  <c:v>2602.2618150355056</c:v>
                </c:pt>
                <c:pt idx="2">
                  <c:v>2620.9284817021721</c:v>
                </c:pt>
                <c:pt idx="3">
                  <c:v>2639.9684817021721</c:v>
                </c:pt>
                <c:pt idx="4">
                  <c:v>2659.389281702172</c:v>
                </c:pt>
                <c:pt idx="5">
                  <c:v>2679.1984977021721</c:v>
                </c:pt>
                <c:pt idx="6">
                  <c:v>2699.4038980221721</c:v>
                </c:pt>
                <c:pt idx="7">
                  <c:v>2720.0134063485725</c:v>
                </c:pt>
                <c:pt idx="8">
                  <c:v>2741.0351048415</c:v>
                </c:pt>
                <c:pt idx="9">
                  <c:v>2762.477237304287</c:v>
                </c:pt>
                <c:pt idx="10">
                  <c:v>2784.3482124163288</c:v>
                </c:pt>
                <c:pt idx="11">
                  <c:v>2806.6566070306121</c:v>
                </c:pt>
                <c:pt idx="12">
                  <c:v>2829.4111695371812</c:v>
                </c:pt>
                <c:pt idx="13">
                  <c:v>2852.6208232938811</c:v>
                </c:pt>
                <c:pt idx="14">
                  <c:v>2876.2946701257156</c:v>
                </c:pt>
                <c:pt idx="15">
                  <c:v>2900.4419938941865</c:v>
                </c:pt>
                <c:pt idx="16">
                  <c:v>2925.0722641380266</c:v>
                </c:pt>
                <c:pt idx="17">
                  <c:v>2950.1951397867438</c:v>
                </c:pt>
                <c:pt idx="18">
                  <c:v>2975.8204729484351</c:v>
                </c:pt>
                <c:pt idx="19">
                  <c:v>3001.9583127733604</c:v>
                </c:pt>
                <c:pt idx="20">
                  <c:v>3028.6189093947846</c:v>
                </c:pt>
                <c:pt idx="21">
                  <c:v>3055.8127179486364</c:v>
                </c:pt>
                <c:pt idx="22">
                  <c:v>3083.5504026735653</c:v>
                </c:pt>
                <c:pt idx="23">
                  <c:v>3111.8428410929932</c:v>
                </c:pt>
                <c:pt idx="24">
                  <c:v>3140.7011282808103</c:v>
                </c:pt>
                <c:pt idx="25">
                  <c:v>3170.1365812123827</c:v>
                </c:pt>
                <c:pt idx="26">
                  <c:v>3200.1607432025871</c:v>
                </c:pt>
                <c:pt idx="27">
                  <c:v>3230.7853884325946</c:v>
                </c:pt>
                <c:pt idx="28">
                  <c:v>3262.0225265672038</c:v>
                </c:pt>
                <c:pt idx="29">
                  <c:v>3293.8844074645044</c:v>
                </c:pt>
                <c:pt idx="30">
                  <c:v>3326.3835259797511</c:v>
                </c:pt>
              </c:numCache>
            </c:numRef>
          </c:val>
          <c:smooth val="0"/>
          <c:extLst>
            <c:ext xmlns:c16="http://schemas.microsoft.com/office/drawing/2014/chart" uri="{C3380CC4-5D6E-409C-BE32-E72D297353CC}">
              <c16:uniqueId val="{00000008-4979-48A4-B9A6-70ABE604625C}"/>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Table!$AE$3:$AE$43</c:f>
              <c:numCache>
                <c:formatCode>"$"#,##0</c:formatCode>
                <c:ptCount val="4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pt idx="21">
                  <c:v>4096.5411007259854</c:v>
                </c:pt>
                <c:pt idx="22">
                  <c:v>4198.9546282441352</c:v>
                </c:pt>
                <c:pt idx="23">
                  <c:v>4303.9284939502386</c:v>
                </c:pt>
                <c:pt idx="24">
                  <c:v>4411.5267062989942</c:v>
                </c:pt>
                <c:pt idx="25">
                  <c:v>4521.8148739564685</c:v>
                </c:pt>
                <c:pt idx="26">
                  <c:v>4634.8602458053801</c:v>
                </c:pt>
                <c:pt idx="27">
                  <c:v>4750.7317519505141</c:v>
                </c:pt>
                <c:pt idx="28">
                  <c:v>4869.5000457492761</c:v>
                </c:pt>
                <c:pt idx="29">
                  <c:v>4991.2375468930077</c:v>
                </c:pt>
                <c:pt idx="30">
                  <c:v>5116.0184855653324</c:v>
                </c:pt>
                <c:pt idx="31">
                  <c:v>5243.9189477044656</c:v>
                </c:pt>
                <c:pt idx="32">
                  <c:v>5375.0169213970767</c:v>
                </c:pt>
                <c:pt idx="33">
                  <c:v>5509.3923444320026</c:v>
                </c:pt>
                <c:pt idx="34">
                  <c:v>5647.1271530428021</c:v>
                </c:pt>
                <c:pt idx="35">
                  <c:v>5788.3053318688717</c:v>
                </c:pt>
                <c:pt idx="36">
                  <c:v>5933.0129651655925</c:v>
                </c:pt>
                <c:pt idx="37">
                  <c:v>6081.3382892947329</c:v>
                </c:pt>
                <c:pt idx="38">
                  <c:v>6233.3717465271002</c:v>
                </c:pt>
                <c:pt idx="39">
                  <c:v>6389.2060401902772</c:v>
                </c:pt>
                <c:pt idx="40">
                  <c:v>6548.9361911950327</c:v>
                </c:pt>
              </c:numCache>
            </c:numRef>
          </c:val>
          <c:smooth val="0"/>
          <c:extLst>
            <c:ext xmlns:c16="http://schemas.microsoft.com/office/drawing/2014/chart" uri="{C3380CC4-5D6E-409C-BE32-E72D297353CC}">
              <c16:uniqueId val="{00000000-379C-4C22-85A2-2662AA17B93F}"/>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Table!$AF$3:$AF$43</c:f>
              <c:numCache>
                <c:formatCode>"$"#,##0</c:formatCode>
                <c:ptCount val="41"/>
                <c:pt idx="0">
                  <c:v>800</c:v>
                </c:pt>
                <c:pt idx="1">
                  <c:v>2602.2618150355056</c:v>
                </c:pt>
                <c:pt idx="2">
                  <c:v>2620.9284817021721</c:v>
                </c:pt>
                <c:pt idx="3">
                  <c:v>2639.9684817021721</c:v>
                </c:pt>
                <c:pt idx="4">
                  <c:v>2659.389281702172</c:v>
                </c:pt>
                <c:pt idx="5">
                  <c:v>2679.1984977021721</c:v>
                </c:pt>
                <c:pt idx="6">
                  <c:v>2699.4038980221721</c:v>
                </c:pt>
                <c:pt idx="7">
                  <c:v>2720.0134063485725</c:v>
                </c:pt>
                <c:pt idx="8">
                  <c:v>2741.0351048415</c:v>
                </c:pt>
                <c:pt idx="9">
                  <c:v>2762.477237304287</c:v>
                </c:pt>
                <c:pt idx="10">
                  <c:v>2784.3482124163288</c:v>
                </c:pt>
                <c:pt idx="11">
                  <c:v>2806.6566070306121</c:v>
                </c:pt>
                <c:pt idx="12">
                  <c:v>2829.4111695371812</c:v>
                </c:pt>
                <c:pt idx="13">
                  <c:v>2852.6208232938811</c:v>
                </c:pt>
                <c:pt idx="14">
                  <c:v>2876.2946701257156</c:v>
                </c:pt>
                <c:pt idx="15">
                  <c:v>2900.4419938941865</c:v>
                </c:pt>
                <c:pt idx="16">
                  <c:v>2925.0722641380266</c:v>
                </c:pt>
                <c:pt idx="17">
                  <c:v>2950.1951397867438</c:v>
                </c:pt>
                <c:pt idx="18">
                  <c:v>2975.8204729484351</c:v>
                </c:pt>
                <c:pt idx="19">
                  <c:v>3001.9583127733604</c:v>
                </c:pt>
                <c:pt idx="20">
                  <c:v>3028.6189093947846</c:v>
                </c:pt>
                <c:pt idx="21">
                  <c:v>3055.8127179486364</c:v>
                </c:pt>
                <c:pt idx="22">
                  <c:v>3083.5504026735653</c:v>
                </c:pt>
                <c:pt idx="23">
                  <c:v>3111.8428410929932</c:v>
                </c:pt>
                <c:pt idx="24">
                  <c:v>3140.7011282808103</c:v>
                </c:pt>
                <c:pt idx="25">
                  <c:v>3170.1365812123827</c:v>
                </c:pt>
                <c:pt idx="26">
                  <c:v>3200.1607432025871</c:v>
                </c:pt>
                <c:pt idx="27">
                  <c:v>3230.7853884325946</c:v>
                </c:pt>
                <c:pt idx="28">
                  <c:v>3262.0225265672038</c:v>
                </c:pt>
                <c:pt idx="29">
                  <c:v>3293.8844074645044</c:v>
                </c:pt>
                <c:pt idx="30">
                  <c:v>3326.3835259797511</c:v>
                </c:pt>
                <c:pt idx="31">
                  <c:v>1690.6041451631302</c:v>
                </c:pt>
                <c:pt idx="32">
                  <c:v>1724.4162280663929</c:v>
                </c:pt>
                <c:pt idx="33">
                  <c:v>1758.9045526277207</c:v>
                </c:pt>
                <c:pt idx="34">
                  <c:v>1794.0826436802752</c:v>
                </c:pt>
                <c:pt idx="35">
                  <c:v>1829.9642965538806</c:v>
                </c:pt>
                <c:pt idx="36">
                  <c:v>1866.5635824849585</c:v>
                </c:pt>
                <c:pt idx="37">
                  <c:v>1903.8948541346574</c:v>
                </c:pt>
                <c:pt idx="38">
                  <c:v>1941.9727512173511</c:v>
                </c:pt>
                <c:pt idx="39">
                  <c:v>1980.8122062416976</c:v>
                </c:pt>
                <c:pt idx="40">
                  <c:v>2020.4284503665319</c:v>
                </c:pt>
              </c:numCache>
            </c:numRef>
          </c:val>
          <c:smooth val="0"/>
          <c:extLst>
            <c:ext xmlns:c16="http://schemas.microsoft.com/office/drawing/2014/chart" uri="{C3380CC4-5D6E-409C-BE32-E72D297353CC}">
              <c16:uniqueId val="{00000001-379C-4C22-85A2-2662AA17B93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Table!$AE$2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Table!$AE$3:$AE$23</c:f>
              <c:numCache>
                <c:formatCode>"$"#,##0</c:formatCode>
                <c:ptCount val="21"/>
                <c:pt idx="0">
                  <c:v>0</c:v>
                </c:pt>
                <c:pt idx="1">
                  <c:v>2500</c:v>
                </c:pt>
                <c:pt idx="2">
                  <c:v>2562.4999999999995</c:v>
                </c:pt>
                <c:pt idx="3">
                  <c:v>2626.5624999999995</c:v>
                </c:pt>
                <c:pt idx="4">
                  <c:v>2692.2265624999991</c:v>
                </c:pt>
                <c:pt idx="5">
                  <c:v>2759.5322265624986</c:v>
                </c:pt>
                <c:pt idx="6">
                  <c:v>2828.520532226561</c:v>
                </c:pt>
                <c:pt idx="7">
                  <c:v>2899.2335455322245</c:v>
                </c:pt>
                <c:pt idx="8">
                  <c:v>2971.7143841705297</c:v>
                </c:pt>
                <c:pt idx="9">
                  <c:v>3046.0072437747931</c:v>
                </c:pt>
                <c:pt idx="10">
                  <c:v>3122.1574248691627</c:v>
                </c:pt>
                <c:pt idx="11">
                  <c:v>3200.2113604908914</c:v>
                </c:pt>
                <c:pt idx="12">
                  <c:v>3280.2166445031635</c:v>
                </c:pt>
                <c:pt idx="13">
                  <c:v>3362.2220606157425</c:v>
                </c:pt>
                <c:pt idx="14">
                  <c:v>3446.2776121311358</c:v>
                </c:pt>
                <c:pt idx="15">
                  <c:v>3532.4345524344135</c:v>
                </c:pt>
                <c:pt idx="16">
                  <c:v>3620.7454162452736</c:v>
                </c:pt>
                <c:pt idx="17">
                  <c:v>3711.2640516514052</c:v>
                </c:pt>
                <c:pt idx="18">
                  <c:v>3804.0456529426901</c:v>
                </c:pt>
                <c:pt idx="19">
                  <c:v>3899.1467942662571</c:v>
                </c:pt>
                <c:pt idx="20">
                  <c:v>3996.6254641229134</c:v>
                </c:pt>
              </c:numCache>
            </c:numRef>
          </c:val>
          <c:smooth val="0"/>
          <c:extLst>
            <c:ext xmlns:c16="http://schemas.microsoft.com/office/drawing/2014/chart" uri="{C3380CC4-5D6E-409C-BE32-E72D297353CC}">
              <c16:uniqueId val="{00000004-FFB5-4B1C-B017-A200058C6737}"/>
            </c:ext>
          </c:extLst>
        </c:ser>
        <c:ser>
          <c:idx val="2"/>
          <c:order val="1"/>
          <c:tx>
            <c:strRef>
              <c:f>Table!$AF$2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Table!$AD$3:$AD$23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Table!$AF$3:$AF$23</c:f>
              <c:numCache>
                <c:formatCode>"$"#,##0</c:formatCode>
                <c:ptCount val="21"/>
                <c:pt idx="0">
                  <c:v>800</c:v>
                </c:pt>
                <c:pt idx="1">
                  <c:v>2602.2618150355056</c:v>
                </c:pt>
                <c:pt idx="2">
                  <c:v>2620.9284817021721</c:v>
                </c:pt>
                <c:pt idx="3">
                  <c:v>2639.9684817021721</c:v>
                </c:pt>
                <c:pt idx="4">
                  <c:v>2659.389281702172</c:v>
                </c:pt>
                <c:pt idx="5">
                  <c:v>2679.1984977021721</c:v>
                </c:pt>
                <c:pt idx="6">
                  <c:v>2699.4038980221721</c:v>
                </c:pt>
                <c:pt idx="7">
                  <c:v>2720.0134063485725</c:v>
                </c:pt>
                <c:pt idx="8">
                  <c:v>2741.0351048415</c:v>
                </c:pt>
                <c:pt idx="9">
                  <c:v>2762.477237304287</c:v>
                </c:pt>
                <c:pt idx="10">
                  <c:v>2784.3482124163288</c:v>
                </c:pt>
                <c:pt idx="11">
                  <c:v>2806.6566070306121</c:v>
                </c:pt>
                <c:pt idx="12">
                  <c:v>2829.4111695371812</c:v>
                </c:pt>
                <c:pt idx="13">
                  <c:v>2852.6208232938811</c:v>
                </c:pt>
                <c:pt idx="14">
                  <c:v>2876.2946701257156</c:v>
                </c:pt>
                <c:pt idx="15">
                  <c:v>2900.4419938941865</c:v>
                </c:pt>
                <c:pt idx="16">
                  <c:v>2925.0722641380266</c:v>
                </c:pt>
                <c:pt idx="17">
                  <c:v>2950.1951397867438</c:v>
                </c:pt>
                <c:pt idx="18">
                  <c:v>2975.8204729484351</c:v>
                </c:pt>
                <c:pt idx="19">
                  <c:v>3001.9583127733604</c:v>
                </c:pt>
                <c:pt idx="20">
                  <c:v>3028.6189093947846</c:v>
                </c:pt>
              </c:numCache>
            </c:numRef>
          </c:val>
          <c:smooth val="0"/>
          <c:extLst>
            <c:ext xmlns:c16="http://schemas.microsoft.com/office/drawing/2014/chart" uri="{C3380CC4-5D6E-409C-BE32-E72D297353CC}">
              <c16:uniqueId val="{00000006-FFB5-4B1C-B017-A200058C673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Table!$G$3:$G$23</c:f>
              <c:numCache>
                <c:formatCode>"$"#,##0</c:formatCode>
                <c:ptCount val="2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pt idx="11">
                  <c:v>-293186.88567225198</c:v>
                </c:pt>
                <c:pt idx="12">
                  <c:v>-321705.28814804112</c:v>
                </c:pt>
                <c:pt idx="13">
                  <c:v>-350448.66180910391</c:v>
                </c:pt>
                <c:pt idx="14">
                  <c:v>-379388.47171370854</c:v>
                </c:pt>
                <c:pt idx="15">
                  <c:v>-408493.07840108464</c:v>
                </c:pt>
                <c:pt idx="16">
                  <c:v>-437727.49289826257</c:v>
                </c:pt>
                <c:pt idx="17">
                  <c:v>-467053.11388547043</c:v>
                </c:pt>
                <c:pt idx="18">
                  <c:v>-496427.44575389114</c:v>
                </c:pt>
                <c:pt idx="19">
                  <c:v>-525803.79620051221</c:v>
                </c:pt>
                <c:pt idx="20">
                  <c:v>-555130.95190949296</c:v>
                </c:pt>
              </c:numCache>
            </c:numRef>
          </c:val>
          <c:smooth val="0"/>
          <c:extLst>
            <c:ext xmlns:c16="http://schemas.microsoft.com/office/drawing/2014/chart" uri="{C3380CC4-5D6E-409C-BE32-E72D297353CC}">
              <c16:uniqueId val="{00000007-E9EA-41DC-B887-5544A001E652}"/>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Table!$T$3:$T$23</c:f>
              <c:numCache>
                <c:formatCode>"$"#,##0</c:formatCode>
                <c:ptCount val="21"/>
                <c:pt idx="0">
                  <c:v>-9600</c:v>
                </c:pt>
                <c:pt idx="1">
                  <c:v>-25893.808447092735</c:v>
                </c:pt>
                <c:pt idx="2">
                  <c:v>-42283.61689418547</c:v>
                </c:pt>
                <c:pt idx="3">
                  <c:v>-58771.345341278204</c:v>
                </c:pt>
                <c:pt idx="4">
                  <c:v>-75358.952188370953</c:v>
                </c:pt>
                <c:pt idx="5">
                  <c:v>-92048.435003463703</c:v>
                </c:pt>
                <c:pt idx="6">
                  <c:v>-108841.83130591639</c:v>
                </c:pt>
                <c:pt idx="7">
                  <c:v>-125741.21936547631</c:v>
                </c:pt>
                <c:pt idx="8">
                  <c:v>-142748.71901728559</c:v>
                </c:pt>
                <c:pt idx="9">
                  <c:v>-159866.4924931892</c:v>
                </c:pt>
                <c:pt idx="10">
                  <c:v>-177096.74526966902</c:v>
                </c:pt>
                <c:pt idx="11">
                  <c:v>-194441.72693273658</c:v>
                </c:pt>
                <c:pt idx="12">
                  <c:v>-211903.73206012364</c:v>
                </c:pt>
                <c:pt idx="13">
                  <c:v>-229485.1011211166</c:v>
                </c:pt>
                <c:pt idx="14">
                  <c:v>-247188.22139438754</c:v>
                </c:pt>
                <c:pt idx="15">
                  <c:v>-265015.52790418209</c:v>
                </c:pt>
                <c:pt idx="16">
                  <c:v>-282969.50437523064</c:v>
                </c:pt>
                <c:pt idx="17">
                  <c:v>-301052.68420675833</c:v>
                </c:pt>
                <c:pt idx="18">
                  <c:v>-319267.65146597469</c:v>
                </c:pt>
                <c:pt idx="19">
                  <c:v>-337617.04190143355</c:v>
                </c:pt>
                <c:pt idx="20">
                  <c:v>-356103.54397665977</c:v>
                </c:pt>
              </c:numCache>
            </c:numRef>
          </c:val>
          <c:smooth val="0"/>
          <c:extLst>
            <c:ext xmlns:c16="http://schemas.microsoft.com/office/drawing/2014/chart" uri="{C3380CC4-5D6E-409C-BE32-E72D297353CC}">
              <c16:uniqueId val="{00000009-E9EA-41DC-B887-5544A001E652}"/>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Table!$AA$3:$AA$23</c:f>
              <c:numCache>
                <c:formatCode>"$"#,##0</c:formatCode>
                <c:ptCount val="21"/>
                <c:pt idx="0">
                  <c:v>-9600</c:v>
                </c:pt>
                <c:pt idx="1">
                  <c:v>-25893.808447092735</c:v>
                </c:pt>
                <c:pt idx="2">
                  <c:v>-42283.61689418547</c:v>
                </c:pt>
                <c:pt idx="3">
                  <c:v>-58771.345341278204</c:v>
                </c:pt>
                <c:pt idx="4">
                  <c:v>-75358.952188370953</c:v>
                </c:pt>
                <c:pt idx="5">
                  <c:v>-92034.643345528617</c:v>
                </c:pt>
                <c:pt idx="6">
                  <c:v>-108779.54240786942</c:v>
                </c:pt>
                <c:pt idx="7">
                  <c:v>-125572.80943414378</c:v>
                </c:pt>
                <c:pt idx="8">
                  <c:v>-142391.4871218804</c:v>
                </c:pt>
                <c:pt idx="9">
                  <c:v>-159210.33579890805</c:v>
                </c:pt>
                <c:pt idx="10">
                  <c:v>-176001.65643787297</c:v>
                </c:pt>
                <c:pt idx="11">
                  <c:v>-192735.10084456942</c:v>
                </c:pt>
                <c:pt idx="12">
                  <c:v>-209377.46811118606</c:v>
                </c:pt>
                <c:pt idx="13">
                  <c:v>-225892.48636166897</c:v>
                </c:pt>
                <c:pt idx="14">
                  <c:v>-242240.57874801895</c:v>
                </c:pt>
                <c:pt idx="15">
                  <c:v>-258378.61258316581</c:v>
                </c:pt>
                <c:pt idx="16">
                  <c:v>-274259.63041775441</c:v>
                </c:pt>
                <c:pt idx="17">
                  <c:v>-289832.56178438495</c:v>
                </c:pt>
                <c:pt idx="18">
                  <c:v>-305041.91424317821</c:v>
                </c:pt>
                <c:pt idx="19">
                  <c:v>-319827.4422665867</c:v>
                </c:pt>
                <c:pt idx="20">
                  <c:v>-334123.79239869211</c:v>
                </c:pt>
              </c:numCache>
            </c:numRef>
          </c:val>
          <c:smooth val="0"/>
          <c:extLst>
            <c:ext xmlns:c16="http://schemas.microsoft.com/office/drawing/2014/chart" uri="{C3380CC4-5D6E-409C-BE32-E72D297353CC}">
              <c16:uniqueId val="{0000000B-E9EA-41DC-B887-5544A001E65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Table!$G$3:$G$33</c:f>
              <c:numCache>
                <c:formatCode>"$"#,##0</c:formatCode>
                <c:ptCount val="3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pt idx="11">
                  <c:v>-293186.88567225198</c:v>
                </c:pt>
                <c:pt idx="12">
                  <c:v>-321705.28814804112</c:v>
                </c:pt>
                <c:pt idx="13">
                  <c:v>-350448.66180910391</c:v>
                </c:pt>
                <c:pt idx="14">
                  <c:v>-379388.47171370854</c:v>
                </c:pt>
                <c:pt idx="15">
                  <c:v>-408493.07840108464</c:v>
                </c:pt>
                <c:pt idx="16">
                  <c:v>-437727.49289826257</c:v>
                </c:pt>
                <c:pt idx="17">
                  <c:v>-467053.11388547043</c:v>
                </c:pt>
                <c:pt idx="18">
                  <c:v>-496427.44575389114</c:v>
                </c:pt>
                <c:pt idx="19">
                  <c:v>-525803.79620051221</c:v>
                </c:pt>
                <c:pt idx="20">
                  <c:v>-555130.95190949296</c:v>
                </c:pt>
                <c:pt idx="21">
                  <c:v>-584352.830767476</c:v>
                </c:pt>
                <c:pt idx="22">
                  <c:v>-613408.10895112576</c:v>
                </c:pt>
                <c:pt idx="23">
                  <c:v>-642229.82110837917</c:v>
                </c:pt>
                <c:pt idx="24">
                  <c:v>-670744.93172990717</c:v>
                </c:pt>
                <c:pt idx="25">
                  <c:v>-698873.87567354064</c:v>
                </c:pt>
                <c:pt idx="26">
                  <c:v>-726530.06566129206</c:v>
                </c:pt>
                <c:pt idx="27">
                  <c:v>-753619.36441545119</c:v>
                </c:pt>
                <c:pt idx="28">
                  <c:v>-780039.51893634815</c:v>
                </c:pt>
                <c:pt idx="29">
                  <c:v>-805679.5542490033</c:v>
                </c:pt>
                <c:pt idx="30">
                  <c:v>-830419.12375822198</c:v>
                </c:pt>
              </c:numCache>
            </c:numRef>
          </c:val>
          <c:smooth val="0"/>
          <c:extLst>
            <c:ext xmlns:c16="http://schemas.microsoft.com/office/drawing/2014/chart" uri="{C3380CC4-5D6E-409C-BE32-E72D297353CC}">
              <c16:uniqueId val="{00000004-6C1A-4D21-8E05-E0923B9B4BF8}"/>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Table!$T$3:$T$33</c:f>
              <c:numCache>
                <c:formatCode>"$"#,##0</c:formatCode>
                <c:ptCount val="31"/>
                <c:pt idx="0">
                  <c:v>-9600</c:v>
                </c:pt>
                <c:pt idx="1">
                  <c:v>-25893.808447092735</c:v>
                </c:pt>
                <c:pt idx="2">
                  <c:v>-42283.61689418547</c:v>
                </c:pt>
                <c:pt idx="3">
                  <c:v>-58771.345341278204</c:v>
                </c:pt>
                <c:pt idx="4">
                  <c:v>-75358.952188370953</c:v>
                </c:pt>
                <c:pt idx="5">
                  <c:v>-92048.435003463703</c:v>
                </c:pt>
                <c:pt idx="6">
                  <c:v>-108841.83130591639</c:v>
                </c:pt>
                <c:pt idx="7">
                  <c:v>-125741.21936547631</c:v>
                </c:pt>
                <c:pt idx="8">
                  <c:v>-142748.71901728559</c:v>
                </c:pt>
                <c:pt idx="9">
                  <c:v>-159866.4924931892</c:v>
                </c:pt>
                <c:pt idx="10">
                  <c:v>-177096.74526966902</c:v>
                </c:pt>
                <c:pt idx="11">
                  <c:v>-194441.72693273658</c:v>
                </c:pt>
                <c:pt idx="12">
                  <c:v>-211903.73206012364</c:v>
                </c:pt>
                <c:pt idx="13">
                  <c:v>-229485.1011211166</c:v>
                </c:pt>
                <c:pt idx="14">
                  <c:v>-247188.22139438754</c:v>
                </c:pt>
                <c:pt idx="15">
                  <c:v>-265015.52790418209</c:v>
                </c:pt>
                <c:pt idx="16">
                  <c:v>-282969.50437523064</c:v>
                </c:pt>
                <c:pt idx="17">
                  <c:v>-301052.68420675833</c:v>
                </c:pt>
                <c:pt idx="18">
                  <c:v>-319267.65146597469</c:v>
                </c:pt>
                <c:pt idx="19">
                  <c:v>-337617.04190143355</c:v>
                </c:pt>
                <c:pt idx="20">
                  <c:v>-356103.54397665977</c:v>
                </c:pt>
                <c:pt idx="21">
                  <c:v>-374729.89992444857</c:v>
                </c:pt>
                <c:pt idx="22">
                  <c:v>-393498.90682225139</c:v>
                </c:pt>
                <c:pt idx="23">
                  <c:v>-412413.41768906836</c:v>
                </c:pt>
                <c:pt idx="24">
                  <c:v>-431476.34260427975</c:v>
                </c:pt>
                <c:pt idx="25">
                  <c:v>-450690.64984885353</c:v>
                </c:pt>
                <c:pt idx="26">
                  <c:v>-470059.36706937698</c:v>
                </c:pt>
                <c:pt idx="27">
                  <c:v>-489585.58246536902</c:v>
                </c:pt>
                <c:pt idx="28">
                  <c:v>-509272.446000339</c:v>
                </c:pt>
                <c:pt idx="29">
                  <c:v>-529123.17063706659</c:v>
                </c:pt>
                <c:pt idx="30">
                  <c:v>-549141.03359758691</c:v>
                </c:pt>
              </c:numCache>
            </c:numRef>
          </c:val>
          <c:smooth val="0"/>
          <c:extLst>
            <c:ext xmlns:c16="http://schemas.microsoft.com/office/drawing/2014/chart" uri="{C3380CC4-5D6E-409C-BE32-E72D297353CC}">
              <c16:uniqueId val="{00000006-6C1A-4D21-8E05-E0923B9B4BF8}"/>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Table!$AA$3:$AA$33</c:f>
              <c:numCache>
                <c:formatCode>"$"#,##0</c:formatCode>
                <c:ptCount val="31"/>
                <c:pt idx="0">
                  <c:v>-9600</c:v>
                </c:pt>
                <c:pt idx="1">
                  <c:v>-25893.808447092735</c:v>
                </c:pt>
                <c:pt idx="2">
                  <c:v>-42283.61689418547</c:v>
                </c:pt>
                <c:pt idx="3">
                  <c:v>-58771.345341278204</c:v>
                </c:pt>
                <c:pt idx="4">
                  <c:v>-75358.952188370953</c:v>
                </c:pt>
                <c:pt idx="5">
                  <c:v>-92034.643345528617</c:v>
                </c:pt>
                <c:pt idx="6">
                  <c:v>-108779.54240786942</c:v>
                </c:pt>
                <c:pt idx="7">
                  <c:v>-125572.80943414378</c:v>
                </c:pt>
                <c:pt idx="8">
                  <c:v>-142391.4871218804</c:v>
                </c:pt>
                <c:pt idx="9">
                  <c:v>-159210.33579890805</c:v>
                </c:pt>
                <c:pt idx="10">
                  <c:v>-176001.65643787297</c:v>
                </c:pt>
                <c:pt idx="11">
                  <c:v>-192735.10084456942</c:v>
                </c:pt>
                <c:pt idx="12">
                  <c:v>-209377.46811118606</c:v>
                </c:pt>
                <c:pt idx="13">
                  <c:v>-225892.48636166897</c:v>
                </c:pt>
                <c:pt idx="14">
                  <c:v>-242240.57874801895</c:v>
                </c:pt>
                <c:pt idx="15">
                  <c:v>-258378.61258316581</c:v>
                </c:pt>
                <c:pt idx="16">
                  <c:v>-274259.63041775441</c:v>
                </c:pt>
                <c:pt idx="17">
                  <c:v>-289832.56178438495</c:v>
                </c:pt>
                <c:pt idx="18">
                  <c:v>-305041.91424317821</c:v>
                </c:pt>
                <c:pt idx="19">
                  <c:v>-319827.4422665867</c:v>
                </c:pt>
                <c:pt idx="20">
                  <c:v>-334123.79239869211</c:v>
                </c:pt>
                <c:pt idx="21">
                  <c:v>-347860.12301435578</c:v>
                </c:pt>
                <c:pt idx="22">
                  <c:v>-360959.69688601815</c:v>
                </c:pt>
                <c:pt idx="23">
                  <c:v>-373339.44464012526</c:v>
                </c:pt>
                <c:pt idx="24">
                  <c:v>-384909.49705053709</c:v>
                </c:pt>
                <c:pt idx="25">
                  <c:v>-395572.68397220765</c:v>
                </c:pt>
                <c:pt idx="26">
                  <c:v>-405223.99756427214</c:v>
                </c:pt>
                <c:pt idx="27">
                  <c:v>-413750.01728671999</c:v>
                </c:pt>
                <c:pt idx="28">
                  <c:v>-421028.29397832009</c:v>
                </c:pt>
                <c:pt idx="29">
                  <c:v>-426926.69013458549</c:v>
                </c:pt>
                <c:pt idx="30">
                  <c:v>-431302.67330245121</c:v>
                </c:pt>
              </c:numCache>
            </c:numRef>
          </c:val>
          <c:smooth val="0"/>
          <c:extLst>
            <c:ext xmlns:c16="http://schemas.microsoft.com/office/drawing/2014/chart" uri="{C3380CC4-5D6E-409C-BE32-E72D297353CC}">
              <c16:uniqueId val="{00000008-6C1A-4D21-8E05-E0923B9B4BF8}"/>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Table!$G$3:$G$13</c:f>
              <c:numCache>
                <c:formatCode>"$"#,##0</c:formatCode>
                <c:ptCount val="1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numCache>
            </c:numRef>
          </c:val>
          <c:smooth val="0"/>
          <c:extLst>
            <c:ext xmlns:c16="http://schemas.microsoft.com/office/drawing/2014/chart" uri="{C3380CC4-5D6E-409C-BE32-E72D297353CC}">
              <c16:uniqueId val="{00000004-79E1-4911-ADBD-55161EE0FBD4}"/>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Table!$T$3:$T$13</c:f>
              <c:numCache>
                <c:formatCode>"$"#,##0</c:formatCode>
                <c:ptCount val="11"/>
                <c:pt idx="0">
                  <c:v>-9600</c:v>
                </c:pt>
                <c:pt idx="1">
                  <c:v>-25893.808447092735</c:v>
                </c:pt>
                <c:pt idx="2">
                  <c:v>-42283.61689418547</c:v>
                </c:pt>
                <c:pt idx="3">
                  <c:v>-58771.345341278204</c:v>
                </c:pt>
                <c:pt idx="4">
                  <c:v>-75358.952188370953</c:v>
                </c:pt>
                <c:pt idx="5">
                  <c:v>-92048.435003463703</c:v>
                </c:pt>
                <c:pt idx="6">
                  <c:v>-108841.83130591639</c:v>
                </c:pt>
                <c:pt idx="7">
                  <c:v>-125741.21936547631</c:v>
                </c:pt>
                <c:pt idx="8">
                  <c:v>-142748.71901728559</c:v>
                </c:pt>
                <c:pt idx="9">
                  <c:v>-159866.4924931892</c:v>
                </c:pt>
                <c:pt idx="10">
                  <c:v>-177096.74526966902</c:v>
                </c:pt>
              </c:numCache>
            </c:numRef>
          </c:val>
          <c:smooth val="0"/>
          <c:extLst>
            <c:ext xmlns:c16="http://schemas.microsoft.com/office/drawing/2014/chart" uri="{C3380CC4-5D6E-409C-BE32-E72D297353CC}">
              <c16:uniqueId val="{00000006-79E1-4911-ADBD-55161EE0FBD4}"/>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Table!$AA$3:$AA$13</c:f>
              <c:numCache>
                <c:formatCode>"$"#,##0</c:formatCode>
                <c:ptCount val="11"/>
                <c:pt idx="0">
                  <c:v>-9600</c:v>
                </c:pt>
                <c:pt idx="1">
                  <c:v>-25893.808447092735</c:v>
                </c:pt>
                <c:pt idx="2">
                  <c:v>-42283.61689418547</c:v>
                </c:pt>
                <c:pt idx="3">
                  <c:v>-58771.345341278204</c:v>
                </c:pt>
                <c:pt idx="4">
                  <c:v>-75358.952188370953</c:v>
                </c:pt>
                <c:pt idx="5">
                  <c:v>-92034.643345528617</c:v>
                </c:pt>
                <c:pt idx="6">
                  <c:v>-108779.54240786942</c:v>
                </c:pt>
                <c:pt idx="7">
                  <c:v>-125572.80943414378</c:v>
                </c:pt>
                <c:pt idx="8">
                  <c:v>-142391.4871218804</c:v>
                </c:pt>
                <c:pt idx="9">
                  <c:v>-159210.33579890805</c:v>
                </c:pt>
                <c:pt idx="10">
                  <c:v>-176001.65643787297</c:v>
                </c:pt>
              </c:numCache>
            </c:numRef>
          </c:val>
          <c:smooth val="0"/>
          <c:extLst>
            <c:ext xmlns:c16="http://schemas.microsoft.com/office/drawing/2014/chart" uri="{C3380CC4-5D6E-409C-BE32-E72D297353CC}">
              <c16:uniqueId val="{00000008-79E1-4911-ADBD-55161EE0FBD4}"/>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Table!$G$3:$G$43</c:f>
              <c:numCache>
                <c:formatCode>"$"#,##0</c:formatCode>
                <c:ptCount val="41"/>
                <c:pt idx="0">
                  <c:v>0</c:v>
                </c:pt>
                <c:pt idx="1">
                  <c:v>-24848</c:v>
                </c:pt>
                <c:pt idx="2">
                  <c:v>-50085.36</c:v>
                </c:pt>
                <c:pt idx="3">
                  <c:v>-75705.585200000001</c:v>
                </c:pt>
                <c:pt idx="4">
                  <c:v>-101700.88241399998</c:v>
                </c:pt>
                <c:pt idx="5">
                  <c:v>-128062.04808922995</c:v>
                </c:pt>
                <c:pt idx="6">
                  <c:v>-154778.34795938228</c:v>
                </c:pt>
                <c:pt idx="7">
                  <c:v>-181837.38773304294</c:v>
                </c:pt>
                <c:pt idx="8">
                  <c:v>-209224.9741762724</c:v>
                </c:pt>
                <c:pt idx="9">
                  <c:v>-236924.96590307588</c:v>
                </c:pt>
                <c:pt idx="10">
                  <c:v>-264919.11313911714</c:v>
                </c:pt>
                <c:pt idx="11">
                  <c:v>-293186.88567225198</c:v>
                </c:pt>
                <c:pt idx="12">
                  <c:v>-321705.28814804112</c:v>
                </c:pt>
                <c:pt idx="13">
                  <c:v>-350448.66180910391</c:v>
                </c:pt>
                <c:pt idx="14">
                  <c:v>-379388.47171370854</c:v>
                </c:pt>
                <c:pt idx="15">
                  <c:v>-408493.07840108464</c:v>
                </c:pt>
                <c:pt idx="16">
                  <c:v>-437727.49289826257</c:v>
                </c:pt>
                <c:pt idx="17">
                  <c:v>-467053.11388547043</c:v>
                </c:pt>
                <c:pt idx="18">
                  <c:v>-496427.44575389114</c:v>
                </c:pt>
                <c:pt idx="19">
                  <c:v>-525803.79620051221</c:v>
                </c:pt>
                <c:pt idx="20">
                  <c:v>-555130.95190949296</c:v>
                </c:pt>
                <c:pt idx="21">
                  <c:v>-584352.830767476</c:v>
                </c:pt>
                <c:pt idx="22">
                  <c:v>-613408.10895112576</c:v>
                </c:pt>
                <c:pt idx="23">
                  <c:v>-642229.82110837917</c:v>
                </c:pt>
                <c:pt idx="24">
                  <c:v>-670744.93172990717</c:v>
                </c:pt>
                <c:pt idx="25">
                  <c:v>-698873.87567354064</c:v>
                </c:pt>
                <c:pt idx="26">
                  <c:v>-726530.06566129206</c:v>
                </c:pt>
                <c:pt idx="27">
                  <c:v>-753619.36441545119</c:v>
                </c:pt>
                <c:pt idx="28">
                  <c:v>-780039.51893634815</c:v>
                </c:pt>
                <c:pt idx="29">
                  <c:v>-805679.5542490033</c:v>
                </c:pt>
                <c:pt idx="30">
                  <c:v>-830419.12375822198</c:v>
                </c:pt>
                <c:pt idx="31">
                  <c:v>-854127.81315088074</c:v>
                </c:pt>
                <c:pt idx="32">
                  <c:v>-876664.39456926519</c:v>
                </c:pt>
                <c:pt idx="33">
                  <c:v>-897876.02754938218</c:v>
                </c:pt>
                <c:pt idx="34">
                  <c:v>-917597.40297211392</c:v>
                </c:pt>
                <c:pt idx="35">
                  <c:v>-935649.8260117938</c:v>
                </c:pt>
                <c:pt idx="36">
                  <c:v>-951840.23378504219</c:v>
                </c:pt>
                <c:pt idx="37">
                  <c:v>-965960.14310122852</c:v>
                </c:pt>
                <c:pt idx="38">
                  <c:v>-977784.52339332865</c:v>
                </c:pt>
                <c:pt idx="39">
                  <c:v>-987070.58956275112</c:v>
                </c:pt>
                <c:pt idx="40">
                  <c:v>-993556.50910233054</c:v>
                </c:pt>
              </c:numCache>
            </c:numRef>
          </c:val>
          <c:smooth val="0"/>
          <c:extLst>
            <c:ext xmlns:c16="http://schemas.microsoft.com/office/drawing/2014/chart" uri="{C3380CC4-5D6E-409C-BE32-E72D297353CC}">
              <c16:uniqueId val="{00000000-F14C-458A-B6FE-C9829E998C5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Table!$T$3:$T$43</c:f>
              <c:numCache>
                <c:formatCode>"$"#,##0</c:formatCode>
                <c:ptCount val="41"/>
                <c:pt idx="0">
                  <c:v>-9600</c:v>
                </c:pt>
                <c:pt idx="1">
                  <c:v>-25893.808447092735</c:v>
                </c:pt>
                <c:pt idx="2">
                  <c:v>-42283.61689418547</c:v>
                </c:pt>
                <c:pt idx="3">
                  <c:v>-58771.345341278204</c:v>
                </c:pt>
                <c:pt idx="4">
                  <c:v>-75358.952188370953</c:v>
                </c:pt>
                <c:pt idx="5">
                  <c:v>-92048.435003463703</c:v>
                </c:pt>
                <c:pt idx="6">
                  <c:v>-108841.83130591639</c:v>
                </c:pt>
                <c:pt idx="7">
                  <c:v>-125741.21936547631</c:v>
                </c:pt>
                <c:pt idx="8">
                  <c:v>-142748.71901728559</c:v>
                </c:pt>
                <c:pt idx="9">
                  <c:v>-159866.4924931892</c:v>
                </c:pt>
                <c:pt idx="10">
                  <c:v>-177096.74526966902</c:v>
                </c:pt>
                <c:pt idx="11">
                  <c:v>-194441.72693273658</c:v>
                </c:pt>
                <c:pt idx="12">
                  <c:v>-211903.73206012364</c:v>
                </c:pt>
                <c:pt idx="13">
                  <c:v>-229485.1011211166</c:v>
                </c:pt>
                <c:pt idx="14">
                  <c:v>-247188.22139438754</c:v>
                </c:pt>
                <c:pt idx="15">
                  <c:v>-265015.52790418209</c:v>
                </c:pt>
                <c:pt idx="16">
                  <c:v>-282969.50437523064</c:v>
                </c:pt>
                <c:pt idx="17">
                  <c:v>-301052.68420675833</c:v>
                </c:pt>
                <c:pt idx="18">
                  <c:v>-319267.65146597469</c:v>
                </c:pt>
                <c:pt idx="19">
                  <c:v>-337617.04190143355</c:v>
                </c:pt>
                <c:pt idx="20">
                  <c:v>-356103.54397665977</c:v>
                </c:pt>
                <c:pt idx="21">
                  <c:v>-374729.89992444857</c:v>
                </c:pt>
                <c:pt idx="22">
                  <c:v>-393498.90682225139</c:v>
                </c:pt>
                <c:pt idx="23">
                  <c:v>-412413.41768906836</c:v>
                </c:pt>
                <c:pt idx="24">
                  <c:v>-431476.34260427975</c:v>
                </c:pt>
                <c:pt idx="25">
                  <c:v>-450690.64984885353</c:v>
                </c:pt>
                <c:pt idx="26">
                  <c:v>-470059.36706937698</c:v>
                </c:pt>
                <c:pt idx="27">
                  <c:v>-489585.58246536902</c:v>
                </c:pt>
                <c:pt idx="28">
                  <c:v>-509272.446000339</c:v>
                </c:pt>
                <c:pt idx="29">
                  <c:v>-529123.17063706659</c:v>
                </c:pt>
                <c:pt idx="30">
                  <c:v>-549141.03359758691</c:v>
                </c:pt>
                <c:pt idx="31">
                  <c:v>-557835.56920128292</c:v>
                </c:pt>
                <c:pt idx="32">
                  <c:v>-566703.99551705294</c:v>
                </c:pt>
                <c:pt idx="33">
                  <c:v>-575749.79035913839</c:v>
                </c:pt>
                <c:pt idx="34">
                  <c:v>-584976.50109806552</c:v>
                </c:pt>
                <c:pt idx="35">
                  <c:v>-594387.7460517711</c:v>
                </c:pt>
                <c:pt idx="36">
                  <c:v>-603987.21590455086</c:v>
                </c:pt>
                <c:pt idx="37">
                  <c:v>-613778.6751543862</c:v>
                </c:pt>
                <c:pt idx="38">
                  <c:v>-623765.96358921833</c:v>
                </c:pt>
                <c:pt idx="39">
                  <c:v>-633952.9977927471</c:v>
                </c:pt>
                <c:pt idx="40">
                  <c:v>-644343.77268034639</c:v>
                </c:pt>
              </c:numCache>
            </c:numRef>
          </c:val>
          <c:smooth val="0"/>
          <c:extLst>
            <c:ext xmlns:c16="http://schemas.microsoft.com/office/drawing/2014/chart" uri="{C3380CC4-5D6E-409C-BE32-E72D297353CC}">
              <c16:uniqueId val="{00000001-F14C-458A-B6FE-C9829E998C5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Table!$AA$3:$AA$43</c:f>
              <c:numCache>
                <c:formatCode>"$"#,##0</c:formatCode>
                <c:ptCount val="41"/>
                <c:pt idx="0">
                  <c:v>-9600</c:v>
                </c:pt>
                <c:pt idx="1">
                  <c:v>-25893.808447092735</c:v>
                </c:pt>
                <c:pt idx="2">
                  <c:v>-42283.61689418547</c:v>
                </c:pt>
                <c:pt idx="3">
                  <c:v>-58771.345341278204</c:v>
                </c:pt>
                <c:pt idx="4">
                  <c:v>-75358.952188370953</c:v>
                </c:pt>
                <c:pt idx="5">
                  <c:v>-92034.643345528617</c:v>
                </c:pt>
                <c:pt idx="6">
                  <c:v>-108779.54240786942</c:v>
                </c:pt>
                <c:pt idx="7">
                  <c:v>-125572.80943414378</c:v>
                </c:pt>
                <c:pt idx="8">
                  <c:v>-142391.4871218804</c:v>
                </c:pt>
                <c:pt idx="9">
                  <c:v>-159210.33579890805</c:v>
                </c:pt>
                <c:pt idx="10">
                  <c:v>-176001.65643787297</c:v>
                </c:pt>
                <c:pt idx="11">
                  <c:v>-192735.10084456942</c:v>
                </c:pt>
                <c:pt idx="12">
                  <c:v>-209377.46811118606</c:v>
                </c:pt>
                <c:pt idx="13">
                  <c:v>-225892.48636166897</c:v>
                </c:pt>
                <c:pt idx="14">
                  <c:v>-242240.57874801895</c:v>
                </c:pt>
                <c:pt idx="15">
                  <c:v>-258378.61258316581</c:v>
                </c:pt>
                <c:pt idx="16">
                  <c:v>-274259.63041775441</c:v>
                </c:pt>
                <c:pt idx="17">
                  <c:v>-289832.56178438495</c:v>
                </c:pt>
                <c:pt idx="18">
                  <c:v>-305041.91424317821</c:v>
                </c:pt>
                <c:pt idx="19">
                  <c:v>-319827.4422665867</c:v>
                </c:pt>
                <c:pt idx="20">
                  <c:v>-334123.79239869211</c:v>
                </c:pt>
                <c:pt idx="21">
                  <c:v>-347860.12301435578</c:v>
                </c:pt>
                <c:pt idx="22">
                  <c:v>-360959.69688601815</c:v>
                </c:pt>
                <c:pt idx="23">
                  <c:v>-373339.44464012526</c:v>
                </c:pt>
                <c:pt idx="24">
                  <c:v>-384909.49705053709</c:v>
                </c:pt>
                <c:pt idx="25">
                  <c:v>-395572.68397220765</c:v>
                </c:pt>
                <c:pt idx="26">
                  <c:v>-405223.99756427214</c:v>
                </c:pt>
                <c:pt idx="27">
                  <c:v>-413750.01728671999</c:v>
                </c:pt>
                <c:pt idx="28">
                  <c:v>-421028.29397832009</c:v>
                </c:pt>
                <c:pt idx="29">
                  <c:v>-426926.69013458549</c:v>
                </c:pt>
                <c:pt idx="30">
                  <c:v>-431302.67330245121</c:v>
                </c:pt>
                <c:pt idx="31">
                  <c:v>-422508.75084498082</c:v>
                </c:pt>
                <c:pt idx="32">
                  <c:v>-411172.13481823553</c:v>
                </c:pt>
                <c:pt idx="33">
                  <c:v>-397065.28206263069</c:v>
                </c:pt>
                <c:pt idx="34">
                  <c:v>-379943.45499947137</c:v>
                </c:pt>
                <c:pt idx="35">
                  <c:v>-359543.48581101221</c:v>
                </c:pt>
                <c:pt idx="36">
                  <c:v>-335582.45329684333</c:v>
                </c:pt>
                <c:pt idx="37">
                  <c:v>-307756.26627331786</c:v>
                </c:pt>
                <c:pt idx="38">
                  <c:v>-275738.14695288654</c:v>
                </c:pt>
                <c:pt idx="39">
                  <c:v>-239177.00728025346</c:v>
                </c:pt>
                <c:pt idx="40">
                  <c:v>-197695.71071010118</c:v>
                </c:pt>
              </c:numCache>
            </c:numRef>
          </c:val>
          <c:smooth val="0"/>
          <c:extLst>
            <c:ext xmlns:c16="http://schemas.microsoft.com/office/drawing/2014/chart" uri="{C3380CC4-5D6E-409C-BE32-E72D297353CC}">
              <c16:uniqueId val="{00000002-F14C-458A-B6FE-C9829E998C5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Table!$AQ$2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Table!$AQ$3:$AQ$23</c:f>
              <c:numCache>
                <c:formatCode>"$"#,##0</c:formatCode>
                <c:ptCount val="21"/>
                <c:pt idx="0">
                  <c:v>0</c:v>
                </c:pt>
                <c:pt idx="1">
                  <c:v>5152</c:v>
                </c:pt>
                <c:pt idx="2">
                  <c:v>10664.64</c:v>
                </c:pt>
                <c:pt idx="3">
                  <c:v>16563.164799999999</c:v>
                </c:pt>
                <c:pt idx="4">
                  <c:v>22874.586336000008</c:v>
                </c:pt>
                <c:pt idx="5">
                  <c:v>29627.807379520018</c:v>
                </c:pt>
                <c:pt idx="6">
                  <c:v>36853.753896086419</c:v>
                </c:pt>
                <c:pt idx="7">
                  <c:v>44585.516668812474</c:v>
                </c:pt>
                <c:pt idx="8">
                  <c:v>52858.502835629348</c:v>
                </c:pt>
                <c:pt idx="9">
                  <c:v>61710.598034123424</c:v>
                </c:pt>
                <c:pt idx="10">
                  <c:v>71182.339896512072</c:v>
                </c:pt>
                <c:pt idx="11">
                  <c:v>81317.10368926794</c:v>
                </c:pt>
                <c:pt idx="12">
                  <c:v>92161.30094751672</c:v>
                </c:pt>
                <c:pt idx="13">
                  <c:v>103764.59201384289</c:v>
                </c:pt>
                <c:pt idx="14">
                  <c:v>116180.11345481192</c:v>
                </c:pt>
                <c:pt idx="15">
                  <c:v>129464.72139664876</c:v>
                </c:pt>
                <c:pt idx="16">
                  <c:v>143679.25189441419</c:v>
                </c:pt>
                <c:pt idx="17">
                  <c:v>158888.79952702319</c:v>
                </c:pt>
                <c:pt idx="18">
                  <c:v>175163.01549391483</c:v>
                </c:pt>
                <c:pt idx="19">
                  <c:v>192576.4265784889</c:v>
                </c:pt>
                <c:pt idx="20">
                  <c:v>211208.77643898316</c:v>
                </c:pt>
              </c:numCache>
            </c:numRef>
          </c:val>
          <c:smooth val="0"/>
          <c:extLst>
            <c:ext xmlns:c16="http://schemas.microsoft.com/office/drawing/2014/chart" uri="{C3380CC4-5D6E-409C-BE32-E72D297353CC}">
              <c16:uniqueId val="{00000006-5907-476C-8FE5-13EA46DEDDCE}"/>
            </c:ext>
          </c:extLst>
        </c:ser>
        <c:ser>
          <c:idx val="2"/>
          <c:order val="1"/>
          <c:tx>
            <c:strRef>
              <c:f>Table!$AX$2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Table!$AX$3:$AX$23</c:f>
              <c:numCache>
                <c:formatCode>"$"#,##0</c:formatCode>
                <c:ptCount val="21"/>
                <c:pt idx="0">
                  <c:v>-28800</c:v>
                </c:pt>
                <c:pt idx="1">
                  <c:v>-21275.308447092735</c:v>
                </c:pt>
                <c:pt idx="2">
                  <c:v>-13322.246894185471</c:v>
                </c:pt>
                <c:pt idx="3">
                  <c:v>-4932.2479412782086</c:v>
                </c:pt>
                <c:pt idx="4">
                  <c:v>3903.4271596290564</c:v>
                </c:pt>
                <c:pt idx="5">
                  <c:v>13193.691931496305</c:v>
                </c:pt>
                <c:pt idx="6">
                  <c:v>22947.6381677428</c:v>
                </c:pt>
                <c:pt idx="7">
                  <c:v>33174.539497656064</c:v>
                </c:pt>
                <c:pt idx="8">
                  <c:v>43883.855023109434</c:v>
                </c:pt>
                <c:pt idx="9">
                  <c:v>55085.233028013703</c:v>
                </c:pt>
                <c:pt idx="10">
                  <c:v>66788.514761957951</c:v>
                </c:pt>
                <c:pt idx="11">
                  <c:v>79003.738299522927</c:v>
                </c:pt>
                <c:pt idx="12">
                  <c:v>91741.142476781068</c:v>
                </c:pt>
                <c:pt idx="13">
                  <c:v>105011.17090652621</c:v>
                </c:pt>
                <c:pt idx="14">
                  <c:v>118824.47607380818</c:v>
                </c:pt>
                <c:pt idx="15">
                  <c:v>133191.92351337755</c:v>
                </c:pt>
                <c:pt idx="16">
                  <c:v>148124.59607068019</c:v>
                </c:pt>
                <c:pt idx="17">
                  <c:v>163633.79824807076</c:v>
                </c:pt>
                <c:pt idx="18">
                  <c:v>179731.06063795101</c:v>
                </c:pt>
                <c:pt idx="19">
                  <c:v>196428.1444445707</c:v>
                </c:pt>
                <c:pt idx="20">
                  <c:v>213737.04609626462</c:v>
                </c:pt>
              </c:numCache>
            </c:numRef>
          </c:val>
          <c:smooth val="0"/>
          <c:extLst>
            <c:ext xmlns:c16="http://schemas.microsoft.com/office/drawing/2014/chart" uri="{C3380CC4-5D6E-409C-BE32-E72D297353CC}">
              <c16:uniqueId val="{00000008-5907-476C-8FE5-13EA46DEDDCE}"/>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23</xdr:col>
      <xdr:colOff>600075</xdr:colOff>
      <xdr:row>27</xdr:row>
      <xdr:rowOff>161925</xdr:rowOff>
    </xdr:to>
    <xdr:graphicFrame macro="">
      <xdr:nvGraphicFramePr>
        <xdr:cNvPr id="2" name="Chart 5">
          <a:extLst>
            <a:ext uri="{FF2B5EF4-FFF2-40B4-BE49-F238E27FC236}">
              <a16:creationId xmlns:a16="http://schemas.microsoft.com/office/drawing/2014/main" id="{E59CEF6D-B64E-48DA-B965-C6765AA22802}"/>
            </a:ext>
            <a:ext uri="{147F2762-F138-4A5C-976F-8EAC2B608ADB}">
              <a16:predDERef xmlns:a16="http://schemas.microsoft.com/office/drawing/2014/main" pred="{D358F7A8-0B4B-481F-9400-5CF5D7AF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4" name="Chart 5">
          <a:extLst>
            <a:ext uri="{FF2B5EF4-FFF2-40B4-BE49-F238E27FC236}">
              <a16:creationId xmlns:a16="http://schemas.microsoft.com/office/drawing/2014/main" id="{7D9A1529-886F-468E-A989-FC172C272C91}"/>
            </a:ext>
            <a:ext uri="{147F2762-F138-4A5C-976F-8EAC2B608ADB}">
              <a16:predDERef xmlns:a16="http://schemas.microsoft.com/office/drawing/2014/main" pred="{E59CEF6D-B64E-48DA-B965-C6765AA2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600075</xdr:colOff>
      <xdr:row>123</xdr:row>
      <xdr:rowOff>161925</xdr:rowOff>
    </xdr:to>
    <xdr:graphicFrame macro="">
      <xdr:nvGraphicFramePr>
        <xdr:cNvPr id="5" name="Chart 5">
          <a:extLst>
            <a:ext uri="{FF2B5EF4-FFF2-40B4-BE49-F238E27FC236}">
              <a16:creationId xmlns:a16="http://schemas.microsoft.com/office/drawing/2014/main" id="{42ADC997-0054-4442-8789-1CDA604A2507}"/>
            </a:ext>
            <a:ext uri="{147F2762-F138-4A5C-976F-8EAC2B608ADB}">
              <a16:predDERef xmlns:a16="http://schemas.microsoft.com/office/drawing/2014/main" pred="{7D9A1529-886F-468E-A989-FC172C272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9525</xdr:rowOff>
    </xdr:from>
    <xdr:to>
      <xdr:col>23</xdr:col>
      <xdr:colOff>600075</xdr:colOff>
      <xdr:row>59</xdr:row>
      <xdr:rowOff>161925</xdr:rowOff>
    </xdr:to>
    <xdr:graphicFrame macro="">
      <xdr:nvGraphicFramePr>
        <xdr:cNvPr id="7" name="Chart 6">
          <a:extLst>
            <a:ext uri="{FF2B5EF4-FFF2-40B4-BE49-F238E27FC236}">
              <a16:creationId xmlns:a16="http://schemas.microsoft.com/office/drawing/2014/main" id="{E49A87E1-74CC-45B7-9A3E-639542AC14DA}"/>
            </a:ext>
            <a:ext uri="{147F2762-F138-4A5C-976F-8EAC2B608ADB}">
              <a16:predDERef xmlns:a16="http://schemas.microsoft.com/office/drawing/2014/main" pred="{42ADC997-0054-4442-8789-1CDA604A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0</xdr:rowOff>
    </xdr:from>
    <xdr:to>
      <xdr:col>23</xdr:col>
      <xdr:colOff>590550</xdr:colOff>
      <xdr:row>59</xdr:row>
      <xdr:rowOff>180975</xdr:rowOff>
    </xdr:to>
    <xdr:graphicFrame macro="">
      <xdr:nvGraphicFramePr>
        <xdr:cNvPr id="2" name="Chart 2">
          <a:extLst>
            <a:ext uri="{FF2B5EF4-FFF2-40B4-BE49-F238E27FC236}">
              <a16:creationId xmlns:a16="http://schemas.microsoft.com/office/drawing/2014/main" i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3" name="Chart 2">
          <a:extLst>
            <a:ext uri="{FF2B5EF4-FFF2-40B4-BE49-F238E27FC236}">
              <a16:creationId xmlns:a16="http://schemas.microsoft.com/office/drawing/2014/main" id="{C8D993BF-D758-42B7-A17F-AFEE2488BC78}"/>
            </a:ext>
            <a:ext uri="{147F2762-F138-4A5C-976F-8EAC2B608ADB}">
              <a16:predDERef xmlns:a16="http://schemas.microsoft.com/office/drawing/2014/main" pre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590550</xdr:colOff>
      <xdr:row>27</xdr:row>
      <xdr:rowOff>180975</xdr:rowOff>
    </xdr:to>
    <xdr:graphicFrame macro="">
      <xdr:nvGraphicFramePr>
        <xdr:cNvPr id="4" name="Chart 3">
          <a:extLst>
            <a:ext uri="{FF2B5EF4-FFF2-40B4-BE49-F238E27FC236}">
              <a16:creationId xmlns:a16="http://schemas.microsoft.com/office/drawing/2014/main" id="{DB43EC1F-AC46-4290-9CFC-BD31C4E6532F}"/>
            </a:ext>
            <a:ext uri="{147F2762-F138-4A5C-976F-8EAC2B608ADB}">
              <a16:predDERef xmlns:a16="http://schemas.microsoft.com/office/drawing/2014/main" pred="{C8D993BF-D758-42B7-A17F-AFEE2488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96</xdr:row>
      <xdr:rowOff>19050</xdr:rowOff>
    </xdr:from>
    <xdr:to>
      <xdr:col>23</xdr:col>
      <xdr:colOff>600075</xdr:colOff>
      <xdr:row>123</xdr:row>
      <xdr:rowOff>171450</xdr:rowOff>
    </xdr:to>
    <xdr:graphicFrame macro="">
      <xdr:nvGraphicFramePr>
        <xdr:cNvPr id="5" name="Chart 4">
          <a:extLst>
            <a:ext uri="{FF2B5EF4-FFF2-40B4-BE49-F238E27FC236}">
              <a16:creationId xmlns:a16="http://schemas.microsoft.com/office/drawing/2014/main" id="{D358F7A8-0B4B-481F-9400-5CF5D7AFB6F9}"/>
            </a:ext>
            <a:ext uri="{147F2762-F138-4A5C-976F-8EAC2B608ADB}">
              <a16:predDERef xmlns:a16="http://schemas.microsoft.com/office/drawing/2014/main" pred="{DB43EC1F-AC46-4290-9CFC-BD31C4E6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6" name="Chart 2">
          <a:extLst>
            <a:ext uri="{FF2B5EF4-FFF2-40B4-BE49-F238E27FC236}">
              <a16:creationId xmlns:a16="http://schemas.microsoft.com/office/drawing/2014/main" id="{C7F70939-B794-4A25-A057-955B47CBF341}"/>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7" name="Chart 2">
          <a:extLst>
            <a:ext uri="{FF2B5EF4-FFF2-40B4-BE49-F238E27FC236}">
              <a16:creationId xmlns:a16="http://schemas.microsoft.com/office/drawing/2014/main" id="{FDC7E699-710F-4B95-AFF6-D82885D8731B}"/>
            </a:ext>
            <a:ext uri="{147F2762-F138-4A5C-976F-8EAC2B608ADB}">
              <a16:predDERef xmlns:a16="http://schemas.microsoft.com/office/drawing/2014/main" pred="{C7F70939-B794-4A25-A057-955B47CB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8" name="Chart 2">
          <a:extLst>
            <a:ext uri="{FF2B5EF4-FFF2-40B4-BE49-F238E27FC236}">
              <a16:creationId xmlns:a16="http://schemas.microsoft.com/office/drawing/2014/main" id="{3D4F5056-8FB7-4915-9E56-B14222B1C8C2}"/>
            </a:ext>
            <a:ext uri="{147F2762-F138-4A5C-976F-8EAC2B608ADB}">
              <a16:predDERef xmlns:a16="http://schemas.microsoft.com/office/drawing/2014/main" pred="{FDC7E699-710F-4B95-AFF6-D82885D8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10" name="Chart 2">
          <a:extLst>
            <a:ext uri="{FF2B5EF4-FFF2-40B4-BE49-F238E27FC236}">
              <a16:creationId xmlns:a16="http://schemas.microsoft.com/office/drawing/2014/main" id="{D1C39051-1331-4863-891C-27A8BBCF84DD}"/>
            </a:ext>
            <a:ext uri="{147F2762-F138-4A5C-976F-8EAC2B608ADB}">
              <a16:predDERef xmlns:a16="http://schemas.microsoft.com/office/drawing/2014/main" pred="{3D4F5056-8FB7-4915-9E56-B14222B1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528F-A6B5-4700-A4B0-53B495A67757}">
  <dimension ref="A1:B24"/>
  <sheetViews>
    <sheetView tabSelected="1" workbookViewId="0"/>
  </sheetViews>
  <sheetFormatPr defaultRowHeight="15"/>
  <cols>
    <col min="1" max="1" width="37.140625" bestFit="1" customWidth="1"/>
    <col min="2" max="2" width="9" bestFit="1" customWidth="1"/>
  </cols>
  <sheetData>
    <row r="1" spans="1:2">
      <c r="A1" s="9" t="s">
        <v>0</v>
      </c>
    </row>
    <row r="2" spans="1:2">
      <c r="A2" s="26" t="s">
        <v>1</v>
      </c>
      <c r="B2" s="26" t="s">
        <v>2</v>
      </c>
    </row>
    <row r="3" spans="1:2">
      <c r="A3" s="27" t="s">
        <v>3</v>
      </c>
      <c r="B3" s="28">
        <v>320000</v>
      </c>
    </row>
    <row r="4" spans="1:2">
      <c r="A4" s="1" t="s">
        <v>4</v>
      </c>
      <c r="B4" s="4">
        <v>7.0000000000000007E-2</v>
      </c>
    </row>
    <row r="5" spans="1:2">
      <c r="A5" s="1" t="s">
        <v>5</v>
      </c>
      <c r="B5" s="4">
        <v>0.02</v>
      </c>
    </row>
    <row r="6" spans="1:2">
      <c r="A6" s="1" t="s">
        <v>6</v>
      </c>
      <c r="B6" s="4">
        <v>1.4999999999999999E-2</v>
      </c>
    </row>
    <row r="7" spans="1:2">
      <c r="A7" s="1" t="s">
        <v>7</v>
      </c>
      <c r="B7" s="4">
        <v>0.02</v>
      </c>
    </row>
    <row r="8" spans="1:2">
      <c r="A8" s="1" t="s">
        <v>8</v>
      </c>
      <c r="B8" s="4">
        <v>0.2</v>
      </c>
    </row>
    <row r="9" spans="1:2">
      <c r="A9" s="34" t="s">
        <v>9</v>
      </c>
      <c r="B9" s="25">
        <v>6.8000000000000005E-2</v>
      </c>
    </row>
    <row r="10" spans="1:2">
      <c r="A10" s="6" t="s">
        <v>10</v>
      </c>
      <c r="B10" s="4">
        <f>0.03</f>
        <v>0.03</v>
      </c>
    </row>
    <row r="11" spans="1:2">
      <c r="B11" s="31"/>
    </row>
    <row r="12" spans="1:2">
      <c r="A12" s="14" t="s">
        <v>11</v>
      </c>
      <c r="B12" s="31"/>
    </row>
    <row r="13" spans="1:2">
      <c r="A13" s="1" t="s">
        <v>12</v>
      </c>
      <c r="B13" s="1">
        <v>2500</v>
      </c>
    </row>
    <row r="14" spans="1:2">
      <c r="A14" s="1" t="s">
        <v>13</v>
      </c>
      <c r="B14" s="4">
        <v>2.5000000000000001E-2</v>
      </c>
    </row>
    <row r="15" spans="1:2">
      <c r="A15" s="6" t="s">
        <v>14</v>
      </c>
      <c r="B15" s="4">
        <v>0.5</v>
      </c>
    </row>
    <row r="16" spans="1:2">
      <c r="B16" s="31"/>
    </row>
    <row r="17" spans="1:2">
      <c r="A17" s="14" t="s">
        <v>15</v>
      </c>
      <c r="B17" s="31"/>
    </row>
    <row r="18" spans="1:2">
      <c r="A18" s="26" t="s">
        <v>1</v>
      </c>
      <c r="B18" s="26" t="s">
        <v>2</v>
      </c>
    </row>
    <row r="19" spans="1:2">
      <c r="A19" s="35" t="s">
        <v>16</v>
      </c>
      <c r="B19" s="27">
        <v>2450</v>
      </c>
    </row>
    <row r="20" spans="1:2">
      <c r="A20" s="24" t="s">
        <v>17</v>
      </c>
      <c r="B20" s="25">
        <v>0.02</v>
      </c>
    </row>
    <row r="21" spans="1:2">
      <c r="A21" s="24" t="s">
        <v>18</v>
      </c>
      <c r="B21" s="24">
        <v>11.25</v>
      </c>
    </row>
    <row r="22" spans="1:2">
      <c r="A22" s="6" t="s">
        <v>19</v>
      </c>
      <c r="B22" s="4">
        <v>0.06</v>
      </c>
    </row>
    <row r="23" spans="1:2">
      <c r="A23" s="6" t="s">
        <v>20</v>
      </c>
      <c r="B23" s="4">
        <v>0.15</v>
      </c>
    </row>
    <row r="24" spans="1:2">
      <c r="A24" s="6" t="s">
        <v>21</v>
      </c>
      <c r="B24" s="1">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E975-A777-4877-87DF-CD56CF27EF27}">
  <dimension ref="A1:B5"/>
  <sheetViews>
    <sheetView workbookViewId="0"/>
  </sheetViews>
  <sheetFormatPr defaultRowHeight="15"/>
  <cols>
    <col min="1" max="1" width="34.140625" bestFit="1" customWidth="1"/>
    <col min="2" max="2" width="9" style="2" bestFit="1" customWidth="1"/>
  </cols>
  <sheetData>
    <row r="1" spans="1:2">
      <c r="A1" s="26" t="s">
        <v>22</v>
      </c>
      <c r="B1" s="36" t="s">
        <v>2</v>
      </c>
    </row>
    <row r="2" spans="1:2">
      <c r="A2" s="37" t="s">
        <v>23</v>
      </c>
      <c r="B2" s="1">
        <f>Parameters!$B$3*Parameters!$B$8</f>
        <v>64000</v>
      </c>
    </row>
    <row r="3" spans="1:2">
      <c r="A3" s="6" t="s">
        <v>24</v>
      </c>
      <c r="B3" s="1">
        <f>Parameters!$B$3*Parameters!$B$10</f>
        <v>9600</v>
      </c>
    </row>
    <row r="4" spans="1:2">
      <c r="A4" s="43" t="s">
        <v>25</v>
      </c>
      <c r="B4" s="34">
        <f>$B$2+$B$3</f>
        <v>73600</v>
      </c>
    </row>
    <row r="5" spans="1:2">
      <c r="A5" s="6" t="s">
        <v>26</v>
      </c>
      <c r="B5" s="1">
        <f>12*Parameters!$B$24</f>
        <v>2400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F062-8FBE-4DAD-977F-B69EEE5149EB}">
  <dimension ref="A1:AZ43"/>
  <sheetViews>
    <sheetView workbookViewId="0"/>
  </sheetViews>
  <sheetFormatPr defaultColWidth="16.85546875" defaultRowHeight="15"/>
  <cols>
    <col min="1" max="1" width="4.85546875" bestFit="1" customWidth="1"/>
    <col min="2" max="2" width="16.140625" style="3" bestFit="1" customWidth="1"/>
    <col min="3" max="3" width="20.140625" style="2" bestFit="1" customWidth="1"/>
    <col min="4" max="4" width="20" style="2" bestFit="1" customWidth="1"/>
    <col min="5" max="5" width="11.42578125" style="2" bestFit="1" customWidth="1"/>
    <col min="6" max="6" width="22" style="2" bestFit="1" customWidth="1"/>
    <col min="7" max="7" width="13.7109375" style="2" bestFit="1" customWidth="1"/>
    <col min="8" max="8" width="19.140625" style="31" bestFit="1" customWidth="1"/>
    <col min="9" max="9" width="11.5703125" style="2" bestFit="1" customWidth="1"/>
    <col min="10" max="10" width="22.85546875" style="2" bestFit="1" customWidth="1"/>
    <col min="11" max="11" width="16.28515625" style="2" bestFit="1" customWidth="1"/>
    <col min="12" max="12" width="27" bestFit="1" customWidth="1"/>
    <col min="13" max="13" width="20.5703125" bestFit="1" customWidth="1"/>
    <col min="14" max="14" width="31.28515625" bestFit="1" customWidth="1"/>
    <col min="15" max="15" width="13.5703125" bestFit="1" customWidth="1"/>
    <col min="16" max="16" width="24.28515625" bestFit="1" customWidth="1"/>
    <col min="17" max="17" width="17.42578125" bestFit="1" customWidth="1"/>
    <col min="18" max="18" width="16.42578125" bestFit="1" customWidth="1"/>
    <col min="19" max="19" width="27" bestFit="1" customWidth="1"/>
    <col min="20" max="20" width="13.5703125" bestFit="1" customWidth="1"/>
    <col min="21" max="21" width="19.140625" style="31" bestFit="1" customWidth="1"/>
    <col min="22" max="22" width="22" bestFit="1" customWidth="1"/>
    <col min="23" max="23" width="25" bestFit="1" customWidth="1"/>
    <col min="24" max="24" width="28.42578125" bestFit="1" customWidth="1"/>
    <col min="25" max="25" width="20" bestFit="1" customWidth="1"/>
    <col min="26" max="26" width="18" bestFit="1" customWidth="1"/>
    <col min="27" max="27" width="30.85546875" bestFit="1" customWidth="1"/>
    <col min="28" max="28" width="36.28515625" style="31" bestFit="1" customWidth="1"/>
    <col min="29" max="29" width="39.140625" style="31" bestFit="1" customWidth="1"/>
    <col min="30" max="30" width="19.5703125" bestFit="1" customWidth="1"/>
    <col min="31" max="31" width="20.5703125" bestFit="1" customWidth="1"/>
    <col min="32" max="32" width="20.42578125" bestFit="1" customWidth="1"/>
    <col min="33" max="33" width="30.28515625" bestFit="1" customWidth="1"/>
    <col min="34" max="34" width="6.42578125" customWidth="1"/>
    <col min="35" max="35" width="39.7109375" style="46" bestFit="1" customWidth="1"/>
    <col min="36" max="36" width="18.42578125" bestFit="1" customWidth="1"/>
    <col min="37" max="37" width="13.7109375" bestFit="1" customWidth="1"/>
    <col min="38" max="38" width="24.28515625" bestFit="1" customWidth="1"/>
    <col min="39" max="39" width="22" bestFit="1" customWidth="1"/>
    <col min="40" max="40" width="32.5703125" bestFit="1" customWidth="1"/>
    <col min="41" max="41" width="15.42578125" bestFit="1" customWidth="1"/>
    <col min="42" max="42" width="20.85546875" style="31" bestFit="1" customWidth="1"/>
    <col min="43" max="43" width="25.7109375" bestFit="1" customWidth="1"/>
    <col min="44" max="44" width="31.140625" style="31" bestFit="1" customWidth="1"/>
    <col min="45" max="45" width="25" bestFit="1" customWidth="1"/>
    <col min="46" max="46" width="18.5703125" bestFit="1" customWidth="1"/>
    <col min="47" max="47" width="25.7109375" style="2" bestFit="1" customWidth="1"/>
    <col min="48" max="48" width="28.140625" style="2" bestFit="1" customWidth="1"/>
    <col min="49" max="49" width="23.42578125" style="2" bestFit="1" customWidth="1"/>
    <col min="50" max="50" width="27.85546875" style="2" bestFit="1" customWidth="1"/>
    <col min="51" max="51" width="26.85546875" style="31" bestFit="1" customWidth="1"/>
    <col min="52" max="52" width="45.85546875" bestFit="1" customWidth="1"/>
  </cols>
  <sheetData>
    <row r="1" spans="1:52" s="9" customFormat="1">
      <c r="B1" s="10" t="s">
        <v>27</v>
      </c>
      <c r="C1" s="11"/>
      <c r="D1" s="11"/>
      <c r="E1" s="11"/>
      <c r="F1" s="11"/>
      <c r="G1" s="11"/>
      <c r="H1" s="30"/>
      <c r="I1" s="12" t="s">
        <v>28</v>
      </c>
      <c r="J1" s="11"/>
      <c r="K1" s="11"/>
      <c r="U1" s="30"/>
      <c r="AB1" s="30"/>
      <c r="AC1" s="30"/>
      <c r="AD1" s="13" t="s">
        <v>29</v>
      </c>
      <c r="AE1" s="14"/>
      <c r="AI1" s="44" t="s">
        <v>30</v>
      </c>
      <c r="AK1" s="14"/>
      <c r="AP1" s="30"/>
      <c r="AR1" s="30"/>
      <c r="AU1" s="11"/>
      <c r="AV1" s="11"/>
      <c r="AW1" s="11"/>
      <c r="AX1" s="11"/>
      <c r="AY1" s="30"/>
      <c r="AZ1" s="5" t="s">
        <v>31</v>
      </c>
    </row>
    <row r="2" spans="1:52" s="9" customFormat="1">
      <c r="A2" s="15" t="s">
        <v>32</v>
      </c>
      <c r="B2" s="16" t="s">
        <v>33</v>
      </c>
      <c r="C2" s="17" t="s">
        <v>34</v>
      </c>
      <c r="D2" s="17" t="s">
        <v>35</v>
      </c>
      <c r="E2" s="17" t="s">
        <v>36</v>
      </c>
      <c r="F2" s="17" t="s">
        <v>37</v>
      </c>
      <c r="G2" s="18" t="s">
        <v>38</v>
      </c>
      <c r="H2" s="32" t="s">
        <v>39</v>
      </c>
      <c r="I2" s="16" t="s">
        <v>40</v>
      </c>
      <c r="J2" s="19" t="s">
        <v>41</v>
      </c>
      <c r="K2" s="17" t="s">
        <v>42</v>
      </c>
      <c r="L2" s="20" t="s">
        <v>43</v>
      </c>
      <c r="M2" s="20" t="s">
        <v>44</v>
      </c>
      <c r="N2" s="20" t="s">
        <v>45</v>
      </c>
      <c r="O2" s="20" t="s">
        <v>46</v>
      </c>
      <c r="P2" s="21" t="s">
        <v>47</v>
      </c>
      <c r="Q2" s="20" t="s">
        <v>48</v>
      </c>
      <c r="R2" s="20" t="s">
        <v>49</v>
      </c>
      <c r="S2" s="20" t="s">
        <v>50</v>
      </c>
      <c r="T2" s="15" t="s">
        <v>51</v>
      </c>
      <c r="U2" s="32" t="s">
        <v>52</v>
      </c>
      <c r="V2" s="20" t="s">
        <v>53</v>
      </c>
      <c r="W2" s="20" t="s">
        <v>54</v>
      </c>
      <c r="X2" s="21" t="s">
        <v>55</v>
      </c>
      <c r="Y2" s="20" t="s">
        <v>35</v>
      </c>
      <c r="Z2" s="20" t="s">
        <v>56</v>
      </c>
      <c r="AA2" s="15" t="s">
        <v>57</v>
      </c>
      <c r="AB2" s="32" t="s">
        <v>58</v>
      </c>
      <c r="AC2" s="32" t="s">
        <v>59</v>
      </c>
      <c r="AD2" s="22" t="s">
        <v>32</v>
      </c>
      <c r="AE2" s="23" t="s">
        <v>60</v>
      </c>
      <c r="AF2" s="23" t="s">
        <v>61</v>
      </c>
      <c r="AG2" s="38" t="s">
        <v>62</v>
      </c>
      <c r="AH2" s="8"/>
      <c r="AI2" s="45" t="s">
        <v>32</v>
      </c>
      <c r="AJ2" s="20" t="s">
        <v>63</v>
      </c>
      <c r="AK2" s="20" t="s">
        <v>64</v>
      </c>
      <c r="AL2" s="20" t="s">
        <v>65</v>
      </c>
      <c r="AM2" s="20" t="s">
        <v>66</v>
      </c>
      <c r="AN2" s="21" t="s">
        <v>67</v>
      </c>
      <c r="AO2" s="29" t="s">
        <v>68</v>
      </c>
      <c r="AP2" s="32" t="s">
        <v>69</v>
      </c>
      <c r="AQ2" s="29" t="s">
        <v>70</v>
      </c>
      <c r="AR2" s="33" t="s">
        <v>71</v>
      </c>
      <c r="AS2" s="21" t="s">
        <v>72</v>
      </c>
      <c r="AT2" s="21" t="s">
        <v>73</v>
      </c>
      <c r="AU2" s="19" t="s">
        <v>74</v>
      </c>
      <c r="AV2" s="19" t="s">
        <v>75</v>
      </c>
      <c r="AW2" s="19" t="s">
        <v>76</v>
      </c>
      <c r="AX2" s="42" t="s">
        <v>77</v>
      </c>
      <c r="AY2" s="33" t="s">
        <v>78</v>
      </c>
      <c r="AZ2" s="20" t="s">
        <v>79</v>
      </c>
    </row>
    <row r="3" spans="1:52">
      <c r="A3">
        <v>0</v>
      </c>
      <c r="B3" s="3">
        <v>0</v>
      </c>
      <c r="C3" s="2">
        <f>B3</f>
        <v>0</v>
      </c>
      <c r="D3" s="2">
        <f>Calculations!$B$4</f>
        <v>73600</v>
      </c>
      <c r="E3" s="2">
        <v>0</v>
      </c>
      <c r="F3" s="2">
        <f>E3</f>
        <v>0</v>
      </c>
      <c r="G3" s="2">
        <f>F3-C3</f>
        <v>0</v>
      </c>
      <c r="H3" s="31">
        <f>G3/Calculations!$B$4</f>
        <v>0</v>
      </c>
      <c r="I3" s="3">
        <f>Parameters!$B$3</f>
        <v>320000</v>
      </c>
      <c r="J3" s="2">
        <f>I3-Parameters!$B$3</f>
        <v>0</v>
      </c>
      <c r="K3" s="2">
        <v>0</v>
      </c>
      <c r="L3" s="2">
        <f>K3</f>
        <v>0</v>
      </c>
      <c r="M3" s="2">
        <f>Calculations!$B$3</f>
        <v>9600</v>
      </c>
      <c r="N3" s="2">
        <f>M3</f>
        <v>9600</v>
      </c>
      <c r="O3" s="2">
        <v>0</v>
      </c>
      <c r="P3" s="2">
        <f>O3</f>
        <v>0</v>
      </c>
      <c r="Q3" s="2">
        <v>0</v>
      </c>
      <c r="R3" s="2">
        <f>O3-Q3</f>
        <v>0</v>
      </c>
      <c r="S3" s="2">
        <f>R3</f>
        <v>0</v>
      </c>
      <c r="T3" s="2">
        <f>J3-L3-N3-S3</f>
        <v>-9600</v>
      </c>
      <c r="U3" s="31">
        <f>T3/Calculations!$B$4</f>
        <v>-0.13043478260869565</v>
      </c>
      <c r="V3" s="2">
        <f>B3-K3-M3-O3</f>
        <v>-9600</v>
      </c>
      <c r="W3" s="2">
        <f>IF(V3&gt;0,V3*Parameters!$B$15,0)</f>
        <v>0</v>
      </c>
      <c r="X3" s="2">
        <f>W3</f>
        <v>0</v>
      </c>
      <c r="Y3" s="2">
        <v>0</v>
      </c>
      <c r="Z3" s="2">
        <f>Y3-X3</f>
        <v>0</v>
      </c>
      <c r="AA3" s="2">
        <f>T3+Z3</f>
        <v>-9600</v>
      </c>
      <c r="AB3" s="31">
        <f>AA3/Calculations!$B$4</f>
        <v>-0.13043478260869565</v>
      </c>
      <c r="AC3" s="31">
        <f>AB3-H3</f>
        <v>-0.13043478260869565</v>
      </c>
      <c r="AD3" s="7">
        <f>A3</f>
        <v>0</v>
      </c>
      <c r="AE3" s="2">
        <f>B3/12</f>
        <v>0</v>
      </c>
      <c r="AF3" s="2">
        <f>(K3+M3+O3)/12</f>
        <v>800</v>
      </c>
      <c r="AG3" s="8"/>
      <c r="AH3" s="8"/>
      <c r="AI3" s="47">
        <f>A3</f>
        <v>0</v>
      </c>
      <c r="AJ3" s="2">
        <v>0</v>
      </c>
      <c r="AK3" s="2">
        <v>0</v>
      </c>
      <c r="AL3" s="2">
        <f>AJ3</f>
        <v>0</v>
      </c>
      <c r="AM3" s="2">
        <v>0</v>
      </c>
      <c r="AN3" s="2">
        <f>AM3</f>
        <v>0</v>
      </c>
      <c r="AO3" s="2">
        <f>T3+AL3-AN3</f>
        <v>-9600</v>
      </c>
      <c r="AP3" s="31">
        <f>AO3/Calculations!$B$4</f>
        <v>-0.13043478260869565</v>
      </c>
      <c r="AQ3" s="2">
        <f>F3</f>
        <v>0</v>
      </c>
      <c r="AR3" s="31">
        <f>AQ3/Calculations!$B$4</f>
        <v>0</v>
      </c>
      <c r="AS3" s="31">
        <f>AP3-AR3</f>
        <v>-0.13043478260869565</v>
      </c>
      <c r="AT3" s="39" t="s">
        <v>80</v>
      </c>
      <c r="AU3" s="2">
        <f>I3*Parameters!$B$22</f>
        <v>19200</v>
      </c>
      <c r="AV3" s="2">
        <f>J3*Parameters!$B$23</f>
        <v>0</v>
      </c>
      <c r="AW3" s="2">
        <f>AU3+AV3</f>
        <v>19200</v>
      </c>
      <c r="AX3" s="2">
        <f>AO3-AW3</f>
        <v>-28800</v>
      </c>
      <c r="AY3" s="31">
        <f>AX3/Calculations!$B$4</f>
        <v>-0.39130434782608697</v>
      </c>
      <c r="AZ3" s="31">
        <f>AY3-AR3</f>
        <v>-0.39130434782608697</v>
      </c>
    </row>
    <row r="4" spans="1:52">
      <c r="A4">
        <v>1</v>
      </c>
      <c r="B4" s="3">
        <f>12*Parameters!$B$13</f>
        <v>30000</v>
      </c>
      <c r="C4" s="2">
        <f>B4+C3</f>
        <v>30000</v>
      </c>
      <c r="D4" s="2">
        <f>D3*(1+Parameters!$B$4)</f>
        <v>78752</v>
      </c>
      <c r="E4" s="2">
        <f>D4-D3</f>
        <v>5152</v>
      </c>
      <c r="F4" s="2">
        <f>E4+F3</f>
        <v>5152</v>
      </c>
      <c r="G4" s="2">
        <f>F4-C4</f>
        <v>-24848</v>
      </c>
      <c r="H4" s="31">
        <f>G4/Calculations!$B$4/A4</f>
        <v>-0.33760869565217394</v>
      </c>
      <c r="I4" s="3">
        <f>I3*(1+Parameters!$B$5)</f>
        <v>326400</v>
      </c>
      <c r="J4" s="2">
        <f>I4-Parameters!$B$3</f>
        <v>6400</v>
      </c>
      <c r="K4" s="2">
        <f>I3*Parameters!$B$6</f>
        <v>4800</v>
      </c>
      <c r="L4" s="2">
        <f>K4+L3</f>
        <v>4800</v>
      </c>
      <c r="M4" s="2">
        <f>I3*Parameters!$B$7</f>
        <v>6400</v>
      </c>
      <c r="N4" s="2">
        <f>M4+N3</f>
        <v>16000</v>
      </c>
      <c r="O4" s="2">
        <f>-PMT(Parameters!$B$9/12, 30*12, Parameters!$B$3*(1-Parameters!$B$8)) * 12</f>
        <v>20027.141780426067</v>
      </c>
      <c r="P4" s="2">
        <f>O4+P3</f>
        <v>20027.141780426067</v>
      </c>
      <c r="Q4" s="2">
        <f>Parameters!$B$3*(1-Parameters!$B$8)/30</f>
        <v>8533.3333333333339</v>
      </c>
      <c r="R4" s="2">
        <f t="shared" ref="R4:R43" si="0">O4-Q4</f>
        <v>11493.808447092733</v>
      </c>
      <c r="S4" s="2">
        <f>R4+S3</f>
        <v>11493.808447092733</v>
      </c>
      <c r="T4" s="2">
        <f t="shared" ref="T4:T43" si="1">J4-L4-N4-S4</f>
        <v>-25893.808447092735</v>
      </c>
      <c r="U4" s="31">
        <f>T4/Calculations!$B$4/Table!A4</f>
        <v>-0.35181804955289042</v>
      </c>
      <c r="V4" s="2">
        <f>B4-K4-M4-O4</f>
        <v>-1227.1417804260673</v>
      </c>
      <c r="W4" s="2">
        <f>IF(V4&gt;0,V4*Parameters!$B$15,0)</f>
        <v>0</v>
      </c>
      <c r="X4" s="2">
        <f>X3+W4</f>
        <v>0</v>
      </c>
      <c r="Y4" s="2">
        <f>Y3*(1+Parameters!$B$4)+W4</f>
        <v>0</v>
      </c>
      <c r="Z4" s="2">
        <f t="shared" ref="Z4:Z43" si="2">Y4-X4</f>
        <v>0</v>
      </c>
      <c r="AA4" s="2">
        <f>T4+Z4</f>
        <v>-25893.808447092735</v>
      </c>
      <c r="AB4" s="31">
        <f>AA4/Calculations!$B$4/A4</f>
        <v>-0.35181804955289042</v>
      </c>
      <c r="AC4" s="31">
        <f t="shared" ref="AC4:AC43" si="3">AB4-H4</f>
        <v>-1.4209353900716482E-2</v>
      </c>
      <c r="AD4" s="7">
        <f t="shared" ref="AD4:AD43" si="4">A4</f>
        <v>1</v>
      </c>
      <c r="AE4" s="2">
        <f t="shared" ref="AE4:AE43" si="5">B4/12</f>
        <v>2500</v>
      </c>
      <c r="AF4" s="2">
        <f>(K4+M4+O4)/12</f>
        <v>2602.2618150355056</v>
      </c>
      <c r="AG4" s="8" t="str">
        <f>IF(AND(AF4&lt;AE4,AE3&lt;=AF3),"Y", "")</f>
        <v/>
      </c>
      <c r="AH4" s="8"/>
      <c r="AI4" s="47">
        <f t="shared" ref="AI4:AI43" si="6">A4</f>
        <v>1</v>
      </c>
      <c r="AJ4" s="2">
        <f>Parameters!$B$19</f>
        <v>2450</v>
      </c>
      <c r="AK4" s="2">
        <f>Parameters!$B$21*AJ4</f>
        <v>27562.5</v>
      </c>
      <c r="AL4" s="2">
        <f>AK4+AL3</f>
        <v>27562.5</v>
      </c>
      <c r="AM4" s="2">
        <f>Calculations!$B$5</f>
        <v>2400</v>
      </c>
      <c r="AN4" s="2">
        <f>AM4+AN3</f>
        <v>2400</v>
      </c>
      <c r="AO4" s="2">
        <f t="shared" ref="AO4:AO43" si="7">T4+AL4-AN4</f>
        <v>-731.30844709273515</v>
      </c>
      <c r="AP4" s="31">
        <f>AO4/Calculations!$B$4/A4</f>
        <v>-9.9362560746295535E-3</v>
      </c>
      <c r="AQ4" s="2">
        <f>F4</f>
        <v>5152</v>
      </c>
      <c r="AR4" s="31">
        <f>AQ4/Calculations!$B$4/A4</f>
        <v>7.0000000000000007E-2</v>
      </c>
      <c r="AS4" s="31">
        <f t="shared" ref="AS4:AS43" si="8">AP4-AR4</f>
        <v>-7.9936256074629564E-2</v>
      </c>
      <c r="AT4" s="41" t="s">
        <v>81</v>
      </c>
      <c r="AU4" s="2">
        <f>I4*Parameters!$B$22</f>
        <v>19584</v>
      </c>
      <c r="AV4" s="2">
        <f>J4*Parameters!$B$23</f>
        <v>960</v>
      </c>
      <c r="AW4" s="2">
        <f t="shared" ref="AW4:AW43" si="9">AU4+AV4</f>
        <v>20544</v>
      </c>
      <c r="AX4" s="2">
        <f>AO4-AW4</f>
        <v>-21275.308447092735</v>
      </c>
      <c r="AY4" s="31">
        <f>AX4/Calculations!$B$4/A4</f>
        <v>-0.28906669085723824</v>
      </c>
      <c r="AZ4" s="31">
        <f t="shared" ref="AZ4:AZ43" si="10">AY4-AR4</f>
        <v>-0.35906669085723825</v>
      </c>
    </row>
    <row r="5" spans="1:52">
      <c r="A5">
        <v>2</v>
      </c>
      <c r="B5" s="3">
        <f>B4*(1+Parameters!$B$14)</f>
        <v>30749.999999999996</v>
      </c>
      <c r="C5" s="2">
        <f t="shared" ref="C5:C33" si="11">B5+C4</f>
        <v>60750</v>
      </c>
      <c r="D5" s="2">
        <f>D4*(1+Parameters!$B$4)</f>
        <v>84264.639999999999</v>
      </c>
      <c r="E5" s="2">
        <f t="shared" ref="E5:E43" si="12">D5-D4</f>
        <v>5512.6399999999994</v>
      </c>
      <c r="F5" s="2">
        <f t="shared" ref="F5:F43" si="13">E5+F4</f>
        <v>10664.64</v>
      </c>
      <c r="G5" s="2">
        <f>F5-C5</f>
        <v>-50085.36</v>
      </c>
      <c r="H5" s="31">
        <f>G5/Calculations!$B$4/A5</f>
        <v>-0.34025380434782609</v>
      </c>
      <c r="I5" s="3">
        <f>I4*(1+Parameters!$B$5)</f>
        <v>332928</v>
      </c>
      <c r="J5" s="2">
        <f>I5-Parameters!$B$3</f>
        <v>12928</v>
      </c>
      <c r="K5" s="2">
        <f>I4*Parameters!$B$6</f>
        <v>4896</v>
      </c>
      <c r="L5" s="2">
        <f t="shared" ref="L5:L33" si="14">K5+L4</f>
        <v>9696</v>
      </c>
      <c r="M5" s="2">
        <f>I4*Parameters!$B$7</f>
        <v>6528</v>
      </c>
      <c r="N5" s="2">
        <f t="shared" ref="N5:N33" si="15">M5+N4</f>
        <v>22528</v>
      </c>
      <c r="O5" s="2">
        <f>-PMT(Parameters!$B$9/12, 30*12, Parameters!$B$3*(1-Parameters!$B$8)) * 12</f>
        <v>20027.141780426067</v>
      </c>
      <c r="P5" s="2">
        <f t="shared" ref="P5:P43" si="16">O5+P4</f>
        <v>40054.283560852135</v>
      </c>
      <c r="Q5" s="2">
        <f>Parameters!$B$3*(1-Parameters!$B$8)/30</f>
        <v>8533.3333333333339</v>
      </c>
      <c r="R5" s="2">
        <f t="shared" si="0"/>
        <v>11493.808447092733</v>
      </c>
      <c r="S5" s="2">
        <f t="shared" ref="S5:S43" si="17">R5+S4</f>
        <v>22987.616894185467</v>
      </c>
      <c r="T5" s="2">
        <f t="shared" si="1"/>
        <v>-42283.61689418547</v>
      </c>
      <c r="U5" s="31">
        <f>T5/Calculations!$B$4/Table!A5</f>
        <v>-0.28725283216158609</v>
      </c>
      <c r="V5" s="2">
        <f>B5-K5-M5-O5</f>
        <v>-701.14178042607091</v>
      </c>
      <c r="W5" s="2">
        <f>IF(V5&gt;0,V5*Parameters!$B$15,0)</f>
        <v>0</v>
      </c>
      <c r="X5" s="2">
        <f t="shared" ref="X5:X43" si="18">X4+W5</f>
        <v>0</v>
      </c>
      <c r="Y5" s="2">
        <f>Y4*(1+Parameters!$B$4)+W5</f>
        <v>0</v>
      </c>
      <c r="Z5" s="2">
        <f t="shared" si="2"/>
        <v>0</v>
      </c>
      <c r="AA5" s="2">
        <f>T5+Z5</f>
        <v>-42283.61689418547</v>
      </c>
      <c r="AB5" s="31">
        <f>AA5/Calculations!$B$4/A5</f>
        <v>-0.28725283216158609</v>
      </c>
      <c r="AC5" s="31">
        <f t="shared" si="3"/>
        <v>5.3000972186240003E-2</v>
      </c>
      <c r="AD5" s="7">
        <f t="shared" si="4"/>
        <v>2</v>
      </c>
      <c r="AE5" s="2">
        <f t="shared" si="5"/>
        <v>2562.4999999999995</v>
      </c>
      <c r="AF5" s="2">
        <f>(K5+M5+O5)/12</f>
        <v>2620.9284817021721</v>
      </c>
      <c r="AG5" s="8" t="str">
        <f t="shared" ref="AG5:AG43" si="19">IF(AND(AF5&lt;AE5,AE4&lt;=AF4),"Y", "")</f>
        <v/>
      </c>
      <c r="AH5" s="8"/>
      <c r="AI5" s="47">
        <f t="shared" si="6"/>
        <v>2</v>
      </c>
      <c r="AJ5" s="2">
        <f>AJ4*(1+Parameters!$B$20)</f>
        <v>2499</v>
      </c>
      <c r="AK5" s="2">
        <f>Parameters!$B$21*AJ5</f>
        <v>28113.75</v>
      </c>
      <c r="AL5" s="2">
        <f t="shared" ref="AL5:AL43" si="20">AK5+AL4</f>
        <v>55676.25</v>
      </c>
      <c r="AM5" s="2">
        <f>Calculations!$B$5</f>
        <v>2400</v>
      </c>
      <c r="AN5" s="2">
        <f t="shared" ref="AN5:AN43" si="21">AM5+AN4</f>
        <v>4800</v>
      </c>
      <c r="AO5" s="2">
        <f t="shared" si="7"/>
        <v>8592.6331058145297</v>
      </c>
      <c r="AP5" s="31">
        <f>AO5/Calculations!$B$4/A5</f>
        <v>5.8373866207979144E-2</v>
      </c>
      <c r="AQ5" s="2">
        <f>F5</f>
        <v>10664.64</v>
      </c>
      <c r="AR5" s="31">
        <f>AQ5/Calculations!$B$4/A5</f>
        <v>7.2450000000000001E-2</v>
      </c>
      <c r="AS5" s="31">
        <f t="shared" si="8"/>
        <v>-1.4076133792020856E-2</v>
      </c>
      <c r="AT5" s="40" t="s">
        <v>82</v>
      </c>
      <c r="AU5" s="2">
        <f>I5*Parameters!$B$22</f>
        <v>19975.68</v>
      </c>
      <c r="AV5" s="2">
        <f>J5*Parameters!$B$23</f>
        <v>1939.1999999999998</v>
      </c>
      <c r="AW5" s="2">
        <f t="shared" si="9"/>
        <v>21914.880000000001</v>
      </c>
      <c r="AX5" s="2">
        <f>AO5-AW5</f>
        <v>-13322.246894185471</v>
      </c>
      <c r="AY5" s="31">
        <f>AX5/Calculations!$B$4/A5</f>
        <v>-9.0504394661586079E-2</v>
      </c>
      <c r="AZ5" s="31">
        <f t="shared" si="10"/>
        <v>-0.16295439466158607</v>
      </c>
    </row>
    <row r="6" spans="1:52">
      <c r="A6">
        <v>3</v>
      </c>
      <c r="B6" s="3">
        <f>B5*(1+Parameters!$B$14)</f>
        <v>31518.749999999993</v>
      </c>
      <c r="C6" s="2">
        <f t="shared" si="11"/>
        <v>92268.75</v>
      </c>
      <c r="D6" s="2">
        <f>D5*(1+Parameters!$B$4)</f>
        <v>90163.164799999999</v>
      </c>
      <c r="E6" s="2">
        <f t="shared" si="12"/>
        <v>5898.5247999999992</v>
      </c>
      <c r="F6" s="2">
        <f t="shared" si="13"/>
        <v>16563.164799999999</v>
      </c>
      <c r="G6" s="2">
        <f>F6-C6</f>
        <v>-75705.585200000001</v>
      </c>
      <c r="H6" s="31">
        <f>G6/Calculations!$B$4/A6</f>
        <v>-0.34286949818840579</v>
      </c>
      <c r="I6" s="3">
        <f>I5*(1+Parameters!$B$5)</f>
        <v>339586.56</v>
      </c>
      <c r="J6" s="2">
        <f>I6-Parameters!$B$3</f>
        <v>19586.559999999998</v>
      </c>
      <c r="K6" s="2">
        <f>I5*Parameters!$B$6</f>
        <v>4993.92</v>
      </c>
      <c r="L6" s="2">
        <f t="shared" si="14"/>
        <v>14689.92</v>
      </c>
      <c r="M6" s="2">
        <f>I5*Parameters!$B$7</f>
        <v>6658.56</v>
      </c>
      <c r="N6" s="2">
        <f t="shared" si="15"/>
        <v>29186.560000000001</v>
      </c>
      <c r="O6" s="2">
        <f>-PMT(Parameters!$B$9/12, 30*12, Parameters!$B$3*(1-Parameters!$B$8)) * 12</f>
        <v>20027.141780426067</v>
      </c>
      <c r="P6" s="2">
        <f t="shared" si="16"/>
        <v>60081.425341278198</v>
      </c>
      <c r="Q6" s="2">
        <f>Parameters!$B$3*(1-Parameters!$B$8)/30</f>
        <v>8533.3333333333339</v>
      </c>
      <c r="R6" s="2">
        <f t="shared" si="0"/>
        <v>11493.808447092733</v>
      </c>
      <c r="S6" s="2">
        <f t="shared" si="17"/>
        <v>34481.425341278198</v>
      </c>
      <c r="T6" s="2">
        <f t="shared" si="1"/>
        <v>-58771.345341278204</v>
      </c>
      <c r="U6" s="31">
        <f>T6/Calculations!$B$4/Table!A6</f>
        <v>-0.26617457129202088</v>
      </c>
      <c r="V6" s="2">
        <f>B6-K6-M6-O6</f>
        <v>-160.87178042607411</v>
      </c>
      <c r="W6" s="2">
        <f>IF(V6&gt;0,V6*Parameters!$B$15,0)</f>
        <v>0</v>
      </c>
      <c r="X6" s="2">
        <f t="shared" si="18"/>
        <v>0</v>
      </c>
      <c r="Y6" s="2">
        <f>Y5*(1+Parameters!$B$4)+W6</f>
        <v>0</v>
      </c>
      <c r="Z6" s="2">
        <f t="shared" si="2"/>
        <v>0</v>
      </c>
      <c r="AA6" s="2">
        <f>T6+Z6</f>
        <v>-58771.345341278204</v>
      </c>
      <c r="AB6" s="31">
        <f>AA6/Calculations!$B$4/A6</f>
        <v>-0.26617457129202088</v>
      </c>
      <c r="AC6" s="31">
        <f t="shared" si="3"/>
        <v>7.6694926896384907E-2</v>
      </c>
      <c r="AD6" s="7">
        <f t="shared" si="4"/>
        <v>3</v>
      </c>
      <c r="AE6" s="2">
        <f t="shared" si="5"/>
        <v>2626.5624999999995</v>
      </c>
      <c r="AF6" s="2">
        <f>(K6+M6+O6)/12</f>
        <v>2639.9684817021721</v>
      </c>
      <c r="AG6" s="8" t="str">
        <f t="shared" si="19"/>
        <v/>
      </c>
      <c r="AH6" s="8"/>
      <c r="AI6" s="47">
        <f t="shared" si="6"/>
        <v>3</v>
      </c>
      <c r="AJ6" s="2">
        <f>AJ5*(1+Parameters!$B$20)</f>
        <v>2548.98</v>
      </c>
      <c r="AK6" s="2">
        <f>Parameters!$B$21*AJ6</f>
        <v>28676.025000000001</v>
      </c>
      <c r="AL6" s="2">
        <f t="shared" si="20"/>
        <v>84352.274999999994</v>
      </c>
      <c r="AM6" s="2">
        <f>Calculations!$B$5</f>
        <v>2400</v>
      </c>
      <c r="AN6" s="2">
        <f t="shared" si="21"/>
        <v>7200</v>
      </c>
      <c r="AO6" s="2">
        <f t="shared" si="7"/>
        <v>18380.92965872179</v>
      </c>
      <c r="AP6" s="31">
        <f>AO6/Calculations!$B$4/A6</f>
        <v>8.3246964034066076E-2</v>
      </c>
      <c r="AQ6" s="2">
        <f>F6</f>
        <v>16563.164799999999</v>
      </c>
      <c r="AR6" s="31">
        <f>AQ6/Calculations!$B$4/A6</f>
        <v>7.5014333333333336E-2</v>
      </c>
      <c r="AS6" s="31">
        <f t="shared" si="8"/>
        <v>8.2326307007327404E-3</v>
      </c>
      <c r="AT6" s="31"/>
      <c r="AU6" s="2">
        <f>I6*Parameters!$B$22</f>
        <v>20375.193599999999</v>
      </c>
      <c r="AV6" s="2">
        <f>J6*Parameters!$B$23</f>
        <v>2937.9839999999995</v>
      </c>
      <c r="AW6" s="2">
        <f t="shared" si="9"/>
        <v>23313.177599999999</v>
      </c>
      <c r="AX6" s="2">
        <f>AO6-AW6</f>
        <v>-4932.2479412782086</v>
      </c>
      <c r="AY6" s="31">
        <f>AX6/Calculations!$B$4/A6</f>
        <v>-2.2338079444194785E-2</v>
      </c>
      <c r="AZ6" s="31">
        <f t="shared" si="10"/>
        <v>-9.7352412777528124E-2</v>
      </c>
    </row>
    <row r="7" spans="1:52">
      <c r="A7">
        <v>4</v>
      </c>
      <c r="B7" s="3">
        <f>B6*(1+Parameters!$B$14)</f>
        <v>32306.718749999989</v>
      </c>
      <c r="C7" s="2">
        <f t="shared" si="11"/>
        <v>124575.46874999999</v>
      </c>
      <c r="D7" s="2">
        <f>D6*(1+Parameters!$B$4)</f>
        <v>96474.586336000008</v>
      </c>
      <c r="E7" s="2">
        <f t="shared" si="12"/>
        <v>6311.4215360000089</v>
      </c>
      <c r="F7" s="2">
        <f t="shared" si="13"/>
        <v>22874.586336000008</v>
      </c>
      <c r="G7" s="2">
        <f>F7-C7</f>
        <v>-101700.88241399998</v>
      </c>
      <c r="H7" s="31">
        <f>G7/Calculations!$B$4/A7</f>
        <v>-0.34545136689538036</v>
      </c>
      <c r="I7" s="3">
        <f>I6*(1+Parameters!$B$5)</f>
        <v>346378.29119999998</v>
      </c>
      <c r="J7" s="2">
        <f>I7-Parameters!$B$3</f>
        <v>26378.291199999978</v>
      </c>
      <c r="K7" s="2">
        <f>I6*Parameters!$B$6</f>
        <v>5093.7983999999997</v>
      </c>
      <c r="L7" s="2">
        <f t="shared" si="14"/>
        <v>19783.718399999998</v>
      </c>
      <c r="M7" s="2">
        <f>I6*Parameters!$B$7</f>
        <v>6791.7312000000002</v>
      </c>
      <c r="N7" s="2">
        <f t="shared" si="15"/>
        <v>35978.2912</v>
      </c>
      <c r="O7" s="2">
        <f>-PMT(Parameters!$B$9/12, 30*12, Parameters!$B$3*(1-Parameters!$B$8)) * 12</f>
        <v>20027.141780426067</v>
      </c>
      <c r="P7" s="2">
        <f t="shared" si="16"/>
        <v>80108.567121704269</v>
      </c>
      <c r="Q7" s="2">
        <f>Parameters!$B$3*(1-Parameters!$B$8)/30</f>
        <v>8533.3333333333339</v>
      </c>
      <c r="R7" s="2">
        <f t="shared" si="0"/>
        <v>11493.808447092733</v>
      </c>
      <c r="S7" s="2">
        <f t="shared" si="17"/>
        <v>45975.233788370933</v>
      </c>
      <c r="T7" s="2">
        <f t="shared" si="1"/>
        <v>-75358.952188370953</v>
      </c>
      <c r="U7" s="31">
        <f>T7/Calculations!$B$4/Table!A7</f>
        <v>-0.25597470172680353</v>
      </c>
      <c r="V7" s="2">
        <f>B7-K7-M7-O7</f>
        <v>394.04736957392379</v>
      </c>
      <c r="W7" s="2">
        <f>IF(V7&gt;0,V7*Parameters!$B$15,0)</f>
        <v>197.02368478696189</v>
      </c>
      <c r="X7" s="2">
        <f t="shared" si="18"/>
        <v>197.02368478696189</v>
      </c>
      <c r="Y7" s="2">
        <f>Y6*(1+Parameters!$B$4)+W7</f>
        <v>197.02368478696189</v>
      </c>
      <c r="Z7" s="2">
        <f t="shared" si="2"/>
        <v>0</v>
      </c>
      <c r="AA7" s="2">
        <f>T7+Z7</f>
        <v>-75358.952188370953</v>
      </c>
      <c r="AB7" s="31">
        <f>AA7/Calculations!$B$4/A7</f>
        <v>-0.25597470172680353</v>
      </c>
      <c r="AC7" s="31">
        <f t="shared" si="3"/>
        <v>8.947666516857683E-2</v>
      </c>
      <c r="AD7" s="7">
        <f t="shared" si="4"/>
        <v>4</v>
      </c>
      <c r="AE7" s="2">
        <f t="shared" si="5"/>
        <v>2692.2265624999991</v>
      </c>
      <c r="AF7" s="2">
        <f>(K7+M7+O7)/12</f>
        <v>2659.389281702172</v>
      </c>
      <c r="AG7" s="8" t="str">
        <f t="shared" si="19"/>
        <v>Y</v>
      </c>
      <c r="AH7" s="8"/>
      <c r="AI7" s="47">
        <f t="shared" si="6"/>
        <v>4</v>
      </c>
      <c r="AJ7" s="2">
        <f>AJ6*(1+Parameters!$B$20)</f>
        <v>2599.9596000000001</v>
      </c>
      <c r="AK7" s="2">
        <f>Parameters!$B$21*AJ7</f>
        <v>29249.5455</v>
      </c>
      <c r="AL7" s="2">
        <f t="shared" si="20"/>
        <v>113601.8205</v>
      </c>
      <c r="AM7" s="2">
        <f>Calculations!$B$5</f>
        <v>2400</v>
      </c>
      <c r="AN7" s="2">
        <f t="shared" si="21"/>
        <v>9600</v>
      </c>
      <c r="AO7" s="2">
        <f t="shared" si="7"/>
        <v>28642.868311629049</v>
      </c>
      <c r="AP7" s="31">
        <f>AO7/Calculations!$B$4/A7</f>
        <v>9.7292351602000851E-2</v>
      </c>
      <c r="AQ7" s="2">
        <f>F7</f>
        <v>22874.586336000008</v>
      </c>
      <c r="AR7" s="31">
        <f>AQ7/Calculations!$B$4/A7</f>
        <v>7.7699002500000031E-2</v>
      </c>
      <c r="AS7" s="31">
        <f t="shared" si="8"/>
        <v>1.959334910200082E-2</v>
      </c>
      <c r="AT7" s="31"/>
      <c r="AU7" s="2">
        <f>I7*Parameters!$B$22</f>
        <v>20782.697471999996</v>
      </c>
      <c r="AV7" s="2">
        <f>J7*Parameters!$B$23</f>
        <v>3956.7436799999964</v>
      </c>
      <c r="AW7" s="2">
        <f t="shared" si="9"/>
        <v>24739.441151999992</v>
      </c>
      <c r="AX7" s="2">
        <f>AO7-AW7</f>
        <v>3903.4271596290564</v>
      </c>
      <c r="AY7" s="31">
        <f>AX7/Calculations!$B$4/A7</f>
        <v>1.3258923775913914E-2</v>
      </c>
      <c r="AZ7" s="31">
        <f t="shared" si="10"/>
        <v>-6.4440078724086122E-2</v>
      </c>
    </row>
    <row r="8" spans="1:52">
      <c r="A8">
        <v>5</v>
      </c>
      <c r="B8" s="3">
        <f>B7*(1+Parameters!$B$14)</f>
        <v>33114.386718749985</v>
      </c>
      <c r="C8" s="2">
        <f t="shared" si="11"/>
        <v>157689.85546874997</v>
      </c>
      <c r="D8" s="2">
        <f>D7*(1+Parameters!$B$4)</f>
        <v>103227.80737952002</v>
      </c>
      <c r="E8" s="2">
        <f t="shared" si="12"/>
        <v>6753.2210435200104</v>
      </c>
      <c r="F8" s="2">
        <f t="shared" si="13"/>
        <v>29627.807379520018</v>
      </c>
      <c r="G8" s="2">
        <f>F8-C8</f>
        <v>-128062.04808922995</v>
      </c>
      <c r="H8" s="31">
        <f>G8/Calculations!$B$4/A8</f>
        <v>-0.3479946958946466</v>
      </c>
      <c r="I8" s="3">
        <f>I7*(1+Parameters!$B$5)</f>
        <v>353305.85702399997</v>
      </c>
      <c r="J8" s="2">
        <f>I8-Parameters!$B$3</f>
        <v>33305.857023999968</v>
      </c>
      <c r="K8" s="2">
        <f>I7*Parameters!$B$6</f>
        <v>5195.674367999999</v>
      </c>
      <c r="L8" s="2">
        <f t="shared" si="14"/>
        <v>24979.392767999998</v>
      </c>
      <c r="M8" s="2">
        <f>I7*Parameters!$B$7</f>
        <v>6927.5658239999993</v>
      </c>
      <c r="N8" s="2">
        <f t="shared" si="15"/>
        <v>42905.857023999997</v>
      </c>
      <c r="O8" s="2">
        <f>-PMT(Parameters!$B$9/12, 30*12, Parameters!$B$3*(1-Parameters!$B$8)) * 12</f>
        <v>20027.141780426067</v>
      </c>
      <c r="P8" s="2">
        <f t="shared" si="16"/>
        <v>100135.70890213034</v>
      </c>
      <c r="Q8" s="2">
        <f>Parameters!$B$3*(1-Parameters!$B$8)/30</f>
        <v>8533.3333333333339</v>
      </c>
      <c r="R8" s="2">
        <f t="shared" si="0"/>
        <v>11493.808447092733</v>
      </c>
      <c r="S8" s="2">
        <f t="shared" si="17"/>
        <v>57469.042235463668</v>
      </c>
      <c r="T8" s="2">
        <f t="shared" si="1"/>
        <v>-92048.435003463703</v>
      </c>
      <c r="U8" s="31">
        <f>T8/Calculations!$B$4/Table!A8</f>
        <v>-0.25013161685723834</v>
      </c>
      <c r="V8" s="2">
        <f>B8-K8-M8-O8</f>
        <v>964.0047463239207</v>
      </c>
      <c r="W8" s="2">
        <f>IF(V8&gt;0,V8*Parameters!$B$15,0)</f>
        <v>482.00237316196035</v>
      </c>
      <c r="X8" s="2">
        <f t="shared" si="18"/>
        <v>679.02605794892224</v>
      </c>
      <c r="Y8" s="2">
        <f>Y7*(1+Parameters!$B$4)+W8</f>
        <v>692.81771588400966</v>
      </c>
      <c r="Z8" s="2">
        <f t="shared" si="2"/>
        <v>13.791657935087414</v>
      </c>
      <c r="AA8" s="2">
        <f>T8+Z8</f>
        <v>-92034.643345528617</v>
      </c>
      <c r="AB8" s="31">
        <f>AA8/Calculations!$B$4/A8</f>
        <v>-0.25009413952589299</v>
      </c>
      <c r="AC8" s="31">
        <f t="shared" si="3"/>
        <v>9.7900556368753611E-2</v>
      </c>
      <c r="AD8" s="7">
        <f t="shared" si="4"/>
        <v>5</v>
      </c>
      <c r="AE8" s="2">
        <f t="shared" si="5"/>
        <v>2759.5322265624986</v>
      </c>
      <c r="AF8" s="2">
        <f>(K8+M8+O8)/12</f>
        <v>2679.1984977021721</v>
      </c>
      <c r="AG8" s="8" t="str">
        <f t="shared" si="19"/>
        <v/>
      </c>
      <c r="AH8" s="8"/>
      <c r="AI8" s="47">
        <f t="shared" si="6"/>
        <v>5</v>
      </c>
      <c r="AJ8" s="2">
        <f>AJ7*(1+Parameters!$B$20)</f>
        <v>2651.9587920000004</v>
      </c>
      <c r="AK8" s="2">
        <f>Parameters!$B$21*AJ8</f>
        <v>29834.536410000004</v>
      </c>
      <c r="AL8" s="2">
        <f t="shared" si="20"/>
        <v>143436.35691</v>
      </c>
      <c r="AM8" s="2">
        <f>Calculations!$B$5</f>
        <v>2400</v>
      </c>
      <c r="AN8" s="2">
        <f t="shared" si="21"/>
        <v>12000</v>
      </c>
      <c r="AO8" s="2">
        <f t="shared" si="7"/>
        <v>39387.9219065363</v>
      </c>
      <c r="AP8" s="31">
        <f>AO8/Calculations!$B$4/A8</f>
        <v>0.10703239648515299</v>
      </c>
      <c r="AQ8" s="2">
        <f>F8</f>
        <v>29627.807379520018</v>
      </c>
      <c r="AR8" s="31">
        <f>AQ8/Calculations!$B$4/A8</f>
        <v>8.051034614000005E-2</v>
      </c>
      <c r="AS8" s="31">
        <f t="shared" si="8"/>
        <v>2.6522050345152939E-2</v>
      </c>
      <c r="AT8" s="31"/>
      <c r="AU8" s="2">
        <f>I8*Parameters!$B$22</f>
        <v>21198.351421439998</v>
      </c>
      <c r="AV8" s="2">
        <f>J8*Parameters!$B$23</f>
        <v>4995.878553599995</v>
      </c>
      <c r="AW8" s="2">
        <f t="shared" si="9"/>
        <v>26194.229975039994</v>
      </c>
      <c r="AX8" s="2">
        <f>AO8-AW8</f>
        <v>13193.691931496305</v>
      </c>
      <c r="AY8" s="31">
        <f>AX8/Calculations!$B$4/A8</f>
        <v>3.5852423726892138E-2</v>
      </c>
      <c r="AZ8" s="31">
        <f t="shared" si="10"/>
        <v>-4.4657922413107912E-2</v>
      </c>
    </row>
    <row r="9" spans="1:52">
      <c r="A9">
        <v>6</v>
      </c>
      <c r="B9" s="3">
        <f>B8*(1+Parameters!$B$14)</f>
        <v>33942.246386718733</v>
      </c>
      <c r="C9" s="2">
        <f t="shared" si="11"/>
        <v>191632.1018554687</v>
      </c>
      <c r="D9" s="2">
        <f>D8*(1+Parameters!$B$4)</f>
        <v>110453.75389608642</v>
      </c>
      <c r="E9" s="2">
        <f t="shared" si="12"/>
        <v>7225.9465165664005</v>
      </c>
      <c r="F9" s="2">
        <f t="shared" si="13"/>
        <v>36853.753896086419</v>
      </c>
      <c r="G9" s="2">
        <f>F9-C9</f>
        <v>-154778.34795938228</v>
      </c>
      <c r="H9" s="31">
        <f>G9/Calculations!$B$4/A9</f>
        <v>-0.35049444737178964</v>
      </c>
      <c r="I9" s="3">
        <f>I8*(1+Parameters!$B$5)</f>
        <v>360371.97416447999</v>
      </c>
      <c r="J9" s="2">
        <f>I9-Parameters!$B$3</f>
        <v>40371.974164479994</v>
      </c>
      <c r="K9" s="2">
        <f>I8*Parameters!$B$6</f>
        <v>5299.5878553599996</v>
      </c>
      <c r="L9" s="2">
        <f t="shared" si="14"/>
        <v>30278.980623359996</v>
      </c>
      <c r="M9" s="2">
        <f>I8*Parameters!$B$7</f>
        <v>7066.1171404799998</v>
      </c>
      <c r="N9" s="2">
        <f t="shared" si="15"/>
        <v>49971.974164479994</v>
      </c>
      <c r="O9" s="2">
        <f>-PMT(Parameters!$B$9/12, 30*12, Parameters!$B$3*(1-Parameters!$B$8)) * 12</f>
        <v>20027.141780426067</v>
      </c>
      <c r="P9" s="2">
        <f t="shared" si="16"/>
        <v>120162.85068255641</v>
      </c>
      <c r="Q9" s="2">
        <f>Parameters!$B$3*(1-Parameters!$B$8)/30</f>
        <v>8533.3333333333339</v>
      </c>
      <c r="R9" s="2">
        <f t="shared" si="0"/>
        <v>11493.808447092733</v>
      </c>
      <c r="S9" s="2">
        <f t="shared" si="17"/>
        <v>68962.850682556396</v>
      </c>
      <c r="T9" s="2">
        <f t="shared" si="1"/>
        <v>-108841.83130591639</v>
      </c>
      <c r="U9" s="31">
        <f>T9/Calculations!$B$4/Table!A9</f>
        <v>-0.24647153828332516</v>
      </c>
      <c r="V9" s="2">
        <f>B9-K9-M9-O9</f>
        <v>1549.3996104526668</v>
      </c>
      <c r="W9" s="2">
        <f>IF(V9&gt;0,V9*Parameters!$B$15,0)</f>
        <v>774.69980522633341</v>
      </c>
      <c r="X9" s="2">
        <f t="shared" si="18"/>
        <v>1453.7258631752557</v>
      </c>
      <c r="Y9" s="2">
        <f>Y8*(1+Parameters!$B$4)+W9</f>
        <v>1516.0147612222238</v>
      </c>
      <c r="Z9" s="2">
        <f t="shared" si="2"/>
        <v>62.288898046968143</v>
      </c>
      <c r="AA9" s="2">
        <f>T9+Z9</f>
        <v>-108779.54240786942</v>
      </c>
      <c r="AB9" s="31">
        <f>AA9/Calculations!$B$4/A9</f>
        <v>-0.24633048552506662</v>
      </c>
      <c r="AC9" s="31">
        <f t="shared" si="3"/>
        <v>0.10416396184672302</v>
      </c>
      <c r="AD9" s="7">
        <f t="shared" si="4"/>
        <v>6</v>
      </c>
      <c r="AE9" s="2">
        <f t="shared" si="5"/>
        <v>2828.520532226561</v>
      </c>
      <c r="AF9" s="2">
        <f>(K9+M9+O9)/12</f>
        <v>2699.4038980221721</v>
      </c>
      <c r="AG9" s="8" t="str">
        <f t="shared" si="19"/>
        <v/>
      </c>
      <c r="AH9" s="8"/>
      <c r="AI9" s="47">
        <f t="shared" si="6"/>
        <v>6</v>
      </c>
      <c r="AJ9" s="2">
        <f>AJ8*(1+Parameters!$B$20)</f>
        <v>2704.9979678400005</v>
      </c>
      <c r="AK9" s="2">
        <f>Parameters!$B$21*AJ9</f>
        <v>30431.227138200004</v>
      </c>
      <c r="AL9" s="2">
        <f t="shared" si="20"/>
        <v>173867.58404819999</v>
      </c>
      <c r="AM9" s="2">
        <f>Calculations!$B$5</f>
        <v>2400</v>
      </c>
      <c r="AN9" s="2">
        <f t="shared" si="21"/>
        <v>14400</v>
      </c>
      <c r="AO9" s="2">
        <f t="shared" si="7"/>
        <v>50625.752742283599</v>
      </c>
      <c r="AP9" s="31">
        <f>AO9/Calculations!$B$4/A9</f>
        <v>0.11464165023162047</v>
      </c>
      <c r="AQ9" s="2">
        <f>F9</f>
        <v>36853.753896086419</v>
      </c>
      <c r="AR9" s="31">
        <f>AQ9/Calculations!$B$4/A9</f>
        <v>8.3455058641500046E-2</v>
      </c>
      <c r="AS9" s="31">
        <f t="shared" si="8"/>
        <v>3.1186591590120424E-2</v>
      </c>
      <c r="AT9" s="31"/>
      <c r="AU9" s="2">
        <f>I9*Parameters!$B$22</f>
        <v>21622.318449868799</v>
      </c>
      <c r="AV9" s="2">
        <f>J9*Parameters!$B$23</f>
        <v>6055.7961246719988</v>
      </c>
      <c r="AW9" s="2">
        <f t="shared" si="9"/>
        <v>27678.114574540799</v>
      </c>
      <c r="AX9" s="2">
        <f>AO9-AW9</f>
        <v>22947.6381677428</v>
      </c>
      <c r="AY9" s="31">
        <f>AX9/Calculations!$B$4/A9</f>
        <v>5.1964760343620471E-2</v>
      </c>
      <c r="AZ9" s="31">
        <f t="shared" si="10"/>
        <v>-3.1490298297879575E-2</v>
      </c>
    </row>
    <row r="10" spans="1:52">
      <c r="A10">
        <v>7</v>
      </c>
      <c r="B10" s="3">
        <f>B9*(1+Parameters!$B$14)</f>
        <v>34790.802546386694</v>
      </c>
      <c r="C10" s="2">
        <f t="shared" si="11"/>
        <v>226422.9044018554</v>
      </c>
      <c r="D10" s="2">
        <f>D9*(1+Parameters!$B$4)</f>
        <v>118185.51666881247</v>
      </c>
      <c r="E10" s="2">
        <f t="shared" si="12"/>
        <v>7731.7627727260551</v>
      </c>
      <c r="F10" s="2">
        <f t="shared" si="13"/>
        <v>44585.516668812474</v>
      </c>
      <c r="G10" s="2">
        <f>F10-C10</f>
        <v>-181837.38773304294</v>
      </c>
      <c r="H10" s="31">
        <f>G10/Calculations!$B$4/A10</f>
        <v>-0.35294524016506784</v>
      </c>
      <c r="I10" s="3">
        <f>I9*(1+Parameters!$B$5)</f>
        <v>367579.4136477696</v>
      </c>
      <c r="J10" s="2">
        <f>I10-Parameters!$B$3</f>
        <v>47579.413647769601</v>
      </c>
      <c r="K10" s="2">
        <f>I9*Parameters!$B$6</f>
        <v>5405.5796124671997</v>
      </c>
      <c r="L10" s="2">
        <f t="shared" si="14"/>
        <v>35684.560235827194</v>
      </c>
      <c r="M10" s="2">
        <f>I9*Parameters!$B$7</f>
        <v>7207.4394832895996</v>
      </c>
      <c r="N10" s="2">
        <f t="shared" si="15"/>
        <v>57179.413647769594</v>
      </c>
      <c r="O10" s="2">
        <f>-PMT(Parameters!$B$9/12, 30*12, Parameters!$B$3*(1-Parameters!$B$8)) * 12</f>
        <v>20027.141780426067</v>
      </c>
      <c r="P10" s="2">
        <f t="shared" si="16"/>
        <v>140189.99246298248</v>
      </c>
      <c r="Q10" s="2">
        <f>Parameters!$B$3*(1-Parameters!$B$8)/30</f>
        <v>8533.3333333333339</v>
      </c>
      <c r="R10" s="2">
        <f t="shared" si="0"/>
        <v>11493.808447092733</v>
      </c>
      <c r="S10" s="2">
        <f t="shared" si="17"/>
        <v>80456.659129649124</v>
      </c>
      <c r="T10" s="2">
        <f t="shared" si="1"/>
        <v>-125741.21936547631</v>
      </c>
      <c r="U10" s="31">
        <f>T10/Calculations!$B$4/Table!A10</f>
        <v>-0.24406292578702701</v>
      </c>
      <c r="V10" s="2">
        <f>B10-K10-M10-O10</f>
        <v>2150.6416702038296</v>
      </c>
      <c r="W10" s="2">
        <f>IF(V10&gt;0,V10*Parameters!$B$15,0)</f>
        <v>1075.3208351019148</v>
      </c>
      <c r="X10" s="2">
        <f t="shared" si="18"/>
        <v>2529.0466982771704</v>
      </c>
      <c r="Y10" s="2">
        <f>Y9*(1+Parameters!$B$4)+W10</f>
        <v>2697.4566296096946</v>
      </c>
      <c r="Z10" s="2">
        <f t="shared" si="2"/>
        <v>168.40993133252414</v>
      </c>
      <c r="AA10" s="2">
        <f>T10+Z10</f>
        <v>-125572.80943414378</v>
      </c>
      <c r="AB10" s="31">
        <f>AA10/Calculations!$B$4/A10</f>
        <v>-0.24373604315633496</v>
      </c>
      <c r="AC10" s="31">
        <f t="shared" si="3"/>
        <v>0.10920919700873288</v>
      </c>
      <c r="AD10" s="7">
        <f t="shared" si="4"/>
        <v>7</v>
      </c>
      <c r="AE10" s="2">
        <f t="shared" si="5"/>
        <v>2899.2335455322245</v>
      </c>
      <c r="AF10" s="2">
        <f>(K10+M10+O10)/12</f>
        <v>2720.0134063485725</v>
      </c>
      <c r="AG10" s="8" t="str">
        <f t="shared" si="19"/>
        <v/>
      </c>
      <c r="AH10" s="8"/>
      <c r="AI10" s="47">
        <f t="shared" si="6"/>
        <v>7</v>
      </c>
      <c r="AJ10" s="2">
        <f>AJ9*(1+Parameters!$B$20)</f>
        <v>2759.0979271968004</v>
      </c>
      <c r="AK10" s="2">
        <f>Parameters!$B$21*AJ10</f>
        <v>31039.851680964002</v>
      </c>
      <c r="AL10" s="2">
        <f t="shared" si="20"/>
        <v>204907.43572916399</v>
      </c>
      <c r="AM10" s="2">
        <f>Calculations!$B$5</f>
        <v>2400</v>
      </c>
      <c r="AN10" s="2">
        <f t="shared" si="21"/>
        <v>16800</v>
      </c>
      <c r="AO10" s="2">
        <f t="shared" si="7"/>
        <v>62366.216363687679</v>
      </c>
      <c r="AP10" s="31">
        <f>AO10/Calculations!$B$4/A10</f>
        <v>0.12105243859411428</v>
      </c>
      <c r="AQ10" s="2">
        <f>F10</f>
        <v>44585.516668812474</v>
      </c>
      <c r="AR10" s="31">
        <f>AQ10/Calculations!$B$4/A10</f>
        <v>8.6540210925490052E-2</v>
      </c>
      <c r="AS10" s="31">
        <f t="shared" si="8"/>
        <v>3.4512227668624232E-2</v>
      </c>
      <c r="AT10" s="31"/>
      <c r="AU10" s="2">
        <f>I10*Parameters!$B$22</f>
        <v>22054.764818866177</v>
      </c>
      <c r="AV10" s="2">
        <f>J10*Parameters!$B$23</f>
        <v>7136.9120471654396</v>
      </c>
      <c r="AW10" s="2">
        <f t="shared" si="9"/>
        <v>29191.676866031616</v>
      </c>
      <c r="AX10" s="2">
        <f>AO10-AW10</f>
        <v>33174.539497656064</v>
      </c>
      <c r="AY10" s="31">
        <f>AX10/Calculations!$B$4/A10</f>
        <v>6.4391575111910057E-2</v>
      </c>
      <c r="AZ10" s="31">
        <f t="shared" si="10"/>
        <v>-2.2148635813579995E-2</v>
      </c>
    </row>
    <row r="11" spans="1:52">
      <c r="A11">
        <v>8</v>
      </c>
      <c r="B11" s="3">
        <f>B10*(1+Parameters!$B$14)</f>
        <v>35660.572610046358</v>
      </c>
      <c r="C11" s="2">
        <f t="shared" si="11"/>
        <v>262083.47701190176</v>
      </c>
      <c r="D11" s="2">
        <f>D10*(1+Parameters!$B$4)</f>
        <v>126458.50283562935</v>
      </c>
      <c r="E11" s="2">
        <f t="shared" si="12"/>
        <v>8272.9861668168742</v>
      </c>
      <c r="F11" s="2">
        <f t="shared" si="13"/>
        <v>52858.502835629348</v>
      </c>
      <c r="G11" s="2">
        <f>F11-C11</f>
        <v>-209224.9741762724</v>
      </c>
      <c r="H11" s="31">
        <f>G11/Calculations!$B$4/A11</f>
        <v>-0.35534132842437566</v>
      </c>
      <c r="I11" s="3">
        <f>I10*(1+Parameters!$B$5)</f>
        <v>374931.00192072499</v>
      </c>
      <c r="J11" s="2">
        <f>I11-Parameters!$B$3</f>
        <v>54931.001920724986</v>
      </c>
      <c r="K11" s="2">
        <f>I10*Parameters!$B$6</f>
        <v>5513.6912047165442</v>
      </c>
      <c r="L11" s="2">
        <f t="shared" si="14"/>
        <v>41198.25144054374</v>
      </c>
      <c r="M11" s="2">
        <f>I10*Parameters!$B$7</f>
        <v>7351.5882729553923</v>
      </c>
      <c r="N11" s="2">
        <f t="shared" si="15"/>
        <v>64531.001920724986</v>
      </c>
      <c r="O11" s="2">
        <f>-PMT(Parameters!$B$9/12, 30*12, Parameters!$B$3*(1-Parameters!$B$8)) * 12</f>
        <v>20027.141780426067</v>
      </c>
      <c r="P11" s="2">
        <f t="shared" si="16"/>
        <v>160217.13424340854</v>
      </c>
      <c r="Q11" s="2">
        <f>Parameters!$B$3*(1-Parameters!$B$8)/30</f>
        <v>8533.3333333333339</v>
      </c>
      <c r="R11" s="2">
        <f t="shared" si="0"/>
        <v>11493.808447092733</v>
      </c>
      <c r="S11" s="2">
        <f t="shared" si="17"/>
        <v>91950.467576741852</v>
      </c>
      <c r="T11" s="2">
        <f t="shared" si="1"/>
        <v>-142748.71901728559</v>
      </c>
      <c r="U11" s="31">
        <f>T11/Calculations!$B$4/Table!A11</f>
        <v>-0.24244007985272689</v>
      </c>
      <c r="V11" s="2">
        <f>B11-K11-M11-O11</f>
        <v>2768.1513519483524</v>
      </c>
      <c r="W11" s="2">
        <f>IF(V11&gt;0,V11*Parameters!$B$15,0)</f>
        <v>1384.0756759741762</v>
      </c>
      <c r="X11" s="2">
        <f t="shared" si="18"/>
        <v>3913.1223742513466</v>
      </c>
      <c r="Y11" s="2">
        <f>Y10*(1+Parameters!$B$4)+W11</f>
        <v>4270.3542696565491</v>
      </c>
      <c r="Z11" s="2">
        <f t="shared" si="2"/>
        <v>357.23189540520252</v>
      </c>
      <c r="AA11" s="2">
        <f>T11+Z11</f>
        <v>-142391.4871218804</v>
      </c>
      <c r="AB11" s="31">
        <f>AA11/Calculations!$B$4/A11</f>
        <v>-0.24183336807384578</v>
      </c>
      <c r="AC11" s="31">
        <f t="shared" si="3"/>
        <v>0.11350796035052987</v>
      </c>
      <c r="AD11" s="7">
        <f t="shared" si="4"/>
        <v>8</v>
      </c>
      <c r="AE11" s="2">
        <f t="shared" si="5"/>
        <v>2971.7143841705297</v>
      </c>
      <c r="AF11" s="2">
        <f>(K11+M11+O11)/12</f>
        <v>2741.0351048415</v>
      </c>
      <c r="AG11" s="8" t="str">
        <f t="shared" si="19"/>
        <v/>
      </c>
      <c r="AH11" s="8"/>
      <c r="AI11" s="47">
        <f t="shared" si="6"/>
        <v>8</v>
      </c>
      <c r="AJ11" s="2">
        <f>AJ10*(1+Parameters!$B$20)</f>
        <v>2814.2798857407365</v>
      </c>
      <c r="AK11" s="2">
        <f>Parameters!$B$21*AJ11</f>
        <v>31660.648714583287</v>
      </c>
      <c r="AL11" s="2">
        <f t="shared" si="20"/>
        <v>236568.08444374727</v>
      </c>
      <c r="AM11" s="2">
        <f>Calculations!$B$5</f>
        <v>2400</v>
      </c>
      <c r="AN11" s="2">
        <f t="shared" si="21"/>
        <v>19200</v>
      </c>
      <c r="AO11" s="2">
        <f t="shared" si="7"/>
        <v>74619.365426461678</v>
      </c>
      <c r="AP11" s="31">
        <f>AO11/Calculations!$B$4/A11</f>
        <v>0.12673125921613737</v>
      </c>
      <c r="AQ11" s="2">
        <f>F11</f>
        <v>52858.502835629348</v>
      </c>
      <c r="AR11" s="31">
        <f>AQ11/Calculations!$B$4/A11</f>
        <v>8.9773272478990057E-2</v>
      </c>
      <c r="AS11" s="31">
        <f t="shared" si="8"/>
        <v>3.6957986737147314E-2</v>
      </c>
      <c r="AT11" s="31"/>
      <c r="AU11" s="2">
        <f>I11*Parameters!$B$22</f>
        <v>22495.860115243497</v>
      </c>
      <c r="AV11" s="2">
        <f>J11*Parameters!$B$23</f>
        <v>8239.6502881087472</v>
      </c>
      <c r="AW11" s="2">
        <f t="shared" si="9"/>
        <v>30735.510403352244</v>
      </c>
      <c r="AX11" s="2">
        <f>AO11-AW11</f>
        <v>43883.855023109434</v>
      </c>
      <c r="AY11" s="31">
        <f>AX11/Calculations!$B$4/A11</f>
        <v>7.4531003775661409E-2</v>
      </c>
      <c r="AZ11" s="31">
        <f t="shared" si="10"/>
        <v>-1.5242268703328649E-2</v>
      </c>
    </row>
    <row r="12" spans="1:52">
      <c r="A12">
        <v>9</v>
      </c>
      <c r="B12" s="3">
        <f>B11*(1+Parameters!$B$14)</f>
        <v>36552.086925297517</v>
      </c>
      <c r="C12" s="2">
        <f t="shared" si="11"/>
        <v>298635.5639371993</v>
      </c>
      <c r="D12" s="2">
        <f>D11*(1+Parameters!$B$4)</f>
        <v>135310.59803412342</v>
      </c>
      <c r="E12" s="2">
        <f t="shared" si="12"/>
        <v>8852.0951984940766</v>
      </c>
      <c r="F12" s="2">
        <f t="shared" si="13"/>
        <v>61710.598034123424</v>
      </c>
      <c r="G12" s="2">
        <f>F12-C12</f>
        <v>-236924.96590307588</v>
      </c>
      <c r="H12" s="31">
        <f>G12/Calculations!$B$4/A12</f>
        <v>-0.35767657895995758</v>
      </c>
      <c r="I12" s="3">
        <f>I11*(1+Parameters!$B$5)</f>
        <v>382429.62195913948</v>
      </c>
      <c r="J12" s="2">
        <f>I12-Parameters!$B$3</f>
        <v>62429.621959139477</v>
      </c>
      <c r="K12" s="2">
        <f>I11*Parameters!$B$6</f>
        <v>5623.9650288108742</v>
      </c>
      <c r="L12" s="2">
        <f t="shared" si="14"/>
        <v>46822.216469354615</v>
      </c>
      <c r="M12" s="2">
        <f>I11*Parameters!$B$7</f>
        <v>7498.6200384144995</v>
      </c>
      <c r="N12" s="2">
        <f t="shared" si="15"/>
        <v>72029.621959139491</v>
      </c>
      <c r="O12" s="2">
        <f>-PMT(Parameters!$B$9/12, 30*12, Parameters!$B$3*(1-Parameters!$B$8)) * 12</f>
        <v>20027.141780426067</v>
      </c>
      <c r="P12" s="2">
        <f t="shared" si="16"/>
        <v>180244.27602383459</v>
      </c>
      <c r="Q12" s="2">
        <f>Parameters!$B$3*(1-Parameters!$B$8)/30</f>
        <v>8533.3333333333339</v>
      </c>
      <c r="R12" s="2">
        <f t="shared" si="0"/>
        <v>11493.808447092733</v>
      </c>
      <c r="S12" s="2">
        <f t="shared" si="17"/>
        <v>103444.27602383458</v>
      </c>
      <c r="T12" s="2">
        <f t="shared" si="1"/>
        <v>-159866.4924931892</v>
      </c>
      <c r="U12" s="31">
        <f>T12/Calculations!$B$4/Table!A12</f>
        <v>-0.24134434253198853</v>
      </c>
      <c r="V12" s="2">
        <f>B12-K12-M12-O12</f>
        <v>3402.3600776460771</v>
      </c>
      <c r="W12" s="2">
        <f>IF(V12&gt;0,V12*Parameters!$B$15,0)</f>
        <v>1701.1800388230386</v>
      </c>
      <c r="X12" s="2">
        <f t="shared" si="18"/>
        <v>5614.3024130743852</v>
      </c>
      <c r="Y12" s="2">
        <f>Y11*(1+Parameters!$B$4)+W12</f>
        <v>6270.4591073555466</v>
      </c>
      <c r="Z12" s="2">
        <f t="shared" si="2"/>
        <v>656.15669428116144</v>
      </c>
      <c r="AA12" s="2">
        <f>T12+Z12</f>
        <v>-159210.33579890805</v>
      </c>
      <c r="AB12" s="31">
        <f>AA12/Calculations!$B$4/A12</f>
        <v>-0.2403537678123612</v>
      </c>
      <c r="AC12" s="31">
        <f t="shared" si="3"/>
        <v>0.11732281114759638</v>
      </c>
      <c r="AD12" s="7">
        <f t="shared" si="4"/>
        <v>9</v>
      </c>
      <c r="AE12" s="2">
        <f t="shared" si="5"/>
        <v>3046.0072437747931</v>
      </c>
      <c r="AF12" s="2">
        <f>(K12+M12+O12)/12</f>
        <v>2762.477237304287</v>
      </c>
      <c r="AG12" s="8" t="str">
        <f t="shared" si="19"/>
        <v/>
      </c>
      <c r="AH12" s="8"/>
      <c r="AI12" s="47">
        <f t="shared" si="6"/>
        <v>9</v>
      </c>
      <c r="AJ12" s="2">
        <f>AJ11*(1+Parameters!$B$20)</f>
        <v>2870.5654834555512</v>
      </c>
      <c r="AK12" s="2">
        <f>Parameters!$B$21*AJ12</f>
        <v>32293.861688874949</v>
      </c>
      <c r="AL12" s="2">
        <f t="shared" si="20"/>
        <v>268861.94613262219</v>
      </c>
      <c r="AM12" s="2">
        <f>Calculations!$B$5</f>
        <v>2400</v>
      </c>
      <c r="AN12" s="2">
        <f t="shared" si="21"/>
        <v>21600</v>
      </c>
      <c r="AO12" s="2">
        <f t="shared" si="7"/>
        <v>87395.453639432992</v>
      </c>
      <c r="AP12" s="31">
        <f>AO12/Calculations!$B$4/A12</f>
        <v>0.13193758097740488</v>
      </c>
      <c r="AQ12" s="2">
        <f>F12</f>
        <v>61710.598034123424</v>
      </c>
      <c r="AR12" s="31">
        <f>AQ12/Calculations!$B$4/A12</f>
        <v>9.3162134713350581E-2</v>
      </c>
      <c r="AS12" s="31">
        <f t="shared" si="8"/>
        <v>3.8775446264054297E-2</v>
      </c>
      <c r="AT12" s="31"/>
      <c r="AU12" s="2">
        <f>I12*Parameters!$B$22</f>
        <v>22945.777317548367</v>
      </c>
      <c r="AV12" s="2">
        <f>J12*Parameters!$B$23</f>
        <v>9364.4432938709215</v>
      </c>
      <c r="AW12" s="2">
        <f t="shared" si="9"/>
        <v>32310.220611419289</v>
      </c>
      <c r="AX12" s="2">
        <f>AO12-AW12</f>
        <v>55085.233028013703</v>
      </c>
      <c r="AY12" s="31">
        <f>AX12/Calculations!$B$4/A12</f>
        <v>8.3160074015721175E-2</v>
      </c>
      <c r="AZ12" s="31">
        <f t="shared" si="10"/>
        <v>-1.0002060697629406E-2</v>
      </c>
    </row>
    <row r="13" spans="1:52">
      <c r="A13">
        <v>10</v>
      </c>
      <c r="B13" s="3">
        <f>B12*(1+Parameters!$B$14)</f>
        <v>37465.889098429951</v>
      </c>
      <c r="C13" s="2">
        <f t="shared" si="11"/>
        <v>336101.45303562924</v>
      </c>
      <c r="D13" s="2">
        <f>D12*(1+Parameters!$B$4)</f>
        <v>144782.33989651207</v>
      </c>
      <c r="E13" s="2">
        <f t="shared" si="12"/>
        <v>9471.7418623886479</v>
      </c>
      <c r="F13" s="2">
        <f t="shared" si="13"/>
        <v>71182.339896512072</v>
      </c>
      <c r="G13" s="2">
        <f>F13-C13</f>
        <v>-264919.11313911714</v>
      </c>
      <c r="H13" s="31">
        <f>G13/Calculations!$B$4/A13</f>
        <v>-0.35994444719988744</v>
      </c>
      <c r="I13" s="3">
        <f>I12*(1+Parameters!$B$5)</f>
        <v>390078.21439832228</v>
      </c>
      <c r="J13" s="2">
        <f>I13-Parameters!$B$3</f>
        <v>70078.214398322278</v>
      </c>
      <c r="K13" s="2">
        <f>I12*Parameters!$B$6</f>
        <v>5736.4443293870918</v>
      </c>
      <c r="L13" s="2">
        <f t="shared" si="14"/>
        <v>52558.660798741708</v>
      </c>
      <c r="M13" s="2">
        <f>I12*Parameters!$B$7</f>
        <v>7648.5924391827893</v>
      </c>
      <c r="N13" s="2">
        <f t="shared" si="15"/>
        <v>79678.214398322278</v>
      </c>
      <c r="O13" s="2">
        <f>-PMT(Parameters!$B$9/12, 30*12, Parameters!$B$3*(1-Parameters!$B$8)) * 12</f>
        <v>20027.141780426067</v>
      </c>
      <c r="P13" s="2">
        <f t="shared" si="16"/>
        <v>200271.41780426065</v>
      </c>
      <c r="Q13" s="2">
        <f>Parameters!$B$3*(1-Parameters!$B$8)/30</f>
        <v>8533.3333333333339</v>
      </c>
      <c r="R13" s="2">
        <f t="shared" si="0"/>
        <v>11493.808447092733</v>
      </c>
      <c r="S13" s="2">
        <f t="shared" si="17"/>
        <v>114938.08447092731</v>
      </c>
      <c r="T13" s="2">
        <f t="shared" si="1"/>
        <v>-177096.74526966902</v>
      </c>
      <c r="U13" s="31">
        <f>T13/Calculations!$B$4/Table!A13</f>
        <v>-0.24062057781205032</v>
      </c>
      <c r="V13" s="2">
        <f>B13-K13-M13-O13</f>
        <v>4053.7105494339994</v>
      </c>
      <c r="W13" s="2">
        <f>IF(V13&gt;0,V13*Parameters!$B$15,0)</f>
        <v>2026.8552747169997</v>
      </c>
      <c r="X13" s="2">
        <f t="shared" si="18"/>
        <v>7641.1576877913849</v>
      </c>
      <c r="Y13" s="2">
        <f>Y12*(1+Parameters!$B$4)+W13</f>
        <v>8736.2465195874356</v>
      </c>
      <c r="Z13" s="2">
        <f t="shared" si="2"/>
        <v>1095.0888317960507</v>
      </c>
      <c r="AA13" s="2">
        <f>T13+Z13</f>
        <v>-176001.65643787297</v>
      </c>
      <c r="AB13" s="31">
        <f>AA13/Calculations!$B$4/A13</f>
        <v>-0.23913268537754478</v>
      </c>
      <c r="AC13" s="31">
        <f t="shared" si="3"/>
        <v>0.12081176182234266</v>
      </c>
      <c r="AD13" s="7">
        <f t="shared" si="4"/>
        <v>10</v>
      </c>
      <c r="AE13" s="2">
        <f t="shared" si="5"/>
        <v>3122.1574248691627</v>
      </c>
      <c r="AF13" s="2">
        <f>(K13+M13+O13)/12</f>
        <v>2784.3482124163288</v>
      </c>
      <c r="AG13" s="8" t="str">
        <f t="shared" si="19"/>
        <v/>
      </c>
      <c r="AH13" s="8"/>
      <c r="AI13" s="47">
        <f t="shared" si="6"/>
        <v>10</v>
      </c>
      <c r="AJ13" s="2">
        <f>AJ12*(1+Parameters!$B$20)</f>
        <v>2927.9767931246624</v>
      </c>
      <c r="AK13" s="2">
        <f>Parameters!$B$21*AJ13</f>
        <v>32939.738922652454</v>
      </c>
      <c r="AL13" s="2">
        <f t="shared" si="20"/>
        <v>301801.68505527463</v>
      </c>
      <c r="AM13" s="2">
        <f>Calculations!$B$5</f>
        <v>2400</v>
      </c>
      <c r="AN13" s="2">
        <f t="shared" si="21"/>
        <v>24000</v>
      </c>
      <c r="AO13" s="2">
        <f t="shared" si="7"/>
        <v>100704.93978560562</v>
      </c>
      <c r="AP13" s="31">
        <f>AO13/Calculations!$B$4/A13</f>
        <v>0.13682736383913807</v>
      </c>
      <c r="AQ13" s="2">
        <f>F13</f>
        <v>71182.339896512072</v>
      </c>
      <c r="AR13" s="31">
        <f>AQ13/Calculations!$B$4/A13</f>
        <v>9.6715135728956625E-2</v>
      </c>
      <c r="AS13" s="31">
        <f t="shared" si="8"/>
        <v>4.0112228110181447E-2</v>
      </c>
      <c r="AT13" s="31"/>
      <c r="AU13" s="2">
        <f>I13*Parameters!$B$22</f>
        <v>23404.692863899334</v>
      </c>
      <c r="AV13" s="2">
        <f>J13*Parameters!$B$23</f>
        <v>10511.732159748341</v>
      </c>
      <c r="AW13" s="2">
        <f t="shared" si="9"/>
        <v>33916.425023647673</v>
      </c>
      <c r="AX13" s="2">
        <f>AO13-AW13</f>
        <v>66788.514761957951</v>
      </c>
      <c r="AY13" s="31">
        <f>AX13/Calculations!$B$4/A13</f>
        <v>9.0745264622225472E-2</v>
      </c>
      <c r="AZ13" s="31">
        <f t="shared" si="10"/>
        <v>-5.9698711067311533E-3</v>
      </c>
    </row>
    <row r="14" spans="1:52">
      <c r="A14">
        <v>11</v>
      </c>
      <c r="B14" s="3">
        <f>B13*(1+Parameters!$B$14)</f>
        <v>38402.536325890695</v>
      </c>
      <c r="C14" s="2">
        <f t="shared" si="11"/>
        <v>374503.98936151993</v>
      </c>
      <c r="D14" s="2">
        <f>D13*(1+Parameters!$B$4)</f>
        <v>154917.10368926794</v>
      </c>
      <c r="E14" s="2">
        <f t="shared" si="12"/>
        <v>10134.763792755868</v>
      </c>
      <c r="F14" s="2">
        <f t="shared" si="13"/>
        <v>81317.10368926794</v>
      </c>
      <c r="G14" s="2">
        <f>F14-C14</f>
        <v>-293186.88567225198</v>
      </c>
      <c r="H14" s="31">
        <f>G14/Calculations!$B$4/A14</f>
        <v>-0.36213795167027168</v>
      </c>
      <c r="I14" s="3">
        <f>I13*(1+Parameters!$B$5)</f>
        <v>397879.77868628874</v>
      </c>
      <c r="J14" s="2">
        <f>I14-Parameters!$B$3</f>
        <v>77879.778686288744</v>
      </c>
      <c r="K14" s="2">
        <f>I13*Parameters!$B$6</f>
        <v>5851.1732159748335</v>
      </c>
      <c r="L14" s="2">
        <f t="shared" si="14"/>
        <v>58409.834014716544</v>
      </c>
      <c r="M14" s="2">
        <f>I13*Parameters!$B$7</f>
        <v>7801.5642879664456</v>
      </c>
      <c r="N14" s="2">
        <f t="shared" si="15"/>
        <v>87479.77868628873</v>
      </c>
      <c r="O14" s="2">
        <f>-PMT(Parameters!$B$9/12, 30*12, Parameters!$B$3*(1-Parameters!$B$8)) * 12</f>
        <v>20027.141780426067</v>
      </c>
      <c r="P14" s="2">
        <f t="shared" si="16"/>
        <v>220298.55958468671</v>
      </c>
      <c r="Q14" s="2">
        <f>Parameters!$B$3*(1-Parameters!$B$8)/30</f>
        <v>8533.3333333333339</v>
      </c>
      <c r="R14" s="2">
        <f t="shared" si="0"/>
        <v>11493.808447092733</v>
      </c>
      <c r="S14" s="2">
        <f t="shared" si="17"/>
        <v>126431.89291802004</v>
      </c>
      <c r="T14" s="2">
        <f t="shared" si="1"/>
        <v>-194441.72693273658</v>
      </c>
      <c r="U14" s="31">
        <f>T14/Calculations!$B$4/Table!A14</f>
        <v>-0.24017011725881493</v>
      </c>
      <c r="V14" s="2">
        <f>B14-K14-M14-O14</f>
        <v>4722.6570415233473</v>
      </c>
      <c r="W14" s="2">
        <f>IF(V14&gt;0,V14*Parameters!$B$15,0)</f>
        <v>2361.3285207616736</v>
      </c>
      <c r="X14" s="2">
        <f t="shared" si="18"/>
        <v>10002.486208553059</v>
      </c>
      <c r="Y14" s="2">
        <f>Y13*(1+Parameters!$B$4)+W14</f>
        <v>11709.11229672023</v>
      </c>
      <c r="Z14" s="2">
        <f t="shared" si="2"/>
        <v>1706.6260881671715</v>
      </c>
      <c r="AA14" s="2">
        <f>T14+Z14</f>
        <v>-192735.10084456942</v>
      </c>
      <c r="AB14" s="31">
        <f>AA14/Calculations!$B$4/A14</f>
        <v>-0.2380621304898338</v>
      </c>
      <c r="AC14" s="31">
        <f t="shared" si="3"/>
        <v>0.12407582118043789</v>
      </c>
      <c r="AD14" s="7">
        <f t="shared" si="4"/>
        <v>11</v>
      </c>
      <c r="AE14" s="2">
        <f t="shared" si="5"/>
        <v>3200.2113604908914</v>
      </c>
      <c r="AF14" s="2">
        <f>(K14+M14+O14)/12</f>
        <v>2806.6566070306121</v>
      </c>
      <c r="AG14" s="8" t="str">
        <f t="shared" si="19"/>
        <v/>
      </c>
      <c r="AH14" s="8"/>
      <c r="AI14" s="47">
        <f t="shared" si="6"/>
        <v>11</v>
      </c>
      <c r="AJ14" s="2">
        <f>AJ13*(1+Parameters!$B$20)</f>
        <v>2986.5363289871557</v>
      </c>
      <c r="AK14" s="2">
        <f>Parameters!$B$21*AJ14</f>
        <v>33598.533701105502</v>
      </c>
      <c r="AL14" s="2">
        <f t="shared" si="20"/>
        <v>335400.21875638014</v>
      </c>
      <c r="AM14" s="2">
        <f>Calculations!$B$5</f>
        <v>2400</v>
      </c>
      <c r="AN14" s="2">
        <f t="shared" si="21"/>
        <v>26400</v>
      </c>
      <c r="AO14" s="2">
        <f t="shared" si="7"/>
        <v>114558.49182364356</v>
      </c>
      <c r="AP14" s="31">
        <f>AO14/Calculations!$B$4/A14</f>
        <v>0.14150011341853205</v>
      </c>
      <c r="AQ14" s="2">
        <f>F14</f>
        <v>81317.10368926794</v>
      </c>
      <c r="AR14" s="31">
        <f>AQ14/Calculations!$B$4/A14</f>
        <v>0.10044108657271238</v>
      </c>
      <c r="AS14" s="31">
        <f t="shared" si="8"/>
        <v>4.1059026845819677E-2</v>
      </c>
      <c r="AT14" s="31"/>
      <c r="AU14" s="2">
        <f>I14*Parameters!$B$22</f>
        <v>23872.786721177323</v>
      </c>
      <c r="AV14" s="2">
        <f>J14*Parameters!$B$23</f>
        <v>11681.966802943311</v>
      </c>
      <c r="AW14" s="2">
        <f t="shared" si="9"/>
        <v>35554.753524120635</v>
      </c>
      <c r="AX14" s="2">
        <f>AO14-AW14</f>
        <v>79003.738299522927</v>
      </c>
      <c r="AY14" s="31">
        <f>AX14/Calculations!$B$4/A14</f>
        <v>9.7583668848224961E-2</v>
      </c>
      <c r="AZ14" s="31">
        <f t="shared" si="10"/>
        <v>-2.8574177244874155E-3</v>
      </c>
    </row>
    <row r="15" spans="1:52">
      <c r="A15">
        <v>12</v>
      </c>
      <c r="B15" s="3">
        <f>B14*(1+Parameters!$B$14)</f>
        <v>39362.599734037962</v>
      </c>
      <c r="C15" s="2">
        <f t="shared" si="11"/>
        <v>413866.58909555787</v>
      </c>
      <c r="D15" s="2">
        <f>D14*(1+Parameters!$B$4)</f>
        <v>165761.30094751672</v>
      </c>
      <c r="E15" s="2">
        <f t="shared" si="12"/>
        <v>10844.19725824878</v>
      </c>
      <c r="F15" s="2">
        <f t="shared" si="13"/>
        <v>92161.30094751672</v>
      </c>
      <c r="G15" s="2">
        <f>F15-C15</f>
        <v>-321705.28814804112</v>
      </c>
      <c r="H15" s="31">
        <f>G15/Calculations!$B$4/A15</f>
        <v>-0.36424964690674949</v>
      </c>
      <c r="I15" s="3">
        <f>I14*(1+Parameters!$B$5)</f>
        <v>405837.37426001451</v>
      </c>
      <c r="J15" s="2">
        <f>I15-Parameters!$B$3</f>
        <v>85837.374260014505</v>
      </c>
      <c r="K15" s="2">
        <f>I14*Parameters!$B$6</f>
        <v>5968.1966802943307</v>
      </c>
      <c r="L15" s="2">
        <f t="shared" si="14"/>
        <v>64378.030695010872</v>
      </c>
      <c r="M15" s="2">
        <f>I14*Parameters!$B$7</f>
        <v>7957.5955737257755</v>
      </c>
      <c r="N15" s="2">
        <f t="shared" si="15"/>
        <v>95437.374260014505</v>
      </c>
      <c r="O15" s="2">
        <f>-PMT(Parameters!$B$9/12, 30*12, Parameters!$B$3*(1-Parameters!$B$8)) * 12</f>
        <v>20027.141780426067</v>
      </c>
      <c r="P15" s="2">
        <f t="shared" si="16"/>
        <v>240325.70136511276</v>
      </c>
      <c r="Q15" s="2">
        <f>Parameters!$B$3*(1-Parameters!$B$8)/30</f>
        <v>8533.3333333333339</v>
      </c>
      <c r="R15" s="2">
        <f t="shared" si="0"/>
        <v>11493.808447092733</v>
      </c>
      <c r="S15" s="2">
        <f t="shared" si="17"/>
        <v>137925.70136511276</v>
      </c>
      <c r="T15" s="2">
        <f t="shared" si="1"/>
        <v>-211903.73206012364</v>
      </c>
      <c r="U15" s="31">
        <f>T15/Calculations!$B$4/Table!A15</f>
        <v>-0.23992723285792986</v>
      </c>
      <c r="V15" s="2">
        <f>B15-K15-M15-O15</f>
        <v>5409.6656995917911</v>
      </c>
      <c r="W15" s="2">
        <f>IF(V15&gt;0,V15*Parameters!$B$15,0)</f>
        <v>2704.8328497958955</v>
      </c>
      <c r="X15" s="2">
        <f t="shared" si="18"/>
        <v>12707.319058348954</v>
      </c>
      <c r="Y15" s="2">
        <f>Y14*(1+Parameters!$B$4)+W15</f>
        <v>15233.583007286543</v>
      </c>
      <c r="Z15" s="2">
        <f t="shared" si="2"/>
        <v>2526.2639489375888</v>
      </c>
      <c r="AA15" s="2">
        <f>T15+Z15</f>
        <v>-209377.46811118606</v>
      </c>
      <c r="AB15" s="31">
        <f>AA15/Calculations!$B$4/A15</f>
        <v>-0.23706687965487552</v>
      </c>
      <c r="AC15" s="31">
        <f t="shared" si="3"/>
        <v>0.12718276725187397</v>
      </c>
      <c r="AD15" s="7">
        <f t="shared" si="4"/>
        <v>12</v>
      </c>
      <c r="AE15" s="2">
        <f t="shared" si="5"/>
        <v>3280.2166445031635</v>
      </c>
      <c r="AF15" s="2">
        <f>(K15+M15+O15)/12</f>
        <v>2829.4111695371812</v>
      </c>
      <c r="AG15" s="8" t="str">
        <f t="shared" si="19"/>
        <v/>
      </c>
      <c r="AH15" s="8"/>
      <c r="AI15" s="47">
        <f t="shared" si="6"/>
        <v>12</v>
      </c>
      <c r="AJ15" s="2">
        <f>AJ14*(1+Parameters!$B$20)</f>
        <v>3046.2670555668988</v>
      </c>
      <c r="AK15" s="2">
        <f>Parameters!$B$21*AJ15</f>
        <v>34270.50437512761</v>
      </c>
      <c r="AL15" s="2">
        <f t="shared" si="20"/>
        <v>369670.72313150775</v>
      </c>
      <c r="AM15" s="2">
        <f>Calculations!$B$5</f>
        <v>2400</v>
      </c>
      <c r="AN15" s="2">
        <f t="shared" si="21"/>
        <v>28800</v>
      </c>
      <c r="AO15" s="2">
        <f t="shared" si="7"/>
        <v>128966.99107138411</v>
      </c>
      <c r="AP15" s="31">
        <f>AO15/Calculations!$B$4/A15</f>
        <v>0.14602240836886787</v>
      </c>
      <c r="AQ15" s="2">
        <f>F15</f>
        <v>92161.30094751672</v>
      </c>
      <c r="AR15" s="31">
        <f>AQ15/Calculations!$B$4/A15</f>
        <v>0.10434929908006875</v>
      </c>
      <c r="AS15" s="31">
        <f t="shared" si="8"/>
        <v>4.1673109288799123E-2</v>
      </c>
      <c r="AT15" s="31"/>
      <c r="AU15" s="2">
        <f>I15*Parameters!$B$22</f>
        <v>24350.24245560087</v>
      </c>
      <c r="AV15" s="2">
        <f>J15*Parameters!$B$23</f>
        <v>12875.606139002175</v>
      </c>
      <c r="AW15" s="2">
        <f t="shared" si="9"/>
        <v>37225.848594603041</v>
      </c>
      <c r="AX15" s="2">
        <f>AO15-AW15</f>
        <v>91741.142476781068</v>
      </c>
      <c r="AY15" s="31">
        <f>AX15/Calculations!$B$4/A15</f>
        <v>0.1038735761738916</v>
      </c>
      <c r="AZ15" s="31">
        <f t="shared" si="10"/>
        <v>-4.7572290617714508E-4</v>
      </c>
    </row>
    <row r="16" spans="1:52">
      <c r="A16">
        <v>13</v>
      </c>
      <c r="B16" s="3">
        <f>B15*(1+Parameters!$B$14)</f>
        <v>40346.66472738891</v>
      </c>
      <c r="C16" s="2">
        <f t="shared" si="11"/>
        <v>454213.2538229468</v>
      </c>
      <c r="D16" s="2">
        <f>D15*(1+Parameters!$B$4)</f>
        <v>177364.59201384289</v>
      </c>
      <c r="E16" s="2">
        <f t="shared" si="12"/>
        <v>11603.291066326172</v>
      </c>
      <c r="F16" s="2">
        <f t="shared" si="13"/>
        <v>103764.59201384289</v>
      </c>
      <c r="G16" s="2">
        <f>F16-C16</f>
        <v>-350448.66180910391</v>
      </c>
      <c r="H16" s="31">
        <f>G16/Calculations!$B$4/A16</f>
        <v>-0.36627159470015042</v>
      </c>
      <c r="I16" s="3">
        <f>I15*(1+Parameters!$B$5)</f>
        <v>413954.1217452148</v>
      </c>
      <c r="J16" s="2">
        <f>I16-Parameters!$B$3</f>
        <v>93954.121745214798</v>
      </c>
      <c r="K16" s="2">
        <f>I15*Parameters!$B$6</f>
        <v>6087.5606139002175</v>
      </c>
      <c r="L16" s="2">
        <f t="shared" si="14"/>
        <v>70465.591308911084</v>
      </c>
      <c r="M16" s="2">
        <f>I15*Parameters!$B$7</f>
        <v>8116.7474852002906</v>
      </c>
      <c r="N16" s="2">
        <f t="shared" si="15"/>
        <v>103554.1217452148</v>
      </c>
      <c r="O16" s="2">
        <f>-PMT(Parameters!$B$9/12, 30*12, Parameters!$B$3*(1-Parameters!$B$8)) * 12</f>
        <v>20027.141780426067</v>
      </c>
      <c r="P16" s="2">
        <f t="shared" si="16"/>
        <v>260352.84314553882</v>
      </c>
      <c r="Q16" s="2">
        <f>Parameters!$B$3*(1-Parameters!$B$8)/30</f>
        <v>8533.3333333333339</v>
      </c>
      <c r="R16" s="2">
        <f t="shared" si="0"/>
        <v>11493.808447092733</v>
      </c>
      <c r="S16" s="2">
        <f t="shared" si="17"/>
        <v>149419.50981220551</v>
      </c>
      <c r="T16" s="2">
        <f t="shared" si="1"/>
        <v>-229485.1011211166</v>
      </c>
      <c r="U16" s="31">
        <f>T16/Calculations!$B$4/Table!A16</f>
        <v>-0.23984646856303993</v>
      </c>
      <c r="V16" s="2">
        <f>B16-K16-M16-O16</f>
        <v>6115.2148478623312</v>
      </c>
      <c r="W16" s="2">
        <f>IF(V16&gt;0,V16*Parameters!$B$15,0)</f>
        <v>3057.6074239311656</v>
      </c>
      <c r="X16" s="2">
        <f t="shared" si="18"/>
        <v>15764.92648228012</v>
      </c>
      <c r="Y16" s="2">
        <f>Y15*(1+Parameters!$B$4)+W16</f>
        <v>19357.541241727769</v>
      </c>
      <c r="Z16" s="2">
        <f t="shared" si="2"/>
        <v>3592.6147594476497</v>
      </c>
      <c r="AA16" s="2">
        <f>T16+Z16</f>
        <v>-225892.48636166897</v>
      </c>
      <c r="AB16" s="31">
        <f>AA16/Calculations!$B$4/A16</f>
        <v>-0.23609164544488814</v>
      </c>
      <c r="AC16" s="31">
        <f t="shared" si="3"/>
        <v>0.13017994925526227</v>
      </c>
      <c r="AD16" s="7">
        <f t="shared" si="4"/>
        <v>13</v>
      </c>
      <c r="AE16" s="2">
        <f t="shared" si="5"/>
        <v>3362.2220606157425</v>
      </c>
      <c r="AF16" s="2">
        <f>(K16+M16+O16)/12</f>
        <v>2852.6208232938811</v>
      </c>
      <c r="AG16" s="8" t="str">
        <f t="shared" si="19"/>
        <v/>
      </c>
      <c r="AH16" s="8"/>
      <c r="AI16" s="47">
        <f t="shared" si="6"/>
        <v>13</v>
      </c>
      <c r="AJ16" s="2">
        <f>AJ15*(1+Parameters!$B$20)</f>
        <v>3107.1923966782369</v>
      </c>
      <c r="AK16" s="2">
        <f>Parameters!$B$21*AJ16</f>
        <v>34955.914462630164</v>
      </c>
      <c r="AL16" s="2">
        <f t="shared" si="20"/>
        <v>404626.63759413792</v>
      </c>
      <c r="AM16" s="2">
        <f>Calculations!$B$5</f>
        <v>2400</v>
      </c>
      <c r="AN16" s="2">
        <f t="shared" si="21"/>
        <v>31200</v>
      </c>
      <c r="AO16" s="2">
        <f t="shared" si="7"/>
        <v>143941.53647302132</v>
      </c>
      <c r="AP16" s="31">
        <f>AO16/Calculations!$B$4/A16</f>
        <v>0.15044056905625139</v>
      </c>
      <c r="AQ16" s="2">
        <f>F16</f>
        <v>103764.59201384289</v>
      </c>
      <c r="AR16" s="31">
        <f>AQ16/Calculations!$B$4/A16</f>
        <v>0.10844961539908328</v>
      </c>
      <c r="AS16" s="31">
        <f t="shared" si="8"/>
        <v>4.1990953657168109E-2</v>
      </c>
      <c r="AT16" s="31"/>
      <c r="AU16" s="2">
        <f>I16*Parameters!$B$22</f>
        <v>24837.247304712888</v>
      </c>
      <c r="AV16" s="2">
        <f>J16*Parameters!$B$23</f>
        <v>14093.11826178222</v>
      </c>
      <c r="AW16" s="2">
        <f t="shared" si="9"/>
        <v>38930.365566495107</v>
      </c>
      <c r="AX16" s="2">
        <f>AO16-AW16</f>
        <v>105011.17090652621</v>
      </c>
      <c r="AY16" s="31">
        <f>AX16/Calculations!$B$4/A16</f>
        <v>0.10975247795414529</v>
      </c>
      <c r="AZ16" s="31">
        <f t="shared" si="10"/>
        <v>1.3028625550620121E-3</v>
      </c>
    </row>
    <row r="17" spans="1:52">
      <c r="A17">
        <v>14</v>
      </c>
      <c r="B17" s="3">
        <f>B16*(1+Parameters!$B$14)</f>
        <v>41355.331345573628</v>
      </c>
      <c r="C17" s="2">
        <f t="shared" si="11"/>
        <v>495568.58516852045</v>
      </c>
      <c r="D17" s="2">
        <f>D16*(1+Parameters!$B$4)</f>
        <v>189780.11345481192</v>
      </c>
      <c r="E17" s="2">
        <f t="shared" si="12"/>
        <v>12415.521440969023</v>
      </c>
      <c r="F17" s="2">
        <f t="shared" si="13"/>
        <v>116180.11345481192</v>
      </c>
      <c r="G17" s="2">
        <f>F17-C17</f>
        <v>-379388.47171370854</v>
      </c>
      <c r="H17" s="31">
        <f>G17/Calculations!$B$4/A17</f>
        <v>-0.3681953335730867</v>
      </c>
      <c r="I17" s="3">
        <f>I16*(1+Parameters!$B$5)</f>
        <v>422233.20418011909</v>
      </c>
      <c r="J17" s="2">
        <f>I17-Parameters!$B$3</f>
        <v>102233.20418011909</v>
      </c>
      <c r="K17" s="2">
        <f>I16*Parameters!$B$6</f>
        <v>6209.311826178222</v>
      </c>
      <c r="L17" s="2">
        <f t="shared" si="14"/>
        <v>76674.903135089306</v>
      </c>
      <c r="M17" s="2">
        <f>I16*Parameters!$B$7</f>
        <v>8279.082434904296</v>
      </c>
      <c r="N17" s="2">
        <f t="shared" si="15"/>
        <v>111833.20418011909</v>
      </c>
      <c r="O17" s="2">
        <f>-PMT(Parameters!$B$9/12, 30*12, Parameters!$B$3*(1-Parameters!$B$8)) * 12</f>
        <v>20027.141780426067</v>
      </c>
      <c r="P17" s="2">
        <f t="shared" si="16"/>
        <v>280379.98492596491</v>
      </c>
      <c r="Q17" s="2">
        <f>Parameters!$B$3*(1-Parameters!$B$8)/30</f>
        <v>8533.3333333333339</v>
      </c>
      <c r="R17" s="2">
        <f t="shared" si="0"/>
        <v>11493.808447092733</v>
      </c>
      <c r="S17" s="2">
        <f t="shared" si="17"/>
        <v>160913.31825929825</v>
      </c>
      <c r="T17" s="2">
        <f t="shared" si="1"/>
        <v>-247188.22139438754</v>
      </c>
      <c r="U17" s="31">
        <f>T17/Calculations!$B$4/Table!A17</f>
        <v>-0.23989540119796926</v>
      </c>
      <c r="V17" s="2">
        <f>B17-K17-M17-O17</f>
        <v>6839.7953040650427</v>
      </c>
      <c r="W17" s="2">
        <f>IF(V17&gt;0,V17*Parameters!$B$15,0)</f>
        <v>3419.8976520325214</v>
      </c>
      <c r="X17" s="2">
        <f t="shared" si="18"/>
        <v>19184.824134312643</v>
      </c>
      <c r="Y17" s="2">
        <f>Y16*(1+Parameters!$B$4)+W17</f>
        <v>24132.466780681236</v>
      </c>
      <c r="Z17" s="2">
        <f t="shared" si="2"/>
        <v>4947.642646368593</v>
      </c>
      <c r="AA17" s="2">
        <f>T17+Z17</f>
        <v>-242240.57874801895</v>
      </c>
      <c r="AB17" s="31">
        <f>AA17/Calculations!$B$4/A17</f>
        <v>-0.23509372937501838</v>
      </c>
      <c r="AC17" s="31">
        <f t="shared" si="3"/>
        <v>0.13310160419806832</v>
      </c>
      <c r="AD17" s="7">
        <f t="shared" si="4"/>
        <v>14</v>
      </c>
      <c r="AE17" s="2">
        <f t="shared" si="5"/>
        <v>3446.2776121311358</v>
      </c>
      <c r="AF17" s="2">
        <f>(K17+M17+O17)/12</f>
        <v>2876.2946701257156</v>
      </c>
      <c r="AG17" s="8" t="str">
        <f t="shared" si="19"/>
        <v/>
      </c>
      <c r="AH17" s="8"/>
      <c r="AI17" s="47">
        <f t="shared" si="6"/>
        <v>14</v>
      </c>
      <c r="AJ17" s="2">
        <f>AJ16*(1+Parameters!$B$20)</f>
        <v>3169.3362446118017</v>
      </c>
      <c r="AK17" s="2">
        <f>Parameters!$B$21*AJ17</f>
        <v>35655.032751882769</v>
      </c>
      <c r="AL17" s="2">
        <f t="shared" si="20"/>
        <v>440281.67034602072</v>
      </c>
      <c r="AM17" s="2">
        <f>Calculations!$B$5</f>
        <v>2400</v>
      </c>
      <c r="AN17" s="2">
        <f t="shared" si="21"/>
        <v>33600</v>
      </c>
      <c r="AO17" s="2">
        <f t="shared" si="7"/>
        <v>159493.44895163318</v>
      </c>
      <c r="AP17" s="31">
        <f>AO17/Calculations!$B$4/A17</f>
        <v>0.15478789688628997</v>
      </c>
      <c r="AQ17" s="2">
        <f>F17</f>
        <v>116180.11345481192</v>
      </c>
      <c r="AR17" s="31">
        <f>AQ17/Calculations!$B$4/A17</f>
        <v>0.1127524393000892</v>
      </c>
      <c r="AS17" s="31">
        <f t="shared" si="8"/>
        <v>4.2035457586200767E-2</v>
      </c>
      <c r="AT17" s="31"/>
      <c r="AU17" s="2">
        <f>I17*Parameters!$B$22</f>
        <v>25333.992250807143</v>
      </c>
      <c r="AV17" s="2">
        <f>J17*Parameters!$B$23</f>
        <v>15334.980627017863</v>
      </c>
      <c r="AW17" s="2">
        <f t="shared" si="9"/>
        <v>40668.972877825006</v>
      </c>
      <c r="AX17" s="2">
        <f>AO17-AW17</f>
        <v>118824.47607380818</v>
      </c>
      <c r="AY17" s="31">
        <f>AX17/Calculations!$B$4/A17</f>
        <v>0.11531878500951882</v>
      </c>
      <c r="AZ17" s="31">
        <f t="shared" si="10"/>
        <v>2.5663457094296238E-3</v>
      </c>
    </row>
    <row r="18" spans="1:52">
      <c r="A18">
        <v>15</v>
      </c>
      <c r="B18" s="3">
        <f>B17*(1+Parameters!$B$14)</f>
        <v>42389.214629212962</v>
      </c>
      <c r="C18" s="2">
        <f t="shared" si="11"/>
        <v>537957.79979773343</v>
      </c>
      <c r="D18" s="2">
        <f>D17*(1+Parameters!$B$4)</f>
        <v>203064.72139664876</v>
      </c>
      <c r="E18" s="2">
        <f t="shared" si="12"/>
        <v>13284.607941836846</v>
      </c>
      <c r="F18" s="2">
        <f t="shared" si="13"/>
        <v>129464.72139664876</v>
      </c>
      <c r="G18" s="2">
        <f>F18-C18</f>
        <v>-408493.07840108464</v>
      </c>
      <c r="H18" s="31">
        <f>G18/Calculations!$B$4/A18</f>
        <v>-0.37001184637779405</v>
      </c>
      <c r="I18" s="3">
        <f>I17*(1+Parameters!$B$5)</f>
        <v>430677.86826372147</v>
      </c>
      <c r="J18" s="2">
        <f>I18-Parameters!$B$3</f>
        <v>110677.86826372147</v>
      </c>
      <c r="K18" s="2">
        <f>I17*Parameters!$B$6</f>
        <v>6333.4980627017858</v>
      </c>
      <c r="L18" s="2">
        <f t="shared" si="14"/>
        <v>83008.401197791085</v>
      </c>
      <c r="M18" s="2">
        <f>I17*Parameters!$B$7</f>
        <v>8444.6640836023817</v>
      </c>
      <c r="N18" s="2">
        <f t="shared" si="15"/>
        <v>120277.86826372148</v>
      </c>
      <c r="O18" s="2">
        <f>-PMT(Parameters!$B$9/12, 30*12, Parameters!$B$3*(1-Parameters!$B$8)) * 12</f>
        <v>20027.141780426067</v>
      </c>
      <c r="P18" s="2">
        <f t="shared" si="16"/>
        <v>300407.12670639099</v>
      </c>
      <c r="Q18" s="2">
        <f>Parameters!$B$3*(1-Parameters!$B$8)/30</f>
        <v>8533.3333333333339</v>
      </c>
      <c r="R18" s="2">
        <f t="shared" si="0"/>
        <v>11493.808447092733</v>
      </c>
      <c r="S18" s="2">
        <f t="shared" si="17"/>
        <v>172407.12670639099</v>
      </c>
      <c r="T18" s="2">
        <f t="shared" si="1"/>
        <v>-265015.52790418209</v>
      </c>
      <c r="U18" s="31">
        <f>T18/Calculations!$B$4/Table!A18</f>
        <v>-0.24005029701465769</v>
      </c>
      <c r="V18" s="2">
        <f>B18-K18-M18-O18</f>
        <v>7583.9107024827281</v>
      </c>
      <c r="W18" s="2">
        <f>IF(V18&gt;0,V18*Parameters!$B$15,0)</f>
        <v>3791.955351241364</v>
      </c>
      <c r="X18" s="2">
        <f t="shared" si="18"/>
        <v>22976.779485554005</v>
      </c>
      <c r="Y18" s="2">
        <f>Y17*(1+Parameters!$B$4)+W18</f>
        <v>29613.694806570289</v>
      </c>
      <c r="Z18" s="2">
        <f t="shared" si="2"/>
        <v>6636.915321016284</v>
      </c>
      <c r="AA18" s="2">
        <f>T18+Z18</f>
        <v>-258378.61258316581</v>
      </c>
      <c r="AB18" s="31">
        <f>AA18/Calculations!$B$4/A18</f>
        <v>-0.23403859835431684</v>
      </c>
      <c r="AC18" s="31">
        <f t="shared" si="3"/>
        <v>0.13597324802347721</v>
      </c>
      <c r="AD18" s="7">
        <f t="shared" si="4"/>
        <v>15</v>
      </c>
      <c r="AE18" s="2">
        <f t="shared" si="5"/>
        <v>3532.4345524344135</v>
      </c>
      <c r="AF18" s="2">
        <f>(K18+M18+O18)/12</f>
        <v>2900.4419938941865</v>
      </c>
      <c r="AG18" s="8" t="str">
        <f t="shared" si="19"/>
        <v/>
      </c>
      <c r="AH18" s="8"/>
      <c r="AI18" s="47">
        <f t="shared" si="6"/>
        <v>15</v>
      </c>
      <c r="AJ18" s="2">
        <f>AJ17*(1+Parameters!$B$20)</f>
        <v>3232.7229695040378</v>
      </c>
      <c r="AK18" s="2">
        <f>Parameters!$B$21*AJ18</f>
        <v>36368.133406920424</v>
      </c>
      <c r="AL18" s="2">
        <f t="shared" si="20"/>
        <v>476649.80375294114</v>
      </c>
      <c r="AM18" s="2">
        <f>Calculations!$B$5</f>
        <v>2400</v>
      </c>
      <c r="AN18" s="2">
        <f t="shared" si="21"/>
        <v>36000</v>
      </c>
      <c r="AO18" s="2">
        <f t="shared" si="7"/>
        <v>175634.27584875905</v>
      </c>
      <c r="AP18" s="31">
        <f>AO18/Calculations!$B$4/A18</f>
        <v>0.15908901797894842</v>
      </c>
      <c r="AQ18" s="2">
        <f>F18</f>
        <v>129464.72139664876</v>
      </c>
      <c r="AR18" s="31">
        <f>AQ18/Calculations!$B$4/A18</f>
        <v>0.11726876938102243</v>
      </c>
      <c r="AS18" s="31">
        <f t="shared" si="8"/>
        <v>4.1820248597925991E-2</v>
      </c>
      <c r="AT18" s="31"/>
      <c r="AU18" s="2">
        <f>I18*Parameters!$B$22</f>
        <v>25840.672095823287</v>
      </c>
      <c r="AV18" s="2">
        <f>J18*Parameters!$B$23</f>
        <v>16601.68023955822</v>
      </c>
      <c r="AW18" s="2">
        <f t="shared" si="9"/>
        <v>42442.352335381511</v>
      </c>
      <c r="AX18" s="2">
        <f>AO18-AW18</f>
        <v>133191.92351337755</v>
      </c>
      <c r="AY18" s="31">
        <f>AX18/Calculations!$B$4/A18</f>
        <v>0.12064485825487097</v>
      </c>
      <c r="AZ18" s="31">
        <f t="shared" si="10"/>
        <v>3.3760888738485345E-3</v>
      </c>
    </row>
    <row r="19" spans="1:52">
      <c r="A19">
        <v>16</v>
      </c>
      <c r="B19" s="3">
        <f>B18*(1+Parameters!$B$14)</f>
        <v>43448.944994943282</v>
      </c>
      <c r="C19" s="2">
        <f t="shared" si="11"/>
        <v>581406.74479267676</v>
      </c>
      <c r="D19" s="2">
        <f>D18*(1+Parameters!$B$4)</f>
        <v>217279.25189441419</v>
      </c>
      <c r="E19" s="2">
        <f t="shared" si="12"/>
        <v>14214.53049776543</v>
      </c>
      <c r="F19" s="2">
        <f t="shared" si="13"/>
        <v>143679.25189441419</v>
      </c>
      <c r="G19" s="2">
        <f>F19-C19</f>
        <v>-437727.49289826257</v>
      </c>
      <c r="H19" s="31">
        <f>G19/Calculations!$B$4/A19</f>
        <v>-0.37171152589866047</v>
      </c>
      <c r="I19" s="3">
        <f>I18*(1+Parameters!$B$5)</f>
        <v>439291.42562899593</v>
      </c>
      <c r="J19" s="2">
        <f>I19-Parameters!$B$3</f>
        <v>119291.42562899593</v>
      </c>
      <c r="K19" s="2">
        <f>I18*Parameters!$B$6</f>
        <v>6460.1680239558218</v>
      </c>
      <c r="L19" s="2">
        <f t="shared" si="14"/>
        <v>89468.569221746904</v>
      </c>
      <c r="M19" s="2">
        <f>I18*Parameters!$B$7</f>
        <v>8613.5573652744297</v>
      </c>
      <c r="N19" s="2">
        <f t="shared" si="15"/>
        <v>128891.42562899592</v>
      </c>
      <c r="O19" s="2">
        <f>-PMT(Parameters!$B$9/12, 30*12, Parameters!$B$3*(1-Parameters!$B$8)) * 12</f>
        <v>20027.141780426067</v>
      </c>
      <c r="P19" s="2">
        <f t="shared" si="16"/>
        <v>320434.26848681708</v>
      </c>
      <c r="Q19" s="2">
        <f>Parameters!$B$3*(1-Parameters!$B$8)/30</f>
        <v>8533.3333333333339</v>
      </c>
      <c r="R19" s="2">
        <f t="shared" si="0"/>
        <v>11493.808447092733</v>
      </c>
      <c r="S19" s="2">
        <f t="shared" si="17"/>
        <v>183900.93515348373</v>
      </c>
      <c r="T19" s="2">
        <f t="shared" si="1"/>
        <v>-282969.50437523064</v>
      </c>
      <c r="U19" s="31">
        <f>T19/Calculations!$B$4/Table!A19</f>
        <v>-0.24029339705777059</v>
      </c>
      <c r="V19" s="2">
        <f>B19-K19-M19-O19</f>
        <v>8348.0778252869677</v>
      </c>
      <c r="W19" s="2">
        <f>IF(V19&gt;0,V19*Parameters!$B$15,0)</f>
        <v>4174.0389126434839</v>
      </c>
      <c r="X19" s="2">
        <f t="shared" si="18"/>
        <v>27150.818398197487</v>
      </c>
      <c r="Y19" s="2">
        <f>Y18*(1+Parameters!$B$4)+W19</f>
        <v>35860.692355673695</v>
      </c>
      <c r="Z19" s="2">
        <f t="shared" si="2"/>
        <v>8709.8739574762076</v>
      </c>
      <c r="AA19" s="2">
        <f>T19+Z19</f>
        <v>-274259.63041775441</v>
      </c>
      <c r="AB19" s="31">
        <f>AA19/Calculations!$B$4/A19</f>
        <v>-0.232897104634642</v>
      </c>
      <c r="AC19" s="31">
        <f t="shared" si="3"/>
        <v>0.13881442126401847</v>
      </c>
      <c r="AD19" s="7">
        <f t="shared" si="4"/>
        <v>16</v>
      </c>
      <c r="AE19" s="2">
        <f t="shared" si="5"/>
        <v>3620.7454162452736</v>
      </c>
      <c r="AF19" s="2">
        <f>(K19+M19+O19)/12</f>
        <v>2925.0722641380266</v>
      </c>
      <c r="AG19" s="8" t="str">
        <f t="shared" si="19"/>
        <v/>
      </c>
      <c r="AH19" s="8"/>
      <c r="AI19" s="47">
        <f t="shared" si="6"/>
        <v>16</v>
      </c>
      <c r="AJ19" s="2">
        <f>AJ18*(1+Parameters!$B$20)</f>
        <v>3297.3774288941186</v>
      </c>
      <c r="AK19" s="2">
        <f>Parameters!$B$21*AJ19</f>
        <v>37095.496075058836</v>
      </c>
      <c r="AL19" s="2">
        <f t="shared" si="20"/>
        <v>513745.29982799996</v>
      </c>
      <c r="AM19" s="2">
        <f>Calculations!$B$5</f>
        <v>2400</v>
      </c>
      <c r="AN19" s="2">
        <f t="shared" si="21"/>
        <v>38400</v>
      </c>
      <c r="AO19" s="2">
        <f t="shared" si="7"/>
        <v>192375.79545276932</v>
      </c>
      <c r="AP19" s="31">
        <f>AO19/Calculations!$B$4/A19</f>
        <v>0.16336259804073483</v>
      </c>
      <c r="AQ19" s="2">
        <f>F19</f>
        <v>143679.25189441419</v>
      </c>
      <c r="AR19" s="31">
        <f>AQ19/Calculations!$B$4/A19</f>
        <v>0.12201023428533814</v>
      </c>
      <c r="AS19" s="31">
        <f t="shared" si="8"/>
        <v>4.1352363755396693E-2</v>
      </c>
      <c r="AT19" s="31"/>
      <c r="AU19" s="2">
        <f>I19*Parameters!$B$22</f>
        <v>26357.485537739754</v>
      </c>
      <c r="AV19" s="2">
        <f>J19*Parameters!$B$23</f>
        <v>17893.71384434939</v>
      </c>
      <c r="AW19" s="2">
        <f t="shared" si="9"/>
        <v>44251.199382089144</v>
      </c>
      <c r="AX19" s="2">
        <f>AO19-AW19</f>
        <v>148124.59607068019</v>
      </c>
      <c r="AY19" s="31">
        <f>AX19/Calculations!$B$4/A19</f>
        <v>0.12578515291328141</v>
      </c>
      <c r="AZ19" s="31">
        <f t="shared" si="10"/>
        <v>3.7749186279432689E-3</v>
      </c>
    </row>
    <row r="20" spans="1:52">
      <c r="A20">
        <v>17</v>
      </c>
      <c r="B20" s="3">
        <f>B19*(1+Parameters!$B$14)</f>
        <v>44535.168619816861</v>
      </c>
      <c r="C20" s="2">
        <f t="shared" si="11"/>
        <v>625941.91341249365</v>
      </c>
      <c r="D20" s="2">
        <f>D19*(1+Parameters!$B$4)</f>
        <v>232488.79952702319</v>
      </c>
      <c r="E20" s="2">
        <f t="shared" si="12"/>
        <v>15209.547632608999</v>
      </c>
      <c r="F20" s="2">
        <f t="shared" si="13"/>
        <v>158888.79952702319</v>
      </c>
      <c r="G20" s="2">
        <f>F20-C20</f>
        <v>-467053.11388547043</v>
      </c>
      <c r="H20" s="31">
        <f>G20/Calculations!$B$4/A20</f>
        <v>-0.37328413833557422</v>
      </c>
      <c r="I20" s="3">
        <f>I19*(1+Parameters!$B$5)</f>
        <v>448077.25414157583</v>
      </c>
      <c r="J20" s="2">
        <f>I20-Parameters!$B$3</f>
        <v>128077.25414157583</v>
      </c>
      <c r="K20" s="2">
        <f>I19*Parameters!$B$6</f>
        <v>6589.3713844349386</v>
      </c>
      <c r="L20" s="2">
        <f t="shared" si="14"/>
        <v>96057.940606181844</v>
      </c>
      <c r="M20" s="2">
        <f>I19*Parameters!$B$7</f>
        <v>8785.8285125799193</v>
      </c>
      <c r="N20" s="2">
        <f t="shared" si="15"/>
        <v>137677.25414157583</v>
      </c>
      <c r="O20" s="2">
        <f>-PMT(Parameters!$B$9/12, 30*12, Parameters!$B$3*(1-Parameters!$B$8)) * 12</f>
        <v>20027.141780426067</v>
      </c>
      <c r="P20" s="2">
        <f t="shared" si="16"/>
        <v>340461.41026724316</v>
      </c>
      <c r="Q20" s="2">
        <f>Parameters!$B$3*(1-Parameters!$B$8)/30</f>
        <v>8533.3333333333339</v>
      </c>
      <c r="R20" s="2">
        <f t="shared" si="0"/>
        <v>11493.808447092733</v>
      </c>
      <c r="S20" s="2">
        <f t="shared" si="17"/>
        <v>195394.74360057648</v>
      </c>
      <c r="T20" s="2">
        <f t="shared" si="1"/>
        <v>-301052.68420675833</v>
      </c>
      <c r="U20" s="31">
        <f>T20/Calculations!$B$4/Table!A20</f>
        <v>-0.24061116065118154</v>
      </c>
      <c r="V20" s="2">
        <f>B20-K20-M20-O20</f>
        <v>9132.8269423759339</v>
      </c>
      <c r="W20" s="2">
        <f>IF(V20&gt;0,V20*Parameters!$B$15,0)</f>
        <v>4566.4134711879669</v>
      </c>
      <c r="X20" s="2">
        <f t="shared" si="18"/>
        <v>31717.231869385454</v>
      </c>
      <c r="Y20" s="2">
        <f>Y19*(1+Parameters!$B$4)+W20</f>
        <v>42937.35429175882</v>
      </c>
      <c r="Z20" s="2">
        <f t="shared" si="2"/>
        <v>11220.122422373366</v>
      </c>
      <c r="AA20" s="2">
        <f>T20+Z20</f>
        <v>-289832.56178438495</v>
      </c>
      <c r="AB20" s="31">
        <f>AA20/Calculations!$B$4/A20</f>
        <v>-0.23164367150286519</v>
      </c>
      <c r="AC20" s="31">
        <f t="shared" si="3"/>
        <v>0.14164046683270903</v>
      </c>
      <c r="AD20" s="7">
        <f t="shared" si="4"/>
        <v>17</v>
      </c>
      <c r="AE20" s="2">
        <f t="shared" si="5"/>
        <v>3711.2640516514052</v>
      </c>
      <c r="AF20" s="2">
        <f>(K20+M20+O20)/12</f>
        <v>2950.1951397867438</v>
      </c>
      <c r="AG20" s="8" t="str">
        <f t="shared" si="19"/>
        <v/>
      </c>
      <c r="AH20" s="8"/>
      <c r="AI20" s="47">
        <f t="shared" si="6"/>
        <v>17</v>
      </c>
      <c r="AJ20" s="2">
        <f>AJ19*(1+Parameters!$B$20)</f>
        <v>3363.3249774720011</v>
      </c>
      <c r="AK20" s="2">
        <f>Parameters!$B$21*AJ20</f>
        <v>37837.40599656001</v>
      </c>
      <c r="AL20" s="2">
        <f t="shared" si="20"/>
        <v>551582.70582456002</v>
      </c>
      <c r="AM20" s="2">
        <f>Calculations!$B$5</f>
        <v>2400</v>
      </c>
      <c r="AN20" s="2">
        <f t="shared" si="21"/>
        <v>40800</v>
      </c>
      <c r="AO20" s="2">
        <f t="shared" si="7"/>
        <v>209730.02161780169</v>
      </c>
      <c r="AP20" s="31">
        <f>AO20/Calculations!$B$4/A20</f>
        <v>0.16762309911908702</v>
      </c>
      <c r="AQ20" s="2">
        <f>F20</f>
        <v>158888.79952702319</v>
      </c>
      <c r="AR20" s="31">
        <f>AQ20/Calculations!$B$4/A20</f>
        <v>0.12698913005676407</v>
      </c>
      <c r="AS20" s="31">
        <f t="shared" si="8"/>
        <v>4.0633969062322944E-2</v>
      </c>
      <c r="AT20" s="31"/>
      <c r="AU20" s="2">
        <f>I20*Parameters!$B$22</f>
        <v>26884.635248494549</v>
      </c>
      <c r="AV20" s="2">
        <f>J20*Parameters!$B$23</f>
        <v>19211.588121236375</v>
      </c>
      <c r="AW20" s="2">
        <f t="shared" si="9"/>
        <v>46096.223369730928</v>
      </c>
      <c r="AX20" s="2">
        <f>AO20-AW20</f>
        <v>163633.79824807076</v>
      </c>
      <c r="AY20" s="31">
        <f>AX20/Calculations!$B$4/A20</f>
        <v>0.13078148836962175</v>
      </c>
      <c r="AZ20" s="31">
        <f t="shared" si="10"/>
        <v>3.7923583128576799E-3</v>
      </c>
    </row>
    <row r="21" spans="1:52">
      <c r="A21">
        <v>18</v>
      </c>
      <c r="B21" s="3">
        <f>B20*(1+Parameters!$B$14)</f>
        <v>45648.547835312282</v>
      </c>
      <c r="C21" s="2">
        <f t="shared" si="11"/>
        <v>671590.46124780597</v>
      </c>
      <c r="D21" s="2">
        <f>D20*(1+Parameters!$B$4)</f>
        <v>248763.01549391483</v>
      </c>
      <c r="E21" s="2">
        <f t="shared" si="12"/>
        <v>16274.215966891643</v>
      </c>
      <c r="F21" s="2">
        <f t="shared" si="13"/>
        <v>175163.01549391483</v>
      </c>
      <c r="G21" s="2">
        <f>F21-C21</f>
        <v>-496427.44575389114</v>
      </c>
      <c r="H21" s="31">
        <f>G21/Calculations!$B$4/A21</f>
        <v>-0.37471878453645169</v>
      </c>
      <c r="I21" s="3">
        <f>I20*(1+Parameters!$B$5)</f>
        <v>457038.79922440735</v>
      </c>
      <c r="J21" s="2">
        <f>I21-Parameters!$B$3</f>
        <v>137038.79922440735</v>
      </c>
      <c r="K21" s="2">
        <f>I20*Parameters!$B$6</f>
        <v>6721.1588121236373</v>
      </c>
      <c r="L21" s="2">
        <f t="shared" si="14"/>
        <v>102779.09941830549</v>
      </c>
      <c r="M21" s="2">
        <f>I20*Parameters!$B$7</f>
        <v>8961.545082831517</v>
      </c>
      <c r="N21" s="2">
        <f t="shared" si="15"/>
        <v>146638.79922440735</v>
      </c>
      <c r="O21" s="2">
        <f>-PMT(Parameters!$B$9/12, 30*12, Parameters!$B$3*(1-Parameters!$B$8)) * 12</f>
        <v>20027.141780426067</v>
      </c>
      <c r="P21" s="2">
        <f t="shared" si="16"/>
        <v>360488.55204766925</v>
      </c>
      <c r="Q21" s="2">
        <f>Parameters!$B$3*(1-Parameters!$B$8)/30</f>
        <v>8533.3333333333339</v>
      </c>
      <c r="R21" s="2">
        <f t="shared" si="0"/>
        <v>11493.808447092733</v>
      </c>
      <c r="S21" s="2">
        <f t="shared" si="17"/>
        <v>206888.55204766922</v>
      </c>
      <c r="T21" s="2">
        <f t="shared" si="1"/>
        <v>-319267.65146597469</v>
      </c>
      <c r="U21" s="31">
        <f>T21/Calculations!$B$4/Table!A21</f>
        <v>-0.24099309440366445</v>
      </c>
      <c r="V21" s="2">
        <f>B21-K21-M21-O21</f>
        <v>9938.7021599310647</v>
      </c>
      <c r="W21" s="2">
        <f>IF(V21&gt;0,V21*Parameters!$B$15,0)</f>
        <v>4969.3510799655323</v>
      </c>
      <c r="X21" s="2">
        <f t="shared" si="18"/>
        <v>36686.582949350988</v>
      </c>
      <c r="Y21" s="2">
        <f>Y20*(1+Parameters!$B$4)+W21</f>
        <v>50912.320172147476</v>
      </c>
      <c r="Z21" s="2">
        <f t="shared" si="2"/>
        <v>14225.737222796488</v>
      </c>
      <c r="AA21" s="2">
        <f>T21+Z21</f>
        <v>-305041.91424317821</v>
      </c>
      <c r="AB21" s="31">
        <f>AA21/Calculations!$B$4/A21</f>
        <v>-0.23025506811834104</v>
      </c>
      <c r="AC21" s="31">
        <f t="shared" si="3"/>
        <v>0.14446371641811065</v>
      </c>
      <c r="AD21" s="7">
        <f t="shared" si="4"/>
        <v>18</v>
      </c>
      <c r="AE21" s="2">
        <f t="shared" si="5"/>
        <v>3804.0456529426901</v>
      </c>
      <c r="AF21" s="2">
        <f>(K21+M21+O21)/12</f>
        <v>2975.8204729484351</v>
      </c>
      <c r="AG21" s="8" t="str">
        <f t="shared" si="19"/>
        <v/>
      </c>
      <c r="AH21" s="8"/>
      <c r="AI21" s="47">
        <f t="shared" si="6"/>
        <v>18</v>
      </c>
      <c r="AJ21" s="2">
        <f>AJ20*(1+Parameters!$B$20)</f>
        <v>3430.5914770214413</v>
      </c>
      <c r="AK21" s="2">
        <f>Parameters!$B$21*AJ21</f>
        <v>38594.154116491212</v>
      </c>
      <c r="AL21" s="2">
        <f t="shared" si="20"/>
        <v>590176.85994105123</v>
      </c>
      <c r="AM21" s="2">
        <f>Calculations!$B$5</f>
        <v>2400</v>
      </c>
      <c r="AN21" s="2">
        <f t="shared" si="21"/>
        <v>43200</v>
      </c>
      <c r="AO21" s="2">
        <f t="shared" si="7"/>
        <v>227709.20847507654</v>
      </c>
      <c r="AP21" s="31">
        <f>AO21/Calculations!$B$4/A21</f>
        <v>0.17188195084169425</v>
      </c>
      <c r="AQ21" s="2">
        <f>F21</f>
        <v>175163.01549391483</v>
      </c>
      <c r="AR21" s="31">
        <f>AQ21/Calculations!$B$4/A21</f>
        <v>0.13221845976291879</v>
      </c>
      <c r="AS21" s="31">
        <f t="shared" si="8"/>
        <v>3.9663491078775454E-2</v>
      </c>
      <c r="AT21" s="31"/>
      <c r="AU21" s="2">
        <f>I21*Parameters!$B$22</f>
        <v>27422.327953464439</v>
      </c>
      <c r="AV21" s="2">
        <f>J21*Parameters!$B$23</f>
        <v>20555.819883661101</v>
      </c>
      <c r="AW21" s="2">
        <f t="shared" si="9"/>
        <v>47978.147837125536</v>
      </c>
      <c r="AX21" s="2">
        <f>AO21-AW21</f>
        <v>179731.06063795101</v>
      </c>
      <c r="AY21" s="31">
        <f>AX21/Calculations!$B$4/A21</f>
        <v>0.13566656147188333</v>
      </c>
      <c r="AZ21" s="31">
        <f t="shared" si="10"/>
        <v>3.4481017089645349E-3</v>
      </c>
    </row>
    <row r="22" spans="1:52">
      <c r="A22">
        <v>19</v>
      </c>
      <c r="B22" s="3">
        <f>B21*(1+Parameters!$B$14)</f>
        <v>46789.761531195087</v>
      </c>
      <c r="C22" s="2">
        <f t="shared" si="11"/>
        <v>718380.22277900111</v>
      </c>
      <c r="D22" s="2">
        <f>D21*(1+Parameters!$B$4)</f>
        <v>266176.4265784889</v>
      </c>
      <c r="E22" s="2">
        <f t="shared" si="12"/>
        <v>17413.411084574065</v>
      </c>
      <c r="F22" s="2">
        <f t="shared" si="13"/>
        <v>192576.4265784889</v>
      </c>
      <c r="G22" s="2">
        <f>F22-C22</f>
        <v>-525803.79620051221</v>
      </c>
      <c r="H22" s="31">
        <f>G22/Calculations!$B$4/A22</f>
        <v>-0.37600385883903903</v>
      </c>
      <c r="I22" s="3">
        <f>I21*(1+Parameters!$B$5)</f>
        <v>466179.57520889549</v>
      </c>
      <c r="J22" s="2">
        <f>I22-Parameters!$B$3</f>
        <v>146179.57520889549</v>
      </c>
      <c r="K22" s="2">
        <f>I21*Parameters!$B$6</f>
        <v>6855.5819883661097</v>
      </c>
      <c r="L22" s="2">
        <f t="shared" si="14"/>
        <v>109634.68140667159</v>
      </c>
      <c r="M22" s="2">
        <f>I21*Parameters!$B$7</f>
        <v>9140.7759844881475</v>
      </c>
      <c r="N22" s="2">
        <f t="shared" si="15"/>
        <v>155779.57520889549</v>
      </c>
      <c r="O22" s="2">
        <f>-PMT(Parameters!$B$9/12, 30*12, Parameters!$B$3*(1-Parameters!$B$8)) * 12</f>
        <v>20027.141780426067</v>
      </c>
      <c r="P22" s="2">
        <f t="shared" si="16"/>
        <v>380515.69382809533</v>
      </c>
      <c r="Q22" s="2">
        <f>Parameters!$B$3*(1-Parameters!$B$8)/30</f>
        <v>8533.3333333333339</v>
      </c>
      <c r="R22" s="2">
        <f t="shared" si="0"/>
        <v>11493.808447092733</v>
      </c>
      <c r="S22" s="2">
        <f t="shared" si="17"/>
        <v>218382.36049476196</v>
      </c>
      <c r="T22" s="2">
        <f t="shared" si="1"/>
        <v>-337617.04190143355</v>
      </c>
      <c r="U22" s="31">
        <f>T22/Calculations!$B$4/Table!A22</f>
        <v>-0.24143095101647136</v>
      </c>
      <c r="V22" s="2">
        <f>B22-K22-M22-O22</f>
        <v>10766.261777914762</v>
      </c>
      <c r="W22" s="2">
        <f>IF(V22&gt;0,V22*Parameters!$B$15,0)</f>
        <v>5383.1308889573811</v>
      </c>
      <c r="X22" s="2">
        <f t="shared" si="18"/>
        <v>42069.713838308366</v>
      </c>
      <c r="Y22" s="2">
        <f>Y21*(1+Parameters!$B$4)+W22</f>
        <v>59859.313473155184</v>
      </c>
      <c r="Z22" s="2">
        <f t="shared" si="2"/>
        <v>17789.599634846818</v>
      </c>
      <c r="AA22" s="2">
        <f>T22+Z22</f>
        <v>-319827.4422665867</v>
      </c>
      <c r="AB22" s="31">
        <f>AA22/Calculations!$B$4/A22</f>
        <v>-0.22870955539658658</v>
      </c>
      <c r="AC22" s="31">
        <f t="shared" si="3"/>
        <v>0.14729430344245245</v>
      </c>
      <c r="AD22" s="7">
        <f t="shared" si="4"/>
        <v>19</v>
      </c>
      <c r="AE22" s="2">
        <f t="shared" si="5"/>
        <v>3899.1467942662571</v>
      </c>
      <c r="AF22" s="2">
        <f>(K22+M22+O22)/12</f>
        <v>3001.9583127733604</v>
      </c>
      <c r="AG22" s="8" t="str">
        <f t="shared" si="19"/>
        <v/>
      </c>
      <c r="AH22" s="8"/>
      <c r="AI22" s="47">
        <f t="shared" si="6"/>
        <v>19</v>
      </c>
      <c r="AJ22" s="2">
        <f>AJ21*(1+Parameters!$B$20)</f>
        <v>3499.2033065618702</v>
      </c>
      <c r="AK22" s="2">
        <f>Parameters!$B$21*AJ22</f>
        <v>39366.037198821039</v>
      </c>
      <c r="AL22" s="2">
        <f t="shared" si="20"/>
        <v>629542.89713987231</v>
      </c>
      <c r="AM22" s="2">
        <f>Calculations!$B$5</f>
        <v>2400</v>
      </c>
      <c r="AN22" s="2">
        <f t="shared" si="21"/>
        <v>45600</v>
      </c>
      <c r="AO22" s="2">
        <f t="shared" si="7"/>
        <v>246325.85523843876</v>
      </c>
      <c r="AP22" s="31">
        <f>AO22/Calculations!$B$4/A22</f>
        <v>0.17614835185815128</v>
      </c>
      <c r="AQ22" s="2">
        <f>F22</f>
        <v>192576.4265784889</v>
      </c>
      <c r="AR22" s="31">
        <f>AQ22/Calculations!$B$4/A22</f>
        <v>0.13771197552809561</v>
      </c>
      <c r="AS22" s="31">
        <f t="shared" si="8"/>
        <v>3.8436376330055672E-2</v>
      </c>
      <c r="AT22" s="31"/>
      <c r="AU22" s="2">
        <f>I22*Parameters!$B$22</f>
        <v>27970.774512533728</v>
      </c>
      <c r="AV22" s="2">
        <f>J22*Parameters!$B$23</f>
        <v>21926.936281334321</v>
      </c>
      <c r="AW22" s="2">
        <f t="shared" si="9"/>
        <v>49897.710793868049</v>
      </c>
      <c r="AX22" s="2">
        <f>AO22-AW22</f>
        <v>196428.1444445707</v>
      </c>
      <c r="AY22" s="31">
        <f>AX22/Calculations!$B$4/A22</f>
        <v>0.14046635043233033</v>
      </c>
      <c r="AZ22" s="31">
        <f t="shared" si="10"/>
        <v>2.7543749042347188E-3</v>
      </c>
    </row>
    <row r="23" spans="1:52">
      <c r="A23">
        <v>20</v>
      </c>
      <c r="B23" s="3">
        <f>B22*(1+Parameters!$B$14)</f>
        <v>47959.505569474961</v>
      </c>
      <c r="C23" s="2">
        <f t="shared" si="11"/>
        <v>766339.72834847611</v>
      </c>
      <c r="D23" s="2">
        <f>D22*(1+Parameters!$B$4)</f>
        <v>284808.77643898316</v>
      </c>
      <c r="E23" s="2">
        <f t="shared" si="12"/>
        <v>18632.349860494258</v>
      </c>
      <c r="F23" s="2">
        <f t="shared" si="13"/>
        <v>211208.77643898316</v>
      </c>
      <c r="G23" s="2">
        <f>F23-C23</f>
        <v>-555130.95190949296</v>
      </c>
      <c r="H23" s="31">
        <f>G23/Calculations!$B$4/A23</f>
        <v>-0.37712700537329685</v>
      </c>
      <c r="I23" s="3">
        <f>I22*(1+Parameters!$B$5)</f>
        <v>475503.16671307338</v>
      </c>
      <c r="J23" s="2">
        <f>I23-Parameters!$B$3</f>
        <v>155503.16671307338</v>
      </c>
      <c r="K23" s="2">
        <f>I22*Parameters!$B$6</f>
        <v>6992.693628133432</v>
      </c>
      <c r="L23" s="2">
        <f t="shared" si="14"/>
        <v>116627.37503480502</v>
      </c>
      <c r="M23" s="2">
        <f>I22*Parameters!$B$7</f>
        <v>9323.5915041779099</v>
      </c>
      <c r="N23" s="2">
        <f t="shared" si="15"/>
        <v>165103.16671307341</v>
      </c>
      <c r="O23" s="2">
        <f>-PMT(Parameters!$B$9/12, 30*12, Parameters!$B$3*(1-Parameters!$B$8)) * 12</f>
        <v>20027.141780426067</v>
      </c>
      <c r="P23" s="2">
        <f t="shared" si="16"/>
        <v>400542.83560852142</v>
      </c>
      <c r="Q23" s="2">
        <f>Parameters!$B$3*(1-Parameters!$B$8)/30</f>
        <v>8533.3333333333339</v>
      </c>
      <c r="R23" s="2">
        <f t="shared" si="0"/>
        <v>11493.808447092733</v>
      </c>
      <c r="S23" s="2">
        <f t="shared" si="17"/>
        <v>229876.1689418547</v>
      </c>
      <c r="T23" s="2">
        <f t="shared" si="1"/>
        <v>-356103.54397665977</v>
      </c>
      <c r="U23" s="31">
        <f>T23/Calculations!$B$4/Table!A23</f>
        <v>-0.24191816846240471</v>
      </c>
      <c r="V23" s="2">
        <f>B23-K23-M23-O23</f>
        <v>11616.078656737551</v>
      </c>
      <c r="W23" s="2">
        <f>IF(V23&gt;0,V23*Parameters!$B$15,0)</f>
        <v>5808.0393283687754</v>
      </c>
      <c r="X23" s="2">
        <f t="shared" si="18"/>
        <v>47877.753166677139</v>
      </c>
      <c r="Y23" s="2">
        <f>Y22*(1+Parameters!$B$4)+W23</f>
        <v>69857.50474464483</v>
      </c>
      <c r="Z23" s="2">
        <f t="shared" si="2"/>
        <v>21979.751577967691</v>
      </c>
      <c r="AA23" s="2">
        <f>T23+Z23</f>
        <v>-334123.79239869211</v>
      </c>
      <c r="AB23" s="31">
        <f>AA23/Calculations!$B$4/A23</f>
        <v>-0.22698627200998106</v>
      </c>
      <c r="AC23" s="31">
        <f t="shared" si="3"/>
        <v>0.15014073336331579</v>
      </c>
      <c r="AD23" s="7">
        <f t="shared" si="4"/>
        <v>20</v>
      </c>
      <c r="AE23" s="2">
        <f t="shared" si="5"/>
        <v>3996.6254641229134</v>
      </c>
      <c r="AF23" s="2">
        <f>(K23+M23+O23)/12</f>
        <v>3028.6189093947846</v>
      </c>
      <c r="AG23" s="8" t="str">
        <f t="shared" si="19"/>
        <v/>
      </c>
      <c r="AH23" s="8"/>
      <c r="AI23" s="47">
        <f t="shared" si="6"/>
        <v>20</v>
      </c>
      <c r="AJ23" s="2">
        <f>AJ22*(1+Parameters!$B$20)</f>
        <v>3569.1873726931076</v>
      </c>
      <c r="AK23" s="2">
        <f>Parameters!$B$21*AJ23</f>
        <v>40153.357942797462</v>
      </c>
      <c r="AL23" s="2">
        <f t="shared" si="20"/>
        <v>669696.25508266978</v>
      </c>
      <c r="AM23" s="2">
        <f>Calculations!$B$5</f>
        <v>2400</v>
      </c>
      <c r="AN23" s="2">
        <f t="shared" si="21"/>
        <v>48000</v>
      </c>
      <c r="AO23" s="2">
        <f t="shared" si="7"/>
        <v>265592.71110601001</v>
      </c>
      <c r="AP23" s="31">
        <f>AO23/Calculations!$B$4/A23</f>
        <v>0.18042983091440898</v>
      </c>
      <c r="AQ23" s="2">
        <f>F23</f>
        <v>211208.77643898316</v>
      </c>
      <c r="AR23" s="31">
        <f>AQ23/Calculations!$B$4/A23</f>
        <v>0.14348422312430922</v>
      </c>
      <c r="AS23" s="31">
        <f t="shared" si="8"/>
        <v>3.6945607790099755E-2</v>
      </c>
      <c r="AT23" s="31"/>
      <c r="AU23" s="2">
        <f>I23*Parameters!$B$22</f>
        <v>28530.190002784402</v>
      </c>
      <c r="AV23" s="2">
        <f>J23*Parameters!$B$23</f>
        <v>23325.475006961005</v>
      </c>
      <c r="AW23" s="2">
        <f t="shared" si="9"/>
        <v>51855.665009745411</v>
      </c>
      <c r="AX23" s="2">
        <f>AO23-AW23</f>
        <v>213737.04609626462</v>
      </c>
      <c r="AY23" s="31">
        <f>AX23/Calculations!$B$4/A23</f>
        <v>0.145201797619745</v>
      </c>
      <c r="AZ23" s="31">
        <f t="shared" si="10"/>
        <v>1.7175744954357752E-3</v>
      </c>
    </row>
    <row r="24" spans="1:52">
      <c r="A24">
        <v>21</v>
      </c>
      <c r="B24" s="3">
        <f>B23*(1+Parameters!$B$14)</f>
        <v>49158.493208711829</v>
      </c>
      <c r="C24" s="2">
        <f t="shared" si="11"/>
        <v>815498.22155718796</v>
      </c>
      <c r="D24" s="2">
        <f>D23*(1+Parameters!$B$4)</f>
        <v>304745.39078971202</v>
      </c>
      <c r="E24" s="2">
        <f t="shared" si="12"/>
        <v>19936.614350728865</v>
      </c>
      <c r="F24" s="2">
        <f t="shared" si="13"/>
        <v>231145.39078971202</v>
      </c>
      <c r="G24" s="2">
        <f>F24-C24</f>
        <v>-584352.830767476</v>
      </c>
      <c r="H24" s="31">
        <f>G24/Calculations!$B$4/A24</f>
        <v>-0.37807507166632764</v>
      </c>
      <c r="I24" s="3">
        <f>I23*(1+Parameters!$B$5)</f>
        <v>485013.23004733486</v>
      </c>
      <c r="J24" s="2">
        <f>I24-Parameters!$B$3</f>
        <v>165013.23004733486</v>
      </c>
      <c r="K24" s="2">
        <f>I23*Parameters!$B$6</f>
        <v>7132.5475006961005</v>
      </c>
      <c r="L24" s="2">
        <f t="shared" si="14"/>
        <v>123759.92253550113</v>
      </c>
      <c r="M24" s="2">
        <f>I23*Parameters!$B$7</f>
        <v>9510.0633342614674</v>
      </c>
      <c r="N24" s="2">
        <f t="shared" si="15"/>
        <v>174613.23004733489</v>
      </c>
      <c r="O24" s="2">
        <f>-PMT(Parameters!$B$9/12, 30*12, Parameters!$B$3*(1-Parameters!$B$8)) * 12</f>
        <v>20027.141780426067</v>
      </c>
      <c r="P24" s="2">
        <f t="shared" si="16"/>
        <v>420569.9773889475</v>
      </c>
      <c r="Q24" s="2">
        <f>Parameters!$B$3*(1-Parameters!$B$8)/30</f>
        <v>8533.3333333333339</v>
      </c>
      <c r="R24" s="2">
        <f t="shared" si="0"/>
        <v>11493.808447092733</v>
      </c>
      <c r="S24" s="2">
        <f t="shared" si="17"/>
        <v>241369.97738894745</v>
      </c>
      <c r="T24" s="2">
        <f t="shared" si="1"/>
        <v>-374729.89992444857</v>
      </c>
      <c r="U24" s="31">
        <f>T24/Calculations!$B$4/Table!A24</f>
        <v>-0.24244946941281612</v>
      </c>
      <c r="V24" s="2">
        <f>B24-K24-M24-O24</f>
        <v>12488.740593328195</v>
      </c>
      <c r="W24" s="2">
        <f>IF(V24&gt;0,V24*Parameters!$B$15,0)</f>
        <v>6244.3702966640976</v>
      </c>
      <c r="X24" s="2">
        <f t="shared" si="18"/>
        <v>54122.123463341239</v>
      </c>
      <c r="Y24" s="2">
        <f>Y23*(1+Parameters!$B$4)+W24</f>
        <v>80991.900373434066</v>
      </c>
      <c r="Z24" s="2">
        <f t="shared" si="2"/>
        <v>26869.776910092827</v>
      </c>
      <c r="AA24" s="2">
        <f>T24+Z24</f>
        <v>-347860.12301435578</v>
      </c>
      <c r="AB24" s="31">
        <f>AA24/Calculations!$B$4/A24</f>
        <v>-0.22506477938299416</v>
      </c>
      <c r="AC24" s="31">
        <f t="shared" si="3"/>
        <v>0.15301029228333349</v>
      </c>
      <c r="AD24" s="7">
        <f t="shared" si="4"/>
        <v>21</v>
      </c>
      <c r="AE24" s="2">
        <f t="shared" si="5"/>
        <v>4096.5411007259854</v>
      </c>
      <c r="AF24" s="2">
        <f>(K24+M24+O24)/12</f>
        <v>3055.8127179486364</v>
      </c>
      <c r="AG24" s="8" t="str">
        <f t="shared" si="19"/>
        <v/>
      </c>
      <c r="AH24" s="8"/>
      <c r="AI24" s="47">
        <f t="shared" si="6"/>
        <v>21</v>
      </c>
      <c r="AJ24" s="2">
        <f>AJ23*(1+Parameters!$B$20)</f>
        <v>3640.5711201469699</v>
      </c>
      <c r="AK24" s="2">
        <f>Parameters!$B$21*AJ24</f>
        <v>40956.425101653411</v>
      </c>
      <c r="AL24" s="2">
        <f t="shared" si="20"/>
        <v>710652.68018432322</v>
      </c>
      <c r="AM24" s="2">
        <f>Calculations!$B$5</f>
        <v>2400</v>
      </c>
      <c r="AN24" s="2">
        <f t="shared" si="21"/>
        <v>50400</v>
      </c>
      <c r="AO24" s="2">
        <f t="shared" si="7"/>
        <v>285522.78025987465</v>
      </c>
      <c r="AP24" s="31">
        <f>AO24/Calculations!$B$4/A24</f>
        <v>0.18473264768366632</v>
      </c>
      <c r="AQ24" s="2">
        <f>F24</f>
        <v>231145.39078971202</v>
      </c>
      <c r="AR24" s="31">
        <f>AQ24/Calculations!$B$4/A24</f>
        <v>0.14955058927905798</v>
      </c>
      <c r="AS24" s="31">
        <f t="shared" si="8"/>
        <v>3.5182058404608335E-2</v>
      </c>
      <c r="AT24" s="31"/>
      <c r="AU24" s="2">
        <f>I24*Parameters!$B$22</f>
        <v>29100.793802840089</v>
      </c>
      <c r="AV24" s="2">
        <f>J24*Parameters!$B$23</f>
        <v>24751.984507100227</v>
      </c>
      <c r="AW24" s="2">
        <f t="shared" si="9"/>
        <v>53852.778309940317</v>
      </c>
      <c r="AX24" s="2">
        <f>AO24-AW24</f>
        <v>231670.00194993435</v>
      </c>
      <c r="AY24" s="31">
        <f>AX24/Calculations!$B$4/A24</f>
        <v>0.14989001161357035</v>
      </c>
      <c r="AZ24" s="31">
        <f t="shared" si="10"/>
        <v>3.3942233451236814E-4</v>
      </c>
    </row>
    <row r="25" spans="1:52">
      <c r="A25">
        <v>22</v>
      </c>
      <c r="B25" s="3">
        <f>B24*(1+Parameters!$B$14)</f>
        <v>50387.455538929622</v>
      </c>
      <c r="C25" s="2">
        <f t="shared" si="11"/>
        <v>865885.67709611764</v>
      </c>
      <c r="D25" s="2">
        <f>D24*(1+Parameters!$B$4)</f>
        <v>326077.56814499188</v>
      </c>
      <c r="E25" s="2">
        <f t="shared" si="12"/>
        <v>21332.177355279855</v>
      </c>
      <c r="F25" s="2">
        <f t="shared" si="13"/>
        <v>252477.56814499188</v>
      </c>
      <c r="G25" s="2">
        <f>F25-C25</f>
        <v>-613408.10895112576</v>
      </c>
      <c r="H25" s="31">
        <f>G25/Calculations!$B$4/A25</f>
        <v>-0.37883405938187115</v>
      </c>
      <c r="I25" s="3">
        <f>I24*(1+Parameters!$B$5)</f>
        <v>494713.49464828154</v>
      </c>
      <c r="J25" s="2">
        <f>I25-Parameters!$B$3</f>
        <v>174713.49464828154</v>
      </c>
      <c r="K25" s="2">
        <f>I24*Parameters!$B$6</f>
        <v>7275.1984507100224</v>
      </c>
      <c r="L25" s="2">
        <f t="shared" si="14"/>
        <v>131035.12098621116</v>
      </c>
      <c r="M25" s="2">
        <f>I24*Parameters!$B$7</f>
        <v>9700.2646009466971</v>
      </c>
      <c r="N25" s="2">
        <f t="shared" si="15"/>
        <v>184313.49464828157</v>
      </c>
      <c r="O25" s="2">
        <f>-PMT(Parameters!$B$9/12, 30*12, Parameters!$B$3*(1-Parameters!$B$8)) * 12</f>
        <v>20027.141780426067</v>
      </c>
      <c r="P25" s="2">
        <f t="shared" si="16"/>
        <v>440597.11916937359</v>
      </c>
      <c r="Q25" s="2">
        <f>Parameters!$B$3*(1-Parameters!$B$8)/30</f>
        <v>8533.3333333333339</v>
      </c>
      <c r="R25" s="2">
        <f t="shared" si="0"/>
        <v>11493.808447092733</v>
      </c>
      <c r="S25" s="2">
        <f t="shared" si="17"/>
        <v>252863.78583604019</v>
      </c>
      <c r="T25" s="2">
        <f t="shared" si="1"/>
        <v>-393498.90682225139</v>
      </c>
      <c r="U25" s="31">
        <f>T25/Calculations!$B$4/Table!A25</f>
        <v>-0.24302056992480942</v>
      </c>
      <c r="V25" s="2">
        <f>B25-K25-M25-O25</f>
        <v>13384.850706846835</v>
      </c>
      <c r="W25" s="2">
        <f>IF(V25&gt;0,V25*Parameters!$B$15,0)</f>
        <v>6692.4253534234176</v>
      </c>
      <c r="X25" s="2">
        <f t="shared" si="18"/>
        <v>60814.548816764654</v>
      </c>
      <c r="Y25" s="2">
        <f>Y24*(1+Parameters!$B$4)+W25</f>
        <v>93353.758752997877</v>
      </c>
      <c r="Z25" s="2">
        <f t="shared" si="2"/>
        <v>32539.209936233223</v>
      </c>
      <c r="AA25" s="2">
        <f>T25+Z25</f>
        <v>-360959.69688601815</v>
      </c>
      <c r="AB25" s="31">
        <f>AA25/Calculations!$B$4/A25</f>
        <v>-0.2229247139859302</v>
      </c>
      <c r="AC25" s="31">
        <f t="shared" si="3"/>
        <v>0.15590934539594095</v>
      </c>
      <c r="AD25" s="7">
        <f t="shared" si="4"/>
        <v>22</v>
      </c>
      <c r="AE25" s="2">
        <f t="shared" si="5"/>
        <v>4198.9546282441352</v>
      </c>
      <c r="AF25" s="2">
        <f>(K25+M25+O25)/12</f>
        <v>3083.5504026735653</v>
      </c>
      <c r="AG25" s="8" t="str">
        <f t="shared" si="19"/>
        <v/>
      </c>
      <c r="AH25" s="8"/>
      <c r="AI25" s="47">
        <f t="shared" si="6"/>
        <v>22</v>
      </c>
      <c r="AJ25" s="2">
        <f>AJ24*(1+Parameters!$B$20)</f>
        <v>3713.3825425499094</v>
      </c>
      <c r="AK25" s="2">
        <f>Parameters!$B$21*AJ25</f>
        <v>41775.55360368648</v>
      </c>
      <c r="AL25" s="2">
        <f t="shared" si="20"/>
        <v>752428.23378800973</v>
      </c>
      <c r="AM25" s="2">
        <f>Calculations!$B$5</f>
        <v>2400</v>
      </c>
      <c r="AN25" s="2">
        <f t="shared" si="21"/>
        <v>52800</v>
      </c>
      <c r="AO25" s="2">
        <f t="shared" si="7"/>
        <v>306129.32696575834</v>
      </c>
      <c r="AP25" s="31">
        <f>AO25/Calculations!$B$4/A25</f>
        <v>0.18906208434150093</v>
      </c>
      <c r="AQ25" s="2">
        <f>F25</f>
        <v>252477.56814499188</v>
      </c>
      <c r="AR25" s="31">
        <f>AQ25/Calculations!$B$4/A25</f>
        <v>0.1559273518682015</v>
      </c>
      <c r="AS25" s="31">
        <f t="shared" si="8"/>
        <v>3.3134732473299428E-2</v>
      </c>
      <c r="AT25" s="31"/>
      <c r="AU25" s="2">
        <f>I25*Parameters!$B$22</f>
        <v>29682.809678896891</v>
      </c>
      <c r="AV25" s="2">
        <f>J25*Parameters!$B$23</f>
        <v>26207.02419724223</v>
      </c>
      <c r="AW25" s="2">
        <f t="shared" si="9"/>
        <v>55889.833876139121</v>
      </c>
      <c r="AX25" s="2">
        <f>AO25-AW25</f>
        <v>250239.49308961921</v>
      </c>
      <c r="AY25" s="31">
        <f>AX25/Calculations!$B$4/A25</f>
        <v>0.15454514148321344</v>
      </c>
      <c r="AZ25" s="31">
        <f t="shared" si="10"/>
        <v>-1.382210384988064E-3</v>
      </c>
    </row>
    <row r="26" spans="1:52">
      <c r="A26">
        <v>23</v>
      </c>
      <c r="B26" s="3">
        <f>B25*(1+Parameters!$B$14)</f>
        <v>51647.141927402859</v>
      </c>
      <c r="C26" s="2">
        <f t="shared" si="11"/>
        <v>917532.81902352045</v>
      </c>
      <c r="D26" s="2">
        <f>D25*(1+Parameters!$B$4)</f>
        <v>348902.99791514134</v>
      </c>
      <c r="E26" s="2">
        <f t="shared" si="12"/>
        <v>22825.429770149465</v>
      </c>
      <c r="F26" s="2">
        <f t="shared" si="13"/>
        <v>275302.99791514134</v>
      </c>
      <c r="G26" s="2">
        <f>F26-C26</f>
        <v>-642229.82110837917</v>
      </c>
      <c r="H26" s="31">
        <f>G26/Calculations!$B$4/A26</f>
        <v>-0.37938907201581945</v>
      </c>
      <c r="I26" s="3">
        <f>I25*(1+Parameters!$B$5)</f>
        <v>504607.76454124716</v>
      </c>
      <c r="J26" s="2">
        <f>I26-Parameters!$B$3</f>
        <v>184607.76454124716</v>
      </c>
      <c r="K26" s="2">
        <f>I25*Parameters!$B$6</f>
        <v>7420.7024197242226</v>
      </c>
      <c r="L26" s="2">
        <f t="shared" si="14"/>
        <v>138455.82340593537</v>
      </c>
      <c r="M26" s="2">
        <f>I25*Parameters!$B$7</f>
        <v>9894.2698929656308</v>
      </c>
      <c r="N26" s="2">
        <f t="shared" si="15"/>
        <v>194207.76454124719</v>
      </c>
      <c r="O26" s="2">
        <f>-PMT(Parameters!$B$9/12, 30*12, Parameters!$B$3*(1-Parameters!$B$8)) * 12</f>
        <v>20027.141780426067</v>
      </c>
      <c r="P26" s="2">
        <f t="shared" si="16"/>
        <v>460624.26094979967</v>
      </c>
      <c r="Q26" s="2">
        <f>Parameters!$B$3*(1-Parameters!$B$8)/30</f>
        <v>8533.3333333333339</v>
      </c>
      <c r="R26" s="2">
        <f t="shared" si="0"/>
        <v>11493.808447092733</v>
      </c>
      <c r="S26" s="2">
        <f t="shared" si="17"/>
        <v>264357.59428313293</v>
      </c>
      <c r="T26" s="2">
        <f t="shared" si="1"/>
        <v>-412413.41768906836</v>
      </c>
      <c r="U26" s="31">
        <f>T26/Calculations!$B$4/Table!A26</f>
        <v>-0.2436279641357918</v>
      </c>
      <c r="V26" s="2">
        <f>B26-K26-M26-O26</f>
        <v>14305.027834286939</v>
      </c>
      <c r="W26" s="2">
        <f>IF(V26&gt;0,V26*Parameters!$B$15,0)</f>
        <v>7152.5139171434694</v>
      </c>
      <c r="X26" s="2">
        <f t="shared" si="18"/>
        <v>67967.062733908126</v>
      </c>
      <c r="Y26" s="2">
        <f>Y25*(1+Parameters!$B$4)+W26</f>
        <v>107041.03578285121</v>
      </c>
      <c r="Z26" s="2">
        <f t="shared" si="2"/>
        <v>39073.97304894308</v>
      </c>
      <c r="AA26" s="2">
        <f>T26+Z26</f>
        <v>-373339.44464012526</v>
      </c>
      <c r="AB26" s="31">
        <f>AA26/Calculations!$B$4/A26</f>
        <v>-0.22054551313807022</v>
      </c>
      <c r="AC26" s="31">
        <f t="shared" si="3"/>
        <v>0.15884355887774923</v>
      </c>
      <c r="AD26" s="7">
        <f t="shared" si="4"/>
        <v>23</v>
      </c>
      <c r="AE26" s="2">
        <f t="shared" si="5"/>
        <v>4303.9284939502386</v>
      </c>
      <c r="AF26" s="2">
        <f>(K26+M26+O26)/12</f>
        <v>3111.8428410929932</v>
      </c>
      <c r="AG26" s="8" t="str">
        <f t="shared" si="19"/>
        <v/>
      </c>
      <c r="AH26" s="8"/>
      <c r="AI26" s="47">
        <f t="shared" si="6"/>
        <v>23</v>
      </c>
      <c r="AJ26" s="2">
        <f>AJ25*(1+Parameters!$B$20)</f>
        <v>3787.6501934009075</v>
      </c>
      <c r="AK26" s="2">
        <f>Parameters!$B$21*AJ26</f>
        <v>42611.064675760208</v>
      </c>
      <c r="AL26" s="2">
        <f t="shared" si="20"/>
        <v>795039.29846376996</v>
      </c>
      <c r="AM26" s="2">
        <f>Calculations!$B$5</f>
        <v>2400</v>
      </c>
      <c r="AN26" s="2">
        <f t="shared" si="21"/>
        <v>55200</v>
      </c>
      <c r="AO26" s="2">
        <f t="shared" si="7"/>
        <v>327425.8807747016</v>
      </c>
      <c r="AP26" s="31">
        <f>AO26/Calculations!$B$4/A26</f>
        <v>0.19342266113817438</v>
      </c>
      <c r="AQ26" s="2">
        <f>F26</f>
        <v>275302.99791514134</v>
      </c>
      <c r="AR26" s="31">
        <f>AQ26/Calculations!$B$4/A26</f>
        <v>0.1626317331729332</v>
      </c>
      <c r="AS26" s="31">
        <f t="shared" si="8"/>
        <v>3.0790927965241188E-2</v>
      </c>
      <c r="AT26" s="31"/>
      <c r="AU26" s="2">
        <f>I26*Parameters!$B$22</f>
        <v>30276.46587247483</v>
      </c>
      <c r="AV26" s="2">
        <f>J26*Parameters!$B$23</f>
        <v>27691.164681187074</v>
      </c>
      <c r="AW26" s="2">
        <f t="shared" si="9"/>
        <v>57967.630553661904</v>
      </c>
      <c r="AX26" s="2">
        <f>AO26-AW26</f>
        <v>269458.25022103969</v>
      </c>
      <c r="AY26" s="31">
        <f>AX26/Calculations!$B$4/A26</f>
        <v>0.15917902305118128</v>
      </c>
      <c r="AZ26" s="31">
        <f t="shared" si="10"/>
        <v>-3.4527101217519118E-3</v>
      </c>
    </row>
    <row r="27" spans="1:52">
      <c r="A27">
        <v>24</v>
      </c>
      <c r="B27" s="3">
        <f>B26*(1+Parameters!$B$14)</f>
        <v>52938.320475587927</v>
      </c>
      <c r="C27" s="2">
        <f t="shared" si="11"/>
        <v>970471.13949910842</v>
      </c>
      <c r="D27" s="2">
        <f>D26*(1+Parameters!$B$4)</f>
        <v>373326.20776920125</v>
      </c>
      <c r="E27" s="2">
        <f t="shared" si="12"/>
        <v>24423.209854059911</v>
      </c>
      <c r="F27" s="2">
        <f t="shared" si="13"/>
        <v>299726.20776920125</v>
      </c>
      <c r="G27" s="2">
        <f>F27-C27</f>
        <v>-670744.93172990717</v>
      </c>
      <c r="H27" s="31">
        <f>G27/Calculations!$B$4/A27</f>
        <v>-0.37972425935796372</v>
      </c>
      <c r="I27" s="3">
        <f>I26*(1+Parameters!$B$5)</f>
        <v>514699.9198320721</v>
      </c>
      <c r="J27" s="2">
        <f>I27-Parameters!$B$3</f>
        <v>194699.9198320721</v>
      </c>
      <c r="K27" s="2">
        <f>I26*Parameters!$B$6</f>
        <v>7569.1164681187074</v>
      </c>
      <c r="L27" s="2">
        <f t="shared" si="14"/>
        <v>146024.93987405408</v>
      </c>
      <c r="M27" s="2">
        <f>I26*Parameters!$B$7</f>
        <v>10092.155290824943</v>
      </c>
      <c r="N27" s="2">
        <f t="shared" si="15"/>
        <v>204299.91983207213</v>
      </c>
      <c r="O27" s="2">
        <f>-PMT(Parameters!$B$9/12, 30*12, Parameters!$B$3*(1-Parameters!$B$8)) * 12</f>
        <v>20027.141780426067</v>
      </c>
      <c r="P27" s="2">
        <f t="shared" si="16"/>
        <v>480651.40273022576</v>
      </c>
      <c r="Q27" s="2">
        <f>Parameters!$B$3*(1-Parameters!$B$8)/30</f>
        <v>8533.3333333333339</v>
      </c>
      <c r="R27" s="2">
        <f t="shared" si="0"/>
        <v>11493.808447092733</v>
      </c>
      <c r="S27" s="2">
        <f t="shared" si="17"/>
        <v>275851.40273022564</v>
      </c>
      <c r="T27" s="2">
        <f t="shared" si="1"/>
        <v>-431476.34260427975</v>
      </c>
      <c r="U27" s="31">
        <f>T27/Calculations!$B$4/Table!A27</f>
        <v>-0.2442687627968069</v>
      </c>
      <c r="V27" s="2">
        <f>B27-K27-M27-O27</f>
        <v>15249.906936218209</v>
      </c>
      <c r="W27" s="2">
        <f>IF(V27&gt;0,V27*Parameters!$B$15,0)</f>
        <v>7624.9534681091045</v>
      </c>
      <c r="X27" s="2">
        <f t="shared" si="18"/>
        <v>75592.016202017228</v>
      </c>
      <c r="Y27" s="2">
        <f>Y26*(1+Parameters!$B$4)+W27</f>
        <v>122158.86175575991</v>
      </c>
      <c r="Z27" s="2">
        <f t="shared" si="2"/>
        <v>46566.845553742678</v>
      </c>
      <c r="AA27" s="2">
        <f>T27+Z27</f>
        <v>-384909.49705053709</v>
      </c>
      <c r="AB27" s="31">
        <f>AA27/Calculations!$B$4/A27</f>
        <v>-0.2179061917179218</v>
      </c>
      <c r="AC27" s="31">
        <f t="shared" si="3"/>
        <v>0.16181806764004192</v>
      </c>
      <c r="AD27" s="7">
        <f t="shared" si="4"/>
        <v>24</v>
      </c>
      <c r="AE27" s="2">
        <f t="shared" si="5"/>
        <v>4411.5267062989942</v>
      </c>
      <c r="AF27" s="2">
        <f>(K27+M27+O27)/12</f>
        <v>3140.7011282808103</v>
      </c>
      <c r="AG27" s="8" t="str">
        <f t="shared" si="19"/>
        <v/>
      </c>
      <c r="AH27" s="8"/>
      <c r="AI27" s="47">
        <f t="shared" si="6"/>
        <v>24</v>
      </c>
      <c r="AJ27" s="2">
        <f>AJ26*(1+Parameters!$B$20)</f>
        <v>3863.4031972689259</v>
      </c>
      <c r="AK27" s="2">
        <f>Parameters!$B$21*AJ27</f>
        <v>43463.285969275414</v>
      </c>
      <c r="AL27" s="2">
        <f t="shared" si="20"/>
        <v>838502.58443304535</v>
      </c>
      <c r="AM27" s="2">
        <f>Calculations!$B$5</f>
        <v>2400</v>
      </c>
      <c r="AN27" s="2">
        <f t="shared" si="21"/>
        <v>57600</v>
      </c>
      <c r="AO27" s="2">
        <f t="shared" si="7"/>
        <v>349426.2418287656</v>
      </c>
      <c r="AP27" s="31">
        <f>AO27/Calculations!$B$4/A27</f>
        <v>0.19781829813675589</v>
      </c>
      <c r="AQ27" s="2">
        <f>F27</f>
        <v>299726.20776920125</v>
      </c>
      <c r="AR27" s="31">
        <f>AQ27/Calculations!$B$4/A27</f>
        <v>0.16968195639107861</v>
      </c>
      <c r="AS27" s="31">
        <f t="shared" si="8"/>
        <v>2.8136341745677279E-2</v>
      </c>
      <c r="AT27" s="31"/>
      <c r="AU27" s="2">
        <f>I27*Parameters!$B$22</f>
        <v>30881.995189924324</v>
      </c>
      <c r="AV27" s="2">
        <f>J27*Parameters!$B$23</f>
        <v>29204.987974810814</v>
      </c>
      <c r="AW27" s="2">
        <f t="shared" si="9"/>
        <v>60086.983164735138</v>
      </c>
      <c r="AX27" s="2">
        <f>AO27-AW27</f>
        <v>289339.25866403047</v>
      </c>
      <c r="AY27" s="31">
        <f>AX27/Calculations!$B$4/A27</f>
        <v>0.16380166364585058</v>
      </c>
      <c r="AZ27" s="31">
        <f t="shared" si="10"/>
        <v>-5.8802927452280274E-3</v>
      </c>
    </row>
    <row r="28" spans="1:52">
      <c r="A28">
        <v>25</v>
      </c>
      <c r="B28" s="3">
        <f>B27*(1+Parameters!$B$14)</f>
        <v>54261.778487477619</v>
      </c>
      <c r="C28" s="2">
        <f t="shared" si="11"/>
        <v>1024732.917986586</v>
      </c>
      <c r="D28" s="2">
        <f>D27*(1+Parameters!$B$4)</f>
        <v>399459.04231304536</v>
      </c>
      <c r="E28" s="2">
        <f t="shared" si="12"/>
        <v>26132.834543844103</v>
      </c>
      <c r="F28" s="2">
        <f t="shared" si="13"/>
        <v>325859.04231304536</v>
      </c>
      <c r="G28" s="2">
        <f>F28-C28</f>
        <v>-698873.87567354064</v>
      </c>
      <c r="H28" s="31">
        <f>G28/Calculations!$B$4/A28</f>
        <v>-0.37982275851822861</v>
      </c>
      <c r="I28" s="3">
        <f>I27*(1+Parameters!$B$5)</f>
        <v>524993.91822871356</v>
      </c>
      <c r="J28" s="2">
        <f>I28-Parameters!$B$3</f>
        <v>204993.91822871356</v>
      </c>
      <c r="K28" s="2">
        <f>I27*Parameters!$B$6</f>
        <v>7720.4987974810811</v>
      </c>
      <c r="L28" s="2">
        <f t="shared" si="14"/>
        <v>153745.43867153517</v>
      </c>
      <c r="M28" s="2">
        <f>I27*Parameters!$B$7</f>
        <v>10293.998396641442</v>
      </c>
      <c r="N28" s="2">
        <f t="shared" si="15"/>
        <v>214593.91822871356</v>
      </c>
      <c r="O28" s="2">
        <f>-PMT(Parameters!$B$9/12, 30*12, Parameters!$B$3*(1-Parameters!$B$8)) * 12</f>
        <v>20027.141780426067</v>
      </c>
      <c r="P28" s="2">
        <f t="shared" si="16"/>
        <v>500678.54451065185</v>
      </c>
      <c r="Q28" s="2">
        <f>Parameters!$B$3*(1-Parameters!$B$8)/30</f>
        <v>8533.3333333333339</v>
      </c>
      <c r="R28" s="2">
        <f t="shared" si="0"/>
        <v>11493.808447092733</v>
      </c>
      <c r="S28" s="2">
        <f t="shared" si="17"/>
        <v>287345.21117731836</v>
      </c>
      <c r="T28" s="2">
        <f t="shared" si="1"/>
        <v>-450690.64984885353</v>
      </c>
      <c r="U28" s="31">
        <f>T28/Calculations!$B$4/Table!A28</f>
        <v>-0.24494057057002908</v>
      </c>
      <c r="V28" s="2">
        <f>B28-K28-M28-O28</f>
        <v>16220.139512929029</v>
      </c>
      <c r="W28" s="2">
        <f>IF(V28&gt;0,V28*Parameters!$B$15,0)</f>
        <v>8110.0697564645143</v>
      </c>
      <c r="X28" s="2">
        <f t="shared" si="18"/>
        <v>83702.085958481737</v>
      </c>
      <c r="Y28" s="2">
        <f>Y27*(1+Parameters!$B$4)+W28</f>
        <v>138820.05183512761</v>
      </c>
      <c r="Z28" s="2">
        <f t="shared" si="2"/>
        <v>55117.965876645874</v>
      </c>
      <c r="AA28" s="2">
        <f>T28+Z28</f>
        <v>-395572.68397220765</v>
      </c>
      <c r="AB28" s="31">
        <f>AA28/Calculations!$B$4/A28</f>
        <v>-0.21498515433272153</v>
      </c>
      <c r="AC28" s="31">
        <f t="shared" si="3"/>
        <v>0.16483760418550708</v>
      </c>
      <c r="AD28" s="7">
        <f t="shared" si="4"/>
        <v>25</v>
      </c>
      <c r="AE28" s="2">
        <f t="shared" si="5"/>
        <v>4521.8148739564685</v>
      </c>
      <c r="AF28" s="2">
        <f>(K28+M28+O28)/12</f>
        <v>3170.1365812123827</v>
      </c>
      <c r="AG28" s="8" t="str">
        <f t="shared" si="19"/>
        <v/>
      </c>
      <c r="AH28" s="8"/>
      <c r="AI28" s="47">
        <f t="shared" si="6"/>
        <v>25</v>
      </c>
      <c r="AJ28" s="2">
        <f>AJ27*(1+Parameters!$B$20)</f>
        <v>3940.6712612143046</v>
      </c>
      <c r="AK28" s="2">
        <f>Parameters!$B$21*AJ28</f>
        <v>44332.551688660926</v>
      </c>
      <c r="AL28" s="2">
        <f t="shared" si="20"/>
        <v>882835.13612170634</v>
      </c>
      <c r="AM28" s="2">
        <f>Calculations!$B$5</f>
        <v>2400</v>
      </c>
      <c r="AN28" s="2">
        <f t="shared" si="21"/>
        <v>60000</v>
      </c>
      <c r="AO28" s="2">
        <f t="shared" si="7"/>
        <v>372144.48627285281</v>
      </c>
      <c r="AP28" s="31">
        <f>AO28/Calculations!$B$4/A28</f>
        <v>0.20225243819176783</v>
      </c>
      <c r="AQ28" s="2">
        <f>F28</f>
        <v>325859.04231304536</v>
      </c>
      <c r="AR28" s="31">
        <f>AQ28/Calculations!$B$4/A28</f>
        <v>0.17709730560491596</v>
      </c>
      <c r="AS28" s="31">
        <f t="shared" si="8"/>
        <v>2.5155132586851869E-2</v>
      </c>
      <c r="AT28" s="31"/>
      <c r="AU28" s="2">
        <f>I28*Parameters!$B$22</f>
        <v>31499.635093722813</v>
      </c>
      <c r="AV28" s="2">
        <f>J28*Parameters!$B$23</f>
        <v>30749.087734307031</v>
      </c>
      <c r="AW28" s="2">
        <f t="shared" si="9"/>
        <v>62248.722828029844</v>
      </c>
      <c r="AX28" s="2">
        <f>AO28-AW28</f>
        <v>309895.76344482298</v>
      </c>
      <c r="AY28" s="31">
        <f>AX28/Calculations!$B$4/A28</f>
        <v>0.16842161056783858</v>
      </c>
      <c r="AZ28" s="31">
        <f t="shared" si="10"/>
        <v>-8.67569503707738E-3</v>
      </c>
    </row>
    <row r="29" spans="1:52">
      <c r="A29">
        <v>26</v>
      </c>
      <c r="B29" s="3">
        <f>B28*(1+Parameters!$B$14)</f>
        <v>55618.322949664558</v>
      </c>
      <c r="C29" s="2">
        <f t="shared" si="11"/>
        <v>1080351.2409362507</v>
      </c>
      <c r="D29" s="2">
        <f>D28*(1+Parameters!$B$4)</f>
        <v>427421.17527495854</v>
      </c>
      <c r="E29" s="2">
        <f t="shared" si="12"/>
        <v>27962.132961913187</v>
      </c>
      <c r="F29" s="2">
        <f t="shared" si="13"/>
        <v>353821.17527495854</v>
      </c>
      <c r="G29" s="2">
        <f>F29-C29</f>
        <v>-726530.06566129206</v>
      </c>
      <c r="H29" s="31">
        <f>G29/Calculations!$B$4/A29</f>
        <v>-0.37966663130293277</v>
      </c>
      <c r="I29" s="3">
        <f>I28*(1+Parameters!$B$5)</f>
        <v>535493.79659328784</v>
      </c>
      <c r="J29" s="2">
        <f>I29-Parameters!$B$3</f>
        <v>215493.79659328784</v>
      </c>
      <c r="K29" s="2">
        <f>I28*Parameters!$B$6</f>
        <v>7874.9087734307031</v>
      </c>
      <c r="L29" s="2">
        <f t="shared" si="14"/>
        <v>161620.34744496588</v>
      </c>
      <c r="M29" s="2">
        <f>I28*Parameters!$B$7</f>
        <v>10499.878364574271</v>
      </c>
      <c r="N29" s="2">
        <f t="shared" si="15"/>
        <v>225093.79659328784</v>
      </c>
      <c r="O29" s="2">
        <f>-PMT(Parameters!$B$9/12, 30*12, Parameters!$B$3*(1-Parameters!$B$8)) * 12</f>
        <v>20027.141780426067</v>
      </c>
      <c r="P29" s="2">
        <f t="shared" si="16"/>
        <v>520705.68629107793</v>
      </c>
      <c r="Q29" s="2">
        <f>Parameters!$B$3*(1-Parameters!$B$8)/30</f>
        <v>8533.3333333333339</v>
      </c>
      <c r="R29" s="2">
        <f t="shared" si="0"/>
        <v>11493.808447092733</v>
      </c>
      <c r="S29" s="2">
        <f t="shared" si="17"/>
        <v>298839.01962441107</v>
      </c>
      <c r="T29" s="2">
        <f t="shared" si="1"/>
        <v>-470059.36706937698</v>
      </c>
      <c r="U29" s="31">
        <f>T29/Calculations!$B$4/Table!A29</f>
        <v>-0.24564139165414767</v>
      </c>
      <c r="V29" s="2">
        <f>B29-K29-M29-O29</f>
        <v>17216.394031233514</v>
      </c>
      <c r="W29" s="2">
        <f>IF(V29&gt;0,V29*Parameters!$B$15,0)</f>
        <v>8608.1970156167572</v>
      </c>
      <c r="X29" s="2">
        <f t="shared" si="18"/>
        <v>92310.282974098489</v>
      </c>
      <c r="Y29" s="2">
        <f>Y28*(1+Parameters!$B$4)+W29</f>
        <v>157145.6524792033</v>
      </c>
      <c r="Z29" s="2">
        <f t="shared" si="2"/>
        <v>64835.369505104813</v>
      </c>
      <c r="AA29" s="2">
        <f>T29+Z29</f>
        <v>-405223.99756427214</v>
      </c>
      <c r="AB29" s="31">
        <f>AA29/Calculations!$B$4/A29</f>
        <v>-0.21176003217196498</v>
      </c>
      <c r="AC29" s="31">
        <f t="shared" si="3"/>
        <v>0.16790659913096778</v>
      </c>
      <c r="AD29" s="7">
        <f t="shared" si="4"/>
        <v>26</v>
      </c>
      <c r="AE29" s="2">
        <f t="shared" si="5"/>
        <v>4634.8602458053801</v>
      </c>
      <c r="AF29" s="2">
        <f>(K29+M29+O29)/12</f>
        <v>3200.1607432025871</v>
      </c>
      <c r="AG29" s="8" t="str">
        <f t="shared" si="19"/>
        <v/>
      </c>
      <c r="AH29" s="8"/>
      <c r="AI29" s="47">
        <f t="shared" si="6"/>
        <v>26</v>
      </c>
      <c r="AJ29" s="2">
        <f>AJ28*(1+Parameters!$B$20)</f>
        <v>4019.4846864385909</v>
      </c>
      <c r="AK29" s="2">
        <f>Parameters!$B$21*AJ29</f>
        <v>45219.202722434144</v>
      </c>
      <c r="AL29" s="2">
        <f t="shared" si="20"/>
        <v>928054.33884414053</v>
      </c>
      <c r="AM29" s="2">
        <f>Calculations!$B$5</f>
        <v>2400</v>
      </c>
      <c r="AN29" s="2">
        <f t="shared" si="21"/>
        <v>62400</v>
      </c>
      <c r="AO29" s="2">
        <f t="shared" si="7"/>
        <v>395594.97177476354</v>
      </c>
      <c r="AP29" s="31">
        <f>AO29/Calculations!$B$4/A29</f>
        <v>0.20672814160470504</v>
      </c>
      <c r="AQ29" s="2">
        <f>F29</f>
        <v>353821.17527495854</v>
      </c>
      <c r="AR29" s="31">
        <f>AQ29/Calculations!$B$4/A29</f>
        <v>0.18489818942044239</v>
      </c>
      <c r="AS29" s="31">
        <f t="shared" si="8"/>
        <v>2.1829952184262646E-2</v>
      </c>
      <c r="AT29" s="31"/>
      <c r="AU29" s="2">
        <f>I29*Parameters!$B$22</f>
        <v>32129.627795597269</v>
      </c>
      <c r="AV29" s="2">
        <f>J29*Parameters!$B$23</f>
        <v>32324.069488993176</v>
      </c>
      <c r="AW29" s="2">
        <f t="shared" si="9"/>
        <v>64453.697284590446</v>
      </c>
      <c r="AX29" s="2">
        <f>AO29-AW29</f>
        <v>331141.27449017309</v>
      </c>
      <c r="AY29" s="31">
        <f>AX29/Calculations!$B$4/A29</f>
        <v>0.17304623457889479</v>
      </c>
      <c r="AZ29" s="31">
        <f t="shared" si="10"/>
        <v>-1.1851954841547607E-2</v>
      </c>
    </row>
    <row r="30" spans="1:52">
      <c r="A30">
        <v>27</v>
      </c>
      <c r="B30" s="3">
        <f>B29*(1+Parameters!$B$14)</f>
        <v>57008.781023406169</v>
      </c>
      <c r="C30" s="2">
        <f t="shared" si="11"/>
        <v>1137360.0219596568</v>
      </c>
      <c r="D30" s="2">
        <f>D29*(1+Parameters!$B$4)</f>
        <v>457340.65754420566</v>
      </c>
      <c r="E30" s="2">
        <f t="shared" si="12"/>
        <v>29919.482269247121</v>
      </c>
      <c r="F30" s="2">
        <f t="shared" si="13"/>
        <v>383740.65754420566</v>
      </c>
      <c r="G30" s="2">
        <f>F30-C30</f>
        <v>-753619.36441545119</v>
      </c>
      <c r="H30" s="31">
        <f>G30/Calculations!$B$4/A30</f>
        <v>-0.37923679771308938</v>
      </c>
      <c r="I30" s="3">
        <f>I29*(1+Parameters!$B$5)</f>
        <v>546203.67252515361</v>
      </c>
      <c r="J30" s="2">
        <f>I30-Parameters!$B$3</f>
        <v>226203.67252515361</v>
      </c>
      <c r="K30" s="2">
        <f>I29*Parameters!$B$6</f>
        <v>8032.4069488993173</v>
      </c>
      <c r="L30" s="2">
        <f t="shared" si="14"/>
        <v>169652.75439386521</v>
      </c>
      <c r="M30" s="2">
        <f>I29*Parameters!$B$7</f>
        <v>10709.875931865758</v>
      </c>
      <c r="N30" s="2">
        <f t="shared" si="15"/>
        <v>235803.67252515361</v>
      </c>
      <c r="O30" s="2">
        <f>-PMT(Parameters!$B$9/12, 30*12, Parameters!$B$3*(1-Parameters!$B$8)) * 12</f>
        <v>20027.141780426067</v>
      </c>
      <c r="P30" s="2">
        <f t="shared" si="16"/>
        <v>540732.82807150402</v>
      </c>
      <c r="Q30" s="2">
        <f>Parameters!$B$3*(1-Parameters!$B$8)/30</f>
        <v>8533.3333333333339</v>
      </c>
      <c r="R30" s="2">
        <f t="shared" si="0"/>
        <v>11493.808447092733</v>
      </c>
      <c r="S30" s="2">
        <f t="shared" si="17"/>
        <v>310332.82807150378</v>
      </c>
      <c r="T30" s="2">
        <f t="shared" si="1"/>
        <v>-489585.58246536902</v>
      </c>
      <c r="U30" s="31">
        <f>T30/Calculations!$B$4/Table!A30</f>
        <v>-0.24636955639360356</v>
      </c>
      <c r="V30" s="2">
        <f>B30-K30-M30-O30</f>
        <v>18239.356362215029</v>
      </c>
      <c r="W30" s="2">
        <f>IF(V30&gt;0,V30*Parameters!$B$15,0)</f>
        <v>9119.6781811075143</v>
      </c>
      <c r="X30" s="2">
        <f t="shared" si="18"/>
        <v>101429.96115520601</v>
      </c>
      <c r="Y30" s="2">
        <f>Y29*(1+Parameters!$B$4)+W30</f>
        <v>177265.52633385506</v>
      </c>
      <c r="Z30" s="2">
        <f t="shared" si="2"/>
        <v>75835.565178649049</v>
      </c>
      <c r="AA30" s="2">
        <f>T30+Z30</f>
        <v>-413750.01728671999</v>
      </c>
      <c r="AB30" s="31">
        <f>AA30/Calculations!$B$4/A30</f>
        <v>-0.20820753687938806</v>
      </c>
      <c r="AC30" s="31">
        <f t="shared" si="3"/>
        <v>0.17102926083370132</v>
      </c>
      <c r="AD30" s="7">
        <f t="shared" si="4"/>
        <v>27</v>
      </c>
      <c r="AE30" s="2">
        <f t="shared" si="5"/>
        <v>4750.7317519505141</v>
      </c>
      <c r="AF30" s="2">
        <f>(K30+M30+O30)/12</f>
        <v>3230.7853884325946</v>
      </c>
      <c r="AG30" s="8" t="str">
        <f t="shared" si="19"/>
        <v/>
      </c>
      <c r="AH30" s="8"/>
      <c r="AI30" s="47">
        <f t="shared" si="6"/>
        <v>27</v>
      </c>
      <c r="AJ30" s="2">
        <f>AJ29*(1+Parameters!$B$20)</f>
        <v>4099.8743801673627</v>
      </c>
      <c r="AK30" s="2">
        <f>Parameters!$B$21*AJ30</f>
        <v>46123.586776882832</v>
      </c>
      <c r="AL30" s="2">
        <f t="shared" si="20"/>
        <v>974177.9256210234</v>
      </c>
      <c r="AM30" s="2">
        <f>Calculations!$B$5</f>
        <v>2400</v>
      </c>
      <c r="AN30" s="2">
        <f t="shared" si="21"/>
        <v>64800</v>
      </c>
      <c r="AO30" s="2">
        <f t="shared" si="7"/>
        <v>419792.34315565438</v>
      </c>
      <c r="AP30" s="31">
        <f>AO30/Calculations!$B$4/A30</f>
        <v>0.21124815980055073</v>
      </c>
      <c r="AQ30" s="2">
        <f>F30</f>
        <v>383740.65754420566</v>
      </c>
      <c r="AR30" s="31">
        <f>AQ30/Calculations!$B$4/A30</f>
        <v>0.19310620850654472</v>
      </c>
      <c r="AS30" s="31">
        <f t="shared" si="8"/>
        <v>1.8141951294006003E-2</v>
      </c>
      <c r="AT30" s="31"/>
      <c r="AU30" s="2">
        <f>I30*Parameters!$B$22</f>
        <v>32772.220351509219</v>
      </c>
      <c r="AV30" s="2">
        <f>J30*Parameters!$B$23</f>
        <v>33930.550878773043</v>
      </c>
      <c r="AW30" s="2">
        <f t="shared" si="9"/>
        <v>66702.771230282262</v>
      </c>
      <c r="AX30" s="2">
        <f>AO30-AW30</f>
        <v>353089.57192537212</v>
      </c>
      <c r="AY30" s="31">
        <f>AX30/Calculations!$B$4/A30</f>
        <v>0.1776819504455375</v>
      </c>
      <c r="AZ30" s="31">
        <f t="shared" si="10"/>
        <v>-1.5424258061007223E-2</v>
      </c>
    </row>
    <row r="31" spans="1:52">
      <c r="A31">
        <v>28</v>
      </c>
      <c r="B31" s="3">
        <f>B30*(1+Parameters!$B$14)</f>
        <v>58434.000548991316</v>
      </c>
      <c r="C31" s="2">
        <f t="shared" si="11"/>
        <v>1195794.0225086482</v>
      </c>
      <c r="D31" s="2">
        <f>D30*(1+Parameters!$B$4)</f>
        <v>489354.50357230008</v>
      </c>
      <c r="E31" s="2">
        <f t="shared" si="12"/>
        <v>32013.846028094413</v>
      </c>
      <c r="F31" s="2">
        <f t="shared" si="13"/>
        <v>415754.50357230008</v>
      </c>
      <c r="G31" s="2">
        <f>F31-C31</f>
        <v>-780039.51893634815</v>
      </c>
      <c r="H31" s="31">
        <f>G31/Calculations!$B$4/A31</f>
        <v>-0.37851296532237388</v>
      </c>
      <c r="I31" s="3">
        <f>I30*(1+Parameters!$B$5)</f>
        <v>557127.74597565667</v>
      </c>
      <c r="J31" s="2">
        <f>I31-Parameters!$B$3</f>
        <v>237127.74597565667</v>
      </c>
      <c r="K31" s="2">
        <f>I30*Parameters!$B$6</f>
        <v>8193.0550878773047</v>
      </c>
      <c r="L31" s="2">
        <f t="shared" si="14"/>
        <v>177845.8094817425</v>
      </c>
      <c r="M31" s="2">
        <f>I30*Parameters!$B$7</f>
        <v>10924.073450503072</v>
      </c>
      <c r="N31" s="2">
        <f t="shared" si="15"/>
        <v>246727.7459756567</v>
      </c>
      <c r="O31" s="2">
        <f>-PMT(Parameters!$B$9/12, 30*12, Parameters!$B$3*(1-Parameters!$B$8)) * 12</f>
        <v>20027.141780426067</v>
      </c>
      <c r="P31" s="2">
        <f t="shared" si="16"/>
        <v>560759.96985193004</v>
      </c>
      <c r="Q31" s="2">
        <f>Parameters!$B$3*(1-Parameters!$B$8)/30</f>
        <v>8533.3333333333339</v>
      </c>
      <c r="R31" s="2">
        <f t="shared" si="0"/>
        <v>11493.808447092733</v>
      </c>
      <c r="S31" s="2">
        <f t="shared" si="17"/>
        <v>321826.6365185965</v>
      </c>
      <c r="T31" s="2">
        <f t="shared" si="1"/>
        <v>-509272.446000339</v>
      </c>
      <c r="U31" s="31">
        <f>T31/Calculations!$B$4/Table!A31</f>
        <v>-0.24712366362594088</v>
      </c>
      <c r="V31" s="2">
        <f>B31-K31-M31-O31</f>
        <v>19289.730230184872</v>
      </c>
      <c r="W31" s="2">
        <f>IF(V31&gt;0,V31*Parameters!$B$15,0)</f>
        <v>9644.8651150924361</v>
      </c>
      <c r="X31" s="2">
        <f t="shared" si="18"/>
        <v>111074.82627029845</v>
      </c>
      <c r="Y31" s="2">
        <f>Y30*(1+Parameters!$B$4)+W31</f>
        <v>199318.97829231736</v>
      </c>
      <c r="Z31" s="2">
        <f t="shared" si="2"/>
        <v>88244.152022018912</v>
      </c>
      <c r="AA31" s="2">
        <f>T31+Z31</f>
        <v>-421028.29397832009</v>
      </c>
      <c r="AB31" s="31">
        <f>AA31/Calculations!$B$4/A31</f>
        <v>-0.20430332588233699</v>
      </c>
      <c r="AC31" s="31">
        <f t="shared" si="3"/>
        <v>0.1742096394400369</v>
      </c>
      <c r="AD31" s="7">
        <f t="shared" si="4"/>
        <v>28</v>
      </c>
      <c r="AE31" s="2">
        <f t="shared" si="5"/>
        <v>4869.5000457492761</v>
      </c>
      <c r="AF31" s="2">
        <f>(K31+M31+O31)/12</f>
        <v>3262.0225265672038</v>
      </c>
      <c r="AG31" s="8" t="str">
        <f t="shared" si="19"/>
        <v/>
      </c>
      <c r="AH31" s="8"/>
      <c r="AI31" s="47">
        <f t="shared" si="6"/>
        <v>28</v>
      </c>
      <c r="AJ31" s="2">
        <f>AJ30*(1+Parameters!$B$20)</f>
        <v>4181.8718677707102</v>
      </c>
      <c r="AK31" s="2">
        <f>Parameters!$B$21*AJ31</f>
        <v>47046.058512420488</v>
      </c>
      <c r="AL31" s="2">
        <f t="shared" si="20"/>
        <v>1021223.9841334439</v>
      </c>
      <c r="AM31" s="2">
        <f>Calculations!$B$5</f>
        <v>2400</v>
      </c>
      <c r="AN31" s="2">
        <f t="shared" si="21"/>
        <v>67200</v>
      </c>
      <c r="AO31" s="2">
        <f t="shared" si="7"/>
        <v>444751.53813310491</v>
      </c>
      <c r="AP31" s="31">
        <f>AO31/Calculations!$B$4/A31</f>
        <v>0.21581499327111067</v>
      </c>
      <c r="AQ31" s="2">
        <f>F31</f>
        <v>415754.50357230008</v>
      </c>
      <c r="AR31" s="31">
        <f>AQ31/Calculations!$B$4/A31</f>
        <v>0.20174422727693134</v>
      </c>
      <c r="AS31" s="31">
        <f t="shared" si="8"/>
        <v>1.4070765994179335E-2</v>
      </c>
      <c r="AT31" s="31"/>
      <c r="AU31" s="2">
        <f>I31*Parameters!$B$22</f>
        <v>33427.664758539402</v>
      </c>
      <c r="AV31" s="2">
        <f>J31*Parameters!$B$23</f>
        <v>35569.161896348502</v>
      </c>
      <c r="AW31" s="2">
        <f t="shared" si="9"/>
        <v>68996.826654887904</v>
      </c>
      <c r="AX31" s="2">
        <f>AO31-AW31</f>
        <v>375754.71147821704</v>
      </c>
      <c r="AY31" s="31">
        <f>AX31/Calculations!$B$4/A31</f>
        <v>0.18233439027475593</v>
      </c>
      <c r="AZ31" s="31">
        <f t="shared" si="10"/>
        <v>-1.9409837002175412E-2</v>
      </c>
    </row>
    <row r="32" spans="1:52">
      <c r="A32">
        <v>29</v>
      </c>
      <c r="B32" s="3">
        <f>B31*(1+Parameters!$B$14)</f>
        <v>59894.850562716092</v>
      </c>
      <c r="C32" s="2">
        <f t="shared" si="11"/>
        <v>1255688.8730713644</v>
      </c>
      <c r="D32" s="2">
        <f>D31*(1+Parameters!$B$4)</f>
        <v>523609.31882236112</v>
      </c>
      <c r="E32" s="2">
        <f t="shared" si="12"/>
        <v>34254.815250061045</v>
      </c>
      <c r="F32" s="2">
        <f t="shared" si="13"/>
        <v>450009.31882236112</v>
      </c>
      <c r="G32" s="2">
        <f>F32-C32</f>
        <v>-805679.5542490033</v>
      </c>
      <c r="H32" s="31">
        <f>G32/Calculations!$B$4/A32</f>
        <v>-0.37747355427708179</v>
      </c>
      <c r="I32" s="3">
        <f>I31*(1+Parameters!$B$5)</f>
        <v>568270.30089516984</v>
      </c>
      <c r="J32" s="2">
        <f>I32-Parameters!$B$3</f>
        <v>248270.30089516984</v>
      </c>
      <c r="K32" s="2">
        <f>I31*Parameters!$B$6</f>
        <v>8356.9161896348505</v>
      </c>
      <c r="L32" s="2">
        <f t="shared" si="14"/>
        <v>186202.72567137735</v>
      </c>
      <c r="M32" s="2">
        <f>I31*Parameters!$B$7</f>
        <v>11142.554919513133</v>
      </c>
      <c r="N32" s="2">
        <f t="shared" si="15"/>
        <v>257870.30089516984</v>
      </c>
      <c r="O32" s="2">
        <f>-PMT(Parameters!$B$9/12, 30*12, Parameters!$B$3*(1-Parameters!$B$8)) * 12</f>
        <v>20027.141780426067</v>
      </c>
      <c r="P32" s="2">
        <f t="shared" si="16"/>
        <v>580787.11163235607</v>
      </c>
      <c r="Q32" s="2">
        <f>Parameters!$B$3*(1-Parameters!$B$8)/30</f>
        <v>8533.3333333333339</v>
      </c>
      <c r="R32" s="2">
        <f t="shared" si="0"/>
        <v>11493.808447092733</v>
      </c>
      <c r="S32" s="2">
        <f t="shared" si="17"/>
        <v>333320.44496568921</v>
      </c>
      <c r="T32" s="2">
        <f t="shared" si="1"/>
        <v>-529123.17063706659</v>
      </c>
      <c r="U32" s="31">
        <f>T32/Calculations!$B$4/Table!A32</f>
        <v>-0.24790253496864062</v>
      </c>
      <c r="V32" s="2">
        <f>B32-K32-M32-O32</f>
        <v>20368.237673142041</v>
      </c>
      <c r="W32" s="2">
        <f>IF(V32&gt;0,V32*Parameters!$B$15,0)</f>
        <v>10184.11883657102</v>
      </c>
      <c r="X32" s="2">
        <f t="shared" si="18"/>
        <v>121258.94510686948</v>
      </c>
      <c r="Y32" s="2">
        <f>Y31*(1+Parameters!$B$4)+W32</f>
        <v>223455.42560935061</v>
      </c>
      <c r="Z32" s="2">
        <f t="shared" si="2"/>
        <v>102196.48050248114</v>
      </c>
      <c r="AA32" s="2">
        <f>T32+Z32</f>
        <v>-426926.69013458549</v>
      </c>
      <c r="AB32" s="31">
        <f>AA32/Calculations!$B$4/A32</f>
        <v>-0.20002187506305541</v>
      </c>
      <c r="AC32" s="31">
        <f t="shared" si="3"/>
        <v>0.17745167921402638</v>
      </c>
      <c r="AD32" s="7">
        <f t="shared" si="4"/>
        <v>29</v>
      </c>
      <c r="AE32" s="2">
        <f t="shared" si="5"/>
        <v>4991.2375468930077</v>
      </c>
      <c r="AF32" s="2">
        <f>(K32+M32+O32)/12</f>
        <v>3293.8844074645044</v>
      </c>
      <c r="AG32" s="8" t="str">
        <f t="shared" si="19"/>
        <v/>
      </c>
      <c r="AH32" s="8"/>
      <c r="AI32" s="47">
        <f t="shared" si="6"/>
        <v>29</v>
      </c>
      <c r="AJ32" s="2">
        <f>AJ31*(1+Parameters!$B$20)</f>
        <v>4265.5093051261247</v>
      </c>
      <c r="AK32" s="2">
        <f>Parameters!$B$21*AJ32</f>
        <v>47986.979682668905</v>
      </c>
      <c r="AL32" s="2">
        <f t="shared" si="20"/>
        <v>1069210.9638161128</v>
      </c>
      <c r="AM32" s="2">
        <f>Calculations!$B$5</f>
        <v>2400</v>
      </c>
      <c r="AN32" s="2">
        <f t="shared" si="21"/>
        <v>69600</v>
      </c>
      <c r="AO32" s="2">
        <f t="shared" si="7"/>
        <v>470487.79317904625</v>
      </c>
      <c r="AP32" s="31">
        <f>AO32/Calculations!$B$4/A32</f>
        <v>0.22043093758388596</v>
      </c>
      <c r="AQ32" s="2">
        <f>F32</f>
        <v>450009.31882236112</v>
      </c>
      <c r="AR32" s="31">
        <f>AQ32/Calculations!$B$4/A32</f>
        <v>0.21083644997299528</v>
      </c>
      <c r="AS32" s="31">
        <f t="shared" si="8"/>
        <v>9.594487610890684E-3</v>
      </c>
      <c r="AT32" s="31"/>
      <c r="AU32" s="2">
        <f>I32*Parameters!$B$22</f>
        <v>34096.218053710189</v>
      </c>
      <c r="AV32" s="2">
        <f>J32*Parameters!$B$23</f>
        <v>37240.545134275475</v>
      </c>
      <c r="AW32" s="2">
        <f t="shared" si="9"/>
        <v>71336.763187985664</v>
      </c>
      <c r="AX32" s="2">
        <f>AO32-AW32</f>
        <v>399151.02999106061</v>
      </c>
      <c r="AY32" s="31">
        <f>AX32/Calculations!$B$4/A32</f>
        <v>0.18700854103779077</v>
      </c>
      <c r="AZ32" s="31">
        <f t="shared" si="10"/>
        <v>-2.3827908935204506E-2</v>
      </c>
    </row>
    <row r="33" spans="1:52">
      <c r="A33">
        <v>30</v>
      </c>
      <c r="B33" s="3">
        <f>B32*(1+Parameters!$B$14)</f>
        <v>61392.221826783993</v>
      </c>
      <c r="C33" s="2">
        <f t="shared" si="11"/>
        <v>1317081.0948981484</v>
      </c>
      <c r="D33" s="2">
        <f>D32*(1+Parameters!$B$4)</f>
        <v>560261.97113992646</v>
      </c>
      <c r="E33" s="2">
        <f t="shared" si="12"/>
        <v>36652.652317565342</v>
      </c>
      <c r="F33" s="2">
        <f t="shared" si="13"/>
        <v>486661.97113992646</v>
      </c>
      <c r="G33" s="2">
        <f>F33-C33</f>
        <v>-830419.12375822198</v>
      </c>
      <c r="H33" s="31">
        <f>G33/Calculations!$B$4/A33</f>
        <v>-0.37609561764412225</v>
      </c>
      <c r="I33" s="3">
        <f>I32*(1+Parameters!$B$5)</f>
        <v>579635.7069130732</v>
      </c>
      <c r="J33" s="2">
        <f>I33-Parameters!$B$3</f>
        <v>259635.7069130732</v>
      </c>
      <c r="K33" s="2">
        <f>I32*Parameters!$B$6</f>
        <v>8524.0545134275471</v>
      </c>
      <c r="L33" s="2">
        <f t="shared" si="14"/>
        <v>194726.7801848049</v>
      </c>
      <c r="M33" s="2">
        <f>I32*Parameters!$B$7</f>
        <v>11365.406017903397</v>
      </c>
      <c r="N33" s="2">
        <f t="shared" si="15"/>
        <v>269235.70691307326</v>
      </c>
      <c r="O33" s="2">
        <f>-PMT(Parameters!$B$9/12, 30*12, Parameters!$B$3*(1-Parameters!$B$8)) * 12</f>
        <v>20027.141780426067</v>
      </c>
      <c r="P33" s="2">
        <f t="shared" si="16"/>
        <v>600814.2534127821</v>
      </c>
      <c r="Q33" s="2">
        <f>Parameters!$B$3*(1-Parameters!$B$8)/30</f>
        <v>8533.3333333333339</v>
      </c>
      <c r="R33" s="2">
        <f t="shared" si="0"/>
        <v>11493.808447092733</v>
      </c>
      <c r="S33" s="2">
        <f t="shared" si="17"/>
        <v>344814.25341278192</v>
      </c>
      <c r="T33" s="2">
        <f t="shared" si="1"/>
        <v>-549141.03359758691</v>
      </c>
      <c r="U33" s="31">
        <f>T33/Calculations!$B$4/Table!A33</f>
        <v>-0.2487051782597767</v>
      </c>
      <c r="V33" s="2">
        <f>B33-K33-M33-O33</f>
        <v>21475.619515026981</v>
      </c>
      <c r="W33" s="2">
        <f>IF(V33&gt;0,V33*Parameters!$B$15,0)</f>
        <v>10737.809757513491</v>
      </c>
      <c r="X33" s="2">
        <f t="shared" si="18"/>
        <v>131996.75486438297</v>
      </c>
      <c r="Y33" s="2">
        <f>Y32*(1+Parameters!$B$4)+W33</f>
        <v>249835.11515951867</v>
      </c>
      <c r="Z33" s="2">
        <f t="shared" si="2"/>
        <v>117838.3602951357</v>
      </c>
      <c r="AA33" s="2">
        <f>T33+Z33</f>
        <v>-431302.67330245121</v>
      </c>
      <c r="AB33" s="31">
        <f>AA33/Calculations!$B$4/A33</f>
        <v>-0.19533635566234203</v>
      </c>
      <c r="AC33" s="31">
        <f t="shared" si="3"/>
        <v>0.18075926198178022</v>
      </c>
      <c r="AD33" s="7">
        <f t="shared" si="4"/>
        <v>30</v>
      </c>
      <c r="AE33" s="2">
        <f t="shared" si="5"/>
        <v>5116.0184855653324</v>
      </c>
      <c r="AF33" s="2">
        <f>(K33+M33+O33)/12</f>
        <v>3326.3835259797511</v>
      </c>
      <c r="AG33" s="8" t="str">
        <f t="shared" si="19"/>
        <v/>
      </c>
      <c r="AH33" s="8"/>
      <c r="AI33" s="47">
        <f t="shared" si="6"/>
        <v>30</v>
      </c>
      <c r="AJ33" s="2">
        <f>AJ32*(1+Parameters!$B$20)</f>
        <v>4350.8194912286472</v>
      </c>
      <c r="AK33" s="2">
        <f>Parameters!$B$21*AJ33</f>
        <v>48946.719276322277</v>
      </c>
      <c r="AL33" s="2">
        <f t="shared" si="20"/>
        <v>1118157.6830924351</v>
      </c>
      <c r="AM33" s="2">
        <f>Calculations!$B$5</f>
        <v>2400</v>
      </c>
      <c r="AN33" s="2">
        <f t="shared" si="21"/>
        <v>72000</v>
      </c>
      <c r="AO33" s="2">
        <f t="shared" si="7"/>
        <v>497016.64949484821</v>
      </c>
      <c r="AP33" s="31">
        <f>AO33/Calculations!$B$4/A33</f>
        <v>0.225098120242232</v>
      </c>
      <c r="AQ33" s="2">
        <f>F33</f>
        <v>486661.97113992646</v>
      </c>
      <c r="AR33" s="31">
        <f>AQ33/Calculations!$B$4/A33</f>
        <v>0.22040850142206816</v>
      </c>
      <c r="AS33" s="31">
        <f t="shared" si="8"/>
        <v>4.6896188201638322E-3</v>
      </c>
      <c r="AT33" s="31"/>
      <c r="AU33" s="2">
        <f>I33*Parameters!$B$22</f>
        <v>34778.142414784394</v>
      </c>
      <c r="AV33" s="2">
        <f>J33*Parameters!$B$23</f>
        <v>38945.356036960977</v>
      </c>
      <c r="AW33" s="2">
        <f t="shared" si="9"/>
        <v>73723.49845174537</v>
      </c>
      <c r="AX33" s="2">
        <f>AO33-AW33</f>
        <v>423293.15104310284</v>
      </c>
      <c r="AY33" s="31">
        <f>AX33/Calculations!$B$4/A33</f>
        <v>0.19170885463908643</v>
      </c>
      <c r="AZ33" s="31">
        <f t="shared" si="10"/>
        <v>-2.869964678298173E-2</v>
      </c>
    </row>
    <row r="34" spans="1:52">
      <c r="A34">
        <v>31</v>
      </c>
      <c r="B34" s="3">
        <f>B33*(1+Parameters!$B$14)</f>
        <v>62927.027372453587</v>
      </c>
      <c r="C34" s="2">
        <f t="shared" ref="C34:C43" si="22">B34+C33</f>
        <v>1380008.122270602</v>
      </c>
      <c r="D34" s="2">
        <f>D33*(1+Parameters!$B$4)</f>
        <v>599480.30911972129</v>
      </c>
      <c r="E34" s="2">
        <f t="shared" si="12"/>
        <v>39218.337979794829</v>
      </c>
      <c r="F34" s="2">
        <f t="shared" si="13"/>
        <v>525880.30911972129</v>
      </c>
      <c r="G34" s="2">
        <f>F34-C34</f>
        <v>-854127.81315088074</v>
      </c>
      <c r="H34" s="31">
        <f>G34/Calculations!$B$4/A34</f>
        <v>-0.37435475681577873</v>
      </c>
      <c r="I34" s="3">
        <f>I33*(1+Parameters!$B$5)</f>
        <v>591228.42105133471</v>
      </c>
      <c r="J34" s="2">
        <f>I34-Parameters!$B$3</f>
        <v>271228.42105133471</v>
      </c>
      <c r="K34" s="2">
        <f>I33*Parameters!$B$6</f>
        <v>8694.5356036960984</v>
      </c>
      <c r="L34" s="2">
        <f t="shared" ref="L34:L43" si="23">K34+L33</f>
        <v>203421.315788501</v>
      </c>
      <c r="M34" s="2">
        <f>I33*Parameters!$B$7</f>
        <v>11592.714138261465</v>
      </c>
      <c r="N34" s="2">
        <f t="shared" ref="N34:N43" si="24">M34+N33</f>
        <v>280828.42105133471</v>
      </c>
      <c r="O34" s="2">
        <v>0</v>
      </c>
      <c r="P34" s="2">
        <f t="shared" si="16"/>
        <v>600814.2534127821</v>
      </c>
      <c r="Q34" s="2">
        <v>0</v>
      </c>
      <c r="R34" s="2">
        <f t="shared" si="0"/>
        <v>0</v>
      </c>
      <c r="S34" s="2">
        <f t="shared" si="17"/>
        <v>344814.25341278192</v>
      </c>
      <c r="T34" s="2">
        <f t="shared" si="1"/>
        <v>-557835.56920128292</v>
      </c>
      <c r="U34" s="31">
        <f>T34/Calculations!$B$4/Table!A34</f>
        <v>-0.24449314919411069</v>
      </c>
      <c r="V34" s="2">
        <f>B34-K34-M34-O34</f>
        <v>42639.777630496028</v>
      </c>
      <c r="W34" s="2">
        <f>IF(V34&gt;0,V34*Parameters!$B$15,0)</f>
        <v>21319.888815248014</v>
      </c>
      <c r="X34" s="2">
        <f t="shared" si="18"/>
        <v>153316.64367963097</v>
      </c>
      <c r="Y34" s="2">
        <f>Y33*(1+Parameters!$B$4)+W34</f>
        <v>288643.46203593304</v>
      </c>
      <c r="Z34" s="2">
        <f t="shared" si="2"/>
        <v>135326.81835630207</v>
      </c>
      <c r="AA34" s="2">
        <f>T34+Z34</f>
        <v>-422508.75084498082</v>
      </c>
      <c r="AB34" s="31">
        <f>AA34/Calculations!$B$4/A34</f>
        <v>-0.18518090412209889</v>
      </c>
      <c r="AC34" s="31">
        <f t="shared" si="3"/>
        <v>0.18917385269367984</v>
      </c>
      <c r="AD34" s="7">
        <f t="shared" si="4"/>
        <v>31</v>
      </c>
      <c r="AE34" s="2">
        <f t="shared" si="5"/>
        <v>5243.9189477044656</v>
      </c>
      <c r="AF34" s="2">
        <f>(K34+M34+O34)/12</f>
        <v>1690.6041451631302</v>
      </c>
      <c r="AG34" s="8" t="str">
        <f t="shared" si="19"/>
        <v/>
      </c>
      <c r="AH34" s="8"/>
      <c r="AI34" s="47">
        <f t="shared" si="6"/>
        <v>31</v>
      </c>
      <c r="AJ34" s="2">
        <f>AJ33*(1+Parameters!$B$20)</f>
        <v>4437.83588105322</v>
      </c>
      <c r="AK34" s="2">
        <f>Parameters!$B$21*AJ34</f>
        <v>49925.653661848723</v>
      </c>
      <c r="AL34" s="2">
        <f t="shared" si="20"/>
        <v>1168083.3367542839</v>
      </c>
      <c r="AM34" s="2">
        <f>Calculations!$B$5</f>
        <v>2400</v>
      </c>
      <c r="AN34" s="2">
        <f t="shared" si="21"/>
        <v>74400</v>
      </c>
      <c r="AO34" s="2">
        <f t="shared" si="7"/>
        <v>535847.76755300094</v>
      </c>
      <c r="AP34" s="31">
        <f>AO34/Calculations!$B$4/A34</f>
        <v>0.23485613935527741</v>
      </c>
      <c r="AQ34" s="2">
        <f>F34</f>
        <v>525880.30911972129</v>
      </c>
      <c r="AR34" s="31">
        <f>AQ34/Calculations!$B$4/A34</f>
        <v>0.23048751276285118</v>
      </c>
      <c r="AS34" s="31">
        <f t="shared" si="8"/>
        <v>4.3686265924262335E-3</v>
      </c>
      <c r="AT34" s="31"/>
      <c r="AU34" s="2">
        <f>I34*Parameters!$B$22</f>
        <v>35473.705263080083</v>
      </c>
      <c r="AV34" s="2">
        <f>J34*Parameters!$B$23</f>
        <v>40684.263157700203</v>
      </c>
      <c r="AW34" s="2">
        <f t="shared" si="9"/>
        <v>76157.968420780293</v>
      </c>
      <c r="AX34" s="2">
        <f>AO34-AW34</f>
        <v>459689.79913222068</v>
      </c>
      <c r="AY34" s="31">
        <f>AX34/Calculations!$B$4/A34</f>
        <v>0.20147694562246699</v>
      </c>
      <c r="AZ34" s="31">
        <f t="shared" si="10"/>
        <v>-2.9010567140384191E-2</v>
      </c>
    </row>
    <row r="35" spans="1:52">
      <c r="A35">
        <v>32</v>
      </c>
      <c r="B35" s="3">
        <f>B34*(1+Parameters!$B$14)</f>
        <v>64500.20305676492</v>
      </c>
      <c r="C35" s="2">
        <f t="shared" si="22"/>
        <v>1444508.3253273671</v>
      </c>
      <c r="D35" s="2">
        <f>D34*(1+Parameters!$B$4)</f>
        <v>641443.93075810187</v>
      </c>
      <c r="E35" s="2">
        <f t="shared" si="12"/>
        <v>41963.621638380573</v>
      </c>
      <c r="F35" s="2">
        <f t="shared" si="13"/>
        <v>567843.93075810187</v>
      </c>
      <c r="G35" s="2">
        <f>F35-C35</f>
        <v>-876664.39456926519</v>
      </c>
      <c r="H35" s="31">
        <f>G35/Calculations!$B$4/A35</f>
        <v>-0.37222503166154264</v>
      </c>
      <c r="I35" s="3">
        <f>I34*(1+Parameters!$B$5)</f>
        <v>603052.9894723614</v>
      </c>
      <c r="J35" s="2">
        <f>I35-Parameters!$B$3</f>
        <v>283052.9894723614</v>
      </c>
      <c r="K35" s="2">
        <f>I34*Parameters!$B$6</f>
        <v>8868.4263157700207</v>
      </c>
      <c r="L35" s="2">
        <f t="shared" si="23"/>
        <v>212289.74210427102</v>
      </c>
      <c r="M35" s="2">
        <f>I34*Parameters!$B$7</f>
        <v>11824.568421026694</v>
      </c>
      <c r="N35" s="2">
        <f t="shared" si="24"/>
        <v>292652.9894723614</v>
      </c>
      <c r="O35" s="2">
        <v>0</v>
      </c>
      <c r="P35" s="2">
        <f t="shared" si="16"/>
        <v>600814.2534127821</v>
      </c>
      <c r="Q35" s="2">
        <v>0</v>
      </c>
      <c r="R35" s="2">
        <f t="shared" si="0"/>
        <v>0</v>
      </c>
      <c r="S35" s="2">
        <f t="shared" si="17"/>
        <v>344814.25341278192</v>
      </c>
      <c r="T35" s="2">
        <f t="shared" si="1"/>
        <v>-566703.99551705294</v>
      </c>
      <c r="U35" s="31">
        <f>T35/Calculations!$B$4/Table!A35</f>
        <v>-0.24061820461831393</v>
      </c>
      <c r="V35" s="2">
        <f>B35-K35-M35-O35</f>
        <v>43807.208319968209</v>
      </c>
      <c r="W35" s="2">
        <f>IF(V35&gt;0,V35*Parameters!$B$15,0)</f>
        <v>21903.604159984105</v>
      </c>
      <c r="X35" s="2">
        <f t="shared" si="18"/>
        <v>175220.24783961507</v>
      </c>
      <c r="Y35" s="2">
        <f>Y34*(1+Parameters!$B$4)+W35</f>
        <v>330752.10853843245</v>
      </c>
      <c r="Z35" s="2">
        <f t="shared" si="2"/>
        <v>155531.86069881739</v>
      </c>
      <c r="AA35" s="2">
        <f>T35+Z35</f>
        <v>-411172.13481823553</v>
      </c>
      <c r="AB35" s="31">
        <f>AA35/Calculations!$B$4/A35</f>
        <v>-0.17458055996018831</v>
      </c>
      <c r="AC35" s="31">
        <f t="shared" si="3"/>
        <v>0.19764447170135432</v>
      </c>
      <c r="AD35" s="7">
        <f t="shared" si="4"/>
        <v>32</v>
      </c>
      <c r="AE35" s="2">
        <f t="shared" si="5"/>
        <v>5375.0169213970767</v>
      </c>
      <c r="AF35" s="2">
        <f>(K35+M35+O35)/12</f>
        <v>1724.4162280663929</v>
      </c>
      <c r="AG35" s="8" t="str">
        <f t="shared" si="19"/>
        <v/>
      </c>
      <c r="AH35" s="8"/>
      <c r="AI35" s="47">
        <f t="shared" si="6"/>
        <v>32</v>
      </c>
      <c r="AJ35" s="2">
        <f>AJ34*(1+Parameters!$B$20)</f>
        <v>4526.5925986742841</v>
      </c>
      <c r="AK35" s="2">
        <f>Parameters!$B$21*AJ35</f>
        <v>50924.166735085695</v>
      </c>
      <c r="AL35" s="2">
        <f t="shared" si="20"/>
        <v>1219007.5034893695</v>
      </c>
      <c r="AM35" s="2">
        <f>Calculations!$B$5</f>
        <v>2400</v>
      </c>
      <c r="AN35" s="2">
        <f t="shared" si="21"/>
        <v>76800</v>
      </c>
      <c r="AO35" s="2">
        <f t="shared" si="7"/>
        <v>575503.50797231658</v>
      </c>
      <c r="AP35" s="31">
        <f>AO35/Calculations!$B$4/A35</f>
        <v>0.2443544106540067</v>
      </c>
      <c r="AQ35" s="2">
        <f>F35</f>
        <v>567843.93075810187</v>
      </c>
      <c r="AR35" s="31">
        <f>AQ35/Calculations!$B$4/A35</f>
        <v>0.24110221244824298</v>
      </c>
      <c r="AS35" s="31">
        <f t="shared" si="8"/>
        <v>3.2521982057637233E-3</v>
      </c>
      <c r="AT35" s="31"/>
      <c r="AU35" s="2">
        <f>I35*Parameters!$B$22</f>
        <v>36183.179368341684</v>
      </c>
      <c r="AV35" s="2">
        <f>J35*Parameters!$B$23</f>
        <v>42457.948420854205</v>
      </c>
      <c r="AW35" s="2">
        <f t="shared" si="9"/>
        <v>78641.127789195889</v>
      </c>
      <c r="AX35" s="2">
        <f>AO35-AW35</f>
        <v>496862.38018312072</v>
      </c>
      <c r="AY35" s="31">
        <f>AX35/Calculations!$B$4/A35</f>
        <v>0.21096398615112122</v>
      </c>
      <c r="AZ35" s="31">
        <f t="shared" si="10"/>
        <v>-3.0138226297121762E-2</v>
      </c>
    </row>
    <row r="36" spans="1:52">
      <c r="A36">
        <v>33</v>
      </c>
      <c r="B36" s="3">
        <f>B35*(1+Parameters!$B$14)</f>
        <v>66112.708133184031</v>
      </c>
      <c r="C36" s="2">
        <f t="shared" si="22"/>
        <v>1510621.0334605512</v>
      </c>
      <c r="D36" s="2">
        <f>D35*(1+Parameters!$B$4)</f>
        <v>686345.00591116899</v>
      </c>
      <c r="E36" s="2">
        <f t="shared" si="12"/>
        <v>44901.075153067126</v>
      </c>
      <c r="F36" s="2">
        <f t="shared" si="13"/>
        <v>612745.00591116899</v>
      </c>
      <c r="G36" s="2">
        <f>F36-C36</f>
        <v>-897876.02754938218</v>
      </c>
      <c r="H36" s="31">
        <f>G36/Calculations!$B$4/A36</f>
        <v>-0.3696788650977364</v>
      </c>
      <c r="I36" s="3">
        <f>I35*(1+Parameters!$B$5)</f>
        <v>615114.04926180863</v>
      </c>
      <c r="J36" s="2">
        <f>I36-Parameters!$B$3</f>
        <v>295114.04926180863</v>
      </c>
      <c r="K36" s="2">
        <f>I35*Parameters!$B$6</f>
        <v>9045.7948420854209</v>
      </c>
      <c r="L36" s="2">
        <f t="shared" si="23"/>
        <v>221335.53694635644</v>
      </c>
      <c r="M36" s="2">
        <f>I35*Parameters!$B$7</f>
        <v>12061.059789447228</v>
      </c>
      <c r="N36" s="2">
        <f t="shared" si="24"/>
        <v>304714.04926180863</v>
      </c>
      <c r="O36" s="2">
        <v>0</v>
      </c>
      <c r="P36" s="2">
        <f t="shared" si="16"/>
        <v>600814.2534127821</v>
      </c>
      <c r="Q36" s="2">
        <v>0</v>
      </c>
      <c r="R36" s="2">
        <f t="shared" si="0"/>
        <v>0</v>
      </c>
      <c r="S36" s="2">
        <f t="shared" si="17"/>
        <v>344814.25341278192</v>
      </c>
      <c r="T36" s="2">
        <f t="shared" si="1"/>
        <v>-575749.79035913839</v>
      </c>
      <c r="U36" s="31">
        <f>T36/Calculations!$B$4/Table!A36</f>
        <v>-0.23705113239424341</v>
      </c>
      <c r="V36" s="2">
        <f>B36-K36-M36-O36</f>
        <v>45005.853501651378</v>
      </c>
      <c r="W36" s="2">
        <f>IF(V36&gt;0,V36*Parameters!$B$15,0)</f>
        <v>22502.926750825689</v>
      </c>
      <c r="X36" s="2">
        <f t="shared" si="18"/>
        <v>197723.17459044076</v>
      </c>
      <c r="Y36" s="2">
        <f>Y35*(1+Parameters!$B$4)+W36</f>
        <v>376407.68288694846</v>
      </c>
      <c r="Z36" s="2">
        <f t="shared" si="2"/>
        <v>178684.5082965077</v>
      </c>
      <c r="AA36" s="2">
        <f>T36+Z36</f>
        <v>-397065.28206263069</v>
      </c>
      <c r="AB36" s="31">
        <f>AA36/Calculations!$B$4/A36</f>
        <v>-0.16348208253566809</v>
      </c>
      <c r="AC36" s="31">
        <f t="shared" si="3"/>
        <v>0.2061967825620683</v>
      </c>
      <c r="AD36" s="7">
        <f t="shared" si="4"/>
        <v>33</v>
      </c>
      <c r="AE36" s="2">
        <f t="shared" si="5"/>
        <v>5509.3923444320026</v>
      </c>
      <c r="AF36" s="2">
        <f>(K36+M36+O36)/12</f>
        <v>1758.9045526277207</v>
      </c>
      <c r="AG36" s="8" t="str">
        <f t="shared" si="19"/>
        <v/>
      </c>
      <c r="AH36" s="8"/>
      <c r="AI36" s="47">
        <f t="shared" si="6"/>
        <v>33</v>
      </c>
      <c r="AJ36" s="2">
        <f>AJ35*(1+Parameters!$B$20)</f>
        <v>4617.1244506477697</v>
      </c>
      <c r="AK36" s="2">
        <f>Parameters!$B$21*AJ36</f>
        <v>51942.650069787407</v>
      </c>
      <c r="AL36" s="2">
        <f t="shared" si="20"/>
        <v>1270950.1535591569</v>
      </c>
      <c r="AM36" s="2">
        <f>Calculations!$B$5</f>
        <v>2400</v>
      </c>
      <c r="AN36" s="2">
        <f t="shared" si="21"/>
        <v>79200</v>
      </c>
      <c r="AO36" s="2">
        <f t="shared" si="7"/>
        <v>616000.36320001853</v>
      </c>
      <c r="AP36" s="31">
        <f>AO36/Calculations!$B$4/A36</f>
        <v>0.25362333794467162</v>
      </c>
      <c r="AQ36" s="2">
        <f>F36</f>
        <v>612745.00591116899</v>
      </c>
      <c r="AR36" s="31">
        <f>AQ36/Calculations!$B$4/A36</f>
        <v>0.25228302285538906</v>
      </c>
      <c r="AS36" s="31">
        <f t="shared" si="8"/>
        <v>1.3403150892825622E-3</v>
      </c>
      <c r="AT36" s="31"/>
      <c r="AU36" s="2">
        <f>I36*Parameters!$B$22</f>
        <v>36906.842955708518</v>
      </c>
      <c r="AV36" s="2">
        <f>J36*Parameters!$B$23</f>
        <v>44267.107389271296</v>
      </c>
      <c r="AW36" s="2">
        <f t="shared" si="9"/>
        <v>81173.950344979821</v>
      </c>
      <c r="AX36" s="2">
        <f>AO36-AW36</f>
        <v>534826.41285503865</v>
      </c>
      <c r="AY36" s="31">
        <f>AX36/Calculations!$B$4/A36</f>
        <v>0.22020191570118522</v>
      </c>
      <c r="AZ36" s="31">
        <f t="shared" si="10"/>
        <v>-3.2081107154203842E-2</v>
      </c>
    </row>
    <row r="37" spans="1:52">
      <c r="A37">
        <v>34</v>
      </c>
      <c r="B37" s="3">
        <f>B36*(1+Parameters!$B$14)</f>
        <v>67765.525836513625</v>
      </c>
      <c r="C37" s="2">
        <f t="shared" si="22"/>
        <v>1578386.5592970648</v>
      </c>
      <c r="D37" s="2">
        <f>D36*(1+Parameters!$B$4)</f>
        <v>734389.15632495086</v>
      </c>
      <c r="E37" s="2">
        <f t="shared" si="12"/>
        <v>48044.15041378187</v>
      </c>
      <c r="F37" s="2">
        <f t="shared" si="13"/>
        <v>660789.15632495086</v>
      </c>
      <c r="G37" s="2">
        <f>F37-C37</f>
        <v>-917597.40297211392</v>
      </c>
      <c r="H37" s="31">
        <f>G37/Calculations!$B$4/A37</f>
        <v>-0.36668694172478977</v>
      </c>
      <c r="I37" s="3">
        <f>I36*(1+Parameters!$B$5)</f>
        <v>627416.3302470448</v>
      </c>
      <c r="J37" s="2">
        <f>I37-Parameters!$B$3</f>
        <v>307416.3302470448</v>
      </c>
      <c r="K37" s="2">
        <f>I36*Parameters!$B$6</f>
        <v>9226.7107389271296</v>
      </c>
      <c r="L37" s="2">
        <f t="shared" si="23"/>
        <v>230562.24768528357</v>
      </c>
      <c r="M37" s="2">
        <f>I36*Parameters!$B$7</f>
        <v>12302.280985236173</v>
      </c>
      <c r="N37" s="2">
        <f t="shared" si="24"/>
        <v>317016.3302470448</v>
      </c>
      <c r="O37" s="2">
        <v>0</v>
      </c>
      <c r="P37" s="2">
        <f t="shared" si="16"/>
        <v>600814.2534127821</v>
      </c>
      <c r="Q37" s="2">
        <v>0</v>
      </c>
      <c r="R37" s="2">
        <f t="shared" si="0"/>
        <v>0</v>
      </c>
      <c r="S37" s="2">
        <f t="shared" si="17"/>
        <v>344814.25341278192</v>
      </c>
      <c r="T37" s="2">
        <f t="shared" si="1"/>
        <v>-584976.50109806552</v>
      </c>
      <c r="U37" s="31">
        <f>T37/Calculations!$B$4/Table!A37</f>
        <v>-0.23376618490172055</v>
      </c>
      <c r="V37" s="2">
        <f>B37-K37-M37-O37</f>
        <v>46236.534112350324</v>
      </c>
      <c r="W37" s="2">
        <f>IF(V37&gt;0,V37*Parameters!$B$15,0)</f>
        <v>23118.267056175162</v>
      </c>
      <c r="X37" s="2">
        <f t="shared" si="18"/>
        <v>220841.44164661592</v>
      </c>
      <c r="Y37" s="2">
        <f>Y36*(1+Parameters!$B$4)+W37</f>
        <v>425874.48774521006</v>
      </c>
      <c r="Z37" s="2">
        <f t="shared" si="2"/>
        <v>205033.04609859415</v>
      </c>
      <c r="AA37" s="2">
        <f>T37+Z37</f>
        <v>-379943.45499947137</v>
      </c>
      <c r="AB37" s="31">
        <f>AA37/Calculations!$B$4/A37</f>
        <v>-0.15183162364109309</v>
      </c>
      <c r="AC37" s="31">
        <f t="shared" si="3"/>
        <v>0.21485531808369668</v>
      </c>
      <c r="AD37" s="7">
        <f t="shared" si="4"/>
        <v>34</v>
      </c>
      <c r="AE37" s="2">
        <f t="shared" si="5"/>
        <v>5647.1271530428021</v>
      </c>
      <c r="AF37" s="2">
        <f>(K37+M37+O37)/12</f>
        <v>1794.0826436802752</v>
      </c>
      <c r="AG37" s="8" t="str">
        <f t="shared" si="19"/>
        <v/>
      </c>
      <c r="AH37" s="8"/>
      <c r="AI37" s="47">
        <f t="shared" si="6"/>
        <v>34</v>
      </c>
      <c r="AJ37" s="2">
        <f>AJ36*(1+Parameters!$B$20)</f>
        <v>4709.4669396607251</v>
      </c>
      <c r="AK37" s="2">
        <f>Parameters!$B$21*AJ37</f>
        <v>52981.503071183157</v>
      </c>
      <c r="AL37" s="2">
        <f t="shared" si="20"/>
        <v>1323931.65663034</v>
      </c>
      <c r="AM37" s="2">
        <f>Calculations!$B$5</f>
        <v>2400</v>
      </c>
      <c r="AN37" s="2">
        <f t="shared" si="21"/>
        <v>81600</v>
      </c>
      <c r="AO37" s="2">
        <f t="shared" si="7"/>
        <v>657355.15553227451</v>
      </c>
      <c r="AP37" s="31">
        <f>AO37/Calculations!$B$4/A37</f>
        <v>0.26268987992817872</v>
      </c>
      <c r="AQ37" s="2">
        <f>F37</f>
        <v>660789.15632495086</v>
      </c>
      <c r="AR37" s="31">
        <f>AQ37/Calculations!$B$4/A37</f>
        <v>0.26406216285364087</v>
      </c>
      <c r="AS37" s="31">
        <f t="shared" si="8"/>
        <v>-1.3722829254621538E-3</v>
      </c>
      <c r="AT37" s="31"/>
      <c r="AU37" s="2">
        <f>I37*Parameters!$B$22</f>
        <v>37644.979814822684</v>
      </c>
      <c r="AV37" s="2">
        <f>J37*Parameters!$B$23</f>
        <v>46112.449537056717</v>
      </c>
      <c r="AW37" s="2">
        <f t="shared" si="9"/>
        <v>83757.4293518794</v>
      </c>
      <c r="AX37" s="2">
        <f>AO37-AW37</f>
        <v>573597.72618039511</v>
      </c>
      <c r="AY37" s="31">
        <f>AX37/Calculations!$B$4/A37</f>
        <v>0.22921904019357223</v>
      </c>
      <c r="AZ37" s="31">
        <f t="shared" si="10"/>
        <v>-3.4843122660068643E-2</v>
      </c>
    </row>
    <row r="38" spans="1:52">
      <c r="A38">
        <v>35</v>
      </c>
      <c r="B38" s="3">
        <f>B37*(1+Parameters!$B$14)</f>
        <v>69459.663982426457</v>
      </c>
      <c r="C38" s="2">
        <f t="shared" si="22"/>
        <v>1647846.2232794913</v>
      </c>
      <c r="D38" s="2">
        <f>D37*(1+Parameters!$B$4)</f>
        <v>785796.3972676975</v>
      </c>
      <c r="E38" s="2">
        <f t="shared" si="12"/>
        <v>51407.240942746634</v>
      </c>
      <c r="F38" s="2">
        <f t="shared" si="13"/>
        <v>712196.3972676975</v>
      </c>
      <c r="G38" s="2">
        <f>F38-C38</f>
        <v>-935649.8260117938</v>
      </c>
      <c r="H38" s="31">
        <f>G38/Calculations!$B$4/A38</f>
        <v>-0.36321810015985784</v>
      </c>
      <c r="I38" s="3">
        <f>I37*(1+Parameters!$B$5)</f>
        <v>639964.65685198572</v>
      </c>
      <c r="J38" s="2">
        <f>I38-Parameters!$B$3</f>
        <v>319964.65685198572</v>
      </c>
      <c r="K38" s="2">
        <f>I37*Parameters!$B$6</f>
        <v>9411.2449537056709</v>
      </c>
      <c r="L38" s="2">
        <f t="shared" si="23"/>
        <v>239973.49263898924</v>
      </c>
      <c r="M38" s="2">
        <f>I37*Parameters!$B$7</f>
        <v>12548.326604940896</v>
      </c>
      <c r="N38" s="2">
        <f t="shared" si="24"/>
        <v>329564.65685198567</v>
      </c>
      <c r="O38" s="2">
        <v>0</v>
      </c>
      <c r="P38" s="2">
        <f t="shared" si="16"/>
        <v>600814.2534127821</v>
      </c>
      <c r="Q38" s="2">
        <v>0</v>
      </c>
      <c r="R38" s="2">
        <f t="shared" si="0"/>
        <v>0</v>
      </c>
      <c r="S38" s="2">
        <f t="shared" si="17"/>
        <v>344814.25341278192</v>
      </c>
      <c r="T38" s="2">
        <f t="shared" si="1"/>
        <v>-594387.7460517711</v>
      </c>
      <c r="U38" s="31">
        <f>T38/Calculations!$B$4/Table!A38</f>
        <v>-0.23074058464742667</v>
      </c>
      <c r="V38" s="2">
        <f>B38-K38-M38-O38</f>
        <v>47500.09242377989</v>
      </c>
      <c r="W38" s="2">
        <f>IF(V38&gt;0,V38*Parameters!$B$15,0)</f>
        <v>23750.046211889945</v>
      </c>
      <c r="X38" s="2">
        <f t="shared" si="18"/>
        <v>244591.48785850586</v>
      </c>
      <c r="Y38" s="2">
        <f>Y37*(1+Parameters!$B$4)+W38</f>
        <v>479435.74809926475</v>
      </c>
      <c r="Z38" s="2">
        <f t="shared" si="2"/>
        <v>234844.26024075889</v>
      </c>
      <c r="AA38" s="2">
        <f>T38+Z38</f>
        <v>-359543.48581101221</v>
      </c>
      <c r="AB38" s="31">
        <f>AA38/Calculations!$B$4/A38</f>
        <v>-0.13957433455396437</v>
      </c>
      <c r="AC38" s="31">
        <f t="shared" si="3"/>
        <v>0.22364376560589347</v>
      </c>
      <c r="AD38" s="7">
        <f t="shared" si="4"/>
        <v>35</v>
      </c>
      <c r="AE38" s="2">
        <f t="shared" si="5"/>
        <v>5788.3053318688717</v>
      </c>
      <c r="AF38" s="2">
        <f>(K38+M38+O38)/12</f>
        <v>1829.9642965538806</v>
      </c>
      <c r="AG38" s="8" t="str">
        <f t="shared" si="19"/>
        <v/>
      </c>
      <c r="AH38" s="8"/>
      <c r="AI38" s="47">
        <f t="shared" si="6"/>
        <v>35</v>
      </c>
      <c r="AJ38" s="2">
        <f>AJ37*(1+Parameters!$B$20)</f>
        <v>4803.6562784539401</v>
      </c>
      <c r="AK38" s="2">
        <f>Parameters!$B$21*AJ38</f>
        <v>54041.133132606825</v>
      </c>
      <c r="AL38" s="2">
        <f t="shared" si="20"/>
        <v>1377972.7897629468</v>
      </c>
      <c r="AM38" s="2">
        <f>Calculations!$B$5</f>
        <v>2400</v>
      </c>
      <c r="AN38" s="2">
        <f t="shared" si="21"/>
        <v>84000</v>
      </c>
      <c r="AO38" s="2">
        <f t="shared" si="7"/>
        <v>699585.04371117568</v>
      </c>
      <c r="AP38" s="31">
        <f>AO38/Calculations!$B$4/A38</f>
        <v>0.27157804491893467</v>
      </c>
      <c r="AQ38" s="2">
        <f>F38</f>
        <v>712196.3972676975</v>
      </c>
      <c r="AR38" s="31">
        <f>AQ38/Calculations!$B$4/A38</f>
        <v>0.27647375670329871</v>
      </c>
      <c r="AS38" s="31">
        <f t="shared" si="8"/>
        <v>-4.895711784364043E-3</v>
      </c>
      <c r="AT38" s="31"/>
      <c r="AU38" s="2">
        <f>I38*Parameters!$B$22</f>
        <v>38397.879411119146</v>
      </c>
      <c r="AV38" s="2">
        <f>J38*Parameters!$B$23</f>
        <v>47994.69852779786</v>
      </c>
      <c r="AW38" s="2">
        <f t="shared" si="9"/>
        <v>86392.577938917006</v>
      </c>
      <c r="AX38" s="2">
        <f>AO38-AW38</f>
        <v>613192.4657722587</v>
      </c>
      <c r="AY38" s="31">
        <f>AX38/Calculations!$B$4/A38</f>
        <v>0.23804055348301967</v>
      </c>
      <c r="AZ38" s="31">
        <f t="shared" si="10"/>
        <v>-3.8433203220279044E-2</v>
      </c>
    </row>
    <row r="39" spans="1:52">
      <c r="A39">
        <v>36</v>
      </c>
      <c r="B39" s="3">
        <f>B38*(1+Parameters!$B$14)</f>
        <v>71196.155581987114</v>
      </c>
      <c r="C39" s="2">
        <f t="shared" si="22"/>
        <v>1719042.3788614785</v>
      </c>
      <c r="D39" s="2">
        <f>D38*(1+Parameters!$B$4)</f>
        <v>840802.14507643634</v>
      </c>
      <c r="E39" s="2">
        <f t="shared" si="12"/>
        <v>55005.747808738844</v>
      </c>
      <c r="F39" s="2">
        <f t="shared" si="13"/>
        <v>767202.14507643634</v>
      </c>
      <c r="G39" s="2">
        <f>F39-C39</f>
        <v>-951840.23378504219</v>
      </c>
      <c r="H39" s="31">
        <f>G39/Calculations!$B$4/A39</f>
        <v>-0.3592392186688716</v>
      </c>
      <c r="I39" s="3">
        <f>I38*(1+Parameters!$B$5)</f>
        <v>652763.94998902548</v>
      </c>
      <c r="J39" s="2">
        <f>I39-Parameters!$B$3</f>
        <v>332763.94998902548</v>
      </c>
      <c r="K39" s="2">
        <f>I38*Parameters!$B$6</f>
        <v>9599.4698527797864</v>
      </c>
      <c r="L39" s="2">
        <f t="shared" si="23"/>
        <v>249572.96249176902</v>
      </c>
      <c r="M39" s="2">
        <f>I38*Parameters!$B$7</f>
        <v>12799.293137039715</v>
      </c>
      <c r="N39" s="2">
        <f t="shared" si="24"/>
        <v>342363.94998902536</v>
      </c>
      <c r="O39" s="2">
        <v>0</v>
      </c>
      <c r="P39" s="2">
        <f t="shared" si="16"/>
        <v>600814.2534127821</v>
      </c>
      <c r="Q39" s="2">
        <v>0</v>
      </c>
      <c r="R39" s="2">
        <f t="shared" si="0"/>
        <v>0</v>
      </c>
      <c r="S39" s="2">
        <f t="shared" si="17"/>
        <v>344814.25341278192</v>
      </c>
      <c r="T39" s="2">
        <f t="shared" si="1"/>
        <v>-603987.21590455086</v>
      </c>
      <c r="U39" s="31">
        <f>T39/Calculations!$B$4/Table!A39</f>
        <v>-0.22795411228281662</v>
      </c>
      <c r="V39" s="2">
        <f>B39-K39-M39-O39</f>
        <v>48797.392592167613</v>
      </c>
      <c r="W39" s="2">
        <f>IF(V39&gt;0,V39*Parameters!$B$15,0)</f>
        <v>24398.696296083806</v>
      </c>
      <c r="X39" s="2">
        <f t="shared" si="18"/>
        <v>268990.18415458966</v>
      </c>
      <c r="Y39" s="2">
        <f>Y38*(1+Parameters!$B$4)+W39</f>
        <v>537394.94676229719</v>
      </c>
      <c r="Z39" s="2">
        <f t="shared" si="2"/>
        <v>268404.76260770753</v>
      </c>
      <c r="AA39" s="2">
        <f>T39+Z39</f>
        <v>-335582.45329684333</v>
      </c>
      <c r="AB39" s="31">
        <f>AA39/Calculations!$B$4/A39</f>
        <v>-0.12665400562229898</v>
      </c>
      <c r="AC39" s="31">
        <f t="shared" si="3"/>
        <v>0.23258521304657262</v>
      </c>
      <c r="AD39" s="7">
        <f t="shared" si="4"/>
        <v>36</v>
      </c>
      <c r="AE39" s="2">
        <f t="shared" si="5"/>
        <v>5933.0129651655925</v>
      </c>
      <c r="AF39" s="2">
        <f>(K39+M39+O39)/12</f>
        <v>1866.5635824849585</v>
      </c>
      <c r="AG39" s="8" t="str">
        <f t="shared" si="19"/>
        <v/>
      </c>
      <c r="AH39" s="8"/>
      <c r="AI39" s="47">
        <f t="shared" si="6"/>
        <v>36</v>
      </c>
      <c r="AJ39" s="2">
        <f>AJ38*(1+Parameters!$B$20)</f>
        <v>4899.729404023019</v>
      </c>
      <c r="AK39" s="2">
        <f>Parameters!$B$21*AJ39</f>
        <v>55121.955795258968</v>
      </c>
      <c r="AL39" s="2">
        <f t="shared" si="20"/>
        <v>1433094.7455582058</v>
      </c>
      <c r="AM39" s="2">
        <f>Calculations!$B$5</f>
        <v>2400</v>
      </c>
      <c r="AN39" s="2">
        <f t="shared" si="21"/>
        <v>86400</v>
      </c>
      <c r="AO39" s="2">
        <f t="shared" si="7"/>
        <v>742707.5296536549</v>
      </c>
      <c r="AP39" s="31">
        <f>AO39/Calculations!$B$4/A39</f>
        <v>0.2803093031603468</v>
      </c>
      <c r="AQ39" s="2">
        <f>F39</f>
        <v>767202.14507643634</v>
      </c>
      <c r="AR39" s="31">
        <f>AQ39/Calculations!$B$4/A39</f>
        <v>0.28955394968162607</v>
      </c>
      <c r="AS39" s="31">
        <f t="shared" si="8"/>
        <v>-9.244646521279265E-3</v>
      </c>
      <c r="AT39" s="31"/>
      <c r="AU39" s="2">
        <f>I39*Parameters!$B$22</f>
        <v>39165.836999341525</v>
      </c>
      <c r="AV39" s="2">
        <f>J39*Parameters!$B$23</f>
        <v>49914.592498353821</v>
      </c>
      <c r="AW39" s="2">
        <f t="shared" si="9"/>
        <v>89080.429497695353</v>
      </c>
      <c r="AX39" s="2">
        <f>AO39-AW39</f>
        <v>653627.1001559596</v>
      </c>
      <c r="AY39" s="31">
        <f>AX39/Calculations!$B$4/A39</f>
        <v>0.24668897197915143</v>
      </c>
      <c r="AZ39" s="31">
        <f t="shared" si="10"/>
        <v>-4.2864977702474633E-2</v>
      </c>
    </row>
    <row r="40" spans="1:52">
      <c r="A40">
        <v>37</v>
      </c>
      <c r="B40" s="3">
        <f>B39*(1+Parameters!$B$14)</f>
        <v>72976.059471536792</v>
      </c>
      <c r="C40" s="2">
        <f t="shared" si="22"/>
        <v>1792018.4383330154</v>
      </c>
      <c r="D40" s="2">
        <f>D39*(1+Parameters!$B$4)</f>
        <v>899658.29523178691</v>
      </c>
      <c r="E40" s="2">
        <f t="shared" si="12"/>
        <v>58856.150155350566</v>
      </c>
      <c r="F40" s="2">
        <f t="shared" si="13"/>
        <v>826058.29523178691</v>
      </c>
      <c r="G40" s="2">
        <f>F40-C40</f>
        <v>-965960.14310122852</v>
      </c>
      <c r="H40" s="31">
        <f>G40/Calculations!$B$4/A40</f>
        <v>-0.35471509367700815</v>
      </c>
      <c r="I40" s="3">
        <f>I39*(1+Parameters!$B$5)</f>
        <v>665819.22898880602</v>
      </c>
      <c r="J40" s="2">
        <f>I40-Parameters!$B$3</f>
        <v>345819.22898880602</v>
      </c>
      <c r="K40" s="2">
        <f>I39*Parameters!$B$6</f>
        <v>9791.4592498353813</v>
      </c>
      <c r="L40" s="2">
        <f t="shared" si="23"/>
        <v>259364.4217416044</v>
      </c>
      <c r="M40" s="2">
        <f>I39*Parameters!$B$7</f>
        <v>13055.27899978051</v>
      </c>
      <c r="N40" s="2">
        <f t="shared" si="24"/>
        <v>355419.2289888059</v>
      </c>
      <c r="O40" s="2">
        <v>0</v>
      </c>
      <c r="P40" s="2">
        <f t="shared" si="16"/>
        <v>600814.2534127821</v>
      </c>
      <c r="Q40" s="2">
        <v>0</v>
      </c>
      <c r="R40" s="2">
        <f t="shared" si="0"/>
        <v>0</v>
      </c>
      <c r="S40" s="2">
        <f t="shared" si="17"/>
        <v>344814.25341278192</v>
      </c>
      <c r="T40" s="2">
        <f t="shared" si="1"/>
        <v>-613778.6751543862</v>
      </c>
      <c r="U40" s="31">
        <f>T40/Calculations!$B$4/Table!A40</f>
        <v>-0.22538876144035924</v>
      </c>
      <c r="V40" s="2">
        <f>B40-K40-M40-O40</f>
        <v>50129.321221920902</v>
      </c>
      <c r="W40" s="2">
        <f>IF(V40&gt;0,V40*Parameters!$B$15,0)</f>
        <v>25064.660610960451</v>
      </c>
      <c r="X40" s="2">
        <f t="shared" si="18"/>
        <v>294054.84476555011</v>
      </c>
      <c r="Y40" s="2">
        <f>Y39*(1+Parameters!$B$4)+W40</f>
        <v>600077.25364661845</v>
      </c>
      <c r="Z40" s="2">
        <f t="shared" si="2"/>
        <v>306022.40888106835</v>
      </c>
      <c r="AA40" s="2">
        <f>T40+Z40</f>
        <v>-307756.26627331786</v>
      </c>
      <c r="AB40" s="31">
        <f>AA40/Calculations!$B$4/A40</f>
        <v>-0.11301272997698218</v>
      </c>
      <c r="AC40" s="31">
        <f t="shared" si="3"/>
        <v>0.24170236370002596</v>
      </c>
      <c r="AD40" s="7">
        <f t="shared" si="4"/>
        <v>37</v>
      </c>
      <c r="AE40" s="2">
        <f t="shared" si="5"/>
        <v>6081.3382892947329</v>
      </c>
      <c r="AF40" s="2">
        <f>(K40+M40+O40)/12</f>
        <v>1903.8948541346574</v>
      </c>
      <c r="AG40" s="8" t="str">
        <f t="shared" si="19"/>
        <v/>
      </c>
      <c r="AH40" s="8"/>
      <c r="AI40" s="47">
        <f t="shared" si="6"/>
        <v>37</v>
      </c>
      <c r="AJ40" s="2">
        <f>AJ39*(1+Parameters!$B$20)</f>
        <v>4997.7239921034798</v>
      </c>
      <c r="AK40" s="2">
        <f>Parameters!$B$21*AJ40</f>
        <v>56224.394911164149</v>
      </c>
      <c r="AL40" s="2">
        <f t="shared" si="20"/>
        <v>1489319.1404693699</v>
      </c>
      <c r="AM40" s="2">
        <f>Calculations!$B$5</f>
        <v>2400</v>
      </c>
      <c r="AN40" s="2">
        <f t="shared" si="21"/>
        <v>88800</v>
      </c>
      <c r="AO40" s="2">
        <f t="shared" si="7"/>
        <v>786740.46531498374</v>
      </c>
      <c r="AP40" s="31">
        <f>AO40/Calculations!$B$4/A40</f>
        <v>0.2889029323277702</v>
      </c>
      <c r="AQ40" s="2">
        <f>F40</f>
        <v>826058.29523178691</v>
      </c>
      <c r="AR40" s="31">
        <f>AQ40/Calculations!$B$4/A40</f>
        <v>0.30334103085773612</v>
      </c>
      <c r="AS40" s="31">
        <f t="shared" si="8"/>
        <v>-1.4438098529965915E-2</v>
      </c>
      <c r="AT40" s="31"/>
      <c r="AU40" s="2">
        <f>I40*Parameters!$B$22</f>
        <v>39949.153739328358</v>
      </c>
      <c r="AV40" s="2">
        <f>J40*Parameters!$B$23</f>
        <v>51872.884348320898</v>
      </c>
      <c r="AW40" s="2">
        <f t="shared" si="9"/>
        <v>91822.038087649256</v>
      </c>
      <c r="AX40" s="2">
        <f>AO40-AW40</f>
        <v>694918.42722733447</v>
      </c>
      <c r="AY40" s="31">
        <f>AX40/Calculations!$B$4/A40</f>
        <v>0.25518449883494954</v>
      </c>
      <c r="AZ40" s="31">
        <f t="shared" si="10"/>
        <v>-4.815653202278658E-2</v>
      </c>
    </row>
    <row r="41" spans="1:52">
      <c r="A41">
        <v>38</v>
      </c>
      <c r="B41" s="3">
        <f>B40*(1+Parameters!$B$14)</f>
        <v>74800.460958325202</v>
      </c>
      <c r="C41" s="2">
        <f t="shared" si="22"/>
        <v>1866818.8992913407</v>
      </c>
      <c r="D41" s="2">
        <f>D40*(1+Parameters!$B$4)</f>
        <v>962634.37589801208</v>
      </c>
      <c r="E41" s="2">
        <f t="shared" si="12"/>
        <v>62976.080666225171</v>
      </c>
      <c r="F41" s="2">
        <f t="shared" si="13"/>
        <v>889034.37589801208</v>
      </c>
      <c r="G41" s="2">
        <f>F41-C41</f>
        <v>-977784.52339332865</v>
      </c>
      <c r="H41" s="31">
        <f>G41/Calculations!$B$4/A41</f>
        <v>-0.34960831070985721</v>
      </c>
      <c r="I41" s="3">
        <f>I40*(1+Parameters!$B$5)</f>
        <v>679135.61356858211</v>
      </c>
      <c r="J41" s="2">
        <f>I41-Parameters!$B$3</f>
        <v>359135.61356858211</v>
      </c>
      <c r="K41" s="2">
        <f>I40*Parameters!$B$6</f>
        <v>9987.2884348320895</v>
      </c>
      <c r="L41" s="2">
        <f t="shared" si="23"/>
        <v>269351.71017643646</v>
      </c>
      <c r="M41" s="2">
        <f>I40*Parameters!$B$7</f>
        <v>13316.384579776121</v>
      </c>
      <c r="N41" s="2">
        <f t="shared" si="24"/>
        <v>368735.61356858205</v>
      </c>
      <c r="O41" s="2">
        <v>0</v>
      </c>
      <c r="P41" s="2">
        <f t="shared" si="16"/>
        <v>600814.2534127821</v>
      </c>
      <c r="Q41" s="2">
        <v>0</v>
      </c>
      <c r="R41" s="2">
        <f t="shared" si="0"/>
        <v>0</v>
      </c>
      <c r="S41" s="2">
        <f t="shared" si="17"/>
        <v>344814.25341278192</v>
      </c>
      <c r="T41" s="2">
        <f t="shared" si="1"/>
        <v>-623765.96358921833</v>
      </c>
      <c r="U41" s="31">
        <f>T41/Calculations!$B$4/Table!A41</f>
        <v>-0.22302844807966904</v>
      </c>
      <c r="V41" s="2">
        <f>B41-K41-M41-O41</f>
        <v>51496.78794371699</v>
      </c>
      <c r="W41" s="2">
        <f>IF(V41&gt;0,V41*Parameters!$B$15,0)</f>
        <v>25748.393971858495</v>
      </c>
      <c r="X41" s="2">
        <f t="shared" si="18"/>
        <v>319803.2387374086</v>
      </c>
      <c r="Y41" s="2">
        <f>Y40*(1+Parameters!$B$4)+W41</f>
        <v>667831.05537374038</v>
      </c>
      <c r="Z41" s="2">
        <f t="shared" si="2"/>
        <v>348027.81663633179</v>
      </c>
      <c r="AA41" s="2">
        <f>T41+Z41</f>
        <v>-275738.14695288654</v>
      </c>
      <c r="AB41" s="31">
        <f>AA41/Calculations!$B$4/A41</f>
        <v>-9.8590584579836438E-2</v>
      </c>
      <c r="AC41" s="31">
        <f t="shared" si="3"/>
        <v>0.25101772613002077</v>
      </c>
      <c r="AD41" s="7">
        <f t="shared" si="4"/>
        <v>38</v>
      </c>
      <c r="AE41" s="2">
        <f t="shared" si="5"/>
        <v>6233.3717465271002</v>
      </c>
      <c r="AF41" s="2">
        <f>(K41+M41+O41)/12</f>
        <v>1941.9727512173511</v>
      </c>
      <c r="AG41" s="8" t="str">
        <f t="shared" si="19"/>
        <v/>
      </c>
      <c r="AH41" s="8"/>
      <c r="AI41" s="47">
        <f t="shared" si="6"/>
        <v>38</v>
      </c>
      <c r="AJ41" s="2">
        <f>AJ40*(1+Parameters!$B$20)</f>
        <v>5097.6784719455491</v>
      </c>
      <c r="AK41" s="2">
        <f>Parameters!$B$21*AJ41</f>
        <v>57348.882809387425</v>
      </c>
      <c r="AL41" s="2">
        <f t="shared" si="20"/>
        <v>1546668.0232787575</v>
      </c>
      <c r="AM41" s="2">
        <f>Calculations!$B$5</f>
        <v>2400</v>
      </c>
      <c r="AN41" s="2">
        <f t="shared" si="21"/>
        <v>91200</v>
      </c>
      <c r="AO41" s="2">
        <f t="shared" si="7"/>
        <v>831702.05968953914</v>
      </c>
      <c r="AP41" s="31">
        <f>AO41/Calculations!$B$4/A41</f>
        <v>0.29737630852743818</v>
      </c>
      <c r="AQ41" s="2">
        <f>F41</f>
        <v>889034.37589801208</v>
      </c>
      <c r="AR41" s="31">
        <f>AQ41/Calculations!$B$4/A41</f>
        <v>0.31787556346467821</v>
      </c>
      <c r="AS41" s="31">
        <f t="shared" si="8"/>
        <v>-2.049925493724003E-2</v>
      </c>
      <c r="AT41" s="31"/>
      <c r="AU41" s="2">
        <f>I41*Parameters!$B$22</f>
        <v>40748.136814114921</v>
      </c>
      <c r="AV41" s="2">
        <f>J41*Parameters!$B$23</f>
        <v>53870.342035287315</v>
      </c>
      <c r="AW41" s="2">
        <f t="shared" si="9"/>
        <v>94618.478849402236</v>
      </c>
      <c r="AX41" s="2">
        <f>AO41-AW41</f>
        <v>737083.58084013686</v>
      </c>
      <c r="AY41" s="31">
        <f>AX41/Calculations!$B$4/A41</f>
        <v>0.26354533067796659</v>
      </c>
      <c r="AZ41" s="31">
        <f t="shared" si="10"/>
        <v>-5.4330232786711619E-2</v>
      </c>
    </row>
    <row r="42" spans="1:52">
      <c r="A42">
        <v>39</v>
      </c>
      <c r="B42" s="3">
        <f>B41*(1+Parameters!$B$14)</f>
        <v>76670.472482283323</v>
      </c>
      <c r="C42" s="2">
        <f t="shared" si="22"/>
        <v>1943489.3717736241</v>
      </c>
      <c r="D42" s="2">
        <f>D41*(1+Parameters!$B$4)</f>
        <v>1030018.782210873</v>
      </c>
      <c r="E42" s="2">
        <f t="shared" si="12"/>
        <v>67384.406312860898</v>
      </c>
      <c r="F42" s="2">
        <f t="shared" si="13"/>
        <v>956418.78221087297</v>
      </c>
      <c r="G42" s="2">
        <f>F42-C42</f>
        <v>-987070.58956275112</v>
      </c>
      <c r="H42" s="31">
        <f>G42/Calculations!$B$4/A42</f>
        <v>-0.34387910728914128</v>
      </c>
      <c r="I42" s="3">
        <f>I41*(1+Parameters!$B$5)</f>
        <v>692718.32583995373</v>
      </c>
      <c r="J42" s="2">
        <f>I42-Parameters!$B$3</f>
        <v>372718.32583995373</v>
      </c>
      <c r="K42" s="2">
        <f>I41*Parameters!$B$6</f>
        <v>10187.03420352873</v>
      </c>
      <c r="L42" s="2">
        <f t="shared" si="23"/>
        <v>279538.74437996518</v>
      </c>
      <c r="M42" s="2">
        <f>I41*Parameters!$B$7</f>
        <v>13582.712271371642</v>
      </c>
      <c r="N42" s="2">
        <f t="shared" si="24"/>
        <v>382318.32583995367</v>
      </c>
      <c r="O42" s="2">
        <v>0</v>
      </c>
      <c r="P42" s="2">
        <f t="shared" si="16"/>
        <v>600814.2534127821</v>
      </c>
      <c r="Q42" s="2">
        <v>0</v>
      </c>
      <c r="R42" s="2">
        <f t="shared" si="0"/>
        <v>0</v>
      </c>
      <c r="S42" s="2">
        <f t="shared" si="17"/>
        <v>344814.25341278192</v>
      </c>
      <c r="T42" s="2">
        <f t="shared" si="1"/>
        <v>-633952.9977927471</v>
      </c>
      <c r="U42" s="31">
        <f>T42/Calculations!$B$4/Table!A42</f>
        <v>-0.22085876455990353</v>
      </c>
      <c r="V42" s="2">
        <f>B42-K42-M42-O42</f>
        <v>52900.726007382953</v>
      </c>
      <c r="W42" s="2">
        <f>IF(V42&gt;0,V42*Parameters!$B$15,0)</f>
        <v>26450.363003691476</v>
      </c>
      <c r="X42" s="2">
        <f t="shared" si="18"/>
        <v>346253.60174110008</v>
      </c>
      <c r="Y42" s="2">
        <f>Y41*(1+Parameters!$B$4)+W42</f>
        <v>741029.59225359373</v>
      </c>
      <c r="Z42" s="2">
        <f t="shared" si="2"/>
        <v>394775.99051249365</v>
      </c>
      <c r="AA42" s="2">
        <f>T42+Z42</f>
        <v>-239177.00728025346</v>
      </c>
      <c r="AB42" s="31">
        <f>AA42/Calculations!$B$4/A42</f>
        <v>-8.3325323049140698E-2</v>
      </c>
      <c r="AC42" s="31">
        <f t="shared" si="3"/>
        <v>0.26055378424000059</v>
      </c>
      <c r="AD42" s="7">
        <f t="shared" si="4"/>
        <v>39</v>
      </c>
      <c r="AE42" s="2">
        <f t="shared" si="5"/>
        <v>6389.2060401902772</v>
      </c>
      <c r="AF42" s="2">
        <f>(K42+M42+O42)/12</f>
        <v>1980.8122062416976</v>
      </c>
      <c r="AG42" s="8" t="str">
        <f t="shared" si="19"/>
        <v/>
      </c>
      <c r="AH42" s="8"/>
      <c r="AI42" s="47">
        <f t="shared" si="6"/>
        <v>39</v>
      </c>
      <c r="AJ42" s="2">
        <f>AJ41*(1+Parameters!$B$20)</f>
        <v>5199.6320413844605</v>
      </c>
      <c r="AK42" s="2">
        <f>Parameters!$B$21*AJ42</f>
        <v>58495.860465575184</v>
      </c>
      <c r="AL42" s="2">
        <f t="shared" si="20"/>
        <v>1605163.8837443327</v>
      </c>
      <c r="AM42" s="2">
        <f>Calculations!$B$5</f>
        <v>2400</v>
      </c>
      <c r="AN42" s="2">
        <f t="shared" si="21"/>
        <v>93600</v>
      </c>
      <c r="AO42" s="2">
        <f t="shared" si="7"/>
        <v>877610.8859515856</v>
      </c>
      <c r="AP42" s="31">
        <f>AO42/Calculations!$B$4/A42</f>
        <v>0.30574515257510648</v>
      </c>
      <c r="AQ42" s="2">
        <f>F42</f>
        <v>956418.78221087297</v>
      </c>
      <c r="AR42" s="31">
        <f>AQ42/Calculations!$B$4/A42</f>
        <v>0.3332005233454825</v>
      </c>
      <c r="AS42" s="31">
        <f t="shared" si="8"/>
        <v>-2.745537077037602E-2</v>
      </c>
      <c r="AT42" s="31"/>
      <c r="AU42" s="2">
        <f>I42*Parameters!$B$22</f>
        <v>41563.099550397223</v>
      </c>
      <c r="AV42" s="2">
        <f>J42*Parameters!$B$23</f>
        <v>55907.748875993057</v>
      </c>
      <c r="AW42" s="2">
        <f t="shared" si="9"/>
        <v>97470.848426390279</v>
      </c>
      <c r="AX42" s="2">
        <f>AO42-AW42</f>
        <v>780140.03752519528</v>
      </c>
      <c r="AY42" s="31">
        <f>AX42/Calculations!$B$4/A42</f>
        <v>0.27178791719801954</v>
      </c>
      <c r="AZ42" s="31">
        <f t="shared" si="10"/>
        <v>-6.1412606147462967E-2</v>
      </c>
    </row>
    <row r="43" spans="1:52">
      <c r="A43">
        <v>40</v>
      </c>
      <c r="B43" s="3">
        <f>B42*(1+Parameters!$B$14)</f>
        <v>78587.234294340393</v>
      </c>
      <c r="C43" s="2">
        <f t="shared" si="22"/>
        <v>2022076.6060679646</v>
      </c>
      <c r="D43" s="2">
        <f>D42*(1+Parameters!$B$4)</f>
        <v>1102120.096965634</v>
      </c>
      <c r="E43" s="2">
        <f t="shared" si="12"/>
        <v>72101.314754761057</v>
      </c>
      <c r="F43" s="2">
        <f t="shared" si="13"/>
        <v>1028520.096965634</v>
      </c>
      <c r="G43" s="2">
        <f>F43-C43</f>
        <v>-993556.50910233054</v>
      </c>
      <c r="H43" s="31">
        <f>G43/Calculations!$B$4/A43</f>
        <v>-0.33748522727660685</v>
      </c>
      <c r="I43" s="3">
        <f>I42*(1+Parameters!$B$5)</f>
        <v>706572.69235675281</v>
      </c>
      <c r="J43" s="2">
        <f>I43-Parameters!$B$3</f>
        <v>386572.69235675281</v>
      </c>
      <c r="K43" s="2">
        <f>I42*Parameters!$B$6</f>
        <v>10390.774887599306</v>
      </c>
      <c r="L43" s="2">
        <f t="shared" si="23"/>
        <v>289929.51926756446</v>
      </c>
      <c r="M43" s="2">
        <f>I42*Parameters!$B$7</f>
        <v>13854.366516799075</v>
      </c>
      <c r="N43" s="2">
        <f t="shared" si="24"/>
        <v>396172.69235675276</v>
      </c>
      <c r="O43" s="2">
        <v>0</v>
      </c>
      <c r="P43" s="2">
        <f t="shared" si="16"/>
        <v>600814.2534127821</v>
      </c>
      <c r="Q43" s="2">
        <v>0</v>
      </c>
      <c r="R43" s="2">
        <f t="shared" si="0"/>
        <v>0</v>
      </c>
      <c r="S43" s="2">
        <f t="shared" si="17"/>
        <v>344814.25341278192</v>
      </c>
      <c r="T43" s="2">
        <f t="shared" si="1"/>
        <v>-644343.77268034639</v>
      </c>
      <c r="U43" s="31">
        <f>T43/Calculations!$B$4/Table!A43</f>
        <v>-0.21886677061153068</v>
      </c>
      <c r="V43" s="2">
        <f>B43-K43-M43-O43</f>
        <v>54342.092889942003</v>
      </c>
      <c r="W43" s="2">
        <f>IF(V43&gt;0,V43*Parameters!$B$15,0)</f>
        <v>27171.046444971002</v>
      </c>
      <c r="X43" s="2">
        <f t="shared" si="18"/>
        <v>373424.64818607108</v>
      </c>
      <c r="Y43" s="2">
        <f>Y42*(1+Parameters!$B$4)+W43</f>
        <v>820072.71015631629</v>
      </c>
      <c r="Z43" s="2">
        <f t="shared" si="2"/>
        <v>446648.06197024521</v>
      </c>
      <c r="AA43" s="2">
        <f>T43+Z43</f>
        <v>-197695.71071010118</v>
      </c>
      <c r="AB43" s="31">
        <f>AA43/Calculations!$B$4/A43</f>
        <v>-6.7152075648811538E-2</v>
      </c>
      <c r="AC43" s="31">
        <f t="shared" si="3"/>
        <v>0.27033315162779531</v>
      </c>
      <c r="AD43" s="7">
        <f t="shared" si="4"/>
        <v>40</v>
      </c>
      <c r="AE43" s="2">
        <f t="shared" si="5"/>
        <v>6548.9361911950327</v>
      </c>
      <c r="AF43" s="2">
        <f>(K43+M43+O43)/12</f>
        <v>2020.4284503665319</v>
      </c>
      <c r="AG43" s="8" t="str">
        <f t="shared" si="19"/>
        <v/>
      </c>
      <c r="AH43" s="8"/>
      <c r="AI43" s="47">
        <f t="shared" si="6"/>
        <v>40</v>
      </c>
      <c r="AJ43" s="2">
        <f>AJ42*(1+Parameters!$B$20)</f>
        <v>5303.6246822121502</v>
      </c>
      <c r="AK43" s="2">
        <f>Parameters!$B$21*AJ43</f>
        <v>59665.777674886689</v>
      </c>
      <c r="AL43" s="2">
        <f t="shared" si="20"/>
        <v>1664829.6614192193</v>
      </c>
      <c r="AM43" s="2">
        <f>Calculations!$B$5</f>
        <v>2400</v>
      </c>
      <c r="AN43" s="2">
        <f t="shared" si="21"/>
        <v>96000</v>
      </c>
      <c r="AO43" s="2">
        <f t="shared" si="7"/>
        <v>924485.88873887295</v>
      </c>
      <c r="AP43" s="31">
        <f>AO43/Calculations!$B$4/A43</f>
        <v>0.31402373938141065</v>
      </c>
      <c r="AQ43" s="2">
        <f>F43</f>
        <v>1028520.096965634</v>
      </c>
      <c r="AR43" s="31">
        <f>AQ43/Calculations!$B$4/A43</f>
        <v>0.3493614459801746</v>
      </c>
      <c r="AS43" s="31">
        <f t="shared" si="8"/>
        <v>-3.5337706598763952E-2</v>
      </c>
      <c r="AT43" s="31"/>
      <c r="AU43" s="2">
        <f>I43*Parameters!$B$22</f>
        <v>42394.361541405167</v>
      </c>
      <c r="AV43" s="2">
        <f>J43*Parameters!$B$23</f>
        <v>57985.903853512922</v>
      </c>
      <c r="AW43" s="2">
        <f t="shared" si="9"/>
        <v>100380.2653949181</v>
      </c>
      <c r="AX43" s="2">
        <f>AO43-AW43</f>
        <v>824105.62334395479</v>
      </c>
      <c r="AY43" s="31">
        <f>AX43/Calculations!$B$4/A43</f>
        <v>0.27992718184237597</v>
      </c>
      <c r="AZ43" s="31">
        <f t="shared" si="10"/>
        <v>-6.9434264137798629E-2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91F4-4798-4AFA-A8C8-BA43DEA88675}">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BE11-6ED8-40B2-9DB3-578210E9C15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0679-C697-40D5-BF04-3BC462A047A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EA82-F43B-412A-858A-1DEBFC1E9F67}">
  <dimension ref="A1:A7"/>
  <sheetViews>
    <sheetView workbookViewId="0"/>
  </sheetViews>
  <sheetFormatPr defaultRowHeight="15"/>
  <cols>
    <col min="1" max="1" width="226.5703125" customWidth="1"/>
  </cols>
  <sheetData>
    <row r="1" spans="1:1">
      <c r="A1" s="48" t="s">
        <v>83</v>
      </c>
    </row>
    <row r="2" spans="1:1" ht="43.5">
      <c r="A2" s="37" t="s">
        <v>84</v>
      </c>
    </row>
    <row r="3" spans="1:1">
      <c r="A3" s="37" t="s">
        <v>85</v>
      </c>
    </row>
    <row r="4" spans="1:1" ht="103.5" customHeight="1">
      <c r="A4" s="37" t="s">
        <v>86</v>
      </c>
    </row>
    <row r="5" spans="1:1" ht="29.25">
      <c r="A5" s="37" t="s">
        <v>87</v>
      </c>
    </row>
    <row r="6" spans="1:1" ht="57.75">
      <c r="A6" s="37" t="s">
        <v>88</v>
      </c>
    </row>
    <row r="7" spans="1:1">
      <c r="A7" s="6" t="s">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AFD2-25AC-466A-B050-8D1D35F06CE4}">
  <dimension ref="A1:A2"/>
  <sheetViews>
    <sheetView workbookViewId="0">
      <selection activeCell="A3" sqref="A3"/>
    </sheetView>
  </sheetViews>
  <sheetFormatPr defaultRowHeight="15"/>
  <cols>
    <col min="1" max="1" width="167.5703125" customWidth="1"/>
  </cols>
  <sheetData>
    <row r="1" spans="1:1">
      <c r="A1" s="5" t="s">
        <v>90</v>
      </c>
    </row>
    <row r="2" spans="1:1">
      <c r="A2" s="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 Soffer</cp:lastModifiedBy>
  <cp:revision/>
  <dcterms:created xsi:type="dcterms:W3CDTF">2025-02-04T22:35:44Z</dcterms:created>
  <dcterms:modified xsi:type="dcterms:W3CDTF">2025-02-14T01:26:31Z</dcterms:modified>
  <cp:category/>
  <cp:contentStatus/>
</cp:coreProperties>
</file>