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oberts\Documents\MCH Ischemia\Old Data\"/>
    </mc:Choice>
  </mc:AlternateContent>
  <bookViews>
    <workbookView xWindow="0" yWindow="0" windowWidth="28800" windowHeight="14100" tabRatio="672" activeTab="5"/>
  </bookViews>
  <sheets>
    <sheet name="Negative Diagnosis" sheetId="1" r:id="rId1"/>
    <sheet name="Atherosclerosis" sheetId="3" r:id="rId2"/>
    <sheet name="Ischemia" sheetId="4" r:id="rId3"/>
    <sheet name="Ischemia-MALS" sheetId="11" r:id="rId4"/>
    <sheet name="Unknown" sheetId="5" r:id="rId5"/>
    <sheet name="Controls" sheetId="6" r:id="rId6"/>
    <sheet name="...." sheetId="7" r:id="rId7"/>
    <sheet name="Scan Info" sheetId="9" r:id="rId8"/>
    <sheet name="T-test" sheetId="8" r:id="rId9"/>
    <sheet name="Reliability"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7" i="9" l="1"/>
  <c r="W97" i="9" s="1"/>
  <c r="T97" i="9"/>
  <c r="V97" i="9" s="1"/>
  <c r="U96" i="9"/>
  <c r="W96" i="9" s="1"/>
  <c r="T96" i="9"/>
  <c r="V96" i="9" s="1"/>
  <c r="J20" i="3"/>
  <c r="K20" i="3"/>
  <c r="L20" i="3"/>
  <c r="M20" i="3"/>
  <c r="N20" i="3"/>
  <c r="O20" i="3"/>
  <c r="P20" i="3"/>
  <c r="Q20" i="3"/>
  <c r="I20" i="3"/>
  <c r="U95" i="9"/>
  <c r="W95" i="9" s="1"/>
  <c r="T95" i="9"/>
  <c r="V95" i="9" s="1"/>
  <c r="I23" i="4"/>
  <c r="C27" i="4"/>
  <c r="D27" i="4"/>
  <c r="E27" i="4"/>
  <c r="F27" i="4"/>
  <c r="G27" i="4"/>
  <c r="H27" i="4"/>
  <c r="I27" i="4"/>
  <c r="J27" i="4"/>
  <c r="K27" i="4"/>
  <c r="L27" i="4"/>
  <c r="M27" i="4"/>
  <c r="N27" i="4"/>
  <c r="O27" i="4"/>
  <c r="P27" i="4"/>
  <c r="Q27" i="4"/>
  <c r="C28" i="4"/>
  <c r="D28" i="4"/>
  <c r="E28" i="4"/>
  <c r="F28" i="4"/>
  <c r="I28" i="4"/>
  <c r="J28" i="4"/>
  <c r="K28" i="4"/>
  <c r="L28" i="4"/>
  <c r="M28" i="4"/>
  <c r="N28" i="4"/>
  <c r="O28" i="4"/>
  <c r="P28" i="4"/>
  <c r="Q28" i="4"/>
  <c r="D26" i="4"/>
  <c r="E26" i="4"/>
  <c r="F26" i="4"/>
  <c r="G26" i="4"/>
  <c r="H26" i="4"/>
  <c r="I26" i="4"/>
  <c r="J26" i="4"/>
  <c r="K26" i="4"/>
  <c r="L26" i="4"/>
  <c r="M26" i="4"/>
  <c r="N26" i="4"/>
  <c r="O26" i="4"/>
  <c r="P26" i="4"/>
  <c r="Q26" i="4"/>
  <c r="C26" i="4"/>
  <c r="C24" i="4"/>
  <c r="D24" i="4"/>
  <c r="E24" i="4"/>
  <c r="F24" i="4"/>
  <c r="G24" i="4"/>
  <c r="H24" i="4"/>
  <c r="I24" i="4"/>
  <c r="J24" i="4"/>
  <c r="K24" i="4"/>
  <c r="L24" i="4"/>
  <c r="M24" i="4"/>
  <c r="N24" i="4"/>
  <c r="O24" i="4"/>
  <c r="P24" i="4"/>
  <c r="Q24" i="4"/>
  <c r="C25" i="4"/>
  <c r="D25" i="4"/>
  <c r="E25" i="4"/>
  <c r="F25" i="4"/>
  <c r="I25" i="4"/>
  <c r="J25" i="4"/>
  <c r="K25" i="4"/>
  <c r="L25" i="4"/>
  <c r="M25" i="4"/>
  <c r="N25" i="4"/>
  <c r="O25" i="4"/>
  <c r="P25" i="4"/>
  <c r="Q25" i="4"/>
  <c r="D23" i="4"/>
  <c r="E23" i="4"/>
  <c r="F23" i="4"/>
  <c r="G23" i="4"/>
  <c r="H23" i="4"/>
  <c r="J23" i="4"/>
  <c r="K23" i="4"/>
  <c r="L23" i="4"/>
  <c r="M23" i="4"/>
  <c r="N23" i="4"/>
  <c r="O23" i="4"/>
  <c r="P23" i="4"/>
  <c r="Q23" i="4"/>
  <c r="C23" i="4"/>
  <c r="Q37" i="11"/>
  <c r="P37" i="11"/>
  <c r="N37" i="11"/>
  <c r="M37" i="11"/>
  <c r="L37" i="11"/>
  <c r="K37" i="11"/>
  <c r="J37" i="11"/>
  <c r="F37" i="11"/>
  <c r="E37" i="11"/>
  <c r="D37" i="11"/>
  <c r="C37" i="11"/>
  <c r="AH36" i="11"/>
  <c r="AG36" i="11"/>
  <c r="AF36" i="11"/>
  <c r="AE36" i="11"/>
  <c r="AD36" i="11"/>
  <c r="AC36" i="11"/>
  <c r="AB36" i="11"/>
  <c r="AA36" i="11"/>
  <c r="Z36" i="11"/>
  <c r="Y36" i="11"/>
  <c r="X36" i="11"/>
  <c r="W36" i="11"/>
  <c r="V36" i="11"/>
  <c r="U36" i="11"/>
  <c r="T36" i="11"/>
  <c r="Q36" i="11"/>
  <c r="P36" i="11"/>
  <c r="O36" i="11"/>
  <c r="N36" i="11"/>
  <c r="M36" i="11"/>
  <c r="L36" i="11"/>
  <c r="K36" i="11"/>
  <c r="J36" i="11"/>
  <c r="I36" i="11"/>
  <c r="H36" i="11"/>
  <c r="G36" i="11"/>
  <c r="F36" i="11"/>
  <c r="E36" i="11"/>
  <c r="D36" i="11"/>
  <c r="C36" i="11"/>
  <c r="AH35" i="11"/>
  <c r="AG35" i="11"/>
  <c r="AF35" i="11"/>
  <c r="AE35" i="11"/>
  <c r="AD35" i="11"/>
  <c r="AC35" i="11"/>
  <c r="AB35" i="11"/>
  <c r="AA35" i="11"/>
  <c r="Z35" i="11"/>
  <c r="X35" i="11"/>
  <c r="W35" i="11"/>
  <c r="V35" i="11"/>
  <c r="U35" i="11"/>
  <c r="T35" i="11"/>
  <c r="Q35" i="11"/>
  <c r="P35" i="11"/>
  <c r="O35" i="11"/>
  <c r="N35" i="11"/>
  <c r="M35" i="11"/>
  <c r="L35" i="11"/>
  <c r="K35" i="11"/>
  <c r="J35" i="11"/>
  <c r="I35" i="11"/>
  <c r="G35" i="11"/>
  <c r="F35" i="11"/>
  <c r="E35" i="11"/>
  <c r="D35" i="11"/>
  <c r="C35" i="11"/>
  <c r="Q34" i="11"/>
  <c r="P34" i="11"/>
  <c r="O34" i="11"/>
  <c r="N34" i="11"/>
  <c r="M34" i="11"/>
  <c r="L34" i="11"/>
  <c r="K34" i="11"/>
  <c r="J34" i="11"/>
  <c r="F34" i="11"/>
  <c r="E34" i="11"/>
  <c r="D34" i="11"/>
  <c r="C34" i="11"/>
  <c r="AH33" i="11"/>
  <c r="AG33" i="11"/>
  <c r="AF33" i="11"/>
  <c r="AE33" i="11"/>
  <c r="AD33" i="11"/>
  <c r="AC33" i="11"/>
  <c r="AB33" i="11"/>
  <c r="AA33" i="11"/>
  <c r="Z33" i="11"/>
  <c r="Y33" i="11"/>
  <c r="X33" i="11"/>
  <c r="W33" i="11"/>
  <c r="V33" i="11"/>
  <c r="U33" i="11"/>
  <c r="T33" i="11"/>
  <c r="Q33" i="11"/>
  <c r="Q38" i="11" s="1"/>
  <c r="P33" i="11"/>
  <c r="P38" i="11" s="1"/>
  <c r="O33" i="11"/>
  <c r="O38" i="11" s="1"/>
  <c r="N33" i="11"/>
  <c r="N38" i="11" s="1"/>
  <c r="M33" i="11"/>
  <c r="M38" i="11" s="1"/>
  <c r="L33" i="11"/>
  <c r="L38" i="11" s="1"/>
  <c r="K33" i="11"/>
  <c r="K38" i="11" s="1"/>
  <c r="J33" i="11"/>
  <c r="J38" i="11" s="1"/>
  <c r="I33" i="11"/>
  <c r="I38" i="11" s="1"/>
  <c r="H33" i="11"/>
  <c r="G33" i="11"/>
  <c r="F33" i="11"/>
  <c r="E33" i="11"/>
  <c r="D33" i="11"/>
  <c r="C33" i="11"/>
  <c r="AH32" i="11"/>
  <c r="AG32" i="11"/>
  <c r="AF32" i="11"/>
  <c r="AE32" i="11"/>
  <c r="AD32" i="11"/>
  <c r="AC32" i="11"/>
  <c r="AB32" i="11"/>
  <c r="AA32" i="11"/>
  <c r="Z32" i="11"/>
  <c r="Y32" i="11"/>
  <c r="X32" i="11"/>
  <c r="W32" i="11"/>
  <c r="V32" i="11"/>
  <c r="U32" i="11"/>
  <c r="T32" i="11"/>
  <c r="Q32" i="11"/>
  <c r="P32" i="11"/>
  <c r="O32" i="11"/>
  <c r="N32" i="11"/>
  <c r="M32" i="11"/>
  <c r="L32" i="11"/>
  <c r="K32" i="11"/>
  <c r="J32" i="11"/>
  <c r="I32" i="11"/>
  <c r="G32" i="11"/>
  <c r="F32" i="11"/>
  <c r="E32" i="11"/>
  <c r="D32" i="11"/>
  <c r="C32" i="11"/>
  <c r="AH28" i="11"/>
  <c r="AG28" i="11"/>
  <c r="AF28" i="11"/>
  <c r="AE28" i="11"/>
  <c r="AD28" i="11"/>
  <c r="AB28" i="11"/>
  <c r="AA28" i="11"/>
  <c r="Z28" i="11"/>
  <c r="W28" i="11"/>
  <c r="V28" i="11"/>
  <c r="U28" i="11"/>
  <c r="T28" i="11"/>
  <c r="AH25" i="11"/>
  <c r="AH37" i="11" s="1"/>
  <c r="AG25" i="11"/>
  <c r="AG34" i="11" s="1"/>
  <c r="AF25" i="11"/>
  <c r="AF34" i="11" s="1"/>
  <c r="AE25" i="11"/>
  <c r="AE34" i="11" s="1"/>
  <c r="AD25" i="11"/>
  <c r="AD37" i="11" s="1"/>
  <c r="AC25" i="11"/>
  <c r="AC34" i="11" s="1"/>
  <c r="AB25" i="11"/>
  <c r="AB34" i="11" s="1"/>
  <c r="AA25" i="11"/>
  <c r="AA37" i="11" s="1"/>
  <c r="Z25" i="11"/>
  <c r="Z37" i="11" s="1"/>
  <c r="W25" i="11"/>
  <c r="W34" i="11" s="1"/>
  <c r="V25" i="11"/>
  <c r="V34" i="11" s="1"/>
  <c r="U25" i="11"/>
  <c r="U34" i="11" s="1"/>
  <c r="T25" i="11"/>
  <c r="T37" i="11" s="1"/>
  <c r="AI24" i="11"/>
  <c r="AI23" i="11"/>
  <c r="AH22" i="11"/>
  <c r="AG22" i="11"/>
  <c r="AF22" i="11"/>
  <c r="AE22" i="11"/>
  <c r="AD22" i="11"/>
  <c r="AD34" i="11" s="1"/>
  <c r="AC22" i="11"/>
  <c r="AB22" i="11"/>
  <c r="AA22" i="11"/>
  <c r="Z22" i="11"/>
  <c r="W22" i="11"/>
  <c r="V22" i="11"/>
  <c r="U22" i="11"/>
  <c r="T22" i="11"/>
  <c r="T34" i="11" s="1"/>
  <c r="O22" i="11"/>
  <c r="O37" i="11" s="1"/>
  <c r="I22" i="11"/>
  <c r="I34" i="11" s="1"/>
  <c r="Y20" i="11"/>
  <c r="Y35" i="11" s="1"/>
  <c r="H20" i="11"/>
  <c r="H35" i="11" s="1"/>
  <c r="AH19" i="11"/>
  <c r="AG19" i="11"/>
  <c r="AF19" i="11"/>
  <c r="AE19" i="11"/>
  <c r="AD19" i="11"/>
  <c r="AB19" i="11"/>
  <c r="AA19" i="11"/>
  <c r="Z19" i="11"/>
  <c r="W19" i="11"/>
  <c r="V19" i="11"/>
  <c r="U19" i="11"/>
  <c r="T19" i="11"/>
  <c r="AH16" i="11"/>
  <c r="AG16" i="11"/>
  <c r="AF16" i="11"/>
  <c r="AE16" i="11"/>
  <c r="AD16" i="11"/>
  <c r="AC16" i="11"/>
  <c r="AB16" i="11"/>
  <c r="Z16" i="11"/>
  <c r="W16" i="11"/>
  <c r="V16" i="11"/>
  <c r="U16" i="11"/>
  <c r="T16" i="11"/>
  <c r="AH13" i="11"/>
  <c r="AG13" i="11"/>
  <c r="AF13" i="11"/>
  <c r="AE13" i="11"/>
  <c r="AD13" i="11"/>
  <c r="AC13" i="11"/>
  <c r="AB13" i="11"/>
  <c r="AA13" i="11"/>
  <c r="Z13" i="11"/>
  <c r="W13" i="11"/>
  <c r="V13" i="11"/>
  <c r="U13" i="11"/>
  <c r="T13" i="11"/>
  <c r="AH10" i="11"/>
  <c r="AG10" i="11"/>
  <c r="AF10" i="11"/>
  <c r="AE10" i="11"/>
  <c r="AD10" i="11"/>
  <c r="AC10" i="11"/>
  <c r="AB10" i="11"/>
  <c r="AA10" i="11"/>
  <c r="Z10" i="11"/>
  <c r="W10" i="11"/>
  <c r="V10" i="11"/>
  <c r="U10" i="11"/>
  <c r="T10" i="11"/>
  <c r="AH7" i="11"/>
  <c r="AG7" i="11"/>
  <c r="AF7" i="11"/>
  <c r="AE7" i="11"/>
  <c r="AD7" i="11"/>
  <c r="AC7" i="11"/>
  <c r="AB7" i="11"/>
  <c r="AA7" i="11"/>
  <c r="W7" i="11"/>
  <c r="V7" i="11"/>
  <c r="U7" i="11"/>
  <c r="T7" i="11"/>
  <c r="AH4" i="11"/>
  <c r="AG4" i="11"/>
  <c r="AF4" i="11"/>
  <c r="AE4" i="11"/>
  <c r="AD4" i="11"/>
  <c r="AC4" i="11"/>
  <c r="AB4" i="11"/>
  <c r="AA4" i="11"/>
  <c r="AA34" i="11" s="1"/>
  <c r="Z4" i="11"/>
  <c r="W4" i="11"/>
  <c r="V4" i="11"/>
  <c r="U4" i="11"/>
  <c r="T4" i="11"/>
  <c r="J81" i="6"/>
  <c r="K81" i="6"/>
  <c r="L81" i="6"/>
  <c r="M81" i="6"/>
  <c r="N81" i="6"/>
  <c r="O81" i="6"/>
  <c r="P81" i="6"/>
  <c r="Q81" i="6"/>
  <c r="I81" i="6"/>
  <c r="H32" i="11" l="1"/>
  <c r="Z34" i="11"/>
  <c r="AH34" i="11"/>
  <c r="AB37" i="11"/>
  <c r="I37" i="11"/>
  <c r="AC37" i="11"/>
  <c r="U37" i="11"/>
  <c r="AE37" i="11"/>
  <c r="V37" i="11"/>
  <c r="AF37" i="11"/>
  <c r="W37" i="11"/>
  <c r="AG37" i="11"/>
  <c r="H98" i="10" l="1"/>
  <c r="H95" i="10"/>
  <c r="X175" i="8"/>
  <c r="W175" i="8"/>
  <c r="V175" i="8"/>
  <c r="U175" i="8"/>
  <c r="T175" i="8"/>
  <c r="R175" i="8"/>
  <c r="Q175" i="8"/>
  <c r="P175" i="8"/>
  <c r="Q188" i="8"/>
  <c r="R188" i="8"/>
  <c r="S188" i="8"/>
  <c r="T188" i="8"/>
  <c r="U188" i="8"/>
  <c r="V188" i="8"/>
  <c r="W188" i="8"/>
  <c r="X188" i="8"/>
  <c r="P188" i="8"/>
  <c r="Q184" i="8"/>
  <c r="R184" i="8"/>
  <c r="S184" i="8"/>
  <c r="T184" i="8"/>
  <c r="U184" i="8"/>
  <c r="V184" i="8"/>
  <c r="W184" i="8"/>
  <c r="X184" i="8"/>
  <c r="P184" i="8"/>
  <c r="X171" i="8"/>
  <c r="W171" i="8"/>
  <c r="V171" i="8"/>
  <c r="U171" i="8"/>
  <c r="T171" i="8"/>
  <c r="S171" i="8"/>
  <c r="R171" i="8"/>
  <c r="P171" i="8"/>
  <c r="X170" i="8"/>
  <c r="W170" i="8"/>
  <c r="V170" i="8"/>
  <c r="U170" i="8"/>
  <c r="T170" i="8"/>
  <c r="S170" i="8"/>
  <c r="R170" i="8"/>
  <c r="Q170" i="8"/>
  <c r="P170" i="8"/>
  <c r="X169" i="8"/>
  <c r="W169" i="8"/>
  <c r="V169" i="8"/>
  <c r="U169" i="8"/>
  <c r="T169" i="8"/>
  <c r="S169" i="8"/>
  <c r="R169" i="8"/>
  <c r="Q169" i="8"/>
  <c r="P169" i="8"/>
  <c r="X168" i="8"/>
  <c r="W168" i="8"/>
  <c r="V168" i="8"/>
  <c r="U168" i="8"/>
  <c r="T168" i="8"/>
  <c r="S168" i="8"/>
  <c r="R168" i="8"/>
  <c r="Q168" i="8"/>
  <c r="X167" i="8"/>
  <c r="W167" i="8"/>
  <c r="W176" i="8" s="1"/>
  <c r="V167" i="8"/>
  <c r="U167" i="8"/>
  <c r="T167" i="8"/>
  <c r="S167" i="8"/>
  <c r="R167" i="8"/>
  <c r="Q167" i="8"/>
  <c r="P167" i="8"/>
  <c r="X149" i="8"/>
  <c r="W149" i="8"/>
  <c r="V149" i="8"/>
  <c r="U149" i="8"/>
  <c r="T149" i="8"/>
  <c r="S149" i="8"/>
  <c r="R149" i="8"/>
  <c r="Q149" i="8"/>
  <c r="P149" i="8"/>
  <c r="X147" i="8"/>
  <c r="W147" i="8"/>
  <c r="V147" i="8"/>
  <c r="U147" i="8"/>
  <c r="T147" i="8"/>
  <c r="S147" i="8"/>
  <c r="R147" i="8"/>
  <c r="Q147" i="8"/>
  <c r="P147" i="8"/>
  <c r="X146" i="8"/>
  <c r="W146" i="8"/>
  <c r="V146" i="8"/>
  <c r="U146" i="8"/>
  <c r="T146" i="8"/>
  <c r="S146" i="8"/>
  <c r="R146" i="8"/>
  <c r="Q146" i="8"/>
  <c r="P146" i="8"/>
  <c r="X145" i="8"/>
  <c r="W145" i="8"/>
  <c r="V145" i="8"/>
  <c r="U145" i="8"/>
  <c r="T145" i="8"/>
  <c r="S145" i="8"/>
  <c r="R145" i="8"/>
  <c r="Q145" i="8"/>
  <c r="P145" i="8"/>
  <c r="X120" i="8"/>
  <c r="W120" i="8"/>
  <c r="V120" i="8"/>
  <c r="U120" i="8"/>
  <c r="T120" i="8"/>
  <c r="S120" i="8"/>
  <c r="R120" i="8"/>
  <c r="Q120" i="8"/>
  <c r="P120" i="8"/>
  <c r="X119" i="8"/>
  <c r="W119" i="8"/>
  <c r="V119" i="8"/>
  <c r="U119" i="8"/>
  <c r="T119" i="8"/>
  <c r="S119" i="8"/>
  <c r="R119" i="8"/>
  <c r="Q119" i="8"/>
  <c r="P119" i="8"/>
  <c r="X118" i="8"/>
  <c r="W118" i="8"/>
  <c r="V118" i="8"/>
  <c r="U118" i="8"/>
  <c r="T118" i="8"/>
  <c r="S118" i="8"/>
  <c r="R118" i="8"/>
  <c r="Q118" i="8"/>
  <c r="P118" i="8"/>
  <c r="V177" i="8" l="1"/>
  <c r="X150" i="8"/>
  <c r="U178" i="8"/>
  <c r="U176" i="8"/>
  <c r="Q178" i="8"/>
  <c r="S150" i="8"/>
  <c r="R178" i="8"/>
  <c r="W150" i="8"/>
  <c r="S178" i="8"/>
  <c r="T177" i="8"/>
  <c r="U150" i="8"/>
  <c r="P150" i="8"/>
  <c r="Q150" i="8"/>
  <c r="R150" i="8"/>
  <c r="T150" i="8"/>
  <c r="V150" i="8"/>
  <c r="V176" i="8"/>
  <c r="U177" i="8"/>
  <c r="T178" i="8"/>
  <c r="P176" i="8"/>
  <c r="X176" i="8"/>
  <c r="W177" i="8"/>
  <c r="V178" i="8"/>
  <c r="Q176" i="8"/>
  <c r="P177" i="8"/>
  <c r="X177" i="8"/>
  <c r="W178" i="8"/>
  <c r="R176" i="8"/>
  <c r="Q177" i="8"/>
  <c r="P178" i="8"/>
  <c r="X178" i="8"/>
  <c r="S176" i="8"/>
  <c r="R177" i="8"/>
  <c r="T176" i="8"/>
  <c r="S177" i="8"/>
  <c r="V69" i="8"/>
  <c r="J104" i="10" l="1"/>
  <c r="I104" i="10"/>
  <c r="H104" i="10"/>
  <c r="G104" i="10"/>
  <c r="F104" i="10"/>
  <c r="E104" i="10"/>
  <c r="D104" i="10"/>
  <c r="C104" i="10"/>
  <c r="B104" i="10"/>
  <c r="N4" i="5" l="1"/>
  <c r="L4" i="5"/>
  <c r="K4" i="5"/>
  <c r="J4" i="5"/>
  <c r="D4" i="5"/>
  <c r="Q4" i="5"/>
  <c r="P4" i="5"/>
  <c r="O4" i="5"/>
  <c r="M4" i="5"/>
  <c r="I4" i="5"/>
  <c r="F4" i="5"/>
  <c r="E4" i="5"/>
  <c r="C4" i="5"/>
  <c r="AH4" i="5"/>
  <c r="AG4" i="5"/>
  <c r="AF4" i="5"/>
  <c r="AE4" i="5"/>
  <c r="AD4" i="5"/>
  <c r="AC4" i="5"/>
  <c r="AB4" i="5"/>
  <c r="AA4" i="5"/>
  <c r="Z4" i="5"/>
  <c r="W4" i="5"/>
  <c r="V4" i="5"/>
  <c r="U4" i="5"/>
  <c r="T4" i="5"/>
  <c r="AV95" i="8" l="1"/>
  <c r="AU95" i="8"/>
  <c r="AT95" i="8"/>
  <c r="AS95" i="8"/>
  <c r="AR95" i="8"/>
  <c r="AQ95" i="8"/>
  <c r="AP95" i="8"/>
  <c r="AO95" i="8"/>
  <c r="AN95" i="8"/>
  <c r="AJ95" i="8"/>
  <c r="AI95" i="8"/>
  <c r="AH95" i="8"/>
  <c r="AG95" i="8"/>
  <c r="AF95" i="8"/>
  <c r="AE95" i="8"/>
  <c r="AD95" i="8"/>
  <c r="AC95" i="8"/>
  <c r="AB95" i="8"/>
  <c r="X95" i="8"/>
  <c r="W95" i="8"/>
  <c r="V95" i="8"/>
  <c r="U95" i="8"/>
  <c r="T95" i="8"/>
  <c r="S95" i="8"/>
  <c r="R95" i="8"/>
  <c r="Q95" i="8"/>
  <c r="P95" i="8"/>
  <c r="AV91" i="8"/>
  <c r="AU91" i="8"/>
  <c r="AT91" i="8"/>
  <c r="AS91" i="8"/>
  <c r="AR91" i="8"/>
  <c r="AQ91" i="8"/>
  <c r="AP91" i="8"/>
  <c r="AO91" i="8"/>
  <c r="AN91" i="8"/>
  <c r="AJ91" i="8"/>
  <c r="AI91" i="8"/>
  <c r="AH91" i="8"/>
  <c r="AG91" i="8"/>
  <c r="AF91" i="8"/>
  <c r="AE91" i="8"/>
  <c r="AD91" i="8"/>
  <c r="AC91" i="8"/>
  <c r="AB91" i="8"/>
  <c r="X91" i="8"/>
  <c r="W91" i="8"/>
  <c r="V91" i="8"/>
  <c r="U91" i="8"/>
  <c r="T91" i="8"/>
  <c r="S91" i="8"/>
  <c r="R91" i="8"/>
  <c r="Q91" i="8"/>
  <c r="P91" i="8"/>
  <c r="K83" i="8"/>
  <c r="J83" i="8"/>
  <c r="I83" i="8"/>
  <c r="G83" i="8"/>
  <c r="F83" i="8"/>
  <c r="E83" i="8"/>
  <c r="D83" i="8"/>
  <c r="C83" i="8"/>
  <c r="K82" i="8"/>
  <c r="J82" i="8"/>
  <c r="I82" i="8"/>
  <c r="H82" i="8"/>
  <c r="G82" i="8"/>
  <c r="F82" i="8"/>
  <c r="E82" i="8"/>
  <c r="D82" i="8"/>
  <c r="C82" i="8"/>
  <c r="K81" i="8"/>
  <c r="J81" i="8"/>
  <c r="I81" i="8"/>
  <c r="H81" i="8"/>
  <c r="G81" i="8"/>
  <c r="F81" i="8"/>
  <c r="E81" i="8"/>
  <c r="D81" i="8"/>
  <c r="C81" i="8"/>
  <c r="K80" i="8"/>
  <c r="I80" i="8"/>
  <c r="H80" i="8"/>
  <c r="G80" i="8"/>
  <c r="F80" i="8"/>
  <c r="E80" i="8"/>
  <c r="D80" i="8"/>
  <c r="C80" i="8"/>
  <c r="K79" i="8"/>
  <c r="J79" i="8"/>
  <c r="I79" i="8"/>
  <c r="H79" i="8"/>
  <c r="G79" i="8"/>
  <c r="F79" i="8"/>
  <c r="E79" i="8"/>
  <c r="D79" i="8"/>
  <c r="C79" i="8"/>
  <c r="K78" i="8"/>
  <c r="I78" i="8"/>
  <c r="H78" i="8"/>
  <c r="G78" i="8"/>
  <c r="F78" i="8"/>
  <c r="E78" i="8"/>
  <c r="D78" i="8"/>
  <c r="C78" i="8"/>
  <c r="K77" i="8"/>
  <c r="J77" i="8"/>
  <c r="I77" i="8"/>
  <c r="H77" i="8"/>
  <c r="G77" i="8"/>
  <c r="F77" i="8"/>
  <c r="E77" i="8"/>
  <c r="D77" i="8"/>
  <c r="C77" i="8"/>
  <c r="K76" i="8"/>
  <c r="J76" i="8"/>
  <c r="I76" i="8"/>
  <c r="H76" i="8"/>
  <c r="G76" i="8"/>
  <c r="F76" i="8"/>
  <c r="D76" i="8"/>
  <c r="C76" i="8"/>
  <c r="K75" i="8"/>
  <c r="J75" i="8"/>
  <c r="I75" i="8"/>
  <c r="H75" i="8"/>
  <c r="G75" i="8"/>
  <c r="F75" i="8"/>
  <c r="E75" i="8"/>
  <c r="D75" i="8"/>
  <c r="C75" i="8"/>
  <c r="K74" i="8"/>
  <c r="J74" i="8"/>
  <c r="I74" i="8"/>
  <c r="H74" i="8"/>
  <c r="G74" i="8"/>
  <c r="F74" i="8"/>
  <c r="E74" i="8"/>
  <c r="D74" i="8"/>
  <c r="C74" i="8"/>
  <c r="K73" i="8"/>
  <c r="J73" i="8"/>
  <c r="I73" i="8"/>
  <c r="H73" i="8"/>
  <c r="G73" i="8"/>
  <c r="F73" i="8"/>
  <c r="E73" i="8"/>
  <c r="D73" i="8"/>
  <c r="C73" i="8"/>
  <c r="K72" i="8"/>
  <c r="J72" i="8"/>
  <c r="I72" i="8"/>
  <c r="H72" i="8"/>
  <c r="G72" i="8"/>
  <c r="F72" i="8"/>
  <c r="E72" i="8"/>
  <c r="C72" i="8"/>
  <c r="AV71" i="8"/>
  <c r="AU71" i="8"/>
  <c r="AT71" i="8"/>
  <c r="AR71" i="8"/>
  <c r="AQ71" i="8"/>
  <c r="AP71" i="8"/>
  <c r="AO71" i="8"/>
  <c r="AN71" i="8"/>
  <c r="X71" i="8"/>
  <c r="W71" i="8"/>
  <c r="V71" i="8"/>
  <c r="U71" i="8"/>
  <c r="T71" i="8"/>
  <c r="R71" i="8"/>
  <c r="Q71" i="8"/>
  <c r="P71" i="8"/>
  <c r="K71" i="8"/>
  <c r="J71" i="8"/>
  <c r="I71" i="8"/>
  <c r="H71" i="8"/>
  <c r="G71" i="8"/>
  <c r="F71" i="8"/>
  <c r="E71" i="8"/>
  <c r="D71" i="8"/>
  <c r="C71" i="8"/>
  <c r="AV70" i="8"/>
  <c r="AU70" i="8"/>
  <c r="AT70" i="8"/>
  <c r="AS70" i="8"/>
  <c r="AR70" i="8"/>
  <c r="AQ70" i="8"/>
  <c r="AP70" i="8"/>
  <c r="AO70" i="8"/>
  <c r="AN70" i="8"/>
  <c r="X70" i="8"/>
  <c r="W70" i="8"/>
  <c r="V70" i="8"/>
  <c r="U70" i="8"/>
  <c r="T70" i="8"/>
  <c r="S70" i="8"/>
  <c r="R70" i="8"/>
  <c r="Q70" i="8"/>
  <c r="P70" i="8"/>
  <c r="AV69" i="8"/>
  <c r="AU69" i="8"/>
  <c r="AT69" i="8"/>
  <c r="AS69" i="8"/>
  <c r="AR69" i="8"/>
  <c r="AQ69" i="8"/>
  <c r="AP69" i="8"/>
  <c r="AO69" i="8"/>
  <c r="AN69" i="8"/>
  <c r="X69" i="8"/>
  <c r="W69" i="8"/>
  <c r="U69" i="8"/>
  <c r="T69" i="8"/>
  <c r="S69" i="8"/>
  <c r="R69" i="8"/>
  <c r="Q69" i="8"/>
  <c r="P69" i="8"/>
  <c r="H69" i="8"/>
  <c r="G69" i="8"/>
  <c r="F69" i="8"/>
  <c r="E69" i="8"/>
  <c r="D69" i="8"/>
  <c r="C69" i="8"/>
  <c r="AV68" i="8"/>
  <c r="AU68" i="8"/>
  <c r="AT68" i="8"/>
  <c r="AS68" i="8"/>
  <c r="AR68" i="8"/>
  <c r="AQ68" i="8"/>
  <c r="AP68" i="8"/>
  <c r="AO68" i="8"/>
  <c r="AN68" i="8"/>
  <c r="K68" i="8"/>
  <c r="J68" i="8"/>
  <c r="I68" i="8"/>
  <c r="H68" i="8"/>
  <c r="G68" i="8"/>
  <c r="F68" i="8"/>
  <c r="E68" i="8"/>
  <c r="D68" i="8"/>
  <c r="C68" i="8"/>
  <c r="AV67" i="8"/>
  <c r="AU67" i="8"/>
  <c r="AT67" i="8"/>
  <c r="AS67" i="8"/>
  <c r="AR67" i="8"/>
  <c r="AP67" i="8"/>
  <c r="AN67" i="8"/>
  <c r="X67" i="8"/>
  <c r="W67" i="8"/>
  <c r="V67" i="8"/>
  <c r="U67" i="8"/>
  <c r="T67" i="8"/>
  <c r="S67" i="8"/>
  <c r="R67" i="8"/>
  <c r="P67" i="8"/>
  <c r="K67" i="8"/>
  <c r="J67" i="8"/>
  <c r="I67" i="8"/>
  <c r="H67" i="8"/>
  <c r="G67" i="8"/>
  <c r="F67" i="8"/>
  <c r="E67" i="8"/>
  <c r="D67" i="8"/>
  <c r="C67" i="8"/>
  <c r="AV66" i="8"/>
  <c r="AU66" i="8"/>
  <c r="AT66" i="8"/>
  <c r="AS66" i="8"/>
  <c r="AR66" i="8"/>
  <c r="AQ66" i="8"/>
  <c r="AP66" i="8"/>
  <c r="AO66" i="8"/>
  <c r="AN66" i="8"/>
  <c r="X66" i="8"/>
  <c r="W66" i="8"/>
  <c r="V66" i="8"/>
  <c r="U66" i="8"/>
  <c r="T66" i="8"/>
  <c r="S66" i="8"/>
  <c r="R66" i="8"/>
  <c r="Q66" i="8"/>
  <c r="P66" i="8"/>
  <c r="K66" i="8"/>
  <c r="J66" i="8"/>
  <c r="I66" i="8"/>
  <c r="H66" i="8"/>
  <c r="G66" i="8"/>
  <c r="F66" i="8"/>
  <c r="E66" i="8"/>
  <c r="D66" i="8"/>
  <c r="C66" i="8"/>
  <c r="AV65" i="8"/>
  <c r="AU65" i="8"/>
  <c r="AT65" i="8"/>
  <c r="AS65" i="8"/>
  <c r="AR65" i="8"/>
  <c r="AQ65" i="8"/>
  <c r="AP65" i="8"/>
  <c r="AO65" i="8"/>
  <c r="AN65" i="8"/>
  <c r="AJ65" i="8"/>
  <c r="AI65" i="8"/>
  <c r="AH65" i="8"/>
  <c r="AG65" i="8"/>
  <c r="AF65" i="8"/>
  <c r="AE65" i="8"/>
  <c r="AD65" i="8"/>
  <c r="AC65" i="8"/>
  <c r="AB65" i="8"/>
  <c r="X65" i="8"/>
  <c r="W65" i="8"/>
  <c r="V65" i="8"/>
  <c r="U65" i="8"/>
  <c r="T65" i="8"/>
  <c r="S65" i="8"/>
  <c r="R65" i="8"/>
  <c r="Q65" i="8"/>
  <c r="P65" i="8"/>
  <c r="K65" i="8"/>
  <c r="J65" i="8"/>
  <c r="I65" i="8"/>
  <c r="H65" i="8"/>
  <c r="G65" i="8"/>
  <c r="F65" i="8"/>
  <c r="E65" i="8"/>
  <c r="D65" i="8"/>
  <c r="C65" i="8"/>
  <c r="AV64" i="8"/>
  <c r="AU64" i="8"/>
  <c r="AT64" i="8"/>
  <c r="AS64" i="8"/>
  <c r="AR64" i="8"/>
  <c r="AQ64" i="8"/>
  <c r="AP64" i="8"/>
  <c r="AO64" i="8"/>
  <c r="AN64" i="8"/>
  <c r="AJ64" i="8"/>
  <c r="AI64" i="8"/>
  <c r="AH64" i="8"/>
  <c r="AG64" i="8"/>
  <c r="AF64" i="8"/>
  <c r="AE64" i="8"/>
  <c r="AD64" i="8"/>
  <c r="AD67" i="8" s="1"/>
  <c r="AC64" i="8"/>
  <c r="AB64" i="8"/>
  <c r="X64" i="8"/>
  <c r="W64" i="8"/>
  <c r="V64" i="8"/>
  <c r="U64" i="8"/>
  <c r="T64" i="8"/>
  <c r="S64" i="8"/>
  <c r="R64" i="8"/>
  <c r="Q64" i="8"/>
  <c r="K64" i="8"/>
  <c r="J64" i="8"/>
  <c r="I64" i="8"/>
  <c r="H64" i="8"/>
  <c r="G64" i="8"/>
  <c r="F64" i="8"/>
  <c r="E64" i="8"/>
  <c r="D64" i="8"/>
  <c r="C64" i="8"/>
  <c r="AJ63" i="8"/>
  <c r="AI63" i="8"/>
  <c r="AH63" i="8"/>
  <c r="AG63" i="8"/>
  <c r="AF63" i="8"/>
  <c r="AF67" i="8" s="1"/>
  <c r="AE63" i="8"/>
  <c r="AD63" i="8"/>
  <c r="AC63" i="8"/>
  <c r="AB63" i="8"/>
  <c r="X63" i="8"/>
  <c r="W63" i="8"/>
  <c r="V63" i="8"/>
  <c r="U63" i="8"/>
  <c r="T63" i="8"/>
  <c r="S63" i="8"/>
  <c r="R63" i="8"/>
  <c r="Q63" i="8"/>
  <c r="P63" i="8"/>
  <c r="K63" i="8"/>
  <c r="J63" i="8"/>
  <c r="I63" i="8"/>
  <c r="H63" i="8"/>
  <c r="G63" i="8"/>
  <c r="F63" i="8"/>
  <c r="E63" i="8"/>
  <c r="D63" i="8"/>
  <c r="C63" i="8"/>
  <c r="K57" i="8"/>
  <c r="J57" i="8"/>
  <c r="I57" i="8"/>
  <c r="H57" i="8"/>
  <c r="G57" i="8"/>
  <c r="F57" i="8"/>
  <c r="E57" i="8"/>
  <c r="D57" i="8"/>
  <c r="C57" i="8"/>
  <c r="K55" i="8"/>
  <c r="J55" i="8"/>
  <c r="I55" i="8"/>
  <c r="H55" i="8"/>
  <c r="G55" i="8"/>
  <c r="F55" i="8"/>
  <c r="E55" i="8"/>
  <c r="D55" i="8"/>
  <c r="C55" i="8"/>
  <c r="K54" i="8"/>
  <c r="J54" i="8"/>
  <c r="I54" i="8"/>
  <c r="H54" i="8"/>
  <c r="G54" i="8"/>
  <c r="F54" i="8"/>
  <c r="E54" i="8"/>
  <c r="D54" i="8"/>
  <c r="C54" i="8"/>
  <c r="K53" i="8"/>
  <c r="J53" i="8"/>
  <c r="I53" i="8"/>
  <c r="H53" i="8"/>
  <c r="G53" i="8"/>
  <c r="F53" i="8"/>
  <c r="E53" i="8"/>
  <c r="D53" i="8"/>
  <c r="C53" i="8"/>
  <c r="AV45" i="8"/>
  <c r="AU45" i="8"/>
  <c r="AT45" i="8"/>
  <c r="AS45" i="8"/>
  <c r="AR45" i="8"/>
  <c r="AQ45" i="8"/>
  <c r="AP45" i="8"/>
  <c r="AO45" i="8"/>
  <c r="AN45" i="8"/>
  <c r="X45" i="8"/>
  <c r="W45" i="8"/>
  <c r="V45" i="8"/>
  <c r="U45" i="8"/>
  <c r="T45" i="8"/>
  <c r="S45" i="8"/>
  <c r="R45" i="8"/>
  <c r="Q45" i="8"/>
  <c r="P45" i="8"/>
  <c r="AV43" i="8"/>
  <c r="AU43" i="8"/>
  <c r="AT43" i="8"/>
  <c r="AS43" i="8"/>
  <c r="AR43" i="8"/>
  <c r="AQ43" i="8"/>
  <c r="AP43" i="8"/>
  <c r="AO43" i="8"/>
  <c r="AN43" i="8"/>
  <c r="X43" i="8"/>
  <c r="W43" i="8"/>
  <c r="V43" i="8"/>
  <c r="U43" i="8"/>
  <c r="T43" i="8"/>
  <c r="S43" i="8"/>
  <c r="R43" i="8"/>
  <c r="Q43" i="8"/>
  <c r="P43" i="8"/>
  <c r="AV42" i="8"/>
  <c r="AU42" i="8"/>
  <c r="AT42" i="8"/>
  <c r="AS42" i="8"/>
  <c r="AR42" i="8"/>
  <c r="AQ42" i="8"/>
  <c r="AP42" i="8"/>
  <c r="AO42" i="8"/>
  <c r="AN42" i="8"/>
  <c r="X42" i="8"/>
  <c r="W42" i="8"/>
  <c r="V42" i="8"/>
  <c r="U42" i="8"/>
  <c r="T42" i="8"/>
  <c r="S42" i="8"/>
  <c r="R42" i="8"/>
  <c r="Q42" i="8"/>
  <c r="P42" i="8"/>
  <c r="AV41" i="8"/>
  <c r="AU41" i="8"/>
  <c r="AT41" i="8"/>
  <c r="AS41" i="8"/>
  <c r="AR41" i="8"/>
  <c r="AQ41" i="8"/>
  <c r="AP41" i="8"/>
  <c r="AO41" i="8"/>
  <c r="AN41" i="8"/>
  <c r="X41" i="8"/>
  <c r="W41" i="8"/>
  <c r="V41" i="8"/>
  <c r="U41" i="8"/>
  <c r="T41" i="8"/>
  <c r="S41" i="8"/>
  <c r="R41" i="8"/>
  <c r="Q41" i="8"/>
  <c r="P41" i="8"/>
  <c r="AJ39" i="8"/>
  <c r="AI39" i="8"/>
  <c r="AH39" i="8"/>
  <c r="AG39" i="8"/>
  <c r="AF39" i="8"/>
  <c r="AE39" i="8"/>
  <c r="AD39" i="8"/>
  <c r="AC39" i="8"/>
  <c r="AB39" i="8"/>
  <c r="AJ37" i="8"/>
  <c r="AI37" i="8"/>
  <c r="AH37" i="8"/>
  <c r="AG37" i="8"/>
  <c r="AF37" i="8"/>
  <c r="AE37" i="8"/>
  <c r="AD37" i="8"/>
  <c r="AC37" i="8"/>
  <c r="AB37" i="8"/>
  <c r="AJ36" i="8"/>
  <c r="AI36" i="8"/>
  <c r="AH36" i="8"/>
  <c r="AG36" i="8"/>
  <c r="AF36" i="8"/>
  <c r="AE36" i="8"/>
  <c r="AD36" i="8"/>
  <c r="AC36" i="8"/>
  <c r="AB36" i="8"/>
  <c r="AJ35" i="8"/>
  <c r="AI35" i="8"/>
  <c r="AH35" i="8"/>
  <c r="AG35" i="8"/>
  <c r="AF35" i="8"/>
  <c r="AE35" i="8"/>
  <c r="AD35" i="8"/>
  <c r="AC35" i="8"/>
  <c r="AB35" i="8"/>
  <c r="K28" i="8"/>
  <c r="J28" i="8"/>
  <c r="I28" i="8"/>
  <c r="H28" i="8"/>
  <c r="G28" i="8"/>
  <c r="F28" i="8"/>
  <c r="E28" i="8"/>
  <c r="D28" i="8"/>
  <c r="C28" i="8"/>
  <c r="K27" i="8"/>
  <c r="J27" i="8"/>
  <c r="I27" i="8"/>
  <c r="H27" i="8"/>
  <c r="G27" i="8"/>
  <c r="F27" i="8"/>
  <c r="E27" i="8"/>
  <c r="D27" i="8"/>
  <c r="C27" i="8"/>
  <c r="K26" i="8"/>
  <c r="J26" i="8"/>
  <c r="I26" i="8"/>
  <c r="H26" i="8"/>
  <c r="G26" i="8"/>
  <c r="F26" i="8"/>
  <c r="E26" i="8"/>
  <c r="D26" i="8"/>
  <c r="C26" i="8"/>
  <c r="AV16" i="8"/>
  <c r="AU16" i="8"/>
  <c r="AT16" i="8"/>
  <c r="AS16" i="8"/>
  <c r="AR16" i="8"/>
  <c r="AQ16" i="8"/>
  <c r="AP16" i="8"/>
  <c r="AO16" i="8"/>
  <c r="AN16" i="8"/>
  <c r="X16" i="8"/>
  <c r="W16" i="8"/>
  <c r="V16" i="8"/>
  <c r="U16" i="8"/>
  <c r="T16" i="8"/>
  <c r="S16" i="8"/>
  <c r="R16" i="8"/>
  <c r="Q16" i="8"/>
  <c r="P16" i="8"/>
  <c r="AV15" i="8"/>
  <c r="AU15" i="8"/>
  <c r="AT15" i="8"/>
  <c r="AS15" i="8"/>
  <c r="AR15" i="8"/>
  <c r="AQ15" i="8"/>
  <c r="AP15" i="8"/>
  <c r="AO15" i="8"/>
  <c r="AN15" i="8"/>
  <c r="X15" i="8"/>
  <c r="W15" i="8"/>
  <c r="V15" i="8"/>
  <c r="U15" i="8"/>
  <c r="T15" i="8"/>
  <c r="S15" i="8"/>
  <c r="R15" i="8"/>
  <c r="Q15" i="8"/>
  <c r="P15" i="8"/>
  <c r="AV14" i="8"/>
  <c r="AU14" i="8"/>
  <c r="AT14" i="8"/>
  <c r="AS14" i="8"/>
  <c r="AR14" i="8"/>
  <c r="AQ14" i="8"/>
  <c r="AP14" i="8"/>
  <c r="AO14" i="8"/>
  <c r="AN14" i="8"/>
  <c r="X14" i="8"/>
  <c r="W14" i="8"/>
  <c r="V14" i="8"/>
  <c r="U14" i="8"/>
  <c r="T14" i="8"/>
  <c r="S14" i="8"/>
  <c r="R14" i="8"/>
  <c r="Q14" i="8"/>
  <c r="P14" i="8"/>
  <c r="AJ10" i="8"/>
  <c r="AI10" i="8"/>
  <c r="AH10" i="8"/>
  <c r="AG10" i="8"/>
  <c r="AF10" i="8"/>
  <c r="AE10" i="8"/>
  <c r="AD10" i="8"/>
  <c r="AC10" i="8"/>
  <c r="AB10" i="8"/>
  <c r="AJ9" i="8"/>
  <c r="AI9" i="8"/>
  <c r="AH9" i="8"/>
  <c r="AG9" i="8"/>
  <c r="AF9" i="8"/>
  <c r="AE9" i="8"/>
  <c r="AD9" i="8"/>
  <c r="AC9" i="8"/>
  <c r="AB9" i="8"/>
  <c r="AJ8" i="8"/>
  <c r="AI8" i="8"/>
  <c r="AH8" i="8"/>
  <c r="AG8" i="8"/>
  <c r="AF8" i="8"/>
  <c r="AE8" i="8"/>
  <c r="AD8" i="8"/>
  <c r="AC8" i="8"/>
  <c r="AB8" i="8"/>
  <c r="AG68" i="8" l="1"/>
  <c r="AE68" i="8"/>
  <c r="AO74" i="8"/>
  <c r="U46" i="8"/>
  <c r="AR46" i="8"/>
  <c r="Q192" i="8"/>
  <c r="AR73" i="8"/>
  <c r="AC68" i="8"/>
  <c r="AN73" i="8"/>
  <c r="AV73" i="8"/>
  <c r="AQ72" i="8"/>
  <c r="AD40" i="8"/>
  <c r="AS74" i="8"/>
  <c r="AH40" i="8"/>
  <c r="AS46" i="8"/>
  <c r="F86" i="8"/>
  <c r="S192" i="8"/>
  <c r="AT99" i="8"/>
  <c r="AT72" i="8"/>
  <c r="AE40" i="8"/>
  <c r="AT46" i="8"/>
  <c r="AC99" i="8"/>
  <c r="AB40" i="8"/>
  <c r="AJ40" i="8"/>
  <c r="AF40" i="8"/>
  <c r="AU46" i="8"/>
  <c r="C58" i="8"/>
  <c r="K58" i="8"/>
  <c r="T192" i="8"/>
  <c r="AD68" i="8"/>
  <c r="AB66" i="8"/>
  <c r="AJ66" i="8"/>
  <c r="AU72" i="8"/>
  <c r="T72" i="8"/>
  <c r="AG40" i="8"/>
  <c r="AN46" i="8"/>
  <c r="AV46" i="8"/>
  <c r="U192" i="8"/>
  <c r="AC67" i="8"/>
  <c r="R192" i="8"/>
  <c r="AS72" i="8"/>
  <c r="AC40" i="8"/>
  <c r="AO46" i="8"/>
  <c r="E58" i="8"/>
  <c r="V192" i="8"/>
  <c r="AO73" i="8"/>
  <c r="AP73" i="8"/>
  <c r="AI40" i="8"/>
  <c r="AP46" i="8"/>
  <c r="F58" i="8"/>
  <c r="W192" i="8"/>
  <c r="AQ46" i="8"/>
  <c r="P192" i="8"/>
  <c r="X192" i="8"/>
  <c r="AH67" i="8"/>
  <c r="AF68" i="8"/>
  <c r="AQ73" i="8"/>
  <c r="AP72" i="8"/>
  <c r="W46" i="8"/>
  <c r="R99" i="8"/>
  <c r="T73" i="8"/>
  <c r="R74" i="8"/>
  <c r="V72" i="8"/>
  <c r="P72" i="8"/>
  <c r="X72" i="8"/>
  <c r="P46" i="8"/>
  <c r="X46" i="8"/>
  <c r="S73" i="8"/>
  <c r="Q74" i="8"/>
  <c r="Q46" i="8"/>
  <c r="R46" i="8"/>
  <c r="U72" i="8"/>
  <c r="S46" i="8"/>
  <c r="Q73" i="8"/>
  <c r="T46" i="8"/>
  <c r="W72" i="8"/>
  <c r="U73" i="8"/>
  <c r="V46" i="8"/>
  <c r="D58" i="8"/>
  <c r="G86" i="8"/>
  <c r="H85" i="8"/>
  <c r="E85" i="8"/>
  <c r="AN99" i="8"/>
  <c r="AV99" i="8"/>
  <c r="I86" i="8"/>
  <c r="G58" i="8"/>
  <c r="J86" i="8"/>
  <c r="H86" i="8"/>
  <c r="H58" i="8"/>
  <c r="C86" i="8"/>
  <c r="K86" i="8"/>
  <c r="F85" i="8"/>
  <c r="I58" i="8"/>
  <c r="D86" i="8"/>
  <c r="AI99" i="8"/>
  <c r="I85" i="8"/>
  <c r="V99" i="8"/>
  <c r="F84" i="8"/>
  <c r="J84" i="8"/>
  <c r="J58" i="8"/>
  <c r="E86" i="8"/>
  <c r="Q99" i="8"/>
  <c r="AB99" i="8"/>
  <c r="AJ99" i="8"/>
  <c r="J85" i="8"/>
  <c r="AC66" i="8"/>
  <c r="S99" i="8"/>
  <c r="AD99" i="8"/>
  <c r="AO99" i="8"/>
  <c r="AD66" i="8"/>
  <c r="AI67" i="8"/>
  <c r="AH68" i="8"/>
  <c r="Q72" i="8"/>
  <c r="AN72" i="8"/>
  <c r="AV72" i="8"/>
  <c r="V73" i="8"/>
  <c r="AS73" i="8"/>
  <c r="S74" i="8"/>
  <c r="AP74" i="8"/>
  <c r="G84" i="8"/>
  <c r="AE66" i="8"/>
  <c r="AB67" i="8"/>
  <c r="AJ67" i="8"/>
  <c r="AI68" i="8"/>
  <c r="R72" i="8"/>
  <c r="AO72" i="8"/>
  <c r="W73" i="8"/>
  <c r="AT73" i="8"/>
  <c r="T74" i="8"/>
  <c r="AQ74" i="8"/>
  <c r="H84" i="8"/>
  <c r="G85" i="8"/>
  <c r="T99" i="8"/>
  <c r="AE99" i="8"/>
  <c r="AP99" i="8"/>
  <c r="AF66" i="8"/>
  <c r="AB68" i="8"/>
  <c r="AJ68" i="8"/>
  <c r="S72" i="8"/>
  <c r="P73" i="8"/>
  <c r="X73" i="8"/>
  <c r="AU73" i="8"/>
  <c r="U74" i="8"/>
  <c r="AR74" i="8"/>
  <c r="I84" i="8"/>
  <c r="U99" i="8"/>
  <c r="AF99" i="8"/>
  <c r="AQ99" i="8"/>
  <c r="AG66" i="8"/>
  <c r="AG99" i="8"/>
  <c r="W99" i="8"/>
  <c r="AH99" i="8"/>
  <c r="AS99" i="8"/>
  <c r="V74" i="8"/>
  <c r="AR99" i="8"/>
  <c r="AH66" i="8"/>
  <c r="AE67" i="8"/>
  <c r="AR72" i="8"/>
  <c r="R73" i="8"/>
  <c r="W74" i="8"/>
  <c r="AT74" i="8"/>
  <c r="C84" i="8"/>
  <c r="K84" i="8"/>
  <c r="AI66" i="8"/>
  <c r="P74" i="8"/>
  <c r="X74" i="8"/>
  <c r="AU74" i="8"/>
  <c r="D84" i="8"/>
  <c r="C85" i="8"/>
  <c r="K85" i="8"/>
  <c r="P99" i="8"/>
  <c r="X99" i="8"/>
  <c r="AG67" i="8"/>
  <c r="AN74" i="8"/>
  <c r="AV74" i="8"/>
  <c r="E84" i="8"/>
  <c r="D85" i="8"/>
  <c r="AU99" i="8"/>
  <c r="J29" i="4" l="1"/>
  <c r="K29" i="4"/>
  <c r="O29" i="4"/>
  <c r="P29" i="4"/>
  <c r="M29" i="4" l="1"/>
  <c r="L29" i="4"/>
  <c r="N29" i="4"/>
  <c r="Q29" i="4"/>
  <c r="I29" i="4"/>
  <c r="P13" i="5"/>
  <c r="M13" i="5"/>
  <c r="I13" i="5"/>
  <c r="E13" i="5"/>
  <c r="C13" i="5"/>
  <c r="U13" i="5"/>
  <c r="V13" i="5"/>
  <c r="W13" i="5"/>
  <c r="Z13" i="5"/>
  <c r="AA13" i="5"/>
  <c r="AB13" i="5"/>
  <c r="AC13" i="5"/>
  <c r="AD13" i="5"/>
  <c r="AF13" i="5"/>
  <c r="AG13" i="5"/>
  <c r="AH13" i="5"/>
  <c r="T13" i="5"/>
  <c r="D13" i="5"/>
  <c r="F13" i="5"/>
  <c r="J13" i="5"/>
  <c r="K13" i="5"/>
  <c r="L13" i="5"/>
  <c r="O13" i="5"/>
  <c r="Q13" i="5"/>
  <c r="C74" i="6" l="1"/>
  <c r="J78" i="6"/>
  <c r="K78" i="6"/>
  <c r="L78" i="6"/>
  <c r="M78" i="6"/>
  <c r="N78" i="6"/>
  <c r="O78" i="6"/>
  <c r="P78" i="6"/>
  <c r="Q78" i="6"/>
  <c r="I78" i="6"/>
  <c r="D78" i="6"/>
  <c r="E78" i="6"/>
  <c r="F78" i="6"/>
  <c r="G78" i="6"/>
  <c r="H78" i="6"/>
  <c r="C78" i="6"/>
  <c r="D75" i="6"/>
  <c r="E75" i="6"/>
  <c r="F75" i="6"/>
  <c r="G75" i="6"/>
  <c r="H75" i="6"/>
  <c r="C75" i="6"/>
  <c r="J75" i="6"/>
  <c r="K75" i="6"/>
  <c r="L75" i="6"/>
  <c r="M75" i="6"/>
  <c r="N75" i="6"/>
  <c r="O75" i="6"/>
  <c r="P75" i="6"/>
  <c r="Q75" i="6"/>
  <c r="I75" i="6"/>
  <c r="I74" i="6"/>
  <c r="D36" i="1"/>
  <c r="E36" i="1"/>
  <c r="F36" i="1"/>
  <c r="G36" i="1"/>
  <c r="H36" i="1"/>
  <c r="C36" i="1"/>
  <c r="D35" i="1"/>
  <c r="E35" i="1"/>
  <c r="F35" i="1"/>
  <c r="G35" i="1"/>
  <c r="H35" i="1"/>
  <c r="C35" i="1"/>
  <c r="J36" i="1"/>
  <c r="K36" i="1"/>
  <c r="L36" i="1"/>
  <c r="M36" i="1"/>
  <c r="N36" i="1"/>
  <c r="O36" i="1"/>
  <c r="P36" i="1"/>
  <c r="Q36" i="1"/>
  <c r="I36" i="1"/>
  <c r="J35" i="1"/>
  <c r="K35" i="1"/>
  <c r="L35" i="1"/>
  <c r="M35" i="1"/>
  <c r="N35" i="1"/>
  <c r="O35" i="1"/>
  <c r="P35" i="1"/>
  <c r="Q35" i="1"/>
  <c r="I35" i="1"/>
  <c r="I33" i="1"/>
  <c r="I32" i="1"/>
  <c r="C79" i="6"/>
  <c r="I77" i="6"/>
  <c r="D77" i="6"/>
  <c r="E77" i="6"/>
  <c r="F77" i="6"/>
  <c r="G77" i="6"/>
  <c r="H77" i="6"/>
  <c r="C77" i="6"/>
  <c r="C76" i="6"/>
  <c r="D74" i="6"/>
  <c r="E74" i="6"/>
  <c r="F74" i="6"/>
  <c r="G74" i="6"/>
  <c r="H74" i="6"/>
  <c r="J77" i="6"/>
  <c r="K77" i="6"/>
  <c r="L77" i="6"/>
  <c r="M77" i="6"/>
  <c r="N77" i="6"/>
  <c r="O77" i="6"/>
  <c r="P77" i="6"/>
  <c r="Q77" i="6"/>
  <c r="I76" i="6"/>
  <c r="J74" i="6"/>
  <c r="K74" i="6"/>
  <c r="L74" i="6"/>
  <c r="M74" i="6"/>
  <c r="N74" i="6"/>
  <c r="O74" i="6"/>
  <c r="P74" i="6"/>
  <c r="Q74" i="6"/>
  <c r="E113" i="10" l="1"/>
  <c r="H89" i="10"/>
  <c r="J54" i="10"/>
  <c r="F54" i="10"/>
  <c r="J51" i="10"/>
  <c r="F51" i="10"/>
  <c r="J119" i="10"/>
  <c r="I119" i="10"/>
  <c r="H119" i="10"/>
  <c r="G119" i="10"/>
  <c r="F119" i="10"/>
  <c r="E119" i="10"/>
  <c r="D119" i="10"/>
  <c r="C119" i="10"/>
  <c r="B119" i="10"/>
  <c r="J116" i="10"/>
  <c r="I116" i="10"/>
  <c r="H116" i="10"/>
  <c r="G116" i="10"/>
  <c r="F116" i="10"/>
  <c r="E116" i="10"/>
  <c r="D116" i="10"/>
  <c r="C116" i="10"/>
  <c r="B116" i="10"/>
  <c r="J113" i="10"/>
  <c r="H113" i="10"/>
  <c r="G113" i="10"/>
  <c r="F113" i="10"/>
  <c r="D113" i="10"/>
  <c r="B113" i="10"/>
  <c r="J110" i="10"/>
  <c r="I110" i="10"/>
  <c r="H110" i="10"/>
  <c r="G110" i="10"/>
  <c r="F110" i="10"/>
  <c r="E110" i="10"/>
  <c r="D110" i="10"/>
  <c r="B110" i="10"/>
  <c r="J107" i="10"/>
  <c r="I107" i="10"/>
  <c r="H107" i="10"/>
  <c r="G107" i="10"/>
  <c r="F107" i="10"/>
  <c r="E107" i="10"/>
  <c r="D107" i="10"/>
  <c r="B107" i="10"/>
  <c r="J86" i="10"/>
  <c r="I86" i="10"/>
  <c r="H86" i="10"/>
  <c r="G86" i="10"/>
  <c r="F86" i="10"/>
  <c r="D86" i="10"/>
  <c r="C86" i="10"/>
  <c r="B86" i="10"/>
  <c r="J83" i="10"/>
  <c r="I83" i="10"/>
  <c r="H83" i="10"/>
  <c r="G83" i="10"/>
  <c r="F83" i="10"/>
  <c r="D83" i="10"/>
  <c r="C83" i="10"/>
  <c r="B83" i="10"/>
  <c r="J80" i="10"/>
  <c r="I80" i="10"/>
  <c r="H80" i="10"/>
  <c r="G80" i="10"/>
  <c r="F80" i="10"/>
  <c r="E80" i="10"/>
  <c r="D80" i="10"/>
  <c r="B80" i="10"/>
  <c r="J77" i="10"/>
  <c r="I77" i="10"/>
  <c r="H77" i="10"/>
  <c r="G77" i="10"/>
  <c r="F77" i="10"/>
  <c r="E77" i="10"/>
  <c r="D77" i="10"/>
  <c r="B77" i="10"/>
  <c r="J74" i="10"/>
  <c r="I74" i="10"/>
  <c r="H74" i="10"/>
  <c r="G74" i="10"/>
  <c r="F74" i="10"/>
  <c r="E74" i="10"/>
  <c r="D74" i="10"/>
  <c r="C74" i="10"/>
  <c r="B74" i="10"/>
  <c r="J71" i="10"/>
  <c r="I71" i="10"/>
  <c r="H71" i="10"/>
  <c r="G71" i="10"/>
  <c r="F71" i="10"/>
  <c r="E71" i="10"/>
  <c r="D71" i="10"/>
  <c r="C71" i="10"/>
  <c r="B71"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C27" i="10"/>
  <c r="D27" i="10"/>
  <c r="E27" i="10"/>
  <c r="F27" i="10"/>
  <c r="G27" i="10"/>
  <c r="H27" i="10"/>
  <c r="I27" i="10"/>
  <c r="J27" i="10"/>
  <c r="B27" i="10"/>
  <c r="K7" i="10"/>
  <c r="J7" i="10"/>
  <c r="I7" i="10"/>
  <c r="H7" i="10"/>
  <c r="G7" i="10"/>
  <c r="F7" i="10"/>
  <c r="E7" i="10"/>
  <c r="D7" i="10"/>
  <c r="C7" i="10"/>
  <c r="K4" i="10"/>
  <c r="J4" i="10"/>
  <c r="I4" i="10"/>
  <c r="H4" i="10"/>
  <c r="G4" i="10"/>
  <c r="F4" i="10"/>
  <c r="E4" i="10"/>
  <c r="D4" i="10"/>
  <c r="C4" i="10"/>
  <c r="D7" i="6"/>
  <c r="E7" i="6"/>
  <c r="F7" i="6"/>
  <c r="I7" i="6"/>
  <c r="J7" i="6"/>
  <c r="K7" i="6"/>
  <c r="L7" i="6"/>
  <c r="M7" i="6"/>
  <c r="N7" i="6"/>
  <c r="O7" i="6"/>
  <c r="P7" i="6"/>
  <c r="Q7" i="6"/>
  <c r="C7" i="6"/>
  <c r="C113" i="10" l="1"/>
  <c r="C110" i="10"/>
  <c r="C107" i="10"/>
  <c r="H92" i="10"/>
  <c r="D22" i="6"/>
  <c r="E22" i="6"/>
  <c r="F22" i="6"/>
  <c r="I22" i="6"/>
  <c r="J22" i="6"/>
  <c r="K22" i="6"/>
  <c r="L22" i="6"/>
  <c r="M22" i="6"/>
  <c r="N22" i="6"/>
  <c r="O22" i="6"/>
  <c r="P22" i="6"/>
  <c r="Q22" i="6"/>
  <c r="C22" i="6"/>
  <c r="Q79" i="6"/>
  <c r="P79" i="6"/>
  <c r="O79" i="6"/>
  <c r="N79" i="6"/>
  <c r="M79" i="6"/>
  <c r="L79" i="6"/>
  <c r="K79" i="6"/>
  <c r="J79" i="6"/>
  <c r="I79" i="6"/>
  <c r="F79" i="6"/>
  <c r="E79" i="6"/>
  <c r="D79" i="6"/>
  <c r="Q76" i="6"/>
  <c r="P76" i="6"/>
  <c r="O76" i="6"/>
  <c r="N76" i="6"/>
  <c r="M76" i="6"/>
  <c r="L76" i="6"/>
  <c r="K76" i="6"/>
  <c r="J76" i="6"/>
  <c r="F76" i="6"/>
  <c r="E76" i="6"/>
  <c r="D76" i="6"/>
  <c r="C25" i="5"/>
  <c r="Q28" i="5"/>
  <c r="P28" i="5"/>
  <c r="O28" i="5"/>
  <c r="N28" i="5"/>
  <c r="M28" i="5"/>
  <c r="L28" i="5"/>
  <c r="K28" i="5"/>
  <c r="J28" i="5"/>
  <c r="I28" i="5"/>
  <c r="F28" i="5"/>
  <c r="E28" i="5"/>
  <c r="D28" i="5"/>
  <c r="C28" i="5"/>
  <c r="Q27" i="5"/>
  <c r="P27" i="5"/>
  <c r="O27" i="5"/>
  <c r="N27" i="5"/>
  <c r="M27" i="5"/>
  <c r="L27" i="5"/>
  <c r="K27" i="5"/>
  <c r="J27" i="5"/>
  <c r="I27" i="5"/>
  <c r="H27" i="5"/>
  <c r="G27" i="5"/>
  <c r="F27" i="5"/>
  <c r="E27" i="5"/>
  <c r="D27" i="5"/>
  <c r="C27" i="5"/>
  <c r="Q26" i="5"/>
  <c r="P26" i="5"/>
  <c r="O26" i="5"/>
  <c r="N26" i="5"/>
  <c r="M26" i="5"/>
  <c r="L26" i="5"/>
  <c r="K26" i="5"/>
  <c r="J26" i="5"/>
  <c r="I26" i="5"/>
  <c r="H26" i="5"/>
  <c r="G26" i="5"/>
  <c r="F26" i="5"/>
  <c r="E26" i="5"/>
  <c r="D26" i="5"/>
  <c r="C26" i="5"/>
  <c r="Q25" i="5"/>
  <c r="P25" i="5"/>
  <c r="O25" i="5"/>
  <c r="N25" i="5"/>
  <c r="M25" i="5"/>
  <c r="L25" i="5"/>
  <c r="K25" i="5"/>
  <c r="J25" i="5"/>
  <c r="I25" i="5"/>
  <c r="F25" i="5"/>
  <c r="E25" i="5"/>
  <c r="D25" i="5"/>
  <c r="Q24" i="5"/>
  <c r="P24" i="5"/>
  <c r="O24" i="5"/>
  <c r="N24" i="5"/>
  <c r="M24" i="5"/>
  <c r="L24" i="5"/>
  <c r="K24" i="5"/>
  <c r="J24" i="5"/>
  <c r="I24" i="5"/>
  <c r="H24" i="5"/>
  <c r="G24" i="5"/>
  <c r="F24" i="5"/>
  <c r="E24" i="5"/>
  <c r="D24" i="5"/>
  <c r="C24" i="5"/>
  <c r="Q23" i="5"/>
  <c r="P23" i="5"/>
  <c r="O23" i="5"/>
  <c r="N23" i="5"/>
  <c r="M23" i="5"/>
  <c r="L23" i="5"/>
  <c r="K23" i="5"/>
  <c r="J23" i="5"/>
  <c r="I23" i="5"/>
  <c r="H23" i="5"/>
  <c r="G23" i="5"/>
  <c r="F23" i="5"/>
  <c r="E23" i="5"/>
  <c r="D23" i="5"/>
  <c r="C23" i="5"/>
  <c r="T23" i="5"/>
  <c r="T27" i="4"/>
  <c r="U27" i="4"/>
  <c r="V27" i="4"/>
  <c r="W27" i="4"/>
  <c r="X27" i="4"/>
  <c r="Y27" i="4"/>
  <c r="Z27" i="4"/>
  <c r="AA27" i="4"/>
  <c r="AB27" i="4"/>
  <c r="AC27" i="4"/>
  <c r="AD27" i="4"/>
  <c r="AE27" i="4"/>
  <c r="AF27" i="4"/>
  <c r="AG27" i="4"/>
  <c r="AH27" i="4"/>
  <c r="U26" i="4"/>
  <c r="V26" i="4"/>
  <c r="W26" i="4"/>
  <c r="X26" i="4"/>
  <c r="Z26" i="4"/>
  <c r="AA26" i="4"/>
  <c r="AB26" i="4"/>
  <c r="AC26" i="4"/>
  <c r="AD26" i="4"/>
  <c r="AE26" i="4"/>
  <c r="AF26" i="4"/>
  <c r="AG26" i="4"/>
  <c r="AH26" i="4"/>
  <c r="T26" i="4"/>
  <c r="T24" i="4"/>
  <c r="U24" i="4"/>
  <c r="V24" i="4"/>
  <c r="W24" i="4"/>
  <c r="X24" i="4"/>
  <c r="Y24" i="4"/>
  <c r="Z24" i="4"/>
  <c r="AA24" i="4"/>
  <c r="AB24" i="4"/>
  <c r="AC24" i="4"/>
  <c r="AD24" i="4"/>
  <c r="AE24" i="4"/>
  <c r="AF24" i="4"/>
  <c r="AG24" i="4"/>
  <c r="AH24" i="4"/>
  <c r="U23" i="4"/>
  <c r="V23" i="4"/>
  <c r="W23" i="4"/>
  <c r="X23" i="4"/>
  <c r="Z23" i="4"/>
  <c r="AA23" i="4"/>
  <c r="AB23" i="4"/>
  <c r="AC23" i="4"/>
  <c r="AD23" i="4"/>
  <c r="AE23" i="4"/>
  <c r="AF23" i="4"/>
  <c r="AG23" i="4"/>
  <c r="AH23" i="4"/>
  <c r="T23" i="4"/>
  <c r="D18" i="3"/>
  <c r="E18" i="3"/>
  <c r="F18" i="3"/>
  <c r="G18" i="3"/>
  <c r="H18" i="3"/>
  <c r="I18" i="3"/>
  <c r="J18" i="3"/>
  <c r="K18" i="3"/>
  <c r="L18" i="3"/>
  <c r="M18" i="3"/>
  <c r="N18" i="3"/>
  <c r="O18" i="3"/>
  <c r="P18" i="3"/>
  <c r="Q18" i="3"/>
  <c r="C18" i="3"/>
  <c r="D17" i="3"/>
  <c r="E17" i="3"/>
  <c r="F17" i="3"/>
  <c r="G17" i="3"/>
  <c r="H17" i="3"/>
  <c r="I17" i="3"/>
  <c r="J17" i="3"/>
  <c r="K17" i="3"/>
  <c r="L17" i="3"/>
  <c r="M17" i="3"/>
  <c r="N17" i="3"/>
  <c r="O17" i="3"/>
  <c r="P17" i="3"/>
  <c r="Q17" i="3"/>
  <c r="C17" i="3"/>
  <c r="D14" i="3"/>
  <c r="E14" i="3"/>
  <c r="F14" i="3"/>
  <c r="G14" i="3"/>
  <c r="H14" i="3"/>
  <c r="I14" i="3"/>
  <c r="J14" i="3"/>
  <c r="K14" i="3"/>
  <c r="L14" i="3"/>
  <c r="M14" i="3"/>
  <c r="N14" i="3"/>
  <c r="O14" i="3"/>
  <c r="P14" i="3"/>
  <c r="Q14" i="3"/>
  <c r="C14" i="3"/>
  <c r="D15" i="3"/>
  <c r="E15" i="3"/>
  <c r="F15" i="3"/>
  <c r="G15" i="3"/>
  <c r="H15" i="3"/>
  <c r="I15" i="3"/>
  <c r="J15" i="3"/>
  <c r="K15" i="3"/>
  <c r="L15" i="3"/>
  <c r="M15" i="3"/>
  <c r="N15" i="3"/>
  <c r="O15" i="3"/>
  <c r="P15" i="3"/>
  <c r="Q15" i="3"/>
  <c r="C15" i="3"/>
  <c r="Q10" i="3"/>
  <c r="P10" i="3"/>
  <c r="O10" i="3"/>
  <c r="N10" i="3"/>
  <c r="M10" i="3"/>
  <c r="L10" i="3"/>
  <c r="K10" i="3"/>
  <c r="J10" i="3"/>
  <c r="I10" i="3"/>
  <c r="F10" i="3"/>
  <c r="E10" i="3"/>
  <c r="D10" i="3"/>
  <c r="C10" i="3"/>
  <c r="Q7" i="3"/>
  <c r="P7" i="3"/>
  <c r="O7" i="3"/>
  <c r="N7" i="3"/>
  <c r="M7" i="3"/>
  <c r="L7" i="3"/>
  <c r="K7" i="3"/>
  <c r="J7" i="3"/>
  <c r="I7" i="3"/>
  <c r="F7" i="3"/>
  <c r="E7" i="3"/>
  <c r="D7" i="3"/>
  <c r="C7" i="3"/>
  <c r="Q4" i="3"/>
  <c r="Q19" i="3" s="1"/>
  <c r="P4" i="3"/>
  <c r="P19" i="3" s="1"/>
  <c r="O4" i="3"/>
  <c r="O19" i="3" s="1"/>
  <c r="N4" i="3"/>
  <c r="N19" i="3" s="1"/>
  <c r="M4" i="3"/>
  <c r="M19" i="3" s="1"/>
  <c r="L4" i="3"/>
  <c r="L19" i="3" s="1"/>
  <c r="K4" i="3"/>
  <c r="K19" i="3" s="1"/>
  <c r="J4" i="3"/>
  <c r="J19" i="3" s="1"/>
  <c r="I4" i="3"/>
  <c r="I19" i="3" s="1"/>
  <c r="F4" i="3"/>
  <c r="F19" i="3" s="1"/>
  <c r="E4" i="3"/>
  <c r="E19" i="3" s="1"/>
  <c r="D4" i="3"/>
  <c r="D19" i="3" s="1"/>
  <c r="C4" i="3"/>
  <c r="C16" i="3" s="1"/>
  <c r="Q33" i="1"/>
  <c r="P33" i="1"/>
  <c r="O33" i="1"/>
  <c r="N33" i="1"/>
  <c r="M33" i="1"/>
  <c r="L33" i="1"/>
  <c r="K33" i="1"/>
  <c r="J33" i="1"/>
  <c r="H33" i="1"/>
  <c r="G33" i="1"/>
  <c r="F33" i="1"/>
  <c r="E33" i="1"/>
  <c r="D33" i="1"/>
  <c r="C33" i="1"/>
  <c r="Q32" i="1"/>
  <c r="P32" i="1"/>
  <c r="O32" i="1"/>
  <c r="N32" i="1"/>
  <c r="M32" i="1"/>
  <c r="L32" i="1"/>
  <c r="K32" i="1"/>
  <c r="J32" i="1"/>
  <c r="H32" i="1"/>
  <c r="G32" i="1"/>
  <c r="F32" i="1"/>
  <c r="E32" i="1"/>
  <c r="D32" i="1"/>
  <c r="C32" i="1"/>
  <c r="T32" i="1"/>
  <c r="Q28" i="1"/>
  <c r="Q34" i="1" s="1"/>
  <c r="P28" i="1"/>
  <c r="P34" i="1" s="1"/>
  <c r="O28" i="1"/>
  <c r="O34" i="1" s="1"/>
  <c r="M28" i="1"/>
  <c r="M34" i="1" s="1"/>
  <c r="L28" i="1"/>
  <c r="L34" i="1" s="1"/>
  <c r="K28" i="1"/>
  <c r="K34" i="1" s="1"/>
  <c r="J28" i="1"/>
  <c r="J34" i="1" s="1"/>
  <c r="I28" i="1"/>
  <c r="F28" i="1"/>
  <c r="F34" i="1" s="1"/>
  <c r="E28" i="1"/>
  <c r="E34" i="1" s="1"/>
  <c r="D28" i="1"/>
  <c r="D34" i="1" s="1"/>
  <c r="C28" i="1"/>
  <c r="Q25" i="1"/>
  <c r="P25" i="1"/>
  <c r="O25" i="1"/>
  <c r="N25" i="1"/>
  <c r="M25" i="1"/>
  <c r="L25" i="1"/>
  <c r="K25" i="1"/>
  <c r="J25" i="1"/>
  <c r="I25" i="1"/>
  <c r="F25" i="1"/>
  <c r="E25" i="1"/>
  <c r="D25" i="1"/>
  <c r="C25" i="1"/>
  <c r="Q22" i="1"/>
  <c r="P22" i="1"/>
  <c r="O22" i="1"/>
  <c r="N22" i="1"/>
  <c r="M22" i="1"/>
  <c r="L22" i="1"/>
  <c r="K22" i="1"/>
  <c r="J22" i="1"/>
  <c r="I22" i="1"/>
  <c r="F22" i="1"/>
  <c r="E22" i="1"/>
  <c r="D22" i="1"/>
  <c r="C22" i="1"/>
  <c r="Q19" i="1"/>
  <c r="P19" i="1"/>
  <c r="O19" i="1"/>
  <c r="N19" i="1"/>
  <c r="M19" i="1"/>
  <c r="L19" i="1"/>
  <c r="K19" i="1"/>
  <c r="J19" i="1"/>
  <c r="I19" i="1"/>
  <c r="F19" i="1"/>
  <c r="E19" i="1"/>
  <c r="D19" i="1"/>
  <c r="C19" i="1"/>
  <c r="Q16" i="1"/>
  <c r="P16" i="1"/>
  <c r="O16" i="1"/>
  <c r="N16" i="1"/>
  <c r="M16" i="1"/>
  <c r="K16" i="1"/>
  <c r="I16" i="1"/>
  <c r="F16" i="1"/>
  <c r="E16" i="1"/>
  <c r="D16" i="1"/>
  <c r="C16" i="1"/>
  <c r="Q13" i="1"/>
  <c r="P13" i="1"/>
  <c r="O13" i="1"/>
  <c r="N13" i="1"/>
  <c r="M13" i="1"/>
  <c r="L13" i="1"/>
  <c r="K13" i="1"/>
  <c r="J13" i="1"/>
  <c r="I13" i="1"/>
  <c r="F13" i="1"/>
  <c r="E13" i="1"/>
  <c r="D13" i="1"/>
  <c r="C13" i="1"/>
  <c r="Q10" i="1"/>
  <c r="P10" i="1"/>
  <c r="O10" i="1"/>
  <c r="N10" i="1"/>
  <c r="M10" i="1"/>
  <c r="L10" i="1"/>
  <c r="K10" i="1"/>
  <c r="J10" i="1"/>
  <c r="I10" i="1"/>
  <c r="F10" i="1"/>
  <c r="E10" i="1"/>
  <c r="D10" i="1"/>
  <c r="C10" i="1"/>
  <c r="Q7" i="1"/>
  <c r="P7" i="1"/>
  <c r="O7" i="1"/>
  <c r="N7" i="1"/>
  <c r="M7" i="1"/>
  <c r="L7" i="1"/>
  <c r="K7" i="1"/>
  <c r="J7" i="1"/>
  <c r="I7" i="1"/>
  <c r="F7" i="1"/>
  <c r="E7" i="1"/>
  <c r="D7" i="1"/>
  <c r="C7" i="1"/>
  <c r="T68" i="9"/>
  <c r="V68" i="9" s="1"/>
  <c r="T67" i="9"/>
  <c r="V67" i="9" s="1"/>
  <c r="V22" i="9"/>
  <c r="W37" i="9"/>
  <c r="U54" i="9"/>
  <c r="W54" i="9" s="1"/>
  <c r="U55" i="9"/>
  <c r="W55" i="9" s="1"/>
  <c r="U56" i="9"/>
  <c r="W56" i="9" s="1"/>
  <c r="U57" i="9"/>
  <c r="W57" i="9" s="1"/>
  <c r="U59" i="9"/>
  <c r="W59" i="9" s="1"/>
  <c r="U60" i="9"/>
  <c r="W60" i="9" s="1"/>
  <c r="U62" i="9"/>
  <c r="W62" i="9" s="1"/>
  <c r="U63" i="9"/>
  <c r="W63" i="9" s="1"/>
  <c r="U64" i="9"/>
  <c r="W64" i="9" s="1"/>
  <c r="U65" i="9"/>
  <c r="W65" i="9" s="1"/>
  <c r="U66" i="9"/>
  <c r="W66" i="9" s="1"/>
  <c r="U67" i="9"/>
  <c r="W67" i="9" s="1"/>
  <c r="U68" i="9"/>
  <c r="W68" i="9" s="1"/>
  <c r="U69" i="9"/>
  <c r="W69" i="9" s="1"/>
  <c r="U70" i="9"/>
  <c r="W70" i="9" s="1"/>
  <c r="U71" i="9"/>
  <c r="W71" i="9" s="1"/>
  <c r="U72" i="9"/>
  <c r="W72" i="9" s="1"/>
  <c r="U73" i="9"/>
  <c r="W73" i="9" s="1"/>
  <c r="U74" i="9"/>
  <c r="W74" i="9" s="1"/>
  <c r="U53" i="9"/>
  <c r="W53" i="9" s="1"/>
  <c r="U33" i="9"/>
  <c r="W33" i="9" s="1"/>
  <c r="U34" i="9"/>
  <c r="W34" i="9" s="1"/>
  <c r="W35" i="9"/>
  <c r="U36" i="9"/>
  <c r="W36" i="9" s="1"/>
  <c r="U32" i="9"/>
  <c r="W32" i="9" s="1"/>
  <c r="U21" i="9"/>
  <c r="W21" i="9" s="1"/>
  <c r="W22" i="9"/>
  <c r="U23" i="9"/>
  <c r="W23" i="9" s="1"/>
  <c r="U24" i="9"/>
  <c r="W24" i="9" s="1"/>
  <c r="U25" i="9"/>
  <c r="W25" i="9" s="1"/>
  <c r="U26" i="9"/>
  <c r="W26" i="9" s="1"/>
  <c r="U27" i="9"/>
  <c r="W27" i="9" s="1"/>
  <c r="U28" i="9"/>
  <c r="W28" i="9" s="1"/>
  <c r="U20" i="9"/>
  <c r="W20" i="9" s="1"/>
  <c r="U15" i="9"/>
  <c r="W15" i="9" s="1"/>
  <c r="U16" i="9"/>
  <c r="W16" i="9" s="1"/>
  <c r="U14" i="9"/>
  <c r="W14" i="9" s="1"/>
  <c r="U10" i="9"/>
  <c r="W10" i="9" s="1"/>
  <c r="T54" i="9"/>
  <c r="V54" i="9" s="1"/>
  <c r="T55" i="9"/>
  <c r="V55" i="9" s="1"/>
  <c r="T56" i="9"/>
  <c r="V56" i="9" s="1"/>
  <c r="T57" i="9"/>
  <c r="V57" i="9" s="1"/>
  <c r="T59" i="9"/>
  <c r="V59" i="9" s="1"/>
  <c r="T60" i="9"/>
  <c r="V60" i="9" s="1"/>
  <c r="T62" i="9"/>
  <c r="V62" i="9" s="1"/>
  <c r="T63" i="9"/>
  <c r="V63" i="9" s="1"/>
  <c r="T64" i="9"/>
  <c r="V64" i="9" s="1"/>
  <c r="T65" i="9"/>
  <c r="V65" i="9" s="1"/>
  <c r="T66" i="9"/>
  <c r="V66" i="9" s="1"/>
  <c r="T69" i="9"/>
  <c r="V69" i="9" s="1"/>
  <c r="T70" i="9"/>
  <c r="V70" i="9" s="1"/>
  <c r="T73" i="9"/>
  <c r="V73" i="9" s="1"/>
  <c r="T74" i="9"/>
  <c r="V74" i="9" s="1"/>
  <c r="T53" i="9"/>
  <c r="V53" i="9" s="1"/>
  <c r="T33" i="9"/>
  <c r="V33" i="9" s="1"/>
  <c r="V34" i="9"/>
  <c r="V35" i="9"/>
  <c r="T36" i="9"/>
  <c r="V36" i="9" s="1"/>
  <c r="T32" i="9"/>
  <c r="V32" i="9" s="1"/>
  <c r="T21" i="9"/>
  <c r="V21" i="9" s="1"/>
  <c r="T23" i="9"/>
  <c r="V23" i="9" s="1"/>
  <c r="T24" i="9"/>
  <c r="V24" i="9" s="1"/>
  <c r="T25" i="9"/>
  <c r="V25" i="9" s="1"/>
  <c r="T26" i="9"/>
  <c r="V26" i="9" s="1"/>
  <c r="T27" i="9"/>
  <c r="V27" i="9" s="1"/>
  <c r="T28" i="9"/>
  <c r="V28" i="9" s="1"/>
  <c r="T20" i="9"/>
  <c r="V20" i="9" s="1"/>
  <c r="T15" i="9"/>
  <c r="V15" i="9" s="1"/>
  <c r="T16" i="9"/>
  <c r="V16" i="9" s="1"/>
  <c r="T14" i="9"/>
  <c r="V14" i="9" s="1"/>
  <c r="V37" i="9"/>
  <c r="T10" i="9"/>
  <c r="V10" i="9" s="1"/>
  <c r="V8" i="9"/>
  <c r="U3" i="9"/>
  <c r="W3" i="9" s="1"/>
  <c r="U4" i="9"/>
  <c r="W4" i="9" s="1"/>
  <c r="U5" i="9"/>
  <c r="W5" i="9" s="1"/>
  <c r="U6" i="9"/>
  <c r="W6" i="9" s="1"/>
  <c r="U7" i="9"/>
  <c r="W7" i="9" s="1"/>
  <c r="W8" i="9"/>
  <c r="U9" i="9"/>
  <c r="W9" i="9" s="1"/>
  <c r="T3" i="9"/>
  <c r="V3" i="9" s="1"/>
  <c r="T4" i="9"/>
  <c r="V4" i="9" s="1"/>
  <c r="T5" i="9"/>
  <c r="V5" i="9" s="1"/>
  <c r="T6" i="9"/>
  <c r="V6" i="9" s="1"/>
  <c r="T7" i="9"/>
  <c r="V7" i="9" s="1"/>
  <c r="T9" i="9"/>
  <c r="V9" i="9" s="1"/>
  <c r="C37" i="1" l="1"/>
  <c r="I37" i="1"/>
  <c r="M37" i="1"/>
  <c r="Q37" i="1"/>
  <c r="E16" i="3"/>
  <c r="O16" i="3"/>
  <c r="K16" i="3"/>
  <c r="D37" i="1"/>
  <c r="J37" i="1"/>
  <c r="N37" i="1"/>
  <c r="C34" i="1"/>
  <c r="I34" i="1"/>
  <c r="N34" i="1"/>
  <c r="D16" i="3"/>
  <c r="N16" i="3"/>
  <c r="J16" i="3"/>
  <c r="C19" i="3"/>
  <c r="E37" i="1"/>
  <c r="K37" i="1"/>
  <c r="O37" i="1"/>
  <c r="Q16" i="3"/>
  <c r="M16" i="3"/>
  <c r="I16" i="3"/>
  <c r="F37" i="1"/>
  <c r="L37" i="1"/>
  <c r="P37" i="1"/>
  <c r="F16" i="3"/>
  <c r="P16" i="3"/>
  <c r="L16" i="3"/>
  <c r="T72" i="9"/>
  <c r="V72" i="9" s="1"/>
  <c r="T71" i="9"/>
  <c r="V71" i="9" s="1"/>
  <c r="G60" i="10" l="1"/>
  <c r="F60" i="10"/>
  <c r="G57" i="10"/>
  <c r="F57" i="10"/>
  <c r="C66" i="10"/>
  <c r="C63" i="10"/>
  <c r="C54" i="10"/>
  <c r="C51" i="10"/>
  <c r="I48" i="10"/>
  <c r="H48" i="10"/>
  <c r="G48" i="10"/>
  <c r="F48" i="10"/>
  <c r="G45" i="10"/>
  <c r="H45" i="10"/>
  <c r="I45" i="10"/>
  <c r="F45" i="10"/>
  <c r="AE10" i="3"/>
  <c r="J22" i="10"/>
  <c r="I22" i="10"/>
  <c r="H22" i="10"/>
  <c r="I19" i="10"/>
  <c r="J19" i="10"/>
  <c r="H19" i="10"/>
  <c r="J131" i="10"/>
  <c r="J128" i="10"/>
  <c r="I149" i="10"/>
  <c r="I146" i="10"/>
  <c r="J134" i="10"/>
  <c r="C140" i="10"/>
  <c r="C143" i="10"/>
  <c r="J137" i="10" l="1"/>
  <c r="AE67" i="6" l="1"/>
  <c r="AH19" i="5" l="1"/>
  <c r="AG19" i="5"/>
  <c r="AF19" i="5"/>
  <c r="AE19" i="5"/>
  <c r="AD19" i="5"/>
  <c r="AC19" i="5"/>
  <c r="AB19" i="5"/>
  <c r="AA19" i="5"/>
  <c r="Z19" i="5"/>
  <c r="W19" i="5"/>
  <c r="V19" i="5"/>
  <c r="U19" i="5"/>
  <c r="T19" i="5"/>
  <c r="U33" i="1"/>
  <c r="V33" i="1"/>
  <c r="W33" i="1"/>
  <c r="X33" i="1"/>
  <c r="Y33" i="1"/>
  <c r="Z33" i="1"/>
  <c r="AA33" i="1"/>
  <c r="AB33" i="1"/>
  <c r="AC33" i="1"/>
  <c r="AD33" i="1"/>
  <c r="AE33" i="1"/>
  <c r="AF33" i="1"/>
  <c r="AG33" i="1"/>
  <c r="AH33" i="1"/>
  <c r="U32" i="1"/>
  <c r="V32" i="1"/>
  <c r="W32" i="1"/>
  <c r="X32" i="1"/>
  <c r="Y32" i="1"/>
  <c r="Z32" i="1"/>
  <c r="AA32" i="1"/>
  <c r="AB32" i="1"/>
  <c r="AC32" i="1"/>
  <c r="AD32" i="1"/>
  <c r="AE32" i="1"/>
  <c r="AF32" i="1"/>
  <c r="AG32" i="1"/>
  <c r="AH32" i="1"/>
  <c r="T33" i="1"/>
  <c r="AH28" i="1"/>
  <c r="AG28" i="1"/>
  <c r="AF28" i="1"/>
  <c r="AD28" i="1"/>
  <c r="AC28" i="1"/>
  <c r="AB28" i="1"/>
  <c r="AA28" i="1"/>
  <c r="Z28" i="1"/>
  <c r="W28" i="1"/>
  <c r="V28" i="1"/>
  <c r="U28" i="1"/>
  <c r="T28" i="1"/>
  <c r="T75" i="6"/>
  <c r="T74" i="6"/>
  <c r="V75" i="6"/>
  <c r="U77" i="6"/>
  <c r="T77" i="6"/>
  <c r="AD25" i="1"/>
  <c r="AE25" i="1"/>
  <c r="B16" i="10"/>
  <c r="C16" i="10"/>
  <c r="D16" i="10"/>
  <c r="E16" i="10"/>
  <c r="F16" i="10"/>
  <c r="G16" i="10"/>
  <c r="H16" i="10"/>
  <c r="I16" i="10"/>
  <c r="J16" i="10"/>
  <c r="B13" i="10"/>
  <c r="C13" i="10"/>
  <c r="D13" i="10"/>
  <c r="E13" i="10"/>
  <c r="F13" i="10"/>
  <c r="G13" i="10"/>
  <c r="H13" i="10"/>
  <c r="I13" i="10"/>
  <c r="J13" i="10"/>
  <c r="F44" i="9"/>
  <c r="F43" i="9"/>
  <c r="F45" i="9"/>
  <c r="F46" i="9"/>
  <c r="F42" i="9"/>
  <c r="B47" i="9"/>
  <c r="E42" i="9"/>
  <c r="E43" i="9"/>
  <c r="C43" i="9"/>
  <c r="C42" i="9"/>
  <c r="C79" i="9"/>
  <c r="C78" i="9"/>
  <c r="E79" i="9"/>
  <c r="E78" i="9"/>
  <c r="F80" i="9"/>
  <c r="F79" i="9"/>
  <c r="F78" i="9"/>
  <c r="D41" i="9"/>
  <c r="G41" i="9"/>
  <c r="H41" i="9"/>
  <c r="I41" i="9"/>
  <c r="J41" i="9"/>
  <c r="N41" i="9"/>
  <c r="O41" i="9"/>
  <c r="B41" i="9"/>
  <c r="D40" i="9"/>
  <c r="G40" i="9"/>
  <c r="H40" i="9"/>
  <c r="I40" i="9"/>
  <c r="J40" i="9"/>
  <c r="N40" i="9"/>
  <c r="O40" i="9"/>
  <c r="B40" i="9"/>
  <c r="D39" i="9"/>
  <c r="G39" i="9"/>
  <c r="H39" i="9"/>
  <c r="J39" i="9"/>
  <c r="N39" i="9"/>
  <c r="O39" i="9"/>
  <c r="B39" i="9"/>
  <c r="G77" i="9"/>
  <c r="H77" i="9"/>
  <c r="I77" i="9"/>
  <c r="J77" i="9"/>
  <c r="N77" i="9"/>
  <c r="O77" i="9"/>
  <c r="G76" i="9"/>
  <c r="H76" i="9"/>
  <c r="I76" i="9"/>
  <c r="J76" i="9"/>
  <c r="N76" i="9"/>
  <c r="O76" i="9"/>
  <c r="G75" i="9"/>
  <c r="H75" i="9"/>
  <c r="J75" i="9"/>
  <c r="N75" i="9"/>
  <c r="O75" i="9"/>
  <c r="B81" i="9"/>
  <c r="D77" i="9"/>
  <c r="D76" i="9"/>
  <c r="B77" i="9"/>
  <c r="B76" i="9"/>
  <c r="AH19" i="4" l="1"/>
  <c r="AG19" i="4"/>
  <c r="AF19" i="4"/>
  <c r="AE19" i="4"/>
  <c r="AD19" i="4"/>
  <c r="AB19" i="4"/>
  <c r="AA19" i="4"/>
  <c r="Z19" i="4"/>
  <c r="W19" i="4"/>
  <c r="V19" i="4"/>
  <c r="U19" i="4"/>
  <c r="T19" i="4"/>
  <c r="D75" i="9" l="1"/>
  <c r="B75" i="9"/>
  <c r="U27" i="5" l="1"/>
  <c r="V27" i="5"/>
  <c r="W27" i="5"/>
  <c r="X27" i="5"/>
  <c r="Y27" i="5"/>
  <c r="Z27" i="5"/>
  <c r="AA27" i="5"/>
  <c r="AB27" i="5"/>
  <c r="AC27" i="5"/>
  <c r="AD27" i="5"/>
  <c r="AE27" i="5"/>
  <c r="AF27" i="5"/>
  <c r="AG27" i="5"/>
  <c r="AH27" i="5"/>
  <c r="T27" i="5"/>
  <c r="U26" i="5"/>
  <c r="V26" i="5"/>
  <c r="W26" i="5"/>
  <c r="X26" i="5"/>
  <c r="Y26" i="5"/>
  <c r="Z26" i="5"/>
  <c r="AA26" i="5"/>
  <c r="AB26" i="5"/>
  <c r="AC26" i="5"/>
  <c r="AD26" i="5"/>
  <c r="AE26" i="5"/>
  <c r="AF26" i="5"/>
  <c r="AG26" i="5"/>
  <c r="AH26" i="5"/>
  <c r="T26" i="5"/>
  <c r="U24" i="5"/>
  <c r="V24" i="5"/>
  <c r="W24" i="5"/>
  <c r="X24" i="5"/>
  <c r="Y24" i="5"/>
  <c r="Z24" i="5"/>
  <c r="AA24" i="5"/>
  <c r="AB24" i="5"/>
  <c r="AC24" i="5"/>
  <c r="AD24" i="5"/>
  <c r="AE24" i="5"/>
  <c r="AF24" i="5"/>
  <c r="AG24" i="5"/>
  <c r="AH24" i="5"/>
  <c r="T24" i="5"/>
  <c r="U23" i="5"/>
  <c r="V23" i="5"/>
  <c r="W23" i="5"/>
  <c r="X23" i="5"/>
  <c r="Y23" i="5"/>
  <c r="Z23" i="5"/>
  <c r="AA23" i="5"/>
  <c r="AB23" i="5"/>
  <c r="AC23" i="5"/>
  <c r="AD23" i="5"/>
  <c r="AE23" i="5"/>
  <c r="AF23" i="5"/>
  <c r="AG23" i="5"/>
  <c r="AH23" i="5"/>
  <c r="W74" i="6"/>
  <c r="T70" i="6"/>
  <c r="W78" i="6"/>
  <c r="T67" i="6"/>
  <c r="T64" i="6"/>
  <c r="T55" i="6"/>
  <c r="T52" i="6"/>
  <c r="T49" i="6"/>
  <c r="V46" i="6"/>
  <c r="T46" i="6"/>
  <c r="T40" i="6"/>
  <c r="T37" i="6"/>
  <c r="T34" i="6"/>
  <c r="T25" i="6"/>
  <c r="T22" i="6"/>
  <c r="T16" i="6"/>
  <c r="T13" i="6"/>
  <c r="T10" i="6"/>
  <c r="T78" i="6"/>
  <c r="T4" i="6"/>
  <c r="U78" i="6"/>
  <c r="V78" i="6"/>
  <c r="X78" i="6"/>
  <c r="Y78" i="6"/>
  <c r="Z78" i="6"/>
  <c r="AA78" i="6"/>
  <c r="AB78" i="6"/>
  <c r="AC78" i="6"/>
  <c r="AD78" i="6"/>
  <c r="AE78" i="6"/>
  <c r="AF78" i="6"/>
  <c r="AG78" i="6"/>
  <c r="AH78" i="6"/>
  <c r="X77" i="6"/>
  <c r="Y77" i="6"/>
  <c r="Z77" i="6"/>
  <c r="AA77" i="6"/>
  <c r="AB77" i="6"/>
  <c r="AC77" i="6"/>
  <c r="AD77" i="6"/>
  <c r="AE77" i="6"/>
  <c r="AF77" i="6"/>
  <c r="AG77" i="6"/>
  <c r="AH77" i="6"/>
  <c r="U75" i="6"/>
  <c r="W75" i="6"/>
  <c r="X75" i="6"/>
  <c r="Y75" i="6"/>
  <c r="Z75" i="6"/>
  <c r="AA75" i="6"/>
  <c r="AB75" i="6"/>
  <c r="AC75" i="6"/>
  <c r="AD75" i="6"/>
  <c r="AE75" i="6"/>
  <c r="AF75" i="6"/>
  <c r="AG75" i="6"/>
  <c r="AH75" i="6"/>
  <c r="X74" i="6"/>
  <c r="Y74" i="6"/>
  <c r="Z74" i="6"/>
  <c r="AA74" i="6"/>
  <c r="AB74" i="6"/>
  <c r="AC74" i="6"/>
  <c r="AD74" i="6"/>
  <c r="AE74" i="6"/>
  <c r="AF74" i="6"/>
  <c r="AG74" i="6"/>
  <c r="AH74" i="6"/>
  <c r="AH70" i="6"/>
  <c r="AG70" i="6"/>
  <c r="AF70" i="6"/>
  <c r="AD70" i="6"/>
  <c r="AC70" i="6"/>
  <c r="AB70" i="6"/>
  <c r="AA70" i="6"/>
  <c r="Z70" i="6"/>
  <c r="W70" i="6"/>
  <c r="V70" i="6"/>
  <c r="U70" i="6"/>
  <c r="AH67" i="6"/>
  <c r="AG67" i="6"/>
  <c r="AF67" i="6"/>
  <c r="AD67" i="6"/>
  <c r="AC67" i="6"/>
  <c r="AB67" i="6"/>
  <c r="AA67" i="6"/>
  <c r="Z67" i="6"/>
  <c r="W67" i="6"/>
  <c r="V67" i="6"/>
  <c r="U67" i="6"/>
  <c r="AH64" i="6"/>
  <c r="AG64" i="6"/>
  <c r="AF64" i="6"/>
  <c r="AE64" i="6"/>
  <c r="AD64" i="6"/>
  <c r="AC64" i="6"/>
  <c r="AB64" i="6"/>
  <c r="AA64" i="6"/>
  <c r="Z64" i="6"/>
  <c r="W64" i="6"/>
  <c r="V64" i="6"/>
  <c r="U64" i="6"/>
  <c r="AH61" i="6"/>
  <c r="AF61" i="6"/>
  <c r="AE61" i="6"/>
  <c r="AD61" i="6"/>
  <c r="AC61" i="6"/>
  <c r="AB61" i="6"/>
  <c r="AA61" i="6"/>
  <c r="Z61" i="6"/>
  <c r="W61" i="6"/>
  <c r="V61" i="6"/>
  <c r="U61" i="6"/>
  <c r="T61" i="6"/>
  <c r="AH58" i="6"/>
  <c r="AG58" i="6"/>
  <c r="AF58" i="6"/>
  <c r="AE58" i="6"/>
  <c r="AD58" i="6"/>
  <c r="AC58" i="6"/>
  <c r="AB58" i="6"/>
  <c r="AA58" i="6"/>
  <c r="Z58" i="6"/>
  <c r="W58" i="6"/>
  <c r="V58" i="6"/>
  <c r="U58" i="6"/>
  <c r="T58" i="6"/>
  <c r="AH55" i="6"/>
  <c r="AF55" i="6"/>
  <c r="AE55" i="6"/>
  <c r="AD55" i="6"/>
  <c r="AC55" i="6"/>
  <c r="AB55" i="6"/>
  <c r="AA55" i="6"/>
  <c r="Z55" i="6"/>
  <c r="W55" i="6"/>
  <c r="V55" i="6"/>
  <c r="U55" i="6"/>
  <c r="AH52" i="6"/>
  <c r="AG52" i="6"/>
  <c r="AF52" i="6"/>
  <c r="AE52" i="6"/>
  <c r="AD52" i="6"/>
  <c r="AC52" i="6"/>
  <c r="AB52" i="6"/>
  <c r="AA52" i="6"/>
  <c r="Z52" i="6"/>
  <c r="W52" i="6"/>
  <c r="V52" i="6"/>
  <c r="U52" i="6"/>
  <c r="AH49" i="6"/>
  <c r="AG49" i="6"/>
  <c r="AF49" i="6"/>
  <c r="AE49" i="6"/>
  <c r="AD49" i="6"/>
  <c r="AC49" i="6"/>
  <c r="AA49" i="6"/>
  <c r="Z49" i="6"/>
  <c r="W49" i="6"/>
  <c r="V49" i="6"/>
  <c r="AH46" i="6"/>
  <c r="AG46" i="6"/>
  <c r="AF46" i="6"/>
  <c r="AE46" i="6"/>
  <c r="AD46" i="6"/>
  <c r="AC46" i="6"/>
  <c r="AB46" i="6"/>
  <c r="AA46" i="6"/>
  <c r="Z46" i="6"/>
  <c r="W46" i="6"/>
  <c r="U46" i="6"/>
  <c r="AH43" i="6"/>
  <c r="AG43" i="6"/>
  <c r="AF43" i="6"/>
  <c r="AE43" i="6"/>
  <c r="AD43" i="6"/>
  <c r="AC43" i="6"/>
  <c r="AB43" i="6"/>
  <c r="AA43" i="6"/>
  <c r="Z43" i="6"/>
  <c r="W43" i="6"/>
  <c r="V43" i="6"/>
  <c r="U43" i="6"/>
  <c r="T43" i="6"/>
  <c r="AH40" i="6"/>
  <c r="AG40" i="6"/>
  <c r="AF40" i="6"/>
  <c r="AE40" i="6"/>
  <c r="AD40" i="6"/>
  <c r="AC40" i="6"/>
  <c r="AB40" i="6"/>
  <c r="AA40" i="6"/>
  <c r="Z40" i="6"/>
  <c r="W40" i="6"/>
  <c r="V40" i="6"/>
  <c r="U40" i="6"/>
  <c r="AH37" i="6"/>
  <c r="AG37" i="6"/>
  <c r="AF37" i="6"/>
  <c r="AE37" i="6"/>
  <c r="AD37" i="6"/>
  <c r="AC37" i="6"/>
  <c r="AB37" i="6"/>
  <c r="Z37" i="6"/>
  <c r="W37" i="6"/>
  <c r="V37" i="6"/>
  <c r="U37" i="6"/>
  <c r="AH34" i="6"/>
  <c r="AG34" i="6"/>
  <c r="AF34" i="6"/>
  <c r="AE34" i="6"/>
  <c r="AD34" i="6"/>
  <c r="AC34" i="6"/>
  <c r="AB34" i="6"/>
  <c r="AA34" i="6"/>
  <c r="Z34" i="6"/>
  <c r="W34" i="6"/>
  <c r="V34" i="6"/>
  <c r="U34" i="6"/>
  <c r="AE28" i="6"/>
  <c r="AD28" i="6"/>
  <c r="AC28" i="6"/>
  <c r="AB28" i="6"/>
  <c r="AA28" i="6"/>
  <c r="Z28" i="6"/>
  <c r="U28" i="6"/>
  <c r="T28" i="6"/>
  <c r="AH25" i="6"/>
  <c r="AG25" i="6"/>
  <c r="AF25" i="6"/>
  <c r="AE25" i="6"/>
  <c r="AD25" i="6"/>
  <c r="AC25" i="6"/>
  <c r="AB25" i="6"/>
  <c r="AA25" i="6"/>
  <c r="Z25" i="6"/>
  <c r="W25" i="6"/>
  <c r="U25" i="6"/>
  <c r="AH22" i="6"/>
  <c r="AG22" i="6"/>
  <c r="AF22" i="6"/>
  <c r="AE22" i="6"/>
  <c r="AD22" i="6"/>
  <c r="AC22" i="6"/>
  <c r="AB22" i="6"/>
  <c r="AA22" i="6"/>
  <c r="Z22" i="6"/>
  <c r="W22" i="6"/>
  <c r="V22" i="6"/>
  <c r="U22" i="6"/>
  <c r="AH19" i="6"/>
  <c r="AG19" i="6"/>
  <c r="AF19" i="6"/>
  <c r="AE19" i="6"/>
  <c r="AD19" i="6"/>
  <c r="AC19" i="6"/>
  <c r="AB19" i="6"/>
  <c r="AA19" i="6"/>
  <c r="Z19" i="6"/>
  <c r="W19" i="6"/>
  <c r="V19" i="6"/>
  <c r="U19" i="6"/>
  <c r="T19" i="6"/>
  <c r="AH16" i="6"/>
  <c r="AG16" i="6"/>
  <c r="AF16" i="6"/>
  <c r="AE16" i="6"/>
  <c r="AD16" i="6"/>
  <c r="AC16" i="6"/>
  <c r="AB16" i="6"/>
  <c r="AA16" i="6"/>
  <c r="Z16" i="6"/>
  <c r="W16" i="6"/>
  <c r="U16" i="6"/>
  <c r="AH13" i="6"/>
  <c r="AG13" i="6"/>
  <c r="AF13" i="6"/>
  <c r="AE13" i="6"/>
  <c r="AD13" i="6"/>
  <c r="AC13" i="6"/>
  <c r="AB13" i="6"/>
  <c r="AA13" i="6"/>
  <c r="Z13" i="6"/>
  <c r="W13" i="6"/>
  <c r="V13" i="6"/>
  <c r="U13" i="6"/>
  <c r="AH10" i="6"/>
  <c r="AG10" i="6"/>
  <c r="AF10" i="6"/>
  <c r="AE10" i="6"/>
  <c r="AD10" i="6"/>
  <c r="AC10" i="6"/>
  <c r="AB10" i="6"/>
  <c r="AA10" i="6"/>
  <c r="Z10" i="6"/>
  <c r="W10" i="6"/>
  <c r="V10" i="6"/>
  <c r="U10" i="6"/>
  <c r="AH7" i="6"/>
  <c r="AG7" i="6"/>
  <c r="AF7" i="6"/>
  <c r="AE7" i="6"/>
  <c r="AD7" i="6"/>
  <c r="AC7" i="6"/>
  <c r="AB7" i="6"/>
  <c r="AA7" i="6"/>
  <c r="Z7" i="6"/>
  <c r="W7" i="6"/>
  <c r="V7" i="6"/>
  <c r="U7" i="6"/>
  <c r="AH4" i="6"/>
  <c r="AG4" i="6"/>
  <c r="AF4" i="6"/>
  <c r="AE4" i="6"/>
  <c r="AD4" i="6"/>
  <c r="AC4" i="6"/>
  <c r="AB4" i="6"/>
  <c r="AA4" i="6"/>
  <c r="Z4" i="6"/>
  <c r="W4" i="6"/>
  <c r="V4" i="6"/>
  <c r="U4" i="6"/>
  <c r="T16" i="5"/>
  <c r="V7" i="4"/>
  <c r="U35" i="1"/>
  <c r="T19" i="1"/>
  <c r="T16" i="1"/>
  <c r="V10" i="1"/>
  <c r="T7" i="1"/>
  <c r="W4" i="1"/>
  <c r="U4" i="1"/>
  <c r="T4" i="1"/>
  <c r="AH16" i="5"/>
  <c r="AG16" i="5"/>
  <c r="AF16" i="5"/>
  <c r="AE16" i="5"/>
  <c r="AD16" i="5"/>
  <c r="AC16" i="5"/>
  <c r="AB16" i="5"/>
  <c r="AA16" i="5"/>
  <c r="Z16" i="5"/>
  <c r="W16" i="5"/>
  <c r="V16" i="5"/>
  <c r="U16" i="5"/>
  <c r="AH10" i="5"/>
  <c r="AG10" i="5"/>
  <c r="AF10" i="5"/>
  <c r="AE10" i="5"/>
  <c r="AD10" i="5"/>
  <c r="AC10" i="5"/>
  <c r="AB10" i="5"/>
  <c r="AA10" i="5"/>
  <c r="Z10" i="5"/>
  <c r="AH7" i="5"/>
  <c r="AG7" i="5"/>
  <c r="AF7" i="5"/>
  <c r="AE7" i="5"/>
  <c r="AD7" i="5"/>
  <c r="AC7" i="5"/>
  <c r="AB7" i="5"/>
  <c r="AA7" i="5"/>
  <c r="Z7" i="5"/>
  <c r="W7" i="5"/>
  <c r="V7" i="5"/>
  <c r="U7" i="5"/>
  <c r="T7" i="5"/>
  <c r="AH16" i="4"/>
  <c r="AG16" i="4"/>
  <c r="AF16" i="4"/>
  <c r="AE16" i="4"/>
  <c r="AD16" i="4"/>
  <c r="AC16" i="4"/>
  <c r="AB16" i="4"/>
  <c r="Z16" i="4"/>
  <c r="W16" i="4"/>
  <c r="V16" i="4"/>
  <c r="U16" i="4"/>
  <c r="AH13" i="4"/>
  <c r="AG13" i="4"/>
  <c r="AF13" i="4"/>
  <c r="AE13" i="4"/>
  <c r="AD13" i="4"/>
  <c r="AC13" i="4"/>
  <c r="AB13" i="4"/>
  <c r="AA13" i="4"/>
  <c r="Z13" i="4"/>
  <c r="W13" i="4"/>
  <c r="V13" i="4"/>
  <c r="U13" i="4"/>
  <c r="AH10" i="4"/>
  <c r="AG10" i="4"/>
  <c r="AF10" i="4"/>
  <c r="AE10" i="4"/>
  <c r="AD10" i="4"/>
  <c r="AC10" i="4"/>
  <c r="AB10" i="4"/>
  <c r="AA10" i="4"/>
  <c r="Z10" i="4"/>
  <c r="U10" i="4"/>
  <c r="T10" i="4"/>
  <c r="AH7" i="4"/>
  <c r="AG7" i="4"/>
  <c r="AF7" i="4"/>
  <c r="AE7" i="4"/>
  <c r="AD7" i="4"/>
  <c r="AC7" i="4"/>
  <c r="AB7" i="4"/>
  <c r="AA7" i="4"/>
  <c r="U7" i="4"/>
  <c r="AH4" i="4"/>
  <c r="AG4" i="4"/>
  <c r="AF4" i="4"/>
  <c r="AE4" i="4"/>
  <c r="AD4" i="4"/>
  <c r="AC4" i="4"/>
  <c r="AB4" i="4"/>
  <c r="AA4" i="4"/>
  <c r="Z4" i="4"/>
  <c r="W4" i="4"/>
  <c r="V4" i="4"/>
  <c r="U4" i="4"/>
  <c r="AH10" i="3"/>
  <c r="AG10" i="3"/>
  <c r="AF10" i="3"/>
  <c r="AD10" i="3"/>
  <c r="AC10" i="3"/>
  <c r="AB10" i="3"/>
  <c r="AA10" i="3"/>
  <c r="Z10" i="3"/>
  <c r="W10" i="3"/>
  <c r="V10" i="3"/>
  <c r="AH7" i="3"/>
  <c r="AG7" i="3"/>
  <c r="AF7" i="3"/>
  <c r="AE7" i="3"/>
  <c r="AD7" i="3"/>
  <c r="AC7" i="3"/>
  <c r="AB7" i="3"/>
  <c r="AA7" i="3"/>
  <c r="Z7" i="3"/>
  <c r="W7" i="3"/>
  <c r="V7" i="3"/>
  <c r="U7" i="3"/>
  <c r="AH4" i="3"/>
  <c r="AG4" i="3"/>
  <c r="AF4" i="3"/>
  <c r="AE4" i="3"/>
  <c r="AD4" i="3"/>
  <c r="AC4" i="3"/>
  <c r="AB4" i="3"/>
  <c r="AA4" i="3"/>
  <c r="Z4" i="3"/>
  <c r="W4" i="3"/>
  <c r="U4" i="3"/>
  <c r="T4" i="3"/>
  <c r="AH36" i="1"/>
  <c r="AG36" i="1"/>
  <c r="AF36" i="1"/>
  <c r="AE36" i="1"/>
  <c r="AD36" i="1"/>
  <c r="AC36" i="1"/>
  <c r="AB36" i="1"/>
  <c r="AA36" i="1"/>
  <c r="Z36" i="1"/>
  <c r="Y36" i="1"/>
  <c r="X36" i="1"/>
  <c r="W36" i="1"/>
  <c r="V36" i="1"/>
  <c r="U36" i="1"/>
  <c r="T36" i="1"/>
  <c r="AH35" i="1"/>
  <c r="AG35" i="1"/>
  <c r="AF35" i="1"/>
  <c r="AE35" i="1"/>
  <c r="AD35" i="1"/>
  <c r="AC35" i="1"/>
  <c r="AB35" i="1"/>
  <c r="AA35" i="1"/>
  <c r="Z35" i="1"/>
  <c r="Y35" i="1"/>
  <c r="X35" i="1"/>
  <c r="AH25" i="1"/>
  <c r="AG25" i="1"/>
  <c r="AF25" i="1"/>
  <c r="AC25" i="1"/>
  <c r="AB25" i="1"/>
  <c r="AA25" i="1"/>
  <c r="Z25" i="1"/>
  <c r="W25" i="1"/>
  <c r="V25" i="1"/>
  <c r="AH22" i="1"/>
  <c r="AG22" i="1"/>
  <c r="AF22" i="1"/>
  <c r="AE22" i="1"/>
  <c r="AD22" i="1"/>
  <c r="AC22" i="1"/>
  <c r="AB22" i="1"/>
  <c r="AA22" i="1"/>
  <c r="Z22" i="1"/>
  <c r="W22" i="1"/>
  <c r="V22" i="1"/>
  <c r="U22" i="1"/>
  <c r="T22" i="1"/>
  <c r="AH19" i="1"/>
  <c r="AG19" i="1"/>
  <c r="AF19" i="1"/>
  <c r="AE19" i="1"/>
  <c r="AD19" i="1"/>
  <c r="AC19" i="1"/>
  <c r="AB19" i="1"/>
  <c r="AA19" i="1"/>
  <c r="Z19" i="1"/>
  <c r="W19" i="1"/>
  <c r="V19" i="1"/>
  <c r="U19" i="1"/>
  <c r="AH16" i="1"/>
  <c r="AG16" i="1"/>
  <c r="AF16" i="1"/>
  <c r="AE16" i="1"/>
  <c r="AD16" i="1"/>
  <c r="AB16" i="1"/>
  <c r="Z16" i="1"/>
  <c r="W16" i="1"/>
  <c r="U16" i="1"/>
  <c r="AH13" i="1"/>
  <c r="AG13" i="1"/>
  <c r="AF13" i="1"/>
  <c r="AE13" i="1"/>
  <c r="AD13" i="1"/>
  <c r="AC13" i="1"/>
  <c r="AB13" i="1"/>
  <c r="AA13" i="1"/>
  <c r="Z13" i="1"/>
  <c r="W13" i="1"/>
  <c r="V13" i="1"/>
  <c r="U13" i="1"/>
  <c r="AH10" i="1"/>
  <c r="AG10" i="1"/>
  <c r="AF10" i="1"/>
  <c r="AE10" i="1"/>
  <c r="AD10" i="1"/>
  <c r="AC10" i="1"/>
  <c r="AB10" i="1"/>
  <c r="AA10" i="1"/>
  <c r="Z10" i="1"/>
  <c r="W10" i="1"/>
  <c r="U10" i="1"/>
  <c r="AH7" i="1"/>
  <c r="AG7" i="1"/>
  <c r="AF7" i="1"/>
  <c r="AE7" i="1"/>
  <c r="AD7" i="1"/>
  <c r="AC7" i="1"/>
  <c r="AB7" i="1"/>
  <c r="AA7" i="1"/>
  <c r="Z7" i="1"/>
  <c r="W7" i="1"/>
  <c r="V7" i="1"/>
  <c r="U7" i="1"/>
  <c r="AH4" i="1"/>
  <c r="AG4" i="1"/>
  <c r="AF4" i="1"/>
  <c r="AE4" i="1"/>
  <c r="AD4" i="1"/>
  <c r="AC4" i="1"/>
  <c r="AB4" i="1"/>
  <c r="AA4" i="1"/>
  <c r="Z4" i="1"/>
  <c r="AC25" i="4" l="1"/>
  <c r="AC28" i="4"/>
  <c r="Z25" i="4"/>
  <c r="Z28" i="4"/>
  <c r="AD25" i="4"/>
  <c r="AD28" i="4"/>
  <c r="AH25" i="4"/>
  <c r="AH28" i="4"/>
  <c r="AG25" i="4"/>
  <c r="AG28" i="4"/>
  <c r="AA28" i="4"/>
  <c r="AA25" i="4"/>
  <c r="AE28" i="4"/>
  <c r="AE25" i="4"/>
  <c r="Y26" i="4"/>
  <c r="Y23" i="4"/>
  <c r="AB25" i="4"/>
  <c r="AB28" i="4"/>
  <c r="AF25" i="4"/>
  <c r="AF28" i="4"/>
  <c r="AF76" i="6"/>
  <c r="T76" i="6"/>
  <c r="AH76" i="6"/>
  <c r="AB76" i="6"/>
  <c r="AC76" i="6"/>
  <c r="AD76" i="6"/>
  <c r="AG76" i="6"/>
  <c r="AE76" i="6"/>
  <c r="AG28" i="5"/>
  <c r="AD28" i="5"/>
  <c r="AE28" i="5"/>
  <c r="AF28" i="5"/>
  <c r="Z28" i="5"/>
  <c r="AH28" i="5"/>
  <c r="AA25" i="5"/>
  <c r="AB25" i="5"/>
  <c r="AC25" i="5"/>
  <c r="AH25" i="5"/>
  <c r="AD25" i="5"/>
  <c r="Z25" i="5"/>
  <c r="AC28" i="5"/>
  <c r="AF34" i="1"/>
  <c r="AG34" i="1"/>
  <c r="AH34" i="1"/>
  <c r="W34" i="1"/>
  <c r="Z34" i="1"/>
  <c r="AD34" i="1"/>
  <c r="AA34" i="1"/>
  <c r="AE34" i="1"/>
  <c r="AB34" i="1"/>
  <c r="AC34" i="1"/>
  <c r="W79" i="6"/>
  <c r="W76" i="6"/>
  <c r="Z79" i="6"/>
  <c r="Z76" i="6"/>
  <c r="AA79" i="6"/>
  <c r="AA76" i="6"/>
  <c r="AG79" i="6"/>
  <c r="AG25" i="5"/>
  <c r="AB28" i="5"/>
  <c r="AF25" i="5"/>
  <c r="AA28" i="5"/>
  <c r="AE25" i="5"/>
  <c r="AF79" i="6"/>
  <c r="T79" i="6"/>
  <c r="AH79" i="6"/>
  <c r="AB79" i="6"/>
  <c r="AE79" i="6"/>
  <c r="AD79" i="6"/>
  <c r="AC79" i="6"/>
  <c r="U49" i="6"/>
  <c r="U79" i="6" s="1"/>
  <c r="U74" i="6"/>
  <c r="V77" i="6"/>
  <c r="W77" i="6"/>
  <c r="V25" i="6"/>
  <c r="V74" i="6"/>
  <c r="V16" i="6"/>
  <c r="T7" i="6"/>
  <c r="U28" i="4"/>
  <c r="T25" i="4"/>
  <c r="V25" i="4"/>
  <c r="T16" i="4"/>
  <c r="T13" i="4"/>
  <c r="V10" i="4"/>
  <c r="W10" i="4"/>
  <c r="W25" i="4" s="1"/>
  <c r="T7" i="4"/>
  <c r="W7" i="4"/>
  <c r="T4" i="4"/>
  <c r="T25" i="1"/>
  <c r="U25" i="1"/>
  <c r="U34" i="1" s="1"/>
  <c r="V16" i="1"/>
  <c r="V34" i="1" s="1"/>
  <c r="T13" i="1"/>
  <c r="T10" i="1"/>
  <c r="V35" i="1"/>
  <c r="W35" i="1"/>
  <c r="V4" i="1"/>
  <c r="T35" i="1"/>
  <c r="T10" i="3"/>
  <c r="U10" i="3"/>
  <c r="T7" i="3"/>
  <c r="V4" i="3"/>
  <c r="T10" i="5"/>
  <c r="T25" i="5" s="1"/>
  <c r="U10" i="5"/>
  <c r="U28" i="5" s="1"/>
  <c r="V10" i="5"/>
  <c r="V25" i="5" s="1"/>
  <c r="W10" i="5"/>
  <c r="W28" i="5" s="1"/>
  <c r="W37" i="1"/>
  <c r="AA37" i="1"/>
  <c r="AG37" i="1"/>
  <c r="AH37" i="1"/>
  <c r="Z37" i="1"/>
  <c r="AD37" i="1"/>
  <c r="AE37" i="1"/>
  <c r="AF37" i="1"/>
  <c r="AB37" i="1"/>
  <c r="AC37" i="1"/>
  <c r="V28" i="4" l="1"/>
  <c r="T28" i="4"/>
  <c r="V76" i="6"/>
  <c r="W28" i="4"/>
  <c r="U25" i="4"/>
  <c r="V79" i="6"/>
  <c r="U76" i="6"/>
  <c r="T34" i="1"/>
  <c r="W25" i="5"/>
  <c r="U25" i="5"/>
  <c r="V28" i="5"/>
  <c r="T28" i="5"/>
  <c r="U37" i="1"/>
  <c r="T37" i="1"/>
  <c r="V37" i="1"/>
  <c r="J122" i="10"/>
  <c r="D122" i="10"/>
  <c r="B122" i="10"/>
  <c r="F122" i="10"/>
  <c r="E122" i="10"/>
  <c r="I122" i="10"/>
  <c r="H122" i="10"/>
  <c r="G122" i="10"/>
  <c r="C122" i="10"/>
  <c r="G125" i="10"/>
  <c r="F125" i="10"/>
  <c r="I125" i="10"/>
  <c r="D125" i="10"/>
  <c r="C125" i="10"/>
  <c r="J125" i="10"/>
  <c r="B125" i="10"/>
  <c r="E125" i="10"/>
  <c r="H125" i="10"/>
</calcChain>
</file>

<file path=xl/comments1.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List>
</comments>
</file>

<file path=xl/comments2.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5"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8"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List>
</comments>
</file>

<file path=xl/comments3.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4.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20" authorId="0" shapeId="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23"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 ref="R26"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sharedStrings.xml><?xml version="1.0" encoding="utf-8"?>
<sst xmlns="http://schemas.openxmlformats.org/spreadsheetml/2006/main" count="1626" uniqueCount="392">
  <si>
    <t>Case Name</t>
  </si>
  <si>
    <t>Evaluation Notes</t>
  </si>
  <si>
    <t>arterial_loss (mL/cycle)</t>
  </si>
  <si>
    <t>calc_art_loss</t>
  </si>
  <si>
    <t>true_PV_flow</t>
  </si>
  <si>
    <t>calc_PV_flow</t>
  </si>
  <si>
    <t>err_arterial(%)</t>
  </si>
  <si>
    <t>err_venous(%)</t>
  </si>
  <si>
    <t>SCAo</t>
  </si>
  <si>
    <t>IRAo</t>
  </si>
  <si>
    <t>LRA</t>
  </si>
  <si>
    <t>RRA</t>
  </si>
  <si>
    <t>SMA</t>
  </si>
  <si>
    <t>CA</t>
  </si>
  <si>
    <t>SMV</t>
  </si>
  <si>
    <t>SV</t>
  </si>
  <si>
    <t>PV</t>
  </si>
  <si>
    <t>Clinical notes</t>
  </si>
  <si>
    <t>Clin_MCH_0612_Pre</t>
  </si>
  <si>
    <t>Clin_MCH_0612_Post</t>
  </si>
  <si>
    <t>Post-prandial Change (%)</t>
  </si>
  <si>
    <t>clin_mch_1111_Pre</t>
  </si>
  <si>
    <t>clin_mch_1111_Post</t>
  </si>
  <si>
    <t>MCH_010313_Pre</t>
  </si>
  <si>
    <t>MCH_010313_Post</t>
  </si>
  <si>
    <t>mch_032715_Pre</t>
  </si>
  <si>
    <t>mch_032715_Post</t>
  </si>
  <si>
    <t>MCH_041613_Pre</t>
  </si>
  <si>
    <t>MCH_041613_Post</t>
  </si>
  <si>
    <t>MCH_101013_Pre</t>
  </si>
  <si>
    <t>MCH_101013_Post</t>
  </si>
  <si>
    <t>MCH030717_Pre</t>
  </si>
  <si>
    <t>MCH030717_Post</t>
  </si>
  <si>
    <t>MCH160804_Pre</t>
  </si>
  <si>
    <t>MCH160804_Post</t>
  </si>
  <si>
    <t>Average (Pre-Meal)</t>
  </si>
  <si>
    <t>Average (Post-Meal)</t>
  </si>
  <si>
    <t>Average % Change</t>
  </si>
  <si>
    <t>STD (Pre-meal)</t>
  </si>
  <si>
    <t>STD (Post-meal)</t>
  </si>
  <si>
    <t>STD % Change</t>
  </si>
  <si>
    <t>Patient does not have IRAo (Francois). RRA not visualized.</t>
  </si>
  <si>
    <t>Post MALS surgery.</t>
  </si>
  <si>
    <t>clin_mch_042214_Pre</t>
  </si>
  <si>
    <t>clin_mch_042214_Post</t>
  </si>
  <si>
    <t>MCH_101117_Pre</t>
  </si>
  <si>
    <t>MCH_101117_Post</t>
  </si>
  <si>
    <t>CA not visualized.</t>
  </si>
  <si>
    <t>mch100416_Pre</t>
  </si>
  <si>
    <t>mch100416_Post</t>
  </si>
  <si>
    <t>120328_MCH_Pre</t>
  </si>
  <si>
    <t>120328_MCH_Post</t>
  </si>
  <si>
    <t>120605_MCH_Pre</t>
  </si>
  <si>
    <t>120605_MCH_Post</t>
  </si>
  <si>
    <t>clin_MCH_0209_Pre</t>
  </si>
  <si>
    <t>clin_MCH_0209_Post</t>
  </si>
  <si>
    <t>mch_0710_Pre</t>
  </si>
  <si>
    <t>mch_0710_Post</t>
  </si>
  <si>
    <t>MCH_170317_Pre</t>
  </si>
  <si>
    <t>MCH_170317_Post</t>
  </si>
  <si>
    <t>121019_MCH_Pre</t>
  </si>
  <si>
    <t>121019_MCH_Post</t>
  </si>
  <si>
    <t>121026_MCH_Pre</t>
  </si>
  <si>
    <t>Descending aortic dissection</t>
  </si>
  <si>
    <t>121026_MCH_Post</t>
  </si>
  <si>
    <t>Clinical_120425_Pre</t>
  </si>
  <si>
    <t>Clinical_120425_Post</t>
  </si>
  <si>
    <t>mch0614_Pre</t>
  </si>
  <si>
    <t>mch0614_Post</t>
  </si>
  <si>
    <t>MCH_112715_Pre</t>
  </si>
  <si>
    <t>MCH_112715_Post</t>
  </si>
  <si>
    <t>SCAo not visualized in FOV. Calculated by adding flow from CA and flow directly below CA.</t>
  </si>
  <si>
    <t>clin_mch_050614_Pre</t>
  </si>
  <si>
    <t>clin_mch_050614_Post</t>
  </si>
  <si>
    <t>PHTN 7.8_Pre</t>
  </si>
  <si>
    <t>PHTN 7.8_Post</t>
  </si>
  <si>
    <t>MCH_07082013_Pre</t>
  </si>
  <si>
    <t>MCH_07082013_Post</t>
  </si>
  <si>
    <t>clin_mch_070314_Pre</t>
  </si>
  <si>
    <t>clin_mch_070314_Post</t>
  </si>
  <si>
    <t>mc180511_Pre</t>
  </si>
  <si>
    <t>mc180511_Post</t>
  </si>
  <si>
    <t>Case File</t>
  </si>
  <si>
    <t>Notes</t>
  </si>
  <si>
    <t>130503_E5725_S900</t>
  </si>
  <si>
    <t>130510_E5777_S200</t>
  </si>
  <si>
    <t>130510_E5777_S300</t>
  </si>
  <si>
    <t>130517_E5823_S1400</t>
  </si>
  <si>
    <t>130531_E5893_S1200</t>
  </si>
  <si>
    <t>130625_E6029_S1100</t>
  </si>
  <si>
    <t>130708_E6079_S800</t>
  </si>
  <si>
    <t>130708_E6079_S900</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</si>
  <si>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</si>
  <si>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</si>
  <si>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</si>
  <si>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</si>
  <si>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</si>
  <si>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</si>
  <si>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Reconstruction Error</t>
  </si>
  <si>
    <t>MCH3_111201_Post</t>
  </si>
  <si>
    <t>MCH4_120315_Pre</t>
  </si>
  <si>
    <t>MCH4_120315_Post</t>
  </si>
  <si>
    <t>MCH5_120327_Pre</t>
  </si>
  <si>
    <t>MCH5_120327_Post</t>
  </si>
  <si>
    <t>MCH6_120423_Pre</t>
  </si>
  <si>
    <t>MCH6_120423_Post</t>
  </si>
  <si>
    <t>MCH7_120601_Pre</t>
  </si>
  <si>
    <t>MCH7_120601_Post</t>
  </si>
  <si>
    <t>MCH8_120702_Pre</t>
  </si>
  <si>
    <t>MCH8_120702_Post</t>
  </si>
  <si>
    <t>MCH9_121105_Pre</t>
  </si>
  <si>
    <t>MCH9_121105_Post</t>
  </si>
  <si>
    <t>MCH10_121106_Pre</t>
  </si>
  <si>
    <t>Beautiful Case</t>
  </si>
  <si>
    <t>MCH10_121106_Post</t>
  </si>
  <si>
    <t>MCH11_121126_Pre</t>
  </si>
  <si>
    <t>Venous system poorly visualized</t>
  </si>
  <si>
    <t>MCH11_121126_Post</t>
  </si>
  <si>
    <t>MCH12_121217_Pre</t>
  </si>
  <si>
    <t>MCH12_121217_Post</t>
  </si>
  <si>
    <t>MCH13_130418_Pre</t>
  </si>
  <si>
    <t>MCH13_130418_Post</t>
  </si>
  <si>
    <t>MCH14_130424_Pre</t>
  </si>
  <si>
    <t>MCH14_130424_Post</t>
  </si>
  <si>
    <t>Clinical_053012_Pre</t>
  </si>
  <si>
    <t>Clinical_053012_Post</t>
  </si>
  <si>
    <t>BEN_Pre</t>
  </si>
  <si>
    <t>BEN_Post</t>
  </si>
  <si>
    <t>Avg % Change</t>
  </si>
  <si>
    <t xml:space="preserve">IRAo is not visualized well on pre-prandial images. The velocity values as seen in the Freiburg tool are highly unusual. </t>
  </si>
  <si>
    <t>LRA could not be visualized</t>
  </si>
  <si>
    <t>SV could not be visualized well</t>
  </si>
  <si>
    <t>RELIABILITY (Pre-prandial)</t>
  </si>
  <si>
    <t>RELIABILITY (Post-prandial)</t>
  </si>
  <si>
    <t>`</t>
  </si>
  <si>
    <t>Negative Diagnosis</t>
  </si>
  <si>
    <t>Atherosclerosis</t>
  </si>
  <si>
    <t>B-field</t>
  </si>
  <si>
    <t>Age</t>
  </si>
  <si>
    <t>Sex</t>
  </si>
  <si>
    <t>Ischemia</t>
  </si>
  <si>
    <t>Unknown</t>
  </si>
  <si>
    <t>TR</t>
  </si>
  <si>
    <t>TE</t>
  </si>
  <si>
    <t>Coil</t>
  </si>
  <si>
    <t>Venc</t>
  </si>
  <si>
    <t>Xres</t>
  </si>
  <si>
    <t>Yres</t>
  </si>
  <si>
    <t>Zres</t>
  </si>
  <si>
    <t>Scan Time</t>
  </si>
  <si>
    <t>Date</t>
  </si>
  <si>
    <t>Weight</t>
  </si>
  <si>
    <t>Controls</t>
  </si>
  <si>
    <t>130503_E5725_S600 (H1)</t>
  </si>
  <si>
    <t>Nproj</t>
  </si>
  <si>
    <t>Tip</t>
  </si>
  <si>
    <t>130510_E5777_S200 (H2)</t>
  </si>
  <si>
    <t>130510_E5776_S1100 (H2)</t>
  </si>
  <si>
    <t>130517_E5823_S1100 (H3)</t>
  </si>
  <si>
    <t>130531_E5893_S900 (H4)</t>
  </si>
  <si>
    <t>130625_E6029_S800 (H5)</t>
  </si>
  <si>
    <t>130708_E6079_S800 (H6)</t>
  </si>
  <si>
    <t>F</t>
  </si>
  <si>
    <t>32Ch Torso</t>
  </si>
  <si>
    <t>M</t>
  </si>
  <si>
    <t>130510_E5776 (H2)</t>
  </si>
  <si>
    <t>8Ch Body</t>
  </si>
  <si>
    <t>130715_E6116 (H7)</t>
  </si>
  <si>
    <t>8CARDIAC Series</t>
  </si>
  <si>
    <t>MCH14_130424</t>
  </si>
  <si>
    <t>MCH13_130418</t>
  </si>
  <si>
    <t>BEN</t>
  </si>
  <si>
    <t>MCH12_121217</t>
  </si>
  <si>
    <t>MCH11_121126</t>
  </si>
  <si>
    <t>MCH10_121106</t>
  </si>
  <si>
    <t>MCH9_121105</t>
  </si>
  <si>
    <t>MCH8_120702</t>
  </si>
  <si>
    <t>MCH7_120601</t>
  </si>
  <si>
    <t>MCH6_120423</t>
  </si>
  <si>
    <t>MCH4_120315</t>
  </si>
  <si>
    <t>MCH2_111115</t>
  </si>
  <si>
    <t>130708_E6079 (H6)</t>
  </si>
  <si>
    <t>Body 24</t>
  </si>
  <si>
    <t>Body 24Ch</t>
  </si>
  <si>
    <t>120710_MCH_Pre</t>
  </si>
  <si>
    <t>RRA not visualized. Earlier version of Clinical 120425 above.</t>
  </si>
  <si>
    <t>120710_MCH_Post</t>
  </si>
  <si>
    <t>RRA not visualized. Later version of 120710_MCH below.</t>
  </si>
  <si>
    <t>HD BodyFull</t>
  </si>
  <si>
    <t>06/13/112</t>
  </si>
  <si>
    <t>PHTN 7.8</t>
  </si>
  <si>
    <t>clin_mch_070314</t>
  </si>
  <si>
    <t>MCH_07082013</t>
  </si>
  <si>
    <t>AVERAGE</t>
  </si>
  <si>
    <t>HIGH</t>
  </si>
  <si>
    <t>LOW</t>
  </si>
  <si>
    <t>COUNT</t>
  </si>
  <si>
    <t>1000/1200</t>
  </si>
  <si>
    <t>MCH_041613</t>
  </si>
  <si>
    <t>mch_032715</t>
  </si>
  <si>
    <t>MCH_010313</t>
  </si>
  <si>
    <t>clin_mch_1111</t>
  </si>
  <si>
    <t>MCH_101013</t>
  </si>
  <si>
    <t>800/1200</t>
  </si>
  <si>
    <t>600/1000</t>
  </si>
  <si>
    <t>1500/1700</t>
  </si>
  <si>
    <t>120710_MCH</t>
  </si>
  <si>
    <t>MCH_112715</t>
  </si>
  <si>
    <t>mch0614</t>
  </si>
  <si>
    <t>Clinical_120425</t>
  </si>
  <si>
    <t>121026_MCH</t>
  </si>
  <si>
    <t>121019_MCH</t>
  </si>
  <si>
    <t>MCH_170317</t>
  </si>
  <si>
    <t>mch_0710</t>
  </si>
  <si>
    <t>clin_MCH_0209</t>
  </si>
  <si>
    <t>120605_MCH</t>
  </si>
  <si>
    <t>120328_MCH</t>
  </si>
  <si>
    <t>mch100416</t>
  </si>
  <si>
    <t>MCH_101117</t>
  </si>
  <si>
    <t>clin_mch_042214</t>
  </si>
  <si>
    <t>MCH160804</t>
  </si>
  <si>
    <t>MCH030717</t>
  </si>
  <si>
    <t>Clin_MCH_0612</t>
  </si>
  <si>
    <t>1/3/2013</t>
  </si>
  <si>
    <t>4/16/2013</t>
  </si>
  <si>
    <t>5/3/2013</t>
  </si>
  <si>
    <t>5/10/2013</t>
  </si>
  <si>
    <t>5/17/2013</t>
  </si>
  <si>
    <t>5/31/2013</t>
  </si>
  <si>
    <t>6/25/2013</t>
  </si>
  <si>
    <t>7/8/2013</t>
  </si>
  <si>
    <t>7/15/2013</t>
  </si>
  <si>
    <t>4/12/2012</t>
  </si>
  <si>
    <t>4/23/2012</t>
  </si>
  <si>
    <t>6/1/2012</t>
  </si>
  <si>
    <t>7/2/2012</t>
  </si>
  <si>
    <t>11/5/2012</t>
  </si>
  <si>
    <t>11/6/2012</t>
  </si>
  <si>
    <t>11/26/2012</t>
  </si>
  <si>
    <t>12/17/2012</t>
  </si>
  <si>
    <t>4/18/2013</t>
  </si>
  <si>
    <t>4/24/2013</t>
  </si>
  <si>
    <t>5/30/2012</t>
  </si>
  <si>
    <t>3/19/2012</t>
  </si>
  <si>
    <t>07/03/2014</t>
  </si>
  <si>
    <t>07/08/2013</t>
  </si>
  <si>
    <t>11/11/2014</t>
  </si>
  <si>
    <t>10/10/2013</t>
  </si>
  <si>
    <t>04/22/2014</t>
  </si>
  <si>
    <t>03/28/2012</t>
  </si>
  <si>
    <t>06/05/2012</t>
  </si>
  <si>
    <t>02/09/2015</t>
  </si>
  <si>
    <t>10/19/2012</t>
  </si>
  <si>
    <t>10/26/2012</t>
  </si>
  <si>
    <t>04/25/2012</t>
  </si>
  <si>
    <t>07/10/2012</t>
  </si>
  <si>
    <t>1000/1250</t>
  </si>
  <si>
    <t>clin_mch_050614</t>
  </si>
  <si>
    <t>mc180511</t>
  </si>
  <si>
    <t>Percent Difference (%)</t>
  </si>
  <si>
    <t>120328_MCH_Post + 60 days</t>
  </si>
  <si>
    <t>CA not visualized</t>
  </si>
  <si>
    <t>130715_E6116_S800 (H7)</t>
  </si>
  <si>
    <t xml:space="preserve"> Change (%)</t>
  </si>
  <si>
    <t>Change (%)</t>
  </si>
  <si>
    <t>Narrowing CA</t>
  </si>
  <si>
    <t>Negative</t>
  </si>
  <si>
    <t>clin_mch_0612_Pre</t>
  </si>
  <si>
    <t xml:space="preserve">clin_mch_0612_Pre + </t>
  </si>
  <si>
    <t>clin_mch_0612_Post</t>
  </si>
  <si>
    <t xml:space="preserve">clin_mch_0612_Post + </t>
  </si>
  <si>
    <t xml:space="preserve">clin_mch_1111_Pre + </t>
  </si>
  <si>
    <t xml:space="preserve">clin_mch_1111_Post + </t>
  </si>
  <si>
    <t xml:space="preserve">MCH_010313_Pre + </t>
  </si>
  <si>
    <t xml:space="preserve">MCH_010313_Post + </t>
  </si>
  <si>
    <t>MCH_030717_Pre</t>
  </si>
  <si>
    <t xml:space="preserve">MCH_030717_Pre + </t>
  </si>
  <si>
    <t>MCH_030717_Post</t>
  </si>
  <si>
    <t xml:space="preserve">MCH_101013_Pre + </t>
  </si>
  <si>
    <t xml:space="preserve">MCH_101013_Post + </t>
  </si>
  <si>
    <t>MCH_160804_Pre</t>
  </si>
  <si>
    <t>MCH_160804_Pre +</t>
  </si>
  <si>
    <t>MCH_160804_Post</t>
  </si>
  <si>
    <t>MCH_160804_Post +</t>
  </si>
  <si>
    <t xml:space="preserve">clin_mch_042214_Pre + </t>
  </si>
  <si>
    <t xml:space="preserve">clin_mch_042214_Post + </t>
  </si>
  <si>
    <t>121019_Pre</t>
  </si>
  <si>
    <t>121026_Pre</t>
  </si>
  <si>
    <t>120710_Pre</t>
  </si>
  <si>
    <t xml:space="preserve">121019_Pre + </t>
  </si>
  <si>
    <t xml:space="preserve">121019_Post </t>
  </si>
  <si>
    <t xml:space="preserve">121019_Post + </t>
  </si>
  <si>
    <t xml:space="preserve">121026_Pre + </t>
  </si>
  <si>
    <t xml:space="preserve">121026_Post </t>
  </si>
  <si>
    <t xml:space="preserve">121026_Post + </t>
  </si>
  <si>
    <t xml:space="preserve">120710_Pre + </t>
  </si>
  <si>
    <t xml:space="preserve">120710_Post </t>
  </si>
  <si>
    <t>120710_Post +</t>
  </si>
  <si>
    <t xml:space="preserve">mch0614_Post </t>
  </si>
  <si>
    <t>Control</t>
  </si>
  <si>
    <t>MCH12_Post</t>
  </si>
  <si>
    <t>MCH13_Pre</t>
  </si>
  <si>
    <t>MCH13_Post</t>
  </si>
  <si>
    <t>H2_Pre</t>
  </si>
  <si>
    <t>H2_Post</t>
  </si>
  <si>
    <t>clinical_053012_Pre</t>
  </si>
  <si>
    <t>clinical_053012_Post</t>
  </si>
  <si>
    <t>MCH7_Pre</t>
  </si>
  <si>
    <t>MCH7_Post</t>
  </si>
  <si>
    <t>MCH9_Pre</t>
  </si>
  <si>
    <t>MCH9_Post</t>
  </si>
  <si>
    <t>MCH14_Pre</t>
  </si>
  <si>
    <t>MCH14_Post</t>
  </si>
  <si>
    <t>H3_Pre</t>
  </si>
  <si>
    <t>H3_Post</t>
  </si>
  <si>
    <t>H3_Pre + 204 days</t>
  </si>
  <si>
    <t>H3_Post + 204 days</t>
  </si>
  <si>
    <t>MCH14_Pre + 53 days</t>
  </si>
  <si>
    <t>MCH14_Post + 53 days</t>
  </si>
  <si>
    <t>MCH9_Post + 57 days</t>
  </si>
  <si>
    <t>MCH9_Pre + 57 days</t>
  </si>
  <si>
    <t>Difference (%)</t>
  </si>
  <si>
    <t>MCH7_Post + 58 days</t>
  </si>
  <si>
    <t>MCH7_Pre + 58 days</t>
  </si>
  <si>
    <t>mch0614_Pre + 51 days</t>
  </si>
  <si>
    <t>mch0614_Post + 51 days</t>
  </si>
  <si>
    <t>mch100416_Pre + 214 days</t>
  </si>
  <si>
    <t>mch100416_Post + 214 days</t>
  </si>
  <si>
    <t>Preprandial images are very noisy. Post images are much better but still noisy.</t>
  </si>
  <si>
    <t>Patient has MALS. Post images had to reconstructed due to image artifact.</t>
  </si>
  <si>
    <t>PV seems very large.</t>
  </si>
  <si>
    <t>Noise in inferior portion of image (IRAo)</t>
  </si>
  <si>
    <t>Very noisy preprandial images.</t>
  </si>
  <si>
    <t>CONTROLS</t>
  </si>
  <si>
    <t>NEGATIVE DIAGNOSIS</t>
  </si>
  <si>
    <t>Frames</t>
  </si>
  <si>
    <t>Cycle Time Post</t>
  </si>
  <si>
    <t>Cycle Time Pre</t>
  </si>
  <si>
    <t>TimeRes Post</t>
  </si>
  <si>
    <t>TimeRes Pre</t>
  </si>
  <si>
    <t>HR Pre</t>
  </si>
  <si>
    <t>HR Post</t>
  </si>
  <si>
    <t>130503_E5725 (H1)</t>
  </si>
  <si>
    <t>130517_E5823 (H3)</t>
  </si>
  <si>
    <t>130531_E5893 (H4)</t>
  </si>
  <si>
    <t>130625_E6029 (H5)</t>
  </si>
  <si>
    <t xml:space="preserve">HR </t>
  </si>
  <si>
    <t>arterial_loss (L/min)</t>
  </si>
  <si>
    <t>HR</t>
  </si>
  <si>
    <t>Clinical Hypothesis (05/25/2018)</t>
  </si>
  <si>
    <t>Liver Disease</t>
  </si>
  <si>
    <t xml:space="preserve">CA was poorly visualized, SA and CHA summed to give approximate CA value. Note also the reverse flow in the SV. </t>
  </si>
  <si>
    <t>Narrowing of Celiac Artery. No mesenteric ischemia.</t>
  </si>
  <si>
    <t>No mesenteric ischemia.</t>
  </si>
  <si>
    <t>120328_MCH_Pre + 60 days</t>
  </si>
  <si>
    <t>MCH12_Pre + 60 days</t>
  </si>
  <si>
    <t>MCH12_Post + 60 days</t>
  </si>
  <si>
    <t>MCH13_Pre + 61 days</t>
  </si>
  <si>
    <t>MCH13_Post + 61 days</t>
  </si>
  <si>
    <t>clinical_053012_Pre + 12 days</t>
  </si>
  <si>
    <t>clinical_053012_Post + 12 days</t>
  </si>
  <si>
    <t>H2_Pre + 209 days</t>
  </si>
  <si>
    <t>H2_Post + 209 days</t>
  </si>
  <si>
    <t>Pre-prandial</t>
  </si>
  <si>
    <t>Post-prandial</t>
  </si>
  <si>
    <t>T-test</t>
  </si>
  <si>
    <t>Effect Size</t>
  </si>
  <si>
    <t>Average</t>
  </si>
  <si>
    <t>Standard Deviation</t>
  </si>
  <si>
    <t>Count</t>
  </si>
  <si>
    <t>Clinical_053012</t>
  </si>
  <si>
    <t>MCH5_120327</t>
  </si>
  <si>
    <t>MCH3_111201</t>
  </si>
  <si>
    <t>130510_E5777 (H2)</t>
  </si>
  <si>
    <t>Percent Change</t>
  </si>
  <si>
    <t>MCH12_Pre</t>
  </si>
  <si>
    <t>CONTROLS (20)</t>
  </si>
  <si>
    <t>ISCHEMIA (8)</t>
  </si>
  <si>
    <t>ATHEROSCLEROSIS (3)</t>
  </si>
  <si>
    <t>NEGATIVE DIAGNOSIS (8)</t>
  </si>
  <si>
    <t>Retest</t>
  </si>
  <si>
    <t>Chronic Mesenteric Ischemia (non-compensated)</t>
  </si>
  <si>
    <t>AAA/SMA Occ</t>
  </si>
  <si>
    <t>MALS</t>
  </si>
  <si>
    <t>?</t>
  </si>
  <si>
    <t>Aortic Dissx</t>
  </si>
  <si>
    <t>CMI</t>
  </si>
  <si>
    <t>CMI/SMAS</t>
  </si>
  <si>
    <t>mch0710_Pre</t>
  </si>
  <si>
    <t xml:space="preserve">mch0710_Post </t>
  </si>
  <si>
    <t>mch0614_Post + 254 days</t>
  </si>
  <si>
    <t>mch0614_Pre + 254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</si>
</sst>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13" x14ac:knownFonts="1">
    <font>
      <sz val="11"/>
      <color theme="1"/>
      <name val="Calibri"/>
      <family val="2"/>
      <scheme val="minor"/>
    </font>
    <font>
      <sz val="11"/>
      <color theme="1"/>
      <name val="Calibri"/>
      <family val="2"/>
      <scheme val="minor"/>
    </font>
    <font>
      <sz val="11"/>
      <color rgb="FF9C0006"/>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sz val="11"/>
      <color rgb="FF006100"/>
      <name val="Calibri"/>
      <family val="2"/>
      <scheme val="minor"/>
    </font>
    <font>
      <sz val="11"/>
      <color theme="1"/>
      <name val="Calibri"/>
      <family val="2"/>
    </font>
    <font>
      <b/>
      <sz val="16"/>
      <color theme="1"/>
      <name val="Calibri"/>
      <family val="2"/>
      <scheme val="minor"/>
    </font>
    <font>
      <u/>
      <sz val="14"/>
      <color theme="1"/>
      <name val="Calibri"/>
      <family val="2"/>
      <scheme val="minor"/>
    </font>
    <font>
      <i/>
      <sz val="12"/>
      <color theme="1"/>
      <name val="Calibri"/>
      <family val="2"/>
      <scheme val="minor"/>
    </font>
    <font>
      <sz val="11"/>
      <color rgb="FF9C6500"/>
      <name val="Calibri"/>
      <family val="2"/>
      <scheme val="minor"/>
    </font>
  </fonts>
  <fills count="8">
    <fill>
      <patternFill patternType="none"/>
    </fill>
    <fill>
      <patternFill patternType="gray125"/>
    </fill>
    <fill>
      <patternFill patternType="solid">
        <fgColor rgb="FFFFC7CE"/>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rgb="FFC6EFCE"/>
      </patternFill>
    </fill>
    <fill>
      <patternFill patternType="solid">
        <fgColor rgb="FFFFEB9C"/>
      </patternFill>
    </fill>
  </fills>
  <borders count="6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bottom/>
      <diagonal/>
    </border>
    <border>
      <left/>
      <right style="medium">
        <color auto="1"/>
      </right>
      <top/>
      <bottom style="thin">
        <color auto="1"/>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style="medium">
        <color auto="1"/>
      </left>
      <right style="medium">
        <color indexed="64"/>
      </right>
      <top style="medium">
        <color indexed="64"/>
      </top>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medium">
        <color indexed="64"/>
      </left>
      <right/>
      <top/>
      <bottom style="medium">
        <color indexed="64"/>
      </bottom>
      <diagonal/>
    </border>
    <border>
      <left/>
      <right/>
      <top style="medium">
        <color indexed="64"/>
      </top>
      <bottom/>
      <diagonal/>
    </border>
    <border>
      <left/>
      <right style="medium">
        <color indexed="64"/>
      </right>
      <top style="double">
        <color auto="1"/>
      </top>
      <bottom/>
      <diagonal/>
    </border>
    <border>
      <left/>
      <right style="medium">
        <color indexed="64"/>
      </right>
      <top style="medium">
        <color indexed="64"/>
      </top>
      <bottom/>
      <diagonal/>
    </border>
    <border>
      <left style="thin">
        <color rgb="FFB2B2B2"/>
      </left>
      <right style="thin">
        <color indexed="64"/>
      </right>
      <top style="medium">
        <color auto="1"/>
      </top>
      <bottom style="thin">
        <color rgb="FFB2B2B2"/>
      </bottom>
      <diagonal/>
    </border>
    <border>
      <left style="medium">
        <color indexed="64"/>
      </left>
      <right style="medium">
        <color auto="1"/>
      </right>
      <top/>
      <bottom style="thin">
        <color auto="1"/>
      </bottom>
      <diagonal/>
    </border>
    <border>
      <left style="thin">
        <color rgb="FFB2B2B2"/>
      </left>
      <right style="thin">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style="thin">
        <color indexed="64"/>
      </right>
      <top/>
      <bottom style="double">
        <color auto="1"/>
      </bottom>
      <diagonal/>
    </border>
    <border>
      <left style="medium">
        <color indexed="64"/>
      </left>
      <right/>
      <top/>
      <bottom/>
      <diagonal/>
    </border>
    <border>
      <left style="thin">
        <color rgb="FFB2B2B2"/>
      </left>
      <right style="thin">
        <color rgb="FFB2B2B2"/>
      </right>
      <top style="thin">
        <color rgb="FFB2B2B2"/>
      </top>
      <bottom style="medium">
        <color indexed="64"/>
      </bottom>
      <diagonal/>
    </border>
    <border>
      <left/>
      <right style="thin">
        <color indexed="64"/>
      </right>
      <top style="medium">
        <color auto="1"/>
      </top>
      <bottom/>
      <diagonal/>
    </border>
    <border>
      <left style="thin">
        <color rgb="FFB2B2B2"/>
      </left>
      <right style="thin">
        <color indexed="64"/>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medium">
        <color indexed="64"/>
      </right>
      <top style="medium">
        <color auto="1"/>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style="thin">
        <color rgb="FFB2B2B2"/>
      </right>
      <top style="medium">
        <color indexed="64"/>
      </top>
      <bottom style="thin">
        <color rgb="FFB2B2B2"/>
      </bottom>
      <diagonal/>
    </border>
    <border>
      <left style="thin">
        <color rgb="FF7F7F7F"/>
      </left>
      <right style="medium">
        <color indexed="64"/>
      </right>
      <top style="thin">
        <color rgb="FF7F7F7F"/>
      </top>
      <bottom style="thin">
        <color rgb="FF7F7F7F"/>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B2B2B2"/>
      </left>
      <right style="thin">
        <color rgb="FFB2B2B2"/>
      </right>
      <top/>
      <bottom style="thin">
        <color rgb="FFB2B2B2"/>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indexed="64"/>
      </right>
      <top style="double">
        <color auto="1"/>
      </top>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medium">
        <color auto="1"/>
      </left>
      <right style="medium">
        <color indexed="64"/>
      </right>
      <top style="thin">
        <color rgb="FF7F7F7F"/>
      </top>
      <bottom style="thin">
        <color rgb="FF7F7F7F"/>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medium">
        <color indexed="64"/>
      </left>
      <right style="medium">
        <color indexed="64"/>
      </right>
      <top style="medium">
        <color indexed="64"/>
      </top>
      <bottom style="thin">
        <color rgb="FF7F7F7F"/>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indexed="64"/>
      </right>
      <top/>
      <bottom style="thin">
        <color rgb="FFB2B2B2"/>
      </bottom>
      <diagonal/>
    </border>
    <border>
      <left/>
      <right/>
      <top/>
      <bottom style="thick">
        <color indexed="64"/>
      </bottom>
      <diagonal/>
    </border>
    <border>
      <left/>
      <right/>
      <top style="medium">
        <color auto="1"/>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1" fillId="4" borderId="2" applyNumberFormat="0" applyFont="0" applyAlignment="0" applyProtection="0"/>
    <xf numFmtId="0" fontId="7" fillId="6" borderId="0" applyNumberFormat="0" applyBorder="0" applyAlignment="0" applyProtection="0"/>
    <xf numFmtId="0" fontId="12" fillId="7" borderId="0" applyNumberFormat="0" applyBorder="0" applyAlignment="0" applyProtection="0"/>
  </cellStyleXfs>
  <cellXfs count="233">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0" fontId="0" fillId="0" borderId="0" xfId="0" applyAlignment="1">
      <alignment vertical="center" wrapText="1"/>
    </xf>
    <xf numFmtId="0" fontId="0" fillId="0" borderId="6" xfId="0" applyBorder="1"/>
    <xf numFmtId="0" fontId="0" fillId="0" borderId="8" xfId="0" applyBorder="1"/>
    <xf numFmtId="0" fontId="0" fillId="0" borderId="8" xfId="0" applyBorder="1" applyAlignment="1">
      <alignment vertical="center" wrapText="1"/>
    </xf>
    <xf numFmtId="0" fontId="0" fillId="0" borderId="6" xfId="0" applyBorder="1" applyAlignment="1">
      <alignment vertical="center" wrapText="1"/>
    </xf>
    <xf numFmtId="0" fontId="0" fillId="0" borderId="11" xfId="0" applyBorder="1"/>
    <xf numFmtId="0" fontId="0" fillId="0" borderId="12" xfId="0" applyBorder="1"/>
    <xf numFmtId="0" fontId="0" fillId="0" borderId="10" xfId="0" applyBorder="1"/>
    <xf numFmtId="0" fontId="0" fillId="0" borderId="13" xfId="0" applyBorder="1"/>
    <xf numFmtId="0" fontId="0" fillId="0" borderId="14" xfId="0" applyBorder="1"/>
    <xf numFmtId="164" fontId="0" fillId="0" borderId="0" xfId="0" applyNumberFormat="1"/>
    <xf numFmtId="0" fontId="4" fillId="0" borderId="6" xfId="0" applyFont="1" applyBorder="1"/>
    <xf numFmtId="164" fontId="0" fillId="0" borderId="6" xfId="0" applyNumberFormat="1" applyBorder="1"/>
    <xf numFmtId="0" fontId="4" fillId="0" borderId="0" xfId="0" applyFont="1"/>
    <xf numFmtId="0" fontId="0" fillId="0" borderId="18" xfId="0" applyBorder="1"/>
    <xf numFmtId="0" fontId="0" fillId="0" borderId="20" xfId="0" applyBorder="1"/>
    <xf numFmtId="0" fontId="0" fillId="0" borderId="0" xfId="0" applyBorder="1"/>
    <xf numFmtId="0" fontId="0" fillId="0" borderId="26" xfId="0" applyBorder="1" applyAlignment="1">
      <alignment wrapText="1"/>
    </xf>
    <xf numFmtId="0" fontId="2" fillId="2" borderId="6" xfId="1" applyBorder="1"/>
    <xf numFmtId="0" fontId="0" fillId="0" borderId="29" xfId="0" applyBorder="1" applyAlignment="1">
      <alignment vertical="center" wrapText="1"/>
    </xf>
    <xf numFmtId="0" fontId="2" fillId="2" borderId="10" xfId="1" applyBorder="1" applyAlignment="1">
      <alignment horizontal="right"/>
    </xf>
    <xf numFmtId="0" fontId="0" fillId="0" borderId="0" xfId="0" applyAlignment="1">
      <alignment horizontal="right"/>
    </xf>
    <xf numFmtId="0" fontId="0" fillId="0" borderId="10" xfId="0" applyBorder="1" applyAlignment="1">
      <alignment horizontal="right"/>
    </xf>
    <xf numFmtId="0" fontId="0" fillId="5" borderId="11" xfId="0" applyFill="1" applyBorder="1"/>
    <xf numFmtId="0" fontId="0" fillId="0" borderId="21" xfId="0" applyBorder="1"/>
    <xf numFmtId="0" fontId="0" fillId="0" borderId="14" xfId="0" applyBorder="1" applyAlignment="1"/>
    <xf numFmtId="0" fontId="0" fillId="0" borderId="7" xfId="0" applyBorder="1" applyAlignment="1"/>
    <xf numFmtId="0" fontId="0" fillId="0" borderId="11" xfId="0" applyBorder="1" applyAlignment="1"/>
    <xf numFmtId="0" fontId="0" fillId="0" borderId="12" xfId="0" applyBorder="1" applyAlignment="1">
      <alignment horizontal="right"/>
    </xf>
    <xf numFmtId="0" fontId="0" fillId="0" borderId="6" xfId="0" applyBorder="1" applyAlignment="1"/>
    <xf numFmtId="0" fontId="0" fillId="0" borderId="3" xfId="0" applyBorder="1"/>
    <xf numFmtId="0" fontId="0" fillId="0" borderId="6" xfId="0" applyBorder="1" applyAlignment="1">
      <alignment horizontal="right"/>
    </xf>
    <xf numFmtId="0" fontId="0" fillId="0" borderId="0" xfId="0" applyFill="1" applyBorder="1" applyAlignment="1">
      <alignment vertical="center" wrapText="1"/>
    </xf>
    <xf numFmtId="0" fontId="0" fillId="0" borderId="29" xfId="0" applyBorder="1"/>
    <xf numFmtId="0" fontId="0" fillId="0" borderId="19" xfId="0" applyBorder="1"/>
    <xf numFmtId="0" fontId="0" fillId="0" borderId="27" xfId="0" applyBorder="1"/>
    <xf numFmtId="0" fontId="0" fillId="5" borderId="23" xfId="0" applyFill="1" applyBorder="1"/>
    <xf numFmtId="0" fontId="0" fillId="0" borderId="35" xfId="0" applyBorder="1"/>
    <xf numFmtId="0" fontId="0" fillId="0" borderId="36" xfId="0" applyBorder="1"/>
    <xf numFmtId="0" fontId="0" fillId="0" borderId="9" xfId="0" applyBorder="1"/>
    <xf numFmtId="0" fontId="0" fillId="0" borderId="37" xfId="0" applyBorder="1"/>
    <xf numFmtId="0" fontId="0" fillId="0" borderId="5" xfId="0" applyBorder="1"/>
    <xf numFmtId="0" fontId="0" fillId="0" borderId="26" xfId="0" applyBorder="1"/>
    <xf numFmtId="0" fontId="0" fillId="0" borderId="0" xfId="0" applyBorder="1" applyAlignment="1">
      <alignment vertical="center" wrapText="1"/>
    </xf>
    <xf numFmtId="0" fontId="0" fillId="0" borderId="11" xfId="0" applyBorder="1" applyAlignment="1">
      <alignment horizontal="right"/>
    </xf>
    <xf numFmtId="0" fontId="0" fillId="0" borderId="14" xfId="0" applyBorder="1" applyAlignment="1">
      <alignment horizontal="left"/>
    </xf>
    <xf numFmtId="0" fontId="0" fillId="0" borderId="19" xfId="0" applyBorder="1" applyAlignment="1">
      <alignment vertical="center" wrapText="1"/>
    </xf>
    <xf numFmtId="0" fontId="3" fillId="3" borderId="39" xfId="2" applyBorder="1"/>
    <xf numFmtId="0" fontId="3" fillId="3" borderId="42" xfId="2" applyBorder="1" applyAlignment="1">
      <alignment horizontal="right"/>
    </xf>
    <xf numFmtId="0" fontId="0" fillId="0" borderId="23" xfId="0" applyBorder="1"/>
    <xf numFmtId="0" fontId="2" fillId="2" borderId="0" xfId="1"/>
    <xf numFmtId="0" fontId="0" fillId="0" borderId="43" xfId="0" applyBorder="1"/>
    <xf numFmtId="0" fontId="2" fillId="2" borderId="0" xfId="1" applyAlignment="1">
      <alignment horizontal="right"/>
    </xf>
    <xf numFmtId="0" fontId="2" fillId="2" borderId="20" xfId="1" applyBorder="1"/>
    <xf numFmtId="0" fontId="0" fillId="0" borderId="12" xfId="0" applyBorder="1" applyAlignment="1">
      <alignment vertical="center" wrapText="1"/>
    </xf>
    <xf numFmtId="14" fontId="0" fillId="0" borderId="21" xfId="0" applyNumberFormat="1" applyBorder="1" applyAlignment="1">
      <alignment vertical="center" wrapText="1"/>
    </xf>
    <xf numFmtId="14" fontId="0" fillId="0" borderId="6" xfId="0" applyNumberFormat="1" applyBorder="1" applyAlignment="1">
      <alignment vertical="center" wrapText="1"/>
    </xf>
    <xf numFmtId="14" fontId="0" fillId="0" borderId="0" xfId="0" applyNumberFormat="1" applyBorder="1" applyAlignment="1">
      <alignment vertical="center" wrapText="1"/>
    </xf>
    <xf numFmtId="0" fontId="2" fillId="2" borderId="14" xfId="1" applyBorder="1"/>
    <xf numFmtId="0" fontId="2" fillId="2" borderId="7" xfId="1" applyBorder="1"/>
    <xf numFmtId="49" fontId="0" fillId="0" borderId="0" xfId="0" applyNumberFormat="1" applyBorder="1"/>
    <xf numFmtId="49" fontId="0" fillId="0" borderId="6" xfId="0" applyNumberFormat="1" applyBorder="1"/>
    <xf numFmtId="49" fontId="0" fillId="0" borderId="6" xfId="0" applyNumberFormat="1" applyBorder="1" applyAlignment="1">
      <alignment vertical="center" wrapText="1"/>
    </xf>
    <xf numFmtId="14" fontId="0" fillId="0" borderId="6" xfId="0" applyNumberFormat="1" applyBorder="1"/>
    <xf numFmtId="0" fontId="0" fillId="0" borderId="0" xfId="0" applyFill="1" applyBorder="1"/>
    <xf numFmtId="0" fontId="2" fillId="2" borderId="11" xfId="1" applyBorder="1"/>
    <xf numFmtId="49" fontId="0" fillId="0" borderId="12" xfId="0" applyNumberFormat="1" applyBorder="1"/>
    <xf numFmtId="0" fontId="0" fillId="0" borderId="44" xfId="0" applyBorder="1"/>
    <xf numFmtId="0" fontId="0" fillId="0" borderId="45" xfId="0" applyBorder="1"/>
    <xf numFmtId="0" fontId="4" fillId="0" borderId="47" xfId="0" applyFont="1" applyBorder="1"/>
    <xf numFmtId="0" fontId="4" fillId="0" borderId="48" xfId="0" applyFont="1" applyBorder="1"/>
    <xf numFmtId="0" fontId="4" fillId="0" borderId="46" xfId="0" applyFont="1" applyBorder="1"/>
    <xf numFmtId="0" fontId="0" fillId="0" borderId="48" xfId="0" applyBorder="1"/>
    <xf numFmtId="0" fontId="0" fillId="0" borderId="46" xfId="0" applyBorder="1"/>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xf numFmtId="0" fontId="0" fillId="0" borderId="36" xfId="0" applyBorder="1" applyAlignment="1">
      <alignment vertical="center" wrapText="1"/>
    </xf>
    <xf numFmtId="0" fontId="0" fillId="0" borderId="37" xfId="0" applyBorder="1" applyAlignment="1">
      <alignment vertical="center" wrapText="1"/>
    </xf>
    <xf numFmtId="0" fontId="0" fillId="0" borderId="7" xfId="0" applyBorder="1" applyAlignment="1">
      <alignment horizontal="right"/>
    </xf>
    <xf numFmtId="0" fontId="4" fillId="0" borderId="0" xfId="0" applyFont="1" applyAlignment="1">
      <alignment horizontal="center"/>
    </xf>
    <xf numFmtId="0" fontId="4" fillId="0" borderId="12" xfId="0" applyFont="1" applyBorder="1" applyAlignment="1">
      <alignment horizontal="center"/>
    </xf>
    <xf numFmtId="0" fontId="7" fillId="6" borderId="21" xfId="4" applyBorder="1"/>
    <xf numFmtId="0" fontId="0" fillId="0" borderId="57" xfId="0" applyBorder="1"/>
    <xf numFmtId="0" fontId="0" fillId="0" borderId="14" xfId="0" applyBorder="1" applyAlignment="1">
      <alignment horizontal="right"/>
    </xf>
    <xf numFmtId="0" fontId="0" fillId="0" borderId="23" xfId="0" applyBorder="1" applyAlignment="1">
      <alignment horizontal="right"/>
    </xf>
    <xf numFmtId="0" fontId="0" fillId="5" borderId="11" xfId="0" applyFill="1" applyBorder="1" applyAlignment="1">
      <alignment horizontal="right"/>
    </xf>
    <xf numFmtId="0" fontId="0" fillId="0" borderId="9" xfId="0" applyBorder="1" applyAlignment="1">
      <alignment horizontal="right"/>
    </xf>
    <xf numFmtId="164" fontId="0" fillId="0" borderId="8" xfId="0" applyNumberFormat="1" applyBorder="1"/>
    <xf numFmtId="165" fontId="0" fillId="0" borderId="0" xfId="0" applyNumberFormat="1"/>
    <xf numFmtId="165" fontId="0" fillId="0" borderId="0" xfId="0" applyNumberFormat="1" applyAlignment="1">
      <alignment vertical="center" wrapText="1"/>
    </xf>
    <xf numFmtId="165" fontId="0" fillId="0" borderId="20" xfId="0" applyNumberFormat="1" applyBorder="1" applyAlignment="1">
      <alignment vertical="center" wrapText="1"/>
    </xf>
    <xf numFmtId="165" fontId="0" fillId="0" borderId="57" xfId="0" applyNumberFormat="1" applyBorder="1"/>
    <xf numFmtId="165" fontId="0" fillId="0" borderId="20" xfId="0" applyNumberFormat="1" applyBorder="1"/>
    <xf numFmtId="165" fontId="4" fillId="0" borderId="0" xfId="0" applyNumberFormat="1" applyFont="1"/>
    <xf numFmtId="165" fontId="0" fillId="0" borderId="6" xfId="0" applyNumberFormat="1" applyBorder="1" applyAlignment="1">
      <alignment vertical="center" wrapText="1"/>
    </xf>
    <xf numFmtId="165" fontId="0" fillId="0" borderId="8" xfId="0" applyNumberFormat="1" applyBorder="1"/>
    <xf numFmtId="165" fontId="0" fillId="0" borderId="6" xfId="0" applyNumberFormat="1" applyBorder="1"/>
    <xf numFmtId="165" fontId="0" fillId="0" borderId="12" xfId="0" applyNumberFormat="1" applyBorder="1"/>
    <xf numFmtId="165" fontId="0" fillId="0" borderId="10" xfId="0" applyNumberFormat="1" applyBorder="1"/>
    <xf numFmtId="165" fontId="0" fillId="0" borderId="27" xfId="0" applyNumberFormat="1" applyBorder="1"/>
    <xf numFmtId="165" fontId="0" fillId="0" borderId="0" xfId="0" applyNumberFormat="1" applyBorder="1"/>
    <xf numFmtId="165" fontId="0" fillId="0" borderId="34" xfId="0" applyNumberFormat="1" applyBorder="1"/>
    <xf numFmtId="165" fontId="0" fillId="0" borderId="19" xfId="0" applyNumberFormat="1" applyBorder="1"/>
    <xf numFmtId="165" fontId="0" fillId="0" borderId="21" xfId="0" applyNumberFormat="1" applyBorder="1"/>
    <xf numFmtId="165" fontId="0" fillId="0" borderId="29" xfId="0" applyNumberFormat="1" applyBorder="1"/>
    <xf numFmtId="165" fontId="0" fillId="0" borderId="18" xfId="0" applyNumberFormat="1" applyBorder="1"/>
    <xf numFmtId="165" fontId="0" fillId="0" borderId="13" xfId="0" applyNumberFormat="1" applyBorder="1"/>
    <xf numFmtId="165" fontId="4" fillId="0" borderId="19" xfId="0" applyNumberFormat="1" applyFont="1" applyBorder="1" applyAlignment="1">
      <alignment vertical="center" wrapText="1"/>
    </xf>
    <xf numFmtId="165" fontId="0" fillId="0" borderId="21" xfId="0" applyNumberFormat="1" applyBorder="1" applyAlignment="1">
      <alignment vertical="center" wrapText="1"/>
    </xf>
    <xf numFmtId="165" fontId="0" fillId="4" borderId="2" xfId="3" applyNumberFormat="1" applyFont="1"/>
    <xf numFmtId="165" fontId="4" fillId="0" borderId="0" xfId="0" applyNumberFormat="1" applyFont="1" applyBorder="1" applyAlignment="1">
      <alignment vertical="center" wrapText="1"/>
    </xf>
    <xf numFmtId="165" fontId="4" fillId="0" borderId="6" xfId="0" applyNumberFormat="1" applyFont="1" applyBorder="1"/>
    <xf numFmtId="165" fontId="4" fillId="0" borderId="0" xfId="0" applyNumberFormat="1" applyFont="1" applyAlignment="1">
      <alignment vertical="center" wrapText="1"/>
    </xf>
    <xf numFmtId="165" fontId="0" fillId="0" borderId="36" xfId="0" applyNumberFormat="1" applyBorder="1"/>
    <xf numFmtId="165" fontId="0" fillId="0" borderId="9" xfId="0" applyNumberFormat="1" applyBorder="1"/>
    <xf numFmtId="165" fontId="0" fillId="0" borderId="37" xfId="0" applyNumberFormat="1" applyBorder="1"/>
    <xf numFmtId="165" fontId="0" fillId="4" borderId="28" xfId="3" applyNumberFormat="1" applyFont="1" applyBorder="1"/>
    <xf numFmtId="165" fontId="0" fillId="4" borderId="32" xfId="3" applyNumberFormat="1" applyFont="1" applyBorder="1"/>
    <xf numFmtId="165" fontId="0" fillId="4" borderId="33" xfId="3" applyNumberFormat="1" applyFont="1" applyBorder="1"/>
    <xf numFmtId="165" fontId="0" fillId="4" borderId="25" xfId="3" applyNumberFormat="1" applyFont="1" applyBorder="1"/>
    <xf numFmtId="0" fontId="0" fillId="0" borderId="65" xfId="0" applyBorder="1"/>
    <xf numFmtId="165" fontId="0" fillId="0" borderId="8" xfId="0" applyNumberFormat="1" applyBorder="1" applyAlignment="1">
      <alignment vertical="center" wrapText="1"/>
    </xf>
    <xf numFmtId="165" fontId="0" fillId="0" borderId="35" xfId="0" applyNumberFormat="1" applyBorder="1"/>
    <xf numFmtId="165" fontId="0" fillId="0" borderId="29" xfId="0" applyNumberFormat="1" applyBorder="1" applyAlignment="1">
      <alignment vertical="center" wrapText="1"/>
    </xf>
    <xf numFmtId="165" fontId="0" fillId="0" borderId="64" xfId="0" applyNumberFormat="1" applyBorder="1"/>
    <xf numFmtId="165" fontId="8" fillId="0" borderId="0" xfId="0" applyNumberFormat="1" applyFont="1" applyFill="1" applyBorder="1"/>
    <xf numFmtId="0" fontId="7" fillId="6" borderId="6" xfId="4" applyBorder="1"/>
    <xf numFmtId="0" fontId="7" fillId="6" borderId="9" xfId="4" applyBorder="1" applyAlignment="1">
      <alignment horizontal="right"/>
    </xf>
    <xf numFmtId="0" fontId="7" fillId="6" borderId="10" xfId="4" applyBorder="1" applyAlignment="1">
      <alignment horizontal="right"/>
    </xf>
    <xf numFmtId="0" fontId="7" fillId="6" borderId="6" xfId="4" applyBorder="1" applyAlignment="1">
      <alignment horizontal="right"/>
    </xf>
    <xf numFmtId="0" fontId="7" fillId="6" borderId="65" xfId="4" applyBorder="1"/>
    <xf numFmtId="0" fontId="7" fillId="6" borderId="1" xfId="4" applyBorder="1"/>
    <xf numFmtId="0" fontId="7" fillId="6" borderId="1" xfId="4" applyBorder="1" applyAlignment="1">
      <alignment horizontal="right"/>
    </xf>
    <xf numFmtId="0" fontId="0" fillId="0" borderId="0" xfId="0" applyAlignment="1"/>
    <xf numFmtId="165" fontId="0" fillId="0" borderId="0" xfId="0" applyNumberFormat="1" applyAlignment="1"/>
    <xf numFmtId="0" fontId="0" fillId="0" borderId="0" xfId="0" applyBorder="1" applyAlignment="1"/>
    <xf numFmtId="0" fontId="9" fillId="0" borderId="0" xfId="0" applyFont="1"/>
    <xf numFmtId="0" fontId="10" fillId="0" borderId="0" xfId="0" applyFont="1"/>
    <xf numFmtId="0" fontId="11" fillId="0" borderId="0" xfId="0" applyFont="1"/>
    <xf numFmtId="1" fontId="0" fillId="0" borderId="0" xfId="0" applyNumberFormat="1" applyAlignment="1"/>
    <xf numFmtId="1" fontId="0" fillId="0" borderId="0" xfId="0" applyNumberFormat="1"/>
    <xf numFmtId="0" fontId="0" fillId="0" borderId="0" xfId="0" applyBorder="1" applyAlignment="1">
      <alignment wrapText="1"/>
    </xf>
    <xf numFmtId="0" fontId="0" fillId="0" borderId="6" xfId="0" applyBorder="1" applyAlignment="1">
      <alignment wrapText="1"/>
    </xf>
    <xf numFmtId="0" fontId="0" fillId="0" borderId="8" xfId="0" applyBorder="1" applyAlignment="1">
      <alignment wrapText="1"/>
    </xf>
    <xf numFmtId="0" fontId="10" fillId="0" borderId="0" xfId="0" applyFont="1" applyBorder="1"/>
    <xf numFmtId="0" fontId="0" fillId="0" borderId="4" xfId="0" applyFont="1" applyBorder="1"/>
    <xf numFmtId="0" fontId="0" fillId="0" borderId="67" xfId="0" applyBorder="1"/>
    <xf numFmtId="0" fontId="11" fillId="0" borderId="6" xfId="0" applyFont="1" applyBorder="1"/>
    <xf numFmtId="0" fontId="10" fillId="0" borderId="6" xfId="0" applyFont="1" applyBorder="1"/>
    <xf numFmtId="0" fontId="0" fillId="0" borderId="18"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0" xfId="0" applyBorder="1" applyAlignment="1">
      <alignment wrapText="1"/>
    </xf>
    <xf numFmtId="0" fontId="11" fillId="0" borderId="21" xfId="0" applyFont="1" applyBorder="1"/>
    <xf numFmtId="165" fontId="7" fillId="6" borderId="0" xfId="4" applyNumberFormat="1"/>
    <xf numFmtId="14" fontId="0" fillId="0" borderId="21" xfId="0" applyNumberFormat="1" applyBorder="1"/>
    <xf numFmtId="165" fontId="12" fillId="7" borderId="0" xfId="5" applyNumberFormat="1"/>
    <xf numFmtId="164" fontId="7" fillId="6" borderId="0" xfId="4" applyNumberFormat="1"/>
    <xf numFmtId="164" fontId="12" fillId="7" borderId="0" xfId="5" applyNumberFormat="1"/>
    <xf numFmtId="165" fontId="0" fillId="0" borderId="0" xfId="0" applyNumberFormat="1" applyFont="1"/>
    <xf numFmtId="165" fontId="0" fillId="0" borderId="6" xfId="0" applyNumberFormat="1" applyFont="1" applyBorder="1"/>
    <xf numFmtId="165" fontId="0" fillId="0" borderId="43" xfId="0" applyNumberFormat="1" applyBorder="1"/>
    <xf numFmtId="165" fontId="0" fillId="4" borderId="49" xfId="3" applyNumberFormat="1" applyFont="1" applyBorder="1"/>
    <xf numFmtId="165" fontId="0" fillId="4" borderId="2" xfId="3" applyNumberFormat="1" applyFont="1" applyBorder="1"/>
    <xf numFmtId="165" fontId="0" fillId="4" borderId="59" xfId="3" applyNumberFormat="1" applyFont="1" applyBorder="1"/>
    <xf numFmtId="165" fontId="0" fillId="4" borderId="66" xfId="3" applyNumberFormat="1" applyFont="1" applyBorder="1"/>
    <xf numFmtId="165" fontId="0" fillId="4" borderId="24" xfId="3" applyNumberFormat="1" applyFont="1" applyBorder="1"/>
    <xf numFmtId="165" fontId="0" fillId="4" borderId="30" xfId="3" applyNumberFormat="1" applyFont="1" applyBorder="1"/>
    <xf numFmtId="165" fontId="0" fillId="4" borderId="22" xfId="3" applyNumberFormat="1" applyFont="1" applyBorder="1"/>
    <xf numFmtId="165" fontId="0" fillId="4" borderId="24" xfId="3" applyNumberFormat="1" applyFont="1" applyBorder="1" applyAlignment="1">
      <alignment vertical="center" wrapText="1"/>
    </xf>
    <xf numFmtId="165" fontId="0" fillId="0" borderId="0" xfId="0" applyNumberFormat="1" applyFill="1" applyBorder="1" applyAlignment="1">
      <alignment vertical="center" wrapText="1"/>
    </xf>
    <xf numFmtId="165" fontId="0" fillId="0" borderId="0" xfId="0" applyNumberFormat="1" applyBorder="1" applyAlignment="1">
      <alignment vertical="center" wrapText="1"/>
    </xf>
    <xf numFmtId="165" fontId="0" fillId="0" borderId="19" xfId="0" applyNumberFormat="1" applyBorder="1" applyAlignment="1">
      <alignment vertical="center" wrapText="1"/>
    </xf>
    <xf numFmtId="165" fontId="0" fillId="4" borderId="38" xfId="3" applyNumberFormat="1" applyFont="1" applyBorder="1" applyAlignment="1">
      <alignment vertical="center" wrapText="1"/>
    </xf>
    <xf numFmtId="165" fontId="0" fillId="4" borderId="32" xfId="3" applyNumberFormat="1" applyFont="1" applyBorder="1" applyAlignment="1">
      <alignment vertical="center" wrapText="1"/>
    </xf>
    <xf numFmtId="165" fontId="0" fillId="4" borderId="2" xfId="3" applyNumberFormat="1" applyFont="1" applyBorder="1" applyAlignment="1">
      <alignment vertical="center" wrapText="1"/>
    </xf>
    <xf numFmtId="165" fontId="0" fillId="4" borderId="33" xfId="3" applyNumberFormat="1" applyFont="1" applyBorder="1" applyAlignment="1">
      <alignment vertical="center" wrapText="1"/>
    </xf>
    <xf numFmtId="165" fontId="0" fillId="4" borderId="2" xfId="3" applyNumberFormat="1" applyFont="1" applyAlignment="1">
      <alignment vertical="center" wrapText="1"/>
    </xf>
    <xf numFmtId="165" fontId="0" fillId="0" borderId="0" xfId="0" applyNumberFormat="1" applyFill="1" applyBorder="1"/>
    <xf numFmtId="165" fontId="0" fillId="0" borderId="5" xfId="0" applyNumberFormat="1" applyBorder="1" applyAlignment="1">
      <alignment wrapText="1"/>
    </xf>
    <xf numFmtId="165" fontId="0" fillId="0" borderId="3" xfId="0" applyNumberFormat="1" applyBorder="1" applyAlignment="1">
      <alignment wrapText="1"/>
    </xf>
    <xf numFmtId="0" fontId="0" fillId="0" borderId="68" xfId="0" applyBorder="1"/>
    <xf numFmtId="0" fontId="4" fillId="0" borderId="0" xfId="0" applyFont="1" applyAlignment="1">
      <alignment vertical="center" wrapText="1"/>
    </xf>
    <xf numFmtId="0" fontId="0" fillId="0" borderId="0" xfId="0" applyFill="1" applyBorder="1" applyAlignment="1"/>
    <xf numFmtId="165" fontId="4" fillId="0" borderId="6" xfId="0" applyNumberFormat="1" applyFont="1" applyBorder="1" applyAlignment="1">
      <alignment vertical="center" wrapText="1"/>
    </xf>
    <xf numFmtId="11" fontId="7" fillId="6" borderId="0" xfId="4" applyNumberFormat="1"/>
    <xf numFmtId="0" fontId="0" fillId="0" borderId="6" xfId="0" applyFill="1" applyBorder="1" applyAlignment="1">
      <alignment wrapText="1"/>
    </xf>
    <xf numFmtId="0" fontId="4" fillId="0" borderId="0" xfId="0" applyFont="1" applyBorder="1"/>
    <xf numFmtId="0" fontId="0" fillId="4" borderId="31" xfId="3" applyFont="1" applyBorder="1" applyAlignment="1">
      <alignment horizontal="center" wrapText="1"/>
    </xf>
    <xf numFmtId="0" fontId="0" fillId="4" borderId="16" xfId="3" applyFont="1" applyBorder="1" applyAlignment="1">
      <alignment horizontal="center" wrapText="1"/>
    </xf>
    <xf numFmtId="0" fontId="0" fillId="4" borderId="58" xfId="3" applyFont="1" applyBorder="1" applyAlignment="1">
      <alignment horizontal="center" wrapText="1"/>
    </xf>
    <xf numFmtId="0" fontId="0" fillId="4" borderId="14" xfId="3" applyFont="1" applyBorder="1" applyAlignment="1">
      <alignment horizontal="center"/>
    </xf>
    <xf numFmtId="0" fontId="0" fillId="4" borderId="7" xfId="3" applyFont="1" applyBorder="1" applyAlignment="1">
      <alignment horizontal="center"/>
    </xf>
    <xf numFmtId="0" fontId="0" fillId="4" borderId="11" xfId="3" applyFont="1" applyBorder="1" applyAlignment="1">
      <alignment horizontal="center"/>
    </xf>
    <xf numFmtId="0" fontId="0" fillId="4" borderId="31" xfId="3" applyFont="1" applyBorder="1" applyAlignment="1">
      <alignment horizontal="center"/>
    </xf>
    <xf numFmtId="0" fontId="0" fillId="4" borderId="16" xfId="3" applyFont="1" applyBorder="1" applyAlignment="1">
      <alignment horizontal="center"/>
    </xf>
    <xf numFmtId="0" fontId="0" fillId="4" borderId="17" xfId="3" applyFont="1" applyBorder="1" applyAlignment="1">
      <alignment horizontal="center"/>
    </xf>
    <xf numFmtId="0" fontId="0" fillId="4" borderId="15" xfId="3" applyFont="1" applyBorder="1" applyAlignment="1">
      <alignment horizontal="center" wrapText="1"/>
    </xf>
    <xf numFmtId="0" fontId="0" fillId="4" borderId="17" xfId="3" applyFont="1" applyBorder="1" applyAlignment="1">
      <alignment horizontal="center" wrapText="1"/>
    </xf>
    <xf numFmtId="0" fontId="0" fillId="4" borderId="14" xfId="3" applyFont="1" applyBorder="1" applyAlignment="1">
      <alignment horizontal="center" wrapText="1"/>
    </xf>
    <xf numFmtId="0" fontId="0" fillId="4" borderId="7" xfId="3" applyFont="1" applyBorder="1" applyAlignment="1">
      <alignment horizontal="center" wrapText="1"/>
    </xf>
    <xf numFmtId="0" fontId="0" fillId="4" borderId="11" xfId="3" applyFont="1" applyBorder="1" applyAlignment="1">
      <alignment horizontal="center" wrapText="1"/>
    </xf>
    <xf numFmtId="0" fontId="0" fillId="0" borderId="27" xfId="0" applyBorder="1" applyAlignment="1">
      <alignment horizontal="center" wrapText="1"/>
    </xf>
    <xf numFmtId="0" fontId="0" fillId="0" borderId="27" xfId="0" applyBorder="1" applyAlignment="1">
      <alignment horizontal="center"/>
    </xf>
    <xf numFmtId="0" fontId="3" fillId="3" borderId="63" xfId="2" applyBorder="1" applyAlignment="1">
      <alignment horizontal="center" wrapText="1"/>
    </xf>
    <xf numFmtId="0" fontId="3" fillId="3" borderId="60" xfId="2" applyBorder="1" applyAlignment="1">
      <alignment horizontal="center" wrapText="1"/>
    </xf>
    <xf numFmtId="0" fontId="3" fillId="3" borderId="61" xfId="2" applyBorder="1" applyAlignment="1">
      <alignment horizontal="center" wrapText="1"/>
    </xf>
    <xf numFmtId="0" fontId="0" fillId="4" borderId="7" xfId="3" applyFont="1" applyBorder="1" applyAlignment="1">
      <alignment horizontal="center" vertical="center" wrapText="1"/>
    </xf>
    <xf numFmtId="0" fontId="0" fillId="4" borderId="11" xfId="3" applyFont="1" applyBorder="1" applyAlignment="1">
      <alignment horizontal="center" vertical="center" wrapText="1"/>
    </xf>
    <xf numFmtId="0" fontId="0" fillId="4" borderId="15" xfId="3" applyFont="1" applyBorder="1" applyAlignment="1">
      <alignment horizontal="center" vertical="center" wrapText="1"/>
    </xf>
    <xf numFmtId="0" fontId="0" fillId="4" borderId="16" xfId="3" applyFont="1" applyBorder="1" applyAlignment="1">
      <alignment horizontal="center" vertical="center" wrapText="1"/>
    </xf>
    <xf numFmtId="0" fontId="0" fillId="4" borderId="17" xfId="3" applyFont="1" applyBorder="1" applyAlignment="1">
      <alignment horizontal="center" vertical="center" wrapText="1"/>
    </xf>
    <xf numFmtId="0" fontId="3" fillId="3" borderId="62" xfId="2" applyBorder="1" applyAlignment="1">
      <alignment horizontal="center" wrapText="1"/>
    </xf>
    <xf numFmtId="0" fontId="0" fillId="4" borderId="50" xfId="3" applyFont="1" applyBorder="1" applyAlignment="1">
      <alignment horizontal="center" wrapText="1"/>
    </xf>
    <xf numFmtId="0" fontId="0" fillId="4" borderId="51" xfId="3" applyFont="1" applyBorder="1" applyAlignment="1">
      <alignment horizontal="center" wrapText="1"/>
    </xf>
    <xf numFmtId="0" fontId="0" fillId="4" borderId="52" xfId="3" applyFont="1" applyBorder="1" applyAlignment="1">
      <alignment horizontal="center" wrapText="1"/>
    </xf>
    <xf numFmtId="0" fontId="0" fillId="4" borderId="27" xfId="3" applyFont="1" applyBorder="1" applyAlignment="1">
      <alignment horizontal="center" wrapText="1"/>
    </xf>
    <xf numFmtId="0" fontId="0" fillId="4" borderId="0" xfId="3" applyFont="1" applyBorder="1" applyAlignment="1">
      <alignment horizontal="center" wrapText="1"/>
    </xf>
    <xf numFmtId="0" fontId="0" fillId="4" borderId="53" xfId="3" applyFont="1" applyBorder="1" applyAlignment="1">
      <alignment horizontal="center" wrapText="1"/>
    </xf>
    <xf numFmtId="0" fontId="0" fillId="4" borderId="54" xfId="3" applyFont="1" applyBorder="1" applyAlignment="1">
      <alignment horizontal="center" wrapText="1"/>
    </xf>
    <xf numFmtId="0" fontId="0" fillId="4" borderId="55" xfId="3" applyFont="1" applyBorder="1" applyAlignment="1">
      <alignment horizontal="center" wrapText="1"/>
    </xf>
    <xf numFmtId="0" fontId="0" fillId="4" borderId="56" xfId="3" applyFont="1" applyBorder="1" applyAlignment="1">
      <alignment horizontal="center" wrapText="1"/>
    </xf>
    <xf numFmtId="0" fontId="3" fillId="3" borderId="40" xfId="2" applyBorder="1" applyAlignment="1">
      <alignment horizontal="center" wrapText="1"/>
    </xf>
    <xf numFmtId="0" fontId="3" fillId="3" borderId="41" xfId="2" applyBorder="1" applyAlignment="1">
      <alignment horizontal="center" wrapText="1"/>
    </xf>
    <xf numFmtId="0" fontId="0" fillId="4" borderId="2" xfId="3" applyFont="1" applyAlignment="1">
      <alignment horizontal="center" wrapText="1"/>
    </xf>
  </cellXfs>
  <cellStyles count="6">
    <cellStyle name="Bad" xfId="1" builtinId="27"/>
    <cellStyle name="Calculation" xfId="2" builtinId="22"/>
    <cellStyle name="Good" xfId="4" builtinId="26"/>
    <cellStyle name="Neutral" xfId="5" builtinId="28"/>
    <cellStyle name="Normal" xfId="0" builtinId="0"/>
    <cellStyle name="Note" xfId="3" builtinId="10"/>
  </cellStyles>
  <dxfs count="0"/>
  <tableStyles count="0" defaultTableStyle="TableStyleMedium2" defaultPivotStyle="PivotStyleLight16"/>
  <colors>
    <mruColors>
      <color rgb="FFC80000"/>
      <color rgb="FF00C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0.39368328623812787</c:v>
                  </c:pt>
                  <c:pt idx="3">
                    <c:v>0.27439660509271635</c:v>
                  </c:pt>
                  <c:pt idx="4">
                    <c:v>0.26208975415987579</c:v>
                  </c:pt>
                  <c:pt idx="5">
                    <c:v>0.37585627336152005</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0.39368328623812787</c:v>
                  </c:pt>
                  <c:pt idx="3">
                    <c:v>0.27439660509271635</c:v>
                  </c:pt>
                  <c:pt idx="4">
                    <c:v>0.26208975415987579</c:v>
                  </c:pt>
                  <c:pt idx="5">
                    <c:v>0.37585627336152005</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0.38390326256214724</c:v>
                </c:pt>
                <c:pt idx="3">
                  <c:v>0.30542506067550979</c:v>
                </c:pt>
                <c:pt idx="4">
                  <c:v>0.48072544281263235</c:v>
                </c:pt>
                <c:pt idx="5">
                  <c:v>0.51066865891946578</c:v>
                </c:pt>
                <c:pt idx="6">
                  <c:v>0.66554761167929211</c:v>
                </c:pt>
                <c:pt idx="7">
                  <c:v>0.32313616052678401</c:v>
                </c:pt>
                <c:pt idx="8">
                  <c:v>1.081846924497387</c:v>
                </c:pt>
              </c:numCache>
            </c:numRef>
          </c:val>
          <c:extLst>
            <c:ext xmlns:c16="http://schemas.microsoft.com/office/drawing/2014/chart" uri="{C3380CC4-5D6E-409C-BE32-E72D297353CC}">
              <c16:uniqueId val="{00000000-3A96-4A7C-A2A3-24C90423B617}"/>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0.43289411466709199</c:v>
                  </c:pt>
                  <c:pt idx="3">
                    <c:v>0.18584104928852324</c:v>
                  </c:pt>
                  <c:pt idx="4">
                    <c:v>0.3085916643709023</c:v>
                  </c:pt>
                  <c:pt idx="5">
                    <c:v>0.41719184392543723</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0.43289411466709199</c:v>
                  </c:pt>
                  <c:pt idx="3">
                    <c:v>0.18584104928852324</c:v>
                  </c:pt>
                  <c:pt idx="4">
                    <c:v>0.3085916643709023</c:v>
                  </c:pt>
                  <c:pt idx="5">
                    <c:v>0.41719184392543723</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0.3635117862397173</c:v>
                </c:pt>
                <c:pt idx="3">
                  <c:v>0.19380039384883432</c:v>
                </c:pt>
                <c:pt idx="4">
                  <c:v>0.57814699149649129</c:v>
                </c:pt>
                <c:pt idx="5">
                  <c:v>0.53885872924795997</c:v>
                </c:pt>
                <c:pt idx="6">
                  <c:v>0.90166606679182559</c:v>
                </c:pt>
                <c:pt idx="7">
                  <c:v>0.2824591483369972</c:v>
                </c:pt>
                <c:pt idx="8">
                  <c:v>1.2501903727867756</c:v>
                </c:pt>
              </c:numCache>
            </c:numRef>
          </c:val>
          <c:extLst>
            <c:ext xmlns:c16="http://schemas.microsoft.com/office/drawing/2014/chart" uri="{C3380CC4-5D6E-409C-BE32-E72D297353CC}">
              <c16:uniqueId val="{00000001-3A96-4A7C-A2A3-24C90423B617}"/>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0.67113733782644158</c:v>
                  </c:pt>
                  <c:pt idx="1">
                    <c:v>0.45957388131448002</c:v>
                  </c:pt>
                  <c:pt idx="2">
                    <c:v>0.15902384601399711</c:v>
                  </c:pt>
                  <c:pt idx="3">
                    <c:v>0.11018685728824226</c:v>
                  </c:pt>
                  <c:pt idx="4">
                    <c:v>0.16199335087789643</c:v>
                  </c:pt>
                  <c:pt idx="5">
                    <c:v>0.35716769257228553</c:v>
                  </c:pt>
                  <c:pt idx="6">
                    <c:v>0.19211972779749101</c:v>
                  </c:pt>
                  <c:pt idx="7">
                    <c:v>0.21918527289237225</c:v>
                  </c:pt>
                  <c:pt idx="8">
                    <c:v>0.33252864316845659</c:v>
                  </c:pt>
                </c:numCache>
              </c:numRef>
            </c:plus>
            <c:minus>
              <c:numRef>
                <c:f>Ischemia!$I$33:$Q$33</c:f>
                <c:numCache>
                  <c:formatCode>General</c:formatCode>
                  <c:ptCount val="9"/>
                  <c:pt idx="0">
                    <c:v>0.67113733782644158</c:v>
                  </c:pt>
                  <c:pt idx="1">
                    <c:v>0.45957388131448002</c:v>
                  </c:pt>
                  <c:pt idx="2">
                    <c:v>0.15902384601399711</c:v>
                  </c:pt>
                  <c:pt idx="3">
                    <c:v>0.11018685728824226</c:v>
                  </c:pt>
                  <c:pt idx="4">
                    <c:v>0.16199335087789643</c:v>
                  </c:pt>
                  <c:pt idx="5">
                    <c:v>0.35716769257228553</c:v>
                  </c:pt>
                  <c:pt idx="6">
                    <c:v>0.19211972779749101</c:v>
                  </c:pt>
                  <c:pt idx="7">
                    <c:v>0.21918527289237225</c:v>
                  </c:pt>
                  <c:pt idx="8">
                    <c:v>0.33252864316845659</c:v>
                  </c:pt>
                </c:numCache>
              </c:numRef>
            </c:minus>
            <c:spPr>
              <a:noFill/>
              <a:ln w="9525" cap="flat" cmpd="sng" algn="ctr">
                <a:solidFill>
                  <a:schemeClr val="lt1">
                    <a:lumMod val="95000"/>
                  </a:schemeClr>
                </a:solidFill>
                <a:round/>
              </a:ln>
              <a:effectLst/>
            </c:spPr>
          </c:errBars>
          <c:val>
            <c:numRef>
              <c:f>Ischemia!$I$30:$Q$30</c:f>
              <c:numCache>
                <c:formatCode>0.000</c:formatCode>
                <c:ptCount val="9"/>
                <c:pt idx="0">
                  <c:v>3.4358630019485559</c:v>
                </c:pt>
                <c:pt idx="1">
                  <c:v>1.0612955117796181</c:v>
                </c:pt>
                <c:pt idx="2">
                  <c:v>0.35258478889367656</c:v>
                </c:pt>
                <c:pt idx="3">
                  <c:v>0.35050024161249194</c:v>
                </c:pt>
                <c:pt idx="4">
                  <c:v>0.42613551691128604</c:v>
                </c:pt>
                <c:pt idx="5">
                  <c:v>0.79603776298904771</c:v>
                </c:pt>
                <c:pt idx="6">
                  <c:v>0.48300783325726021</c:v>
                </c:pt>
                <c:pt idx="7">
                  <c:v>0.46308976587638639</c:v>
                </c:pt>
                <c:pt idx="8">
                  <c:v>1.0160233290085481</c:v>
                </c:pt>
              </c:numCache>
            </c:numRef>
          </c:val>
          <c:extLst>
            <c:ext xmlns:c16="http://schemas.microsoft.com/office/drawing/2014/chart" uri="{C3380CC4-5D6E-409C-BE32-E72D297353CC}">
              <c16:uniqueId val="{00000002-3A96-4A7C-A2A3-24C90423B617}"/>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0.85528022863904052</c:v>
                  </c:pt>
                  <c:pt idx="1">
                    <c:v>0.51457381314985673</c:v>
                  </c:pt>
                  <c:pt idx="2">
                    <c:v>0.13304239100838294</c:v>
                  </c:pt>
                  <c:pt idx="3">
                    <c:v>0.12520845137003778</c:v>
                  </c:pt>
                  <c:pt idx="4">
                    <c:v>0.31784158931966133</c:v>
                  </c:pt>
                  <c:pt idx="5">
                    <c:v>0.31676724674770979</c:v>
                  </c:pt>
                  <c:pt idx="6">
                    <c:v>0.37708613718822537</c:v>
                  </c:pt>
                  <c:pt idx="7">
                    <c:v>0.1439095909165784</c:v>
                  </c:pt>
                  <c:pt idx="8">
                    <c:v>0.46046723395869837</c:v>
                  </c:pt>
                </c:numCache>
              </c:numRef>
            </c:plus>
            <c:minus>
              <c:numRef>
                <c:f>Ischemia!$I$34:$Q$34</c:f>
                <c:numCache>
                  <c:formatCode>General</c:formatCode>
                  <c:ptCount val="9"/>
                  <c:pt idx="0">
                    <c:v>0.85528022863904052</c:v>
                  </c:pt>
                  <c:pt idx="1">
                    <c:v>0.51457381314985673</c:v>
                  </c:pt>
                  <c:pt idx="2">
                    <c:v>0.13304239100838294</c:v>
                  </c:pt>
                  <c:pt idx="3">
                    <c:v>0.12520845137003778</c:v>
                  </c:pt>
                  <c:pt idx="4">
                    <c:v>0.31784158931966133</c:v>
                  </c:pt>
                  <c:pt idx="5">
                    <c:v>0.31676724674770979</c:v>
                  </c:pt>
                  <c:pt idx="6">
                    <c:v>0.37708613718822537</c:v>
                  </c:pt>
                  <c:pt idx="7">
                    <c:v>0.1439095909165784</c:v>
                  </c:pt>
                  <c:pt idx="8">
                    <c:v>0.46046723395869837</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3.9288343417843903</c:v>
                </c:pt>
                <c:pt idx="1">
                  <c:v>0.98698184742510164</c:v>
                </c:pt>
                <c:pt idx="2">
                  <c:v>0.34681927385864758</c:v>
                </c:pt>
                <c:pt idx="3">
                  <c:v>0.36936273150036186</c:v>
                </c:pt>
                <c:pt idx="4">
                  <c:v>0.78145124558012324</c:v>
                </c:pt>
                <c:pt idx="5">
                  <c:v>0.73523640942635982</c:v>
                </c:pt>
                <c:pt idx="6">
                  <c:v>1.0270769835671483</c:v>
                </c:pt>
                <c:pt idx="7">
                  <c:v>0.41345341529555324</c:v>
                </c:pt>
                <c:pt idx="8">
                  <c:v>1.4879967641036531</c:v>
                </c:pt>
              </c:numCache>
            </c:numRef>
          </c:val>
          <c:extLst>
            <c:ext xmlns:c16="http://schemas.microsoft.com/office/drawing/2014/chart" uri="{C3380CC4-5D6E-409C-BE32-E72D297353CC}">
              <c16:uniqueId val="{00000003-3A96-4A7C-A2A3-24C90423B617}"/>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26.088136125177623</c:v>
                  </c:pt>
                  <c:pt idx="3">
                    <c:v>37.089336431282867</c:v>
                  </c:pt>
                  <c:pt idx="4">
                    <c:v>32.693347609879353</c:v>
                  </c:pt>
                  <c:pt idx="5">
                    <c:v>8.524616471367489</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26.088136125177623</c:v>
                  </c:pt>
                  <c:pt idx="3">
                    <c:v>37.089336431282867</c:v>
                  </c:pt>
                  <c:pt idx="4">
                    <c:v>32.693347609879353</c:v>
                  </c:pt>
                  <c:pt idx="5">
                    <c:v>8.524616471367489</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-19.884636513817608</c:v>
                </c:pt>
                <c:pt idx="3">
                  <c:v>-35.665599347210076</c:v>
                </c:pt>
                <c:pt idx="4">
                  <c:v>23.483638883763479</c:v>
                </c:pt>
                <c:pt idx="5">
                  <c:v>4.5205497785659619</c:v>
                </c:pt>
                <c:pt idx="6">
                  <c:v>40.33798242259396</c:v>
                </c:pt>
                <c:pt idx="7">
                  <c:v>-11.670314491628062</c:v>
                </c:pt>
                <c:pt idx="8">
                  <c:v>11.771005062720553</c:v>
                </c:pt>
              </c:numCache>
            </c:numRef>
          </c:val>
          <c:extLst>
            <c:ext xmlns:c16="http://schemas.microsoft.com/office/drawing/2014/chart" uri="{C3380CC4-5D6E-409C-BE32-E72D297353CC}">
              <c16:uniqueId val="{00000000-3F28-4018-8C6C-5F702CD168EC}"/>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14.329828312252118</c:v>
                  </c:pt>
                  <c:pt idx="1">
                    <c:v>25.718886249384958</c:v>
                  </c:pt>
                  <c:pt idx="2">
                    <c:v>14.662887975382729</c:v>
                  </c:pt>
                  <c:pt idx="3">
                    <c:v>16.748059465129984</c:v>
                  </c:pt>
                  <c:pt idx="4">
                    <c:v>79.572745069680082</c:v>
                  </c:pt>
                  <c:pt idx="5">
                    <c:v>50.231638115024019</c:v>
                  </c:pt>
                  <c:pt idx="6">
                    <c:v>81.282697537177938</c:v>
                  </c:pt>
                  <c:pt idx="7">
                    <c:v>30.446881433359223</c:v>
                  </c:pt>
                  <c:pt idx="8">
                    <c:v>47.006766999608594</c:v>
                  </c:pt>
                </c:numCache>
              </c:numRef>
            </c:plus>
            <c:minus>
              <c:numRef>
                <c:f>Ischemia!$I$35:$Q$35</c:f>
                <c:numCache>
                  <c:formatCode>General</c:formatCode>
                  <c:ptCount val="9"/>
                  <c:pt idx="0">
                    <c:v>14.329828312252118</c:v>
                  </c:pt>
                  <c:pt idx="1">
                    <c:v>25.718886249384958</c:v>
                  </c:pt>
                  <c:pt idx="2">
                    <c:v>14.662887975382729</c:v>
                  </c:pt>
                  <c:pt idx="3">
                    <c:v>16.748059465129984</c:v>
                  </c:pt>
                  <c:pt idx="4">
                    <c:v>79.572745069680082</c:v>
                  </c:pt>
                  <c:pt idx="5">
                    <c:v>50.231638115024019</c:v>
                  </c:pt>
                  <c:pt idx="6">
                    <c:v>81.282697537177938</c:v>
                  </c:pt>
                  <c:pt idx="7">
                    <c:v>30.446881433359223</c:v>
                  </c:pt>
                  <c:pt idx="8">
                    <c:v>47.006766999608594</c:v>
                  </c:pt>
                </c:numCache>
              </c:numRef>
            </c:minus>
            <c:spPr>
              <a:noFill/>
              <a:ln w="9525" cap="flat" cmpd="sng" algn="ctr">
                <a:solidFill>
                  <a:schemeClr val="lt1">
                    <a:lumMod val="95000"/>
                  </a:schemeClr>
                </a:solidFill>
                <a:round/>
              </a:ln>
              <a:effectLst/>
            </c:spPr>
          </c:errBars>
          <c:val>
            <c:numRef>
              <c:f>Ischemia!$I$32:$Q$32</c:f>
              <c:numCache>
                <c:formatCode>0.000</c:formatCode>
                <c:ptCount val="9"/>
                <c:pt idx="0">
                  <c:v>15.728720953037771</c:v>
                </c:pt>
                <c:pt idx="1">
                  <c:v>-9.9917593795579975</c:v>
                </c:pt>
                <c:pt idx="2">
                  <c:v>3.581496807289271</c:v>
                </c:pt>
                <c:pt idx="3">
                  <c:v>6.9664152824614352</c:v>
                </c:pt>
                <c:pt idx="4">
                  <c:v>98.786476887573627</c:v>
                </c:pt>
                <c:pt idx="5">
                  <c:v>5.2541223991712069</c:v>
                </c:pt>
                <c:pt idx="6">
                  <c:v>132.46498861738144</c:v>
                </c:pt>
                <c:pt idx="7">
                  <c:v>-4.755190039117509</c:v>
                </c:pt>
                <c:pt idx="8">
                  <c:v>56.691126629985106</c:v>
                </c:pt>
              </c:numCache>
            </c:numRef>
          </c:val>
          <c:extLst>
            <c:ext xmlns:c16="http://schemas.microsoft.com/office/drawing/2014/chart" uri="{C3380CC4-5D6E-409C-BE32-E72D297353CC}">
              <c16:uniqueId val="{00000001-3F28-4018-8C6C-5F702CD168EC}"/>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528637</xdr:colOff>
      <xdr:row>48</xdr:row>
      <xdr:rowOff>152399</xdr:rowOff>
    </xdr:from>
    <xdr:to>
      <xdr:col>6</xdr:col>
      <xdr:colOff>476250</xdr:colOff>
      <xdr:row>72</xdr:row>
      <xdr:rowOff>142874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157162</xdr:colOff>
      <xdr:row>50</xdr:row>
      <xdr:rowOff>114299</xdr:rowOff>
    </xdr:from>
    <xdr:to>
      <xdr:col>15</xdr:col>
      <xdr:colOff>533400</xdr:colOff>
      <xdr:row>70</xdr:row>
      <xdr:rowOff>142874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203960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467171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5" name="Straight Arrow Connector 4">
          <a:extLst>
            <a:ext uri="{FF2B5EF4-FFF2-40B4-BE49-F238E27FC236}">
              <a16:creationId xmlns:a16="http://schemas.microsoft.com/office/drawing/2014/main" id="{00000000-0008-0000-0800-000005000000}"/>
            </a:ext>
          </a:extLst>
        </xdr:cNvPr>
        <xdr:cNvCxnSpPr/>
      </xdr:nvCxnSpPr>
      <xdr:spPr>
        <a:xfrm flipV="1">
          <a:off x="8372475" y="2343150"/>
          <a:ext cx="3476625" cy="276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3"/>
        <a:stretch>
          <a:fillRect/>
        </a:stretch>
      </xdr:blipFill>
      <xdr:spPr>
        <a:xfrm>
          <a:off x="11953876" y="2744152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4"/>
        <a:stretch>
          <a:fillRect/>
        </a:stretch>
      </xdr:blipFill>
      <xdr:spPr>
        <a:xfrm>
          <a:off x="15924140" y="2741295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10" name="Straight Arrow Connector 9">
          <a:extLst>
            <a:ext uri="{FF2B5EF4-FFF2-40B4-BE49-F238E27FC236}">
              <a16:creationId xmlns:a16="http://schemas.microsoft.com/office/drawing/2014/main" id="{00000000-0008-0000-0800-00000A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12" name="Picture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5"/>
        <a:stretch>
          <a:fillRect/>
        </a:stretch>
      </xdr:blipFill>
      <xdr:spPr>
        <a:xfrm>
          <a:off x="13058775" y="30899101"/>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13" name="Straight Arrow Connector 12">
          <a:extLst>
            <a:ext uri="{FF2B5EF4-FFF2-40B4-BE49-F238E27FC236}">
              <a16:creationId xmlns:a16="http://schemas.microsoft.com/office/drawing/2014/main" id="{00000000-0008-0000-0800-00000D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6" name="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6"/>
        <a:stretch>
          <a:fillRect/>
        </a:stretch>
      </xdr:blipFill>
      <xdr:spPr>
        <a:xfrm>
          <a:off x="12351091" y="68103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7"/>
        <a:stretch>
          <a:fillRect/>
        </a:stretch>
      </xdr:blipFill>
      <xdr:spPr>
        <a:xfrm>
          <a:off x="15735473" y="68199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20" name="Straight Arrow Connector 19">
          <a:extLst>
            <a:ext uri="{FF2B5EF4-FFF2-40B4-BE49-F238E27FC236}">
              <a16:creationId xmlns:a16="http://schemas.microsoft.com/office/drawing/2014/main" id="{00000000-0008-0000-0800-000014000000}"/>
            </a:ext>
          </a:extLst>
        </xdr:cNvPr>
        <xdr:cNvCxnSpPr/>
      </xdr:nvCxnSpPr>
      <xdr:spPr>
        <a:xfrm flipV="1">
          <a:off x="8620125" y="8448675"/>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53"/>
  <sheetViews>
    <sheetView zoomScaleNormal="100" workbookViewId="0">
      <selection activeCell="A3" sqref="A3"/>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347</v>
      </c>
      <c r="D1" s="3" t="s">
        <v>3</v>
      </c>
      <c r="E1" s="3" t="s">
        <v>4</v>
      </c>
      <c r="F1" s="3" t="s">
        <v>5</v>
      </c>
      <c r="G1" s="3" t="s">
        <v>6</v>
      </c>
      <c r="H1" s="4" t="s">
        <v>7</v>
      </c>
      <c r="I1" s="3" t="s">
        <v>8</v>
      </c>
      <c r="J1" s="3" t="s">
        <v>9</v>
      </c>
      <c r="K1" s="3" t="s">
        <v>10</v>
      </c>
      <c r="L1" s="3" t="s">
        <v>11</v>
      </c>
      <c r="M1" s="3" t="s">
        <v>12</v>
      </c>
      <c r="N1" s="24" t="s">
        <v>13</v>
      </c>
      <c r="O1" s="3" t="s">
        <v>14</v>
      </c>
      <c r="P1" s="3" t="s">
        <v>15</v>
      </c>
      <c r="Q1" s="4" t="s">
        <v>16</v>
      </c>
      <c r="R1" s="5" t="s">
        <v>17</v>
      </c>
      <c r="S1" s="71" t="s">
        <v>346</v>
      </c>
      <c r="T1" s="3" t="s">
        <v>2</v>
      </c>
      <c r="U1" s="3" t="s">
        <v>3</v>
      </c>
      <c r="V1" s="3" t="s">
        <v>4</v>
      </c>
      <c r="W1" s="3" t="s">
        <v>5</v>
      </c>
      <c r="X1" s="3" t="s">
        <v>6</v>
      </c>
      <c r="Y1" s="4" t="s">
        <v>7</v>
      </c>
      <c r="Z1" s="3" t="s">
        <v>8</v>
      </c>
      <c r="AA1" s="3" t="s">
        <v>9</v>
      </c>
      <c r="AB1" s="3" t="s">
        <v>10</v>
      </c>
      <c r="AC1" s="3" t="s">
        <v>11</v>
      </c>
      <c r="AD1" s="3" t="s">
        <v>12</v>
      </c>
      <c r="AE1" s="24" t="s">
        <v>13</v>
      </c>
      <c r="AF1" s="3" t="s">
        <v>14</v>
      </c>
      <c r="AG1" s="3" t="s">
        <v>15</v>
      </c>
      <c r="AH1" s="4" t="s">
        <v>16</v>
      </c>
      <c r="AI1" s="71"/>
    </row>
    <row r="2" spans="1:35" ht="15.75" thickTop="1" x14ac:dyDescent="0.25">
      <c r="A2" s="60" t="s">
        <v>18</v>
      </c>
      <c r="B2" s="6"/>
      <c r="C2" s="96">
        <v>2.0575269246599999</v>
      </c>
      <c r="D2" s="96">
        <v>1.6097427023699999</v>
      </c>
      <c r="E2" s="96">
        <v>0.75908711984999988</v>
      </c>
      <c r="F2" s="96">
        <v>0.88610786387999996</v>
      </c>
      <c r="G2" s="96">
        <v>21.763000000000002</v>
      </c>
      <c r="H2" s="104">
        <v>-16.732399999999998</v>
      </c>
      <c r="I2" s="96">
        <v>2.659344338505</v>
      </c>
      <c r="J2" s="96">
        <v>0.60179251757999996</v>
      </c>
      <c r="K2" s="96">
        <v>0.49057592257199995</v>
      </c>
      <c r="L2" s="96">
        <v>0.44534936757300003</v>
      </c>
      <c r="M2" s="96">
        <v>0.28123816794599998</v>
      </c>
      <c r="N2" s="99">
        <v>0.392604140544</v>
      </c>
      <c r="O2" s="96">
        <v>0.391588372932</v>
      </c>
      <c r="P2" s="96">
        <v>0.49451949094800002</v>
      </c>
      <c r="Q2" s="100">
        <v>0.75909707835600004</v>
      </c>
      <c r="S2">
        <v>49.792532381368119</v>
      </c>
      <c r="T2" s="96">
        <v>41.322000000000003</v>
      </c>
      <c r="U2" s="96">
        <v>32.329000000000001</v>
      </c>
      <c r="V2" s="96">
        <v>15.244999999999999</v>
      </c>
      <c r="W2" s="96">
        <v>17.795999999999999</v>
      </c>
      <c r="X2" s="96">
        <v>21.763000000000002</v>
      </c>
      <c r="Y2" s="104">
        <v>-16.732399999999998</v>
      </c>
      <c r="Z2" s="96">
        <v>53.408499999999997</v>
      </c>
      <c r="AA2" s="96">
        <v>12.086</v>
      </c>
      <c r="AB2" s="96">
        <v>9.8523999999999994</v>
      </c>
      <c r="AC2" s="96">
        <v>8.9441000000000006</v>
      </c>
      <c r="AD2" s="96">
        <v>5.6482000000000001</v>
      </c>
      <c r="AE2" s="103">
        <v>7.8848000000000003</v>
      </c>
      <c r="AF2" s="96">
        <v>7.8643999999999998</v>
      </c>
      <c r="AG2" s="96">
        <v>9.9315999999999995</v>
      </c>
      <c r="AH2" s="104">
        <v>15.245200000000001</v>
      </c>
    </row>
    <row r="3" spans="1:35" x14ac:dyDescent="0.25">
      <c r="A3" s="25" t="s">
        <v>19</v>
      </c>
      <c r="B3" s="6"/>
      <c r="C3" s="96">
        <v>3.6069090671699997</v>
      </c>
      <c r="D3" s="96">
        <v>2.9400002881200002</v>
      </c>
      <c r="E3" s="96">
        <v>2.3787139260600001</v>
      </c>
      <c r="F3" s="96">
        <v>2.4542118587699999</v>
      </c>
      <c r="G3" s="96">
        <v>18.489000000000001</v>
      </c>
      <c r="H3" s="104">
        <v>-3.1753999999999998</v>
      </c>
      <c r="I3" s="96">
        <v>5.7072267003870003</v>
      </c>
      <c r="J3" s="96">
        <v>2.1003363054179998</v>
      </c>
      <c r="K3" s="96">
        <v>0.437639047038</v>
      </c>
      <c r="L3" s="96">
        <v>0.526643205138</v>
      </c>
      <c r="M3" s="96">
        <v>1.63369310616</v>
      </c>
      <c r="N3" s="103">
        <v>0.34203737791799999</v>
      </c>
      <c r="O3" s="96">
        <v>2.075894394309</v>
      </c>
      <c r="P3" s="96">
        <v>0.37832368852800002</v>
      </c>
      <c r="Q3" s="104">
        <v>2.378682805725</v>
      </c>
      <c r="S3">
        <v>62.240666855968534</v>
      </c>
      <c r="T3" s="96">
        <v>57.950999999999993</v>
      </c>
      <c r="U3" s="96">
        <v>47.236000000000004</v>
      </c>
      <c r="V3" s="96">
        <v>38.218000000000004</v>
      </c>
      <c r="W3" s="96">
        <v>39.430999999999997</v>
      </c>
      <c r="X3" s="96">
        <v>18.489000000000001</v>
      </c>
      <c r="Y3" s="104">
        <v>-3.1753999999999998</v>
      </c>
      <c r="Z3" s="96">
        <v>91.696100000000001</v>
      </c>
      <c r="AA3" s="96">
        <v>33.745399999999997</v>
      </c>
      <c r="AB3" s="96">
        <v>7.0313999999999997</v>
      </c>
      <c r="AC3" s="96">
        <v>8.4613999999999994</v>
      </c>
      <c r="AD3" s="96">
        <v>26.248000000000001</v>
      </c>
      <c r="AE3" s="103">
        <v>5.4954000000000001</v>
      </c>
      <c r="AF3" s="96">
        <v>33.352699999999999</v>
      </c>
      <c r="AG3" s="96">
        <v>6.0784000000000002</v>
      </c>
      <c r="AH3" s="104">
        <v>38.217500000000001</v>
      </c>
    </row>
    <row r="4" spans="1:35" ht="15.75" thickBot="1" x14ac:dyDescent="0.3">
      <c r="A4" s="27" t="s">
        <v>20</v>
      </c>
      <c r="B4" s="12"/>
      <c r="C4" s="96">
        <v>75.303128427640402</v>
      </c>
      <c r="D4" s="96">
        <v>82.637901311276778</v>
      </c>
      <c r="E4" s="96">
        <v>213.36507547777234</v>
      </c>
      <c r="F4" s="96">
        <v>176.96536266180328</v>
      </c>
      <c r="G4" s="105"/>
      <c r="H4" s="106"/>
      <c r="I4" s="96">
        <v>114.61029388903523</v>
      </c>
      <c r="J4" s="96">
        <v>249.01336325418657</v>
      </c>
      <c r="K4" s="96">
        <v>-10.790761041932425</v>
      </c>
      <c r="L4" s="96">
        <v>18.25394700974277</v>
      </c>
      <c r="M4" s="96">
        <v>480.89309786489662</v>
      </c>
      <c r="N4" s="103">
        <v>-12.879834266631452</v>
      </c>
      <c r="O4" s="96">
        <v>430.12156075162187</v>
      </c>
      <c r="P4" s="96">
        <v>-23.49670832938277</v>
      </c>
      <c r="Q4" s="106">
        <v>213.35686482637857</v>
      </c>
      <c r="T4" s="105">
        <f>(T3-T2)/T2*100</f>
        <v>40.242485842892378</v>
      </c>
      <c r="U4" s="105">
        <f>(U3-U2)/U2*100</f>
        <v>46.110303442729453</v>
      </c>
      <c r="V4" s="105">
        <f>(V3-V2)/V2*100</f>
        <v>150.69203017382753</v>
      </c>
      <c r="W4" s="105">
        <f>(W3-W2)/W2*100</f>
        <v>121.57226342998426</v>
      </c>
      <c r="X4" s="105"/>
      <c r="Y4" s="106"/>
      <c r="Z4" s="105">
        <f t="shared" ref="Z4:AH4" si="0">(Z3-Z2)/Z2*100</f>
        <v>71.688214422797884</v>
      </c>
      <c r="AA4" s="105">
        <f t="shared" si="0"/>
        <v>179.21065695846431</v>
      </c>
      <c r="AB4" s="105">
        <f t="shared" si="0"/>
        <v>-28.632617433315737</v>
      </c>
      <c r="AC4" s="105">
        <f t="shared" si="0"/>
        <v>-5.3968537918851665</v>
      </c>
      <c r="AD4" s="105">
        <f t="shared" si="0"/>
        <v>364.71442229382814</v>
      </c>
      <c r="AE4" s="114">
        <f t="shared" si="0"/>
        <v>-30.303875811688314</v>
      </c>
      <c r="AF4" s="105">
        <f t="shared" si="0"/>
        <v>324.09719749758403</v>
      </c>
      <c r="AG4" s="105">
        <f t="shared" si="0"/>
        <v>-38.797374038422802</v>
      </c>
      <c r="AH4" s="106">
        <f t="shared" si="0"/>
        <v>150.68546165350403</v>
      </c>
    </row>
    <row r="5" spans="1:35" x14ac:dyDescent="0.25">
      <c r="A5" s="8" t="s">
        <v>21</v>
      </c>
      <c r="B5" s="6"/>
      <c r="C5" s="109">
        <v>1.7774365023699492</v>
      </c>
      <c r="D5" s="110">
        <v>1.524506941603855</v>
      </c>
      <c r="E5" s="110">
        <v>1.2831548448621362</v>
      </c>
      <c r="F5" s="110">
        <v>1.1387323191858063</v>
      </c>
      <c r="G5" s="96">
        <v>14.228199999999999</v>
      </c>
      <c r="H5" s="104">
        <v>11.256500000000001</v>
      </c>
      <c r="I5" s="110">
        <v>3.3707913267523337</v>
      </c>
      <c r="J5" s="110">
        <v>1.5933970779007212</v>
      </c>
      <c r="K5" s="110">
        <v>0.19709576163540307</v>
      </c>
      <c r="L5" s="110">
        <v>0.191712663399252</v>
      </c>
      <c r="M5" s="110">
        <v>0.6055605234004936</v>
      </c>
      <c r="N5" s="112">
        <v>0.53013799316870647</v>
      </c>
      <c r="O5" s="110">
        <v>0.6343351693880831</v>
      </c>
      <c r="P5" s="110">
        <v>0.50438869909405604</v>
      </c>
      <c r="Q5" s="111">
        <v>1.2831632955658034</v>
      </c>
      <c r="S5">
        <v>84.507036674271347</v>
      </c>
      <c r="T5" s="96">
        <v>21.033000000000001</v>
      </c>
      <c r="U5" s="96">
        <v>18.04</v>
      </c>
      <c r="V5" s="96">
        <v>15.183999999999999</v>
      </c>
      <c r="W5" s="96">
        <v>13.475</v>
      </c>
      <c r="X5" s="96">
        <v>14.228199999999999</v>
      </c>
      <c r="Y5" s="104">
        <v>11.256500000000001</v>
      </c>
      <c r="Z5" s="96">
        <v>39.887700000000002</v>
      </c>
      <c r="AA5" s="96">
        <v>18.8552</v>
      </c>
      <c r="AB5" s="96">
        <v>2.3323</v>
      </c>
      <c r="AC5" s="96">
        <v>2.2686000000000002</v>
      </c>
      <c r="AD5" s="96">
        <v>7.1657999999999999</v>
      </c>
      <c r="AE5" s="103">
        <v>6.2732999999999999</v>
      </c>
      <c r="AF5" s="96">
        <v>7.5063000000000004</v>
      </c>
      <c r="AG5" s="96">
        <v>5.9686000000000003</v>
      </c>
      <c r="AH5" s="104">
        <v>15.184100000000001</v>
      </c>
    </row>
    <row r="6" spans="1:35" x14ac:dyDescent="0.25">
      <c r="A6" s="8" t="s">
        <v>22</v>
      </c>
      <c r="B6" s="6"/>
      <c r="C6" s="107">
        <v>2.1834226473124922</v>
      </c>
      <c r="D6" s="108">
        <v>1.3660792284683279</v>
      </c>
      <c r="E6" s="108">
        <v>1.4740944357453405</v>
      </c>
      <c r="F6" s="108">
        <v>1.278940260249865</v>
      </c>
      <c r="G6" s="96">
        <v>37.4328</v>
      </c>
      <c r="H6" s="104">
        <v>13.2384</v>
      </c>
      <c r="I6" s="108">
        <v>3.2429381711762204</v>
      </c>
      <c r="J6" s="108">
        <v>1.0595155238637277</v>
      </c>
      <c r="K6" s="108">
        <v>0.22174431850375356</v>
      </c>
      <c r="L6" s="108">
        <v>0.19452015638332687</v>
      </c>
      <c r="M6" s="108">
        <v>0.39367174506149483</v>
      </c>
      <c r="N6" s="103">
        <v>0.55617393628132084</v>
      </c>
      <c r="O6" s="108">
        <v>0.8534051888327101</v>
      </c>
      <c r="P6" s="108">
        <v>0.42550414365558648</v>
      </c>
      <c r="Q6" s="104">
        <v>1.4740557760433799</v>
      </c>
      <c r="S6">
        <v>77.319403920552858</v>
      </c>
      <c r="T6" s="96">
        <v>28.239000000000001</v>
      </c>
      <c r="U6" s="96">
        <v>17.667999999999999</v>
      </c>
      <c r="V6" s="96">
        <v>19.065000000000001</v>
      </c>
      <c r="W6" s="96">
        <v>16.541</v>
      </c>
      <c r="X6" s="96">
        <v>37.4328</v>
      </c>
      <c r="Y6" s="104">
        <v>13.2384</v>
      </c>
      <c r="Z6" s="96">
        <v>41.942100000000003</v>
      </c>
      <c r="AA6" s="96">
        <v>13.703099999999999</v>
      </c>
      <c r="AB6" s="96">
        <v>2.8679000000000001</v>
      </c>
      <c r="AC6" s="96">
        <v>2.5158</v>
      </c>
      <c r="AD6" s="96">
        <v>5.0914999999999999</v>
      </c>
      <c r="AE6" s="103">
        <v>7.1932</v>
      </c>
      <c r="AF6" s="96">
        <v>11.0374</v>
      </c>
      <c r="AG6" s="96">
        <v>5.5031999999999996</v>
      </c>
      <c r="AH6" s="104">
        <v>19.064499999999999</v>
      </c>
    </row>
    <row r="7" spans="1:35" ht="15.75" thickBot="1" x14ac:dyDescent="0.3">
      <c r="A7" s="29" t="s">
        <v>20</v>
      </c>
      <c r="B7" s="6"/>
      <c r="C7" s="107">
        <f>(C6-C5)/C5*100</f>
        <v>22.841105401021103</v>
      </c>
      <c r="D7" s="108">
        <f t="shared" ref="D7" si="1">(D6-D5)/D5*100</f>
        <v>-10.39206243094266</v>
      </c>
      <c r="E7" s="108">
        <f t="shared" ref="E7" si="2">(E6-E5)/E5*100</f>
        <v>14.880479284923648</v>
      </c>
      <c r="F7" s="108">
        <f t="shared" ref="F7" si="3">(F6-F5)/F5*100</f>
        <v>12.312633856243524</v>
      </c>
      <c r="G7" s="105"/>
      <c r="H7" s="106"/>
      <c r="I7" s="108">
        <f t="shared" ref="I7" si="4">(I6-I5)/I5*100</f>
        <v>-3.7929715364284022</v>
      </c>
      <c r="J7" s="108">
        <f t="shared" ref="J7" si="5">(J6-J5)/J5*100</f>
        <v>-33.505870033373917</v>
      </c>
      <c r="K7" s="108">
        <f t="shared" ref="K7" si="6">(K6-K5)/K5*100</f>
        <v>12.505878697658929</v>
      </c>
      <c r="L7" s="108">
        <f t="shared" ref="L7" si="7">(L6-L5)/L5*100</f>
        <v>1.4644275105750921</v>
      </c>
      <c r="M7" s="108">
        <f t="shared" ref="M7" si="8">(M6-M5)/M5*100</f>
        <v>-34.990520377574875</v>
      </c>
      <c r="N7" s="103">
        <f t="shared" ref="N7" si="9">(N6-N5)/N5*100</f>
        <v>4.9111634042665031</v>
      </c>
      <c r="O7" s="108">
        <f t="shared" ref="O7" si="10">(O6-O5)/O5*100</f>
        <v>34.535373414019404</v>
      </c>
      <c r="P7" s="108">
        <f t="shared" ref="P7" si="11">(P6-P5)/P5*100</f>
        <v>-15.639635776962468</v>
      </c>
      <c r="Q7" s="104">
        <f t="shared" ref="Q7" si="12">(Q6-Q5)/Q5*100</f>
        <v>14.876709857368816</v>
      </c>
      <c r="T7" s="105">
        <f>(T6-T5)/T5*100</f>
        <v>34.260447867636564</v>
      </c>
      <c r="U7" s="105">
        <f>(U6-U5)/U5*100</f>
        <v>-2.0620842572062079</v>
      </c>
      <c r="V7" s="105">
        <f>(V6-V5)/V5*100</f>
        <v>25.559799789251858</v>
      </c>
      <c r="W7" s="105">
        <f>(W6-W5)/W5*100</f>
        <v>22.75324675324676</v>
      </c>
      <c r="X7" s="105"/>
      <c r="Y7" s="106"/>
      <c r="Z7" s="105">
        <f t="shared" ref="Z7:AH7" si="13">(Z6-Z5)/Z5*100</f>
        <v>5.1504599162147748</v>
      </c>
      <c r="AA7" s="105">
        <f t="shared" si="13"/>
        <v>-27.324557681700547</v>
      </c>
      <c r="AB7" s="105">
        <f t="shared" si="13"/>
        <v>22.964455687518761</v>
      </c>
      <c r="AC7" s="105">
        <f t="shared" si="13"/>
        <v>10.896588204178782</v>
      </c>
      <c r="AD7" s="105">
        <f t="shared" si="13"/>
        <v>-28.947221524463423</v>
      </c>
      <c r="AE7" s="114">
        <f t="shared" si="13"/>
        <v>14.66373360113497</v>
      </c>
      <c r="AF7" s="105">
        <f t="shared" si="13"/>
        <v>47.041818206040247</v>
      </c>
      <c r="AG7" s="105">
        <f t="shared" si="13"/>
        <v>-7.7974734443588227</v>
      </c>
      <c r="AH7" s="106">
        <f t="shared" si="13"/>
        <v>25.555679954689431</v>
      </c>
    </row>
    <row r="8" spans="1:35" x14ac:dyDescent="0.25">
      <c r="A8" s="8" t="s">
        <v>23</v>
      </c>
      <c r="B8" s="16"/>
      <c r="C8" s="109">
        <v>0.97197963611537808</v>
      </c>
      <c r="D8" s="110">
        <v>1.1585136043693463</v>
      </c>
      <c r="E8" s="110">
        <v>0.58350899334357409</v>
      </c>
      <c r="F8" s="110">
        <v>0.43204457279399217</v>
      </c>
      <c r="G8" s="96">
        <v>-19.19113952</v>
      </c>
      <c r="H8" s="104">
        <v>25.957512600000001</v>
      </c>
      <c r="I8" s="110">
        <v>1.4761358593616658</v>
      </c>
      <c r="J8" s="110">
        <v>0.50415429254138933</v>
      </c>
      <c r="K8" s="110">
        <v>0.20186379928315409</v>
      </c>
      <c r="L8" s="110">
        <v>0.26811401263014162</v>
      </c>
      <c r="M8" s="110">
        <v>0.14216760539341183</v>
      </c>
      <c r="N8" s="112">
        <v>0.54636627410820959</v>
      </c>
      <c r="O8" s="110">
        <v>0.25082778631165725</v>
      </c>
      <c r="P8" s="110">
        <v>0.18121863799283153</v>
      </c>
      <c r="Q8" s="111">
        <v>0.58350571769926618</v>
      </c>
      <c r="S8">
        <v>68.271036012971493</v>
      </c>
      <c r="T8" s="96">
        <v>14.237071720000001</v>
      </c>
      <c r="U8" s="96">
        <v>16.969328019999999</v>
      </c>
      <c r="V8" s="96">
        <v>8.5469479800000006</v>
      </c>
      <c r="W8" s="96">
        <v>6.3283728800000008</v>
      </c>
      <c r="X8" s="96">
        <v>-19.19113952</v>
      </c>
      <c r="Y8" s="104">
        <v>25.957512600000001</v>
      </c>
      <c r="Z8" s="96">
        <v>21.621700000000001</v>
      </c>
      <c r="AA8" s="96">
        <v>7.3845999999999998</v>
      </c>
      <c r="AB8" s="96">
        <v>2.9567999999999999</v>
      </c>
      <c r="AC8" s="96">
        <v>3.9272</v>
      </c>
      <c r="AD8" s="96">
        <v>2.0823999999999998</v>
      </c>
      <c r="AE8" s="103">
        <v>8.0029000000000003</v>
      </c>
      <c r="AF8" s="96">
        <v>3.6739999999999999</v>
      </c>
      <c r="AG8" s="96">
        <v>2.6543999999999999</v>
      </c>
      <c r="AH8" s="104">
        <v>8.5469000000000008</v>
      </c>
    </row>
    <row r="9" spans="1:35" x14ac:dyDescent="0.25">
      <c r="A9" s="8" t="s">
        <v>24</v>
      </c>
      <c r="B9" s="6"/>
      <c r="C9" s="107">
        <v>1.216634639791818</v>
      </c>
      <c r="D9" s="108">
        <v>1.3285036744864489</v>
      </c>
      <c r="E9" s="108">
        <v>0.85176942592057059</v>
      </c>
      <c r="F9" s="108">
        <v>0.80106391546864242</v>
      </c>
      <c r="G9" s="96">
        <v>-9.1949572259999997</v>
      </c>
      <c r="H9" s="104">
        <v>5.9529619790000003</v>
      </c>
      <c r="I9" s="108">
        <v>2.0106540926798337</v>
      </c>
      <c r="J9" s="108">
        <v>0.79401864699302172</v>
      </c>
      <c r="K9" s="108">
        <v>0.22357295653009543</v>
      </c>
      <c r="L9" s="108">
        <v>0.21436375503438648</v>
      </c>
      <c r="M9" s="108">
        <v>0.26386051717174486</v>
      </c>
      <c r="N9" s="103">
        <v>0.62670736954600048</v>
      </c>
      <c r="O9" s="108">
        <v>0.69213511569154851</v>
      </c>
      <c r="P9" s="108">
        <v>0.10892882206321766</v>
      </c>
      <c r="Q9" s="104">
        <v>0.85176846402270945</v>
      </c>
      <c r="S9">
        <v>71.890722058617783</v>
      </c>
      <c r="T9" s="96">
        <v>16.923388790000001</v>
      </c>
      <c r="U9" s="96">
        <v>18.479487150000001</v>
      </c>
      <c r="V9" s="96">
        <v>11.848113380000001</v>
      </c>
      <c r="W9" s="96">
        <v>11.14279969</v>
      </c>
      <c r="X9" s="96">
        <v>-9.1949572259999997</v>
      </c>
      <c r="Y9" s="104">
        <v>5.9529619790000003</v>
      </c>
      <c r="Z9" s="96">
        <v>27.9682</v>
      </c>
      <c r="AA9" s="96">
        <v>11.0448</v>
      </c>
      <c r="AB9" s="96">
        <v>3.1099000000000001</v>
      </c>
      <c r="AC9" s="96">
        <v>2.9817999999999998</v>
      </c>
      <c r="AD9" s="96">
        <v>3.6703000000000001</v>
      </c>
      <c r="AE9" s="103">
        <v>8.7174999999999994</v>
      </c>
      <c r="AF9" s="96">
        <v>9.6275999999999993</v>
      </c>
      <c r="AG9" s="96">
        <v>1.5152000000000001</v>
      </c>
      <c r="AH9" s="104">
        <v>11.848100000000001</v>
      </c>
    </row>
    <row r="10" spans="1:35" ht="15.75" thickBot="1" x14ac:dyDescent="0.3">
      <c r="A10" s="29" t="s">
        <v>20</v>
      </c>
      <c r="B10" s="12"/>
      <c r="C10" s="113">
        <f>(C9-C8)/C8*100</f>
        <v>25.170795208655822</v>
      </c>
      <c r="D10" s="105">
        <f t="shared" ref="D10" si="14">(D9-D8)/D8*100</f>
        <v>14.673118164170306</v>
      </c>
      <c r="E10" s="105">
        <f t="shared" ref="E10" si="15">(E9-E8)/E8*100</f>
        <v>45.973658613183176</v>
      </c>
      <c r="F10" s="105">
        <f t="shared" ref="F10" si="16">(F9-F8)/F8*100</f>
        <v>85.412331484280983</v>
      </c>
      <c r="G10" s="105"/>
      <c r="H10" s="106"/>
      <c r="I10" s="105">
        <f t="shared" ref="I10" si="17">(I9-I8)/I8*100</f>
        <v>36.210639415623497</v>
      </c>
      <c r="J10" s="105">
        <f t="shared" ref="J10" si="18">(J9-J8)/J8*100</f>
        <v>57.495167400133859</v>
      </c>
      <c r="K10" s="105">
        <f t="shared" ref="K10" si="19">(K9-K8)/K8*100</f>
        <v>10.754358792430102</v>
      </c>
      <c r="L10" s="105">
        <f t="shared" ref="L10" si="20">(L9-L8)/L8*100</f>
        <v>-20.047537638363806</v>
      </c>
      <c r="M10" s="105">
        <f t="shared" ref="M10" si="21">(M9-M8)/M8*100</f>
        <v>85.598200406892673</v>
      </c>
      <c r="N10" s="114">
        <f t="shared" ref="N10" si="22">(N9-N8)/N8*100</f>
        <v>14.704622017331742</v>
      </c>
      <c r="O10" s="105">
        <f t="shared" ref="O10" si="23">(O9-O8)/O8*100</f>
        <v>175.9403676399553</v>
      </c>
      <c r="P10" s="105">
        <f t="shared" ref="P10" si="24">(P9-P8)/P8*100</f>
        <v>-39.890938774450689</v>
      </c>
      <c r="Q10" s="106">
        <f t="shared" ref="Q10" si="25">(Q9-Q8)/Q8*100</f>
        <v>45.974313222017742</v>
      </c>
      <c r="T10" s="105">
        <f>(T9-T8)/T8*100</f>
        <v>18.868466232605304</v>
      </c>
      <c r="U10" s="105">
        <f>(U9-U8)/U8*100</f>
        <v>8.8993455027808555</v>
      </c>
      <c r="V10" s="105">
        <f>(V9-V8)/V8*100</f>
        <v>38.623908882150474</v>
      </c>
      <c r="W10" s="105">
        <f>(W9-W8)/W8*100</f>
        <v>76.076851053062455</v>
      </c>
      <c r="X10" s="105"/>
      <c r="Y10" s="106"/>
      <c r="Z10" s="105">
        <f t="shared" ref="Z10:AH10" si="26">(Z9-Z8)/Z8*100</f>
        <v>29.352456097346639</v>
      </c>
      <c r="AA10" s="105">
        <f t="shared" si="26"/>
        <v>49.565311594399162</v>
      </c>
      <c r="AB10" s="105">
        <f t="shared" si="26"/>
        <v>5.1778950216450301</v>
      </c>
      <c r="AC10" s="105">
        <f t="shared" si="26"/>
        <v>-24.073130983907117</v>
      </c>
      <c r="AD10" s="105">
        <f t="shared" si="26"/>
        <v>76.253361505954686</v>
      </c>
      <c r="AE10" s="114">
        <f t="shared" si="26"/>
        <v>8.9292631421109707</v>
      </c>
      <c r="AF10" s="105">
        <f t="shared" si="26"/>
        <v>162.04681545998912</v>
      </c>
      <c r="AG10" s="105">
        <f t="shared" si="26"/>
        <v>-42.917420132610005</v>
      </c>
      <c r="AH10" s="106">
        <f t="shared" si="26"/>
        <v>38.624530531537744</v>
      </c>
    </row>
    <row r="11" spans="1:35" x14ac:dyDescent="0.25">
      <c r="A11" s="8" t="s">
        <v>25</v>
      </c>
      <c r="B11" s="6"/>
      <c r="C11" s="107">
        <v>1.4414739618365875</v>
      </c>
      <c r="D11" s="108">
        <v>1.5878011382457753</v>
      </c>
      <c r="E11" s="108">
        <v>0.63019320112653121</v>
      </c>
      <c r="F11" s="108">
        <v>0.63463774094050029</v>
      </c>
      <c r="G11" s="96">
        <v>-10.151218829999999</v>
      </c>
      <c r="H11" s="104">
        <v>-0.70526627099999994</v>
      </c>
      <c r="I11" s="108">
        <v>2.7184172601774876</v>
      </c>
      <c r="J11" s="108">
        <v>1.2769412459343707</v>
      </c>
      <c r="K11" s="108">
        <v>0.49647061524258762</v>
      </c>
      <c r="L11" s="108">
        <v>0.31336365341017219</v>
      </c>
      <c r="M11" s="108">
        <v>0.40442248189305441</v>
      </c>
      <c r="N11" s="103">
        <v>0.37354547486579565</v>
      </c>
      <c r="O11" s="108">
        <v>0.41787702807950794</v>
      </c>
      <c r="P11" s="108">
        <v>0.21675937008017063</v>
      </c>
      <c r="Q11" s="104">
        <v>0.63019254765055976</v>
      </c>
      <c r="S11">
        <v>53.475938737891809</v>
      </c>
      <c r="T11" s="96">
        <v>26.955561619999997</v>
      </c>
      <c r="U11" s="96">
        <v>29.691879669999999</v>
      </c>
      <c r="V11" s="96">
        <v>11.78461222</v>
      </c>
      <c r="W11" s="96">
        <v>11.86772511</v>
      </c>
      <c r="X11" s="96">
        <v>-10.151218829999999</v>
      </c>
      <c r="Y11" s="104">
        <v>-0.70526627099999994</v>
      </c>
      <c r="Z11" s="96">
        <v>50.834400000000002</v>
      </c>
      <c r="AA11" s="96">
        <v>23.878799999999998</v>
      </c>
      <c r="AB11" s="96">
        <v>9.2840000000000007</v>
      </c>
      <c r="AC11" s="96">
        <v>5.8598999999999997</v>
      </c>
      <c r="AD11" s="96">
        <v>7.5627000000000004</v>
      </c>
      <c r="AE11" s="103">
        <v>6.9852999999999996</v>
      </c>
      <c r="AF11" s="96">
        <v>7.8143000000000002</v>
      </c>
      <c r="AG11" s="96">
        <v>4.0533999999999999</v>
      </c>
      <c r="AH11" s="104">
        <v>11.784599999999999</v>
      </c>
    </row>
    <row r="12" spans="1:35" x14ac:dyDescent="0.25">
      <c r="A12" s="8" t="s">
        <v>26</v>
      </c>
      <c r="B12" s="6"/>
      <c r="C12" s="107">
        <v>2.3532045875764211</v>
      </c>
      <c r="D12" s="108">
        <v>2.3289594254850043</v>
      </c>
      <c r="E12" s="108">
        <v>1.4300217176391707</v>
      </c>
      <c r="F12" s="108">
        <v>1.3354797931723534</v>
      </c>
      <c r="G12" s="96">
        <v>1.030304042</v>
      </c>
      <c r="H12" s="104">
        <v>6.6112229720000002</v>
      </c>
      <c r="I12" s="108">
        <v>3.3870383960250674</v>
      </c>
      <c r="J12" s="108">
        <v>1.0338373846624487</v>
      </c>
      <c r="K12" s="108">
        <v>0.62633691993483753</v>
      </c>
      <c r="L12" s="108">
        <v>0.34442019199485219</v>
      </c>
      <c r="M12" s="108">
        <v>0.89257277690986381</v>
      </c>
      <c r="N12" s="103">
        <v>0.46563326508917319</v>
      </c>
      <c r="O12" s="108">
        <v>1.1254191418605271</v>
      </c>
      <c r="P12" s="108">
        <v>0.21005944893332451</v>
      </c>
      <c r="Q12" s="104">
        <v>1.4300216956371903</v>
      </c>
      <c r="S12">
        <v>59.464812153807358</v>
      </c>
      <c r="T12" s="96">
        <v>39.573060139999995</v>
      </c>
      <c r="U12" s="96">
        <v>39.165337299999997</v>
      </c>
      <c r="V12" s="96">
        <v>24.04820037</v>
      </c>
      <c r="W12" s="96">
        <v>22.458320220000001</v>
      </c>
      <c r="X12" s="96">
        <v>1.030304042</v>
      </c>
      <c r="Y12" s="104">
        <v>6.6112229720000002</v>
      </c>
      <c r="Z12" s="96">
        <v>56.9587</v>
      </c>
      <c r="AA12" s="96">
        <v>17.3857</v>
      </c>
      <c r="AB12" s="96">
        <v>10.5329</v>
      </c>
      <c r="AC12" s="96">
        <v>5.7919999999999998</v>
      </c>
      <c r="AD12" s="96">
        <v>15.0101</v>
      </c>
      <c r="AE12" s="103">
        <v>7.8304</v>
      </c>
      <c r="AF12" s="96">
        <v>18.925799999999999</v>
      </c>
      <c r="AG12" s="96">
        <v>3.5325000000000002</v>
      </c>
      <c r="AH12" s="104">
        <v>24.048200000000001</v>
      </c>
    </row>
    <row r="13" spans="1:35" ht="15.75" thickBot="1" x14ac:dyDescent="0.3">
      <c r="A13" s="29" t="s">
        <v>20</v>
      </c>
      <c r="B13" s="12"/>
      <c r="C13" s="113">
        <f>(C12-C11)/C11*100</f>
        <v>63.249885178515065</v>
      </c>
      <c r="D13" s="105">
        <f t="shared" ref="D13" si="27">(D12-D11)/D11*100</f>
        <v>46.678281642880734</v>
      </c>
      <c r="E13" s="105">
        <f t="shared" ref="E13" si="28">(E12-E11)/E11*100</f>
        <v>126.91798564041451</v>
      </c>
      <c r="F13" s="105">
        <f t="shared" ref="F13" si="29">(F12-F11)/F11*100</f>
        <v>110.43182701256333</v>
      </c>
      <c r="G13" s="105"/>
      <c r="H13" s="106"/>
      <c r="I13" s="105">
        <f t="shared" ref="I13" si="30">(I12-I11)/I11*100</f>
        <v>24.595971547205558</v>
      </c>
      <c r="J13" s="105">
        <f t="shared" ref="J13" si="31">(J12-J11)/J11*100</f>
        <v>-19.037983309407217</v>
      </c>
      <c r="K13" s="105">
        <f t="shared" ref="K13" si="32">(K12-K11)/K11*100</f>
        <v>26.157903550604715</v>
      </c>
      <c r="L13" s="105">
        <f t="shared" ref="L13" si="33">(L12-L11)/L11*100</f>
        <v>9.9107022294091802</v>
      </c>
      <c r="M13" s="105">
        <f t="shared" ref="M13" si="34">(M12-M11)/M11*100</f>
        <v>120.70305605460776</v>
      </c>
      <c r="N13" s="114">
        <f t="shared" ref="N13" si="35">(N12-N11)/N11*100</f>
        <v>24.65236401443816</v>
      </c>
      <c r="O13" s="105">
        <f t="shared" ref="O13" si="36">(O12-O11)/O11*100</f>
        <v>169.31826021467677</v>
      </c>
      <c r="P13" s="105">
        <f t="shared" ref="P13" si="37">(P12-P11)/P11*100</f>
        <v>-3.0909487992920828</v>
      </c>
      <c r="Q13" s="106">
        <f t="shared" ref="Q13" si="38">(Q12-Q11)/Q11*100</f>
        <v>126.91821745092007</v>
      </c>
      <c r="T13" s="105">
        <f>(T12-T11)/T11*100</f>
        <v>46.808516542420307</v>
      </c>
      <c r="U13" s="105">
        <f>(U12-U11)/U11*100</f>
        <v>31.905887182924847</v>
      </c>
      <c r="V13" s="105">
        <f>(V12-V11)/V11*100</f>
        <v>104.06441825202459</v>
      </c>
      <c r="W13" s="105">
        <f>(W12-W11)/W11*100</f>
        <v>89.238628396238624</v>
      </c>
      <c r="X13" s="105"/>
      <c r="Y13" s="106"/>
      <c r="Z13" s="105">
        <f t="shared" ref="Z13:AH13" si="39">(Z12-Z11)/Z11*100</f>
        <v>12.047550477629319</v>
      </c>
      <c r="AA13" s="105">
        <f t="shared" si="39"/>
        <v>-27.191902440658655</v>
      </c>
      <c r="AB13" s="105">
        <f t="shared" si="39"/>
        <v>13.452175786298998</v>
      </c>
      <c r="AC13" s="105">
        <f t="shared" si="39"/>
        <v>-1.1587228450997431</v>
      </c>
      <c r="AD13" s="105">
        <f t="shared" si="39"/>
        <v>98.475412220503244</v>
      </c>
      <c r="AE13" s="114">
        <f t="shared" si="39"/>
        <v>12.098263496199166</v>
      </c>
      <c r="AF13" s="105">
        <f t="shared" si="39"/>
        <v>142.19443840139229</v>
      </c>
      <c r="AG13" s="105">
        <f t="shared" si="39"/>
        <v>-12.850939951645527</v>
      </c>
      <c r="AH13" s="106">
        <f t="shared" si="39"/>
        <v>104.0646267162229</v>
      </c>
    </row>
    <row r="14" spans="1:35" x14ac:dyDescent="0.25">
      <c r="A14" s="8" t="s">
        <v>27</v>
      </c>
      <c r="B14" s="196" t="s">
        <v>41</v>
      </c>
      <c r="C14" s="107">
        <v>0.79140950649114628</v>
      </c>
      <c r="D14" s="108">
        <v>1.9357215438238418</v>
      </c>
      <c r="E14" s="108">
        <v>0.97390333649866478</v>
      </c>
      <c r="F14" s="108">
        <v>0.95836323627910558</v>
      </c>
      <c r="G14" s="101">
        <v>-144.59164659999999</v>
      </c>
      <c r="H14" s="104">
        <v>1.59565117</v>
      </c>
      <c r="I14" s="108">
        <v>2.053518113262669</v>
      </c>
      <c r="J14" s="170"/>
      <c r="K14" s="108">
        <v>0.32360002592948922</v>
      </c>
      <c r="L14" s="170"/>
      <c r="M14" s="108">
        <v>0.47508208934952634</v>
      </c>
      <c r="N14" s="103">
        <v>0.72312313486563573</v>
      </c>
      <c r="O14" s="108">
        <v>0.58236927743343558</v>
      </c>
      <c r="P14" s="108">
        <v>0.37598977371712933</v>
      </c>
      <c r="Q14" s="104">
        <v>0.97390264213963473</v>
      </c>
      <c r="S14">
        <v>51.282055391190333</v>
      </c>
      <c r="T14" s="96">
        <v>15.43248414</v>
      </c>
      <c r="U14" s="96">
        <v>37.746567080000005</v>
      </c>
      <c r="V14" s="96">
        <v>18.991113540000001</v>
      </c>
      <c r="W14" s="96">
        <v>18.688081610000001</v>
      </c>
      <c r="X14" s="101">
        <v>-144.59164659999999</v>
      </c>
      <c r="Y14" s="104">
        <v>1.59565117</v>
      </c>
      <c r="Z14" s="96">
        <v>40.043599999999998</v>
      </c>
      <c r="AA14" s="117"/>
      <c r="AB14" s="96">
        <v>6.3102</v>
      </c>
      <c r="AC14" s="117"/>
      <c r="AD14" s="96">
        <v>9.2640999999999991</v>
      </c>
      <c r="AE14" s="103">
        <v>14.100899999999999</v>
      </c>
      <c r="AF14" s="96">
        <v>11.356199999999999</v>
      </c>
      <c r="AG14" s="96">
        <v>7.3318000000000003</v>
      </c>
      <c r="AH14" s="104">
        <v>18.991099999999999</v>
      </c>
    </row>
    <row r="15" spans="1:35" x14ac:dyDescent="0.25">
      <c r="A15" s="8" t="s">
        <v>28</v>
      </c>
      <c r="B15" s="197"/>
      <c r="C15" s="107">
        <v>0.89973183387621092</v>
      </c>
      <c r="D15" s="108">
        <v>2.1982853589685396</v>
      </c>
      <c r="E15" s="108">
        <v>1.5733443653823118</v>
      </c>
      <c r="F15" s="108">
        <v>1.4913602619583568</v>
      </c>
      <c r="G15" s="101">
        <v>-144.326729</v>
      </c>
      <c r="H15" s="104">
        <v>5.2108174800000002</v>
      </c>
      <c r="I15" s="108">
        <v>2.2937353841982002</v>
      </c>
      <c r="J15" s="171"/>
      <c r="K15" s="108">
        <v>0.31198525948804956</v>
      </c>
      <c r="L15" s="171"/>
      <c r="M15" s="108">
        <v>0.92195407984839273</v>
      </c>
      <c r="N15" s="103">
        <v>0.50717075070930906</v>
      </c>
      <c r="O15" s="108">
        <v>1.1389011107467293</v>
      </c>
      <c r="P15" s="108">
        <v>0.35246104359330555</v>
      </c>
      <c r="Q15" s="104">
        <v>1.5733445919470141</v>
      </c>
      <c r="S15">
        <v>56.641175630081079</v>
      </c>
      <c r="T15" s="96">
        <v>15.88476623</v>
      </c>
      <c r="U15" s="96">
        <v>38.810729730000006</v>
      </c>
      <c r="V15" s="96">
        <v>27.777396</v>
      </c>
      <c r="W15" s="96">
        <v>26.329966589999998</v>
      </c>
      <c r="X15" s="101">
        <v>-144.326729</v>
      </c>
      <c r="Y15" s="104">
        <v>5.2108174800000002</v>
      </c>
      <c r="Z15" s="96">
        <v>40.495899999999999</v>
      </c>
      <c r="AA15" s="117"/>
      <c r="AB15" s="96">
        <v>5.5080999999999998</v>
      </c>
      <c r="AC15" s="117"/>
      <c r="AD15" s="96">
        <v>16.277100000000001</v>
      </c>
      <c r="AE15" s="103">
        <v>8.9541000000000004</v>
      </c>
      <c r="AF15" s="96">
        <v>20.107299999999999</v>
      </c>
      <c r="AG15" s="96">
        <v>6.2226999999999997</v>
      </c>
      <c r="AH15" s="104">
        <v>27.7774</v>
      </c>
    </row>
    <row r="16" spans="1:35" ht="15.75" thickBot="1" x14ac:dyDescent="0.3">
      <c r="A16" s="29" t="s">
        <v>20</v>
      </c>
      <c r="B16" s="198"/>
      <c r="C16" s="107">
        <f>(C15-C14)/C14*100</f>
        <v>13.68726638947399</v>
      </c>
      <c r="D16" s="108">
        <f t="shared" ref="D16" si="40">(D15-D14)/D14*100</f>
        <v>13.564131472444476</v>
      </c>
      <c r="E16" s="108">
        <f t="shared" ref="E16" si="41">(E15-E14)/E14*100</f>
        <v>61.550361973163739</v>
      </c>
      <c r="F16" s="108">
        <f t="shared" ref="F16" si="42">(F15-F14)/F14*100</f>
        <v>55.615345570708605</v>
      </c>
      <c r="G16" s="105"/>
      <c r="H16" s="106"/>
      <c r="I16" s="108">
        <f t="shared" ref="I16" si="43">(I15-I14)/I14*100</f>
        <v>11.697840373751047</v>
      </c>
      <c r="J16" s="172"/>
      <c r="K16" s="108">
        <f t="shared" ref="K16" si="44">(K15-K14)/K14*100</f>
        <v>-3.5892353247123836</v>
      </c>
      <c r="L16" s="172"/>
      <c r="M16" s="108">
        <f t="shared" ref="M16" si="45">(M15-M14)/M14*100</f>
        <v>94.062058014166624</v>
      </c>
      <c r="N16" s="103">
        <f t="shared" ref="N16" si="46">(N15-N14)/N14*100</f>
        <v>-29.863846659594568</v>
      </c>
      <c r="O16" s="108">
        <f t="shared" ref="O16" si="47">(O15-O14)/O14*100</f>
        <v>95.5633916277297</v>
      </c>
      <c r="P16" s="108">
        <f t="shared" ref="P16" si="48">(P15-P14)/P14*100</f>
        <v>-6.2578111875790796</v>
      </c>
      <c r="Q16" s="104">
        <f t="shared" ref="Q16" si="49">(Q15-Q14)/Q14*100</f>
        <v>61.550500416594367</v>
      </c>
      <c r="T16" s="105">
        <f>(T15-T14)/T14*100</f>
        <v>2.930714756593948</v>
      </c>
      <c r="U16" s="105">
        <f>(U15-U14)/U14*100</f>
        <v>2.8192302832324216</v>
      </c>
      <c r="V16" s="105">
        <f>(V15-V14)/V14*100</f>
        <v>46.265230532658904</v>
      </c>
      <c r="W16" s="105">
        <f>(W15-W14)/W14*100</f>
        <v>40.891757321472852</v>
      </c>
      <c r="X16" s="105"/>
      <c r="Y16" s="106"/>
      <c r="Z16" s="105">
        <f>(Z15-Z14)/Z14*100</f>
        <v>1.1295188244813179</v>
      </c>
      <c r="AA16" s="124"/>
      <c r="AB16" s="105">
        <f>(AB15-AB14)/AB14*100</f>
        <v>-12.711166048619699</v>
      </c>
      <c r="AC16" s="124"/>
      <c r="AD16" s="105">
        <f>(AD15-AD14)/AD14*100</f>
        <v>75.700823609417029</v>
      </c>
      <c r="AE16" s="114">
        <f>(AE15-AE14)/AE14*100</f>
        <v>-36.499797885241364</v>
      </c>
      <c r="AF16" s="105">
        <f>(AF15-AF14)/AF14*100</f>
        <v>77.060108134763382</v>
      </c>
      <c r="AG16" s="105">
        <f>(AG15-AG14)/AG14*100</f>
        <v>-15.127253880356811</v>
      </c>
      <c r="AH16" s="106">
        <f>(AH15-AH14)/AH14*100</f>
        <v>46.265355877226703</v>
      </c>
    </row>
    <row r="17" spans="1:34" x14ac:dyDescent="0.25">
      <c r="A17" s="8" t="s">
        <v>29</v>
      </c>
      <c r="B17" s="16"/>
      <c r="C17" s="109">
        <v>2.125020046743316</v>
      </c>
      <c r="D17" s="110">
        <v>1.9961736170016504</v>
      </c>
      <c r="E17" s="110">
        <v>1.0001029930259764</v>
      </c>
      <c r="F17" s="110">
        <v>0.96584654320471219</v>
      </c>
      <c r="G17" s="96">
        <v>6.063304198</v>
      </c>
      <c r="H17" s="104">
        <v>3.4252921889999999</v>
      </c>
      <c r="I17" s="110">
        <v>3.5578552293679495</v>
      </c>
      <c r="J17" s="110">
        <v>1.4328364310522657</v>
      </c>
      <c r="K17" s="110">
        <v>0.48117608486713553</v>
      </c>
      <c r="L17" s="110">
        <v>0.52862891350141139</v>
      </c>
      <c r="M17" s="110">
        <v>0.78462261580769732</v>
      </c>
      <c r="N17" s="112">
        <v>0.20174842106432062</v>
      </c>
      <c r="O17" s="110">
        <v>0.74935846601944234</v>
      </c>
      <c r="P17" s="110">
        <v>0.21649055894619498</v>
      </c>
      <c r="Q17" s="111">
        <v>1.0001005961707088</v>
      </c>
      <c r="S17">
        <v>62.893079700829411</v>
      </c>
      <c r="T17" s="96">
        <v>33.787819849999998</v>
      </c>
      <c r="U17" s="96">
        <v>31.739161550000002</v>
      </c>
      <c r="V17" s="96">
        <v>15.90163811</v>
      </c>
      <c r="W17" s="96">
        <v>15.356960539999999</v>
      </c>
      <c r="X17" s="96">
        <v>6.063304198</v>
      </c>
      <c r="Y17" s="104">
        <v>3.4252921889999999</v>
      </c>
      <c r="Z17" s="96">
        <v>56.569899999999997</v>
      </c>
      <c r="AA17" s="96">
        <v>22.7821</v>
      </c>
      <c r="AB17" s="96">
        <v>7.6506999999999996</v>
      </c>
      <c r="AC17" s="96">
        <v>8.4052000000000007</v>
      </c>
      <c r="AD17" s="96">
        <v>12.4755</v>
      </c>
      <c r="AE17" s="103">
        <v>3.2078000000000002</v>
      </c>
      <c r="AF17" s="96">
        <v>11.9148</v>
      </c>
      <c r="AG17" s="96">
        <v>3.4422000000000001</v>
      </c>
      <c r="AH17" s="104">
        <v>15.9016</v>
      </c>
    </row>
    <row r="18" spans="1:34" x14ac:dyDescent="0.25">
      <c r="A18" s="8" t="s">
        <v>30</v>
      </c>
      <c r="B18" s="6"/>
      <c r="C18" s="107">
        <v>3.3305630053654305</v>
      </c>
      <c r="D18" s="108">
        <v>2.0175662358575122</v>
      </c>
      <c r="E18" s="108">
        <v>1.9395394200493821</v>
      </c>
      <c r="F18" s="108">
        <v>1.6631972125212799</v>
      </c>
      <c r="G18" s="101">
        <v>39.422667199999999</v>
      </c>
      <c r="H18" s="104">
        <v>14.247826290000001</v>
      </c>
      <c r="I18" s="108">
        <v>5.2041646156252055</v>
      </c>
      <c r="J18" s="108">
        <v>1.8736028232735278</v>
      </c>
      <c r="K18" s="108">
        <v>0.47005481548118283</v>
      </c>
      <c r="L18" s="108">
        <v>0.48360276129079088</v>
      </c>
      <c r="M18" s="108">
        <v>0.93730826097443365</v>
      </c>
      <c r="N18" s="103">
        <v>0.1265958960561098</v>
      </c>
      <c r="O18" s="108">
        <v>1.2350206030171145</v>
      </c>
      <c r="P18" s="108">
        <v>0.42817125196967976</v>
      </c>
      <c r="Q18" s="104">
        <v>1.9395411823782274</v>
      </c>
      <c r="S18">
        <v>68.493153739171021</v>
      </c>
      <c r="T18" s="96">
        <v>48.626217709999999</v>
      </c>
      <c r="U18" s="96">
        <v>29.456465729999998</v>
      </c>
      <c r="V18" s="96">
        <v>28.317274270000002</v>
      </c>
      <c r="W18" s="96">
        <v>24.282678220000001</v>
      </c>
      <c r="X18" s="101">
        <v>39.422667199999999</v>
      </c>
      <c r="Y18" s="104">
        <v>14.247826290000001</v>
      </c>
      <c r="Z18" s="96">
        <v>75.980800000000002</v>
      </c>
      <c r="AA18" s="96">
        <v>27.354600000000001</v>
      </c>
      <c r="AB18" s="96">
        <v>6.8628</v>
      </c>
      <c r="AC18" s="96">
        <v>7.0606</v>
      </c>
      <c r="AD18" s="96">
        <v>13.684699999999999</v>
      </c>
      <c r="AE18" s="103">
        <v>1.8483000000000001</v>
      </c>
      <c r="AF18" s="96">
        <v>18.031300000000002</v>
      </c>
      <c r="AG18" s="96">
        <v>6.2512999999999996</v>
      </c>
      <c r="AH18" s="104">
        <v>28.317299999999999</v>
      </c>
    </row>
    <row r="19" spans="1:34" ht="15.75" thickBot="1" x14ac:dyDescent="0.3">
      <c r="A19" s="29" t="s">
        <v>20</v>
      </c>
      <c r="B19" s="12"/>
      <c r="C19" s="113">
        <f>(C18-C17)/C17*100</f>
        <v>56.730898161156674</v>
      </c>
      <c r="D19" s="105">
        <f t="shared" ref="D19" si="50">(D18-D17)/D17*100</f>
        <v>1.0716812742968969</v>
      </c>
      <c r="E19" s="105">
        <f t="shared" ref="E19" si="51">(E18-E17)/E17*100</f>
        <v>93.933968158717931</v>
      </c>
      <c r="F19" s="105">
        <f t="shared" ref="F19" si="52">(F18-F17)/F17*100</f>
        <v>72.200979982051209</v>
      </c>
      <c r="G19" s="105"/>
      <c r="H19" s="106"/>
      <c r="I19" s="105">
        <f t="shared" ref="I19" si="53">(I18-I17)/I17*100</f>
        <v>46.272523195097001</v>
      </c>
      <c r="J19" s="105">
        <f t="shared" ref="J19" si="54">(J18-J17)/J17*100</f>
        <v>30.76180802421154</v>
      </c>
      <c r="K19" s="105">
        <f t="shared" ref="K19" si="55">(K18-K17)/K17*100</f>
        <v>-2.311268106565096</v>
      </c>
      <c r="L19" s="105">
        <f t="shared" ref="L19" si="56">(L18-L17)/L17*100</f>
        <v>-8.5175349022032432</v>
      </c>
      <c r="M19" s="105">
        <f t="shared" ref="M19" si="57">(M18-M17)/M17*100</f>
        <v>19.459755822811761</v>
      </c>
      <c r="N19" s="114">
        <f t="shared" ref="N19" si="58">(N18-N17)/N17*100</f>
        <v>-37.250613715708333</v>
      </c>
      <c r="O19" s="105">
        <f t="shared" ref="O19" si="59">(O18-O17)/O17*100</f>
        <v>64.810389022157452</v>
      </c>
      <c r="P19" s="105">
        <f t="shared" ref="P19" si="60">(P18-P17)/P17*100</f>
        <v>97.778256037527427</v>
      </c>
      <c r="Q19" s="106">
        <f t="shared" ref="Q19" si="61">(Q18-Q17)/Q17*100</f>
        <v>93.934609158773469</v>
      </c>
      <c r="T19" s="105">
        <f>(T18-T17)/T17*100</f>
        <v>43.916411079124423</v>
      </c>
      <c r="U19" s="105">
        <f>(U18-U17)/U17*100</f>
        <v>-7.1920482726173462</v>
      </c>
      <c r="V19" s="105">
        <f>(V18-V17)/V17*100</f>
        <v>78.077717994300414</v>
      </c>
      <c r="W19" s="105">
        <f>(W18-W17)/W17*100</f>
        <v>58.121642344208311</v>
      </c>
      <c r="X19" s="105"/>
      <c r="Y19" s="106"/>
      <c r="Z19" s="105">
        <f t="shared" ref="Z19:AH19" si="62">(Z18-Z17)/Z17*100</f>
        <v>34.313124117242573</v>
      </c>
      <c r="AA19" s="105">
        <f t="shared" si="62"/>
        <v>20.070581728637841</v>
      </c>
      <c r="AB19" s="105">
        <f t="shared" si="62"/>
        <v>-10.298404067601654</v>
      </c>
      <c r="AC19" s="105">
        <f t="shared" si="62"/>
        <v>-15.997239803930906</v>
      </c>
      <c r="AD19" s="105">
        <f t="shared" si="62"/>
        <v>9.6925974910825143</v>
      </c>
      <c r="AE19" s="114">
        <f t="shared" si="62"/>
        <v>-42.381071139098445</v>
      </c>
      <c r="AF19" s="105">
        <f t="shared" si="62"/>
        <v>51.335314063181947</v>
      </c>
      <c r="AG19" s="105">
        <f t="shared" si="62"/>
        <v>81.607692754633646</v>
      </c>
      <c r="AH19" s="106">
        <f t="shared" si="62"/>
        <v>78.078306585500826</v>
      </c>
    </row>
    <row r="20" spans="1:34" x14ac:dyDescent="0.25">
      <c r="A20" s="8" t="s">
        <v>31</v>
      </c>
      <c r="B20" s="6"/>
      <c r="C20" s="107">
        <v>2.4558393600000001</v>
      </c>
      <c r="D20" s="108">
        <v>1.7307444208333334</v>
      </c>
      <c r="E20" s="108">
        <v>0.6332617783333333</v>
      </c>
      <c r="F20" s="108">
        <v>0.44480996166666664</v>
      </c>
      <c r="G20" s="101">
        <v>29.52534073</v>
      </c>
      <c r="H20" s="119">
        <v>29.758912200000001</v>
      </c>
      <c r="I20" s="108">
        <v>4.2205166666666667</v>
      </c>
      <c r="J20" s="108">
        <v>1.7646833333333334</v>
      </c>
      <c r="K20" s="108">
        <v>0.36100833333333326</v>
      </c>
      <c r="L20" s="108">
        <v>0.16195833333333332</v>
      </c>
      <c r="M20" s="108">
        <v>0.65074166666666666</v>
      </c>
      <c r="N20" s="103">
        <v>0.55703333333333327</v>
      </c>
      <c r="O20" s="108">
        <v>0.24007499999999998</v>
      </c>
      <c r="P20" s="108">
        <v>0.20473333333333332</v>
      </c>
      <c r="Q20" s="104">
        <v>0.63325833333333337</v>
      </c>
      <c r="S20">
        <v>83.333333333333329</v>
      </c>
      <c r="T20" s="96">
        <v>29.47007232</v>
      </c>
      <c r="U20" s="96">
        <v>20.768933050000001</v>
      </c>
      <c r="V20" s="96">
        <v>7.5991413399999992</v>
      </c>
      <c r="W20" s="96">
        <v>5.3377195400000002</v>
      </c>
      <c r="X20" s="101">
        <v>29.52534073</v>
      </c>
      <c r="Y20" s="119">
        <v>29.758912200000001</v>
      </c>
      <c r="Z20" s="96">
        <v>50.6462</v>
      </c>
      <c r="AA20" s="96">
        <v>21.176200000000001</v>
      </c>
      <c r="AB20" s="96">
        <v>4.3320999999999996</v>
      </c>
      <c r="AC20" s="96">
        <v>1.9435</v>
      </c>
      <c r="AD20" s="96">
        <v>7.8089000000000004</v>
      </c>
      <c r="AE20" s="103">
        <v>6.6844000000000001</v>
      </c>
      <c r="AF20" s="96">
        <v>2.8809</v>
      </c>
      <c r="AG20" s="96">
        <v>2.4567999999999999</v>
      </c>
      <c r="AH20" s="104">
        <v>7.5991</v>
      </c>
    </row>
    <row r="21" spans="1:34" x14ac:dyDescent="0.25">
      <c r="A21" s="8" t="s">
        <v>32</v>
      </c>
      <c r="B21" s="6"/>
      <c r="C21" s="107">
        <v>2.4315454545454545</v>
      </c>
      <c r="D21" s="108">
        <v>1.4635454545454545</v>
      </c>
      <c r="E21" s="108">
        <v>0.97599999999999998</v>
      </c>
      <c r="F21" s="108">
        <v>0.83254545454545448</v>
      </c>
      <c r="G21" s="96">
        <v>39.808500000000002</v>
      </c>
      <c r="H21" s="104">
        <v>14.697100000000001</v>
      </c>
      <c r="I21" s="108">
        <v>3.7966363636363636</v>
      </c>
      <c r="J21" s="108">
        <v>1.3650818181818181</v>
      </c>
      <c r="K21" s="108">
        <v>0.26103636363636362</v>
      </c>
      <c r="L21" s="108">
        <v>0.13195454545454544</v>
      </c>
      <c r="M21" s="108">
        <v>0.5572818181818181</v>
      </c>
      <c r="N21" s="103">
        <v>0.51330909090909083</v>
      </c>
      <c r="O21" s="108">
        <v>0.62452727272727271</v>
      </c>
      <c r="P21" s="108">
        <v>0.20800909090909089</v>
      </c>
      <c r="Q21" s="104">
        <v>0.97598181818181806</v>
      </c>
      <c r="S21">
        <v>90.909090909090907</v>
      </c>
      <c r="T21" s="96">
        <v>26.747</v>
      </c>
      <c r="U21" s="96">
        <v>16.099</v>
      </c>
      <c r="V21" s="96">
        <v>10.736000000000001</v>
      </c>
      <c r="W21" s="96">
        <v>9.1579999999999995</v>
      </c>
      <c r="X21" s="96">
        <v>39.808500000000002</v>
      </c>
      <c r="Y21" s="104">
        <v>14.697100000000001</v>
      </c>
      <c r="Z21" s="96">
        <v>41.762999999999998</v>
      </c>
      <c r="AA21" s="96">
        <v>15.0159</v>
      </c>
      <c r="AB21" s="96">
        <v>2.8714</v>
      </c>
      <c r="AC21" s="96">
        <v>1.4515</v>
      </c>
      <c r="AD21" s="96">
        <v>6.1300999999999997</v>
      </c>
      <c r="AE21" s="103">
        <v>5.6463999999999999</v>
      </c>
      <c r="AF21" s="96">
        <v>6.8697999999999997</v>
      </c>
      <c r="AG21" s="96">
        <v>2.2881</v>
      </c>
      <c r="AH21" s="104">
        <v>10.735799999999999</v>
      </c>
    </row>
    <row r="22" spans="1:34" ht="15.75" thickBot="1" x14ac:dyDescent="0.3">
      <c r="A22" s="29" t="s">
        <v>20</v>
      </c>
      <c r="B22" s="6"/>
      <c r="C22" s="107">
        <f>(C21-C20)/C20*100</f>
        <v>-0.98923023428314472</v>
      </c>
      <c r="D22" s="108">
        <f t="shared" ref="D22" si="63">(D21-D20)/D20*100</f>
        <v>-15.438383800146857</v>
      </c>
      <c r="E22" s="108">
        <f t="shared" ref="E22" si="64">(E21-E20)/E20*100</f>
        <v>54.122676181201292</v>
      </c>
      <c r="F22" s="108">
        <f t="shared" ref="F22" si="65">(F21-F20)/F20*100</f>
        <v>87.168797080437358</v>
      </c>
      <c r="G22" s="105"/>
      <c r="H22" s="106"/>
      <c r="I22" s="108">
        <f t="shared" ref="I22" si="66">(I21-I20)/I20*100</f>
        <v>-10.043327310565525</v>
      </c>
      <c r="J22" s="108">
        <f t="shared" ref="J22" si="67">(J21-J20)/J20*100</f>
        <v>-22.644375203380132</v>
      </c>
      <c r="K22" s="108">
        <f t="shared" ref="K22" si="68">(K21-K20)/K20*100</f>
        <v>-27.692427145348354</v>
      </c>
      <c r="L22" s="108">
        <f t="shared" ref="L22" si="69">(L21-L20)/L20*100</f>
        <v>-18.525621535654981</v>
      </c>
      <c r="M22" s="108">
        <f t="shared" ref="M22" si="70">(M21-M20)/M20*100</f>
        <v>-14.362050760263067</v>
      </c>
      <c r="N22" s="103">
        <f t="shared" ref="N22" si="71">(N21-N20)/N20*100</f>
        <v>-7.8494840088999664</v>
      </c>
      <c r="O22" s="108">
        <f t="shared" ref="O22" si="72">(O21-O20)/O20*100</f>
        <v>160.13840371853493</v>
      </c>
      <c r="P22" s="108">
        <f t="shared" ref="P22" si="73">(P21-P20)/P20*100</f>
        <v>1.600011840975694</v>
      </c>
      <c r="Q22" s="104">
        <f t="shared" ref="Q22" si="74">(Q21-Q20)/Q20*100</f>
        <v>54.120643473329942</v>
      </c>
      <c r="T22" s="105">
        <f>(T21-T20)/T20*100</f>
        <v>-9.2401277147595415</v>
      </c>
      <c r="U22" s="105">
        <f>(U21-U20)/U20*100</f>
        <v>-22.485185150134619</v>
      </c>
      <c r="V22" s="105">
        <f>(V21-V20)/V20*100</f>
        <v>41.279119832767869</v>
      </c>
      <c r="W22" s="105">
        <f>(W21-W20)/W20*100</f>
        <v>71.571397323734232</v>
      </c>
      <c r="X22" s="105"/>
      <c r="Y22" s="106"/>
      <c r="Z22" s="105">
        <f t="shared" ref="Z22:AH22" si="75">(Z21-Z20)/Z20*100</f>
        <v>-17.539716701351736</v>
      </c>
      <c r="AA22" s="105">
        <f t="shared" si="75"/>
        <v>-29.09067726976512</v>
      </c>
      <c r="AB22" s="105">
        <f t="shared" si="75"/>
        <v>-33.718058216569325</v>
      </c>
      <c r="AC22" s="105">
        <f t="shared" si="75"/>
        <v>-25.315153074350398</v>
      </c>
      <c r="AD22" s="105">
        <f t="shared" si="75"/>
        <v>-21.498546530241143</v>
      </c>
      <c r="AE22" s="114">
        <f t="shared" si="75"/>
        <v>-15.52869367482497</v>
      </c>
      <c r="AF22" s="105">
        <f t="shared" si="75"/>
        <v>138.46020340865701</v>
      </c>
      <c r="AG22" s="105">
        <f t="shared" si="75"/>
        <v>-6.866655812438939</v>
      </c>
      <c r="AH22" s="106">
        <f t="shared" si="75"/>
        <v>41.277256517219136</v>
      </c>
    </row>
    <row r="23" spans="1:34" x14ac:dyDescent="0.25">
      <c r="A23" t="s">
        <v>33</v>
      </c>
      <c r="B23" s="199" t="s">
        <v>42</v>
      </c>
      <c r="C23" s="109">
        <v>2.0868609864351098</v>
      </c>
      <c r="D23" s="110">
        <v>1.9729409146521373</v>
      </c>
      <c r="E23" s="110">
        <v>0.84191111334963142</v>
      </c>
      <c r="F23" s="110">
        <v>0.85723929259508902</v>
      </c>
      <c r="G23" s="96">
        <v>5.4589200179999997</v>
      </c>
      <c r="H23" s="104">
        <v>-1.8206410289999999</v>
      </c>
      <c r="I23" s="110">
        <v>3.1495527690903944</v>
      </c>
      <c r="J23" s="110">
        <v>1.0626922687129596</v>
      </c>
      <c r="K23" s="110">
        <v>0.58331969014240748</v>
      </c>
      <c r="L23" s="110">
        <v>0.52446632691652217</v>
      </c>
      <c r="M23" s="110">
        <v>0.27247354769803034</v>
      </c>
      <c r="N23" s="112">
        <v>0.59268026672214025</v>
      </c>
      <c r="O23" s="110">
        <v>0.13162499517202048</v>
      </c>
      <c r="P23" s="110">
        <v>0.7256105503078214</v>
      </c>
      <c r="Q23" s="111">
        <v>0.84191102681117314</v>
      </c>
      <c r="S23">
        <v>72.115381970206272</v>
      </c>
      <c r="T23" s="96">
        <v>28.937806739999999</v>
      </c>
      <c r="U23" s="96">
        <v>27.35811502</v>
      </c>
      <c r="V23" s="96">
        <v>11.6745012</v>
      </c>
      <c r="W23" s="96">
        <v>11.887051959999999</v>
      </c>
      <c r="X23" s="96">
        <v>5.4589200179999997</v>
      </c>
      <c r="Y23" s="104">
        <v>-1.8206410289999999</v>
      </c>
      <c r="Z23" s="96">
        <v>43.6738</v>
      </c>
      <c r="AA23" s="96">
        <v>14.736000000000001</v>
      </c>
      <c r="AB23" s="96">
        <v>8.0886999999999993</v>
      </c>
      <c r="AC23" s="96">
        <v>7.2725999999999997</v>
      </c>
      <c r="AD23" s="96">
        <v>3.7783000000000002</v>
      </c>
      <c r="AE23" s="103">
        <v>8.2185000000000006</v>
      </c>
      <c r="AF23" s="96">
        <v>1.8251999999999999</v>
      </c>
      <c r="AG23" s="96">
        <v>10.0618</v>
      </c>
      <c r="AH23" s="104">
        <v>11.6745</v>
      </c>
    </row>
    <row r="24" spans="1:34" x14ac:dyDescent="0.25">
      <c r="A24" t="s">
        <v>34</v>
      </c>
      <c r="B24" s="200"/>
      <c r="C24" s="107">
        <v>3.0344316269817897</v>
      </c>
      <c r="D24" s="108">
        <v>2.5162278878512065</v>
      </c>
      <c r="E24" s="108">
        <v>1.6660097891662962</v>
      </c>
      <c r="F24" s="108">
        <v>1.6026278477899916</v>
      </c>
      <c r="G24" s="96">
        <v>17.077456420000001</v>
      </c>
      <c r="H24" s="104">
        <v>3.8044159030000002</v>
      </c>
      <c r="I24" s="108">
        <v>3.940555719364482</v>
      </c>
      <c r="J24" s="108">
        <v>0.90612652513696623</v>
      </c>
      <c r="K24" s="108">
        <v>0.49657814967024816</v>
      </c>
      <c r="L24" s="108">
        <v>0.50576425362775013</v>
      </c>
      <c r="M24" s="108">
        <v>0.69459303238463499</v>
      </c>
      <c r="N24" s="103">
        <v>0.8192977434835601</v>
      </c>
      <c r="O24" s="108">
        <v>0.76276672771915943</v>
      </c>
      <c r="P24" s="108">
        <v>0.83986598111287769</v>
      </c>
      <c r="Q24" s="104">
        <v>1.666012359637687</v>
      </c>
      <c r="S24">
        <v>74.441685230972482</v>
      </c>
      <c r="T24" s="96">
        <v>40.762532680000007</v>
      </c>
      <c r="U24" s="96">
        <v>33.801328919999996</v>
      </c>
      <c r="V24" s="96">
        <v>22.380065469999998</v>
      </c>
      <c r="W24" s="96">
        <v>21.528634699999998</v>
      </c>
      <c r="X24" s="96">
        <v>17.077456420000001</v>
      </c>
      <c r="Y24" s="104">
        <v>3.8044159030000002</v>
      </c>
      <c r="Z24" s="96">
        <v>52.934800000000003</v>
      </c>
      <c r="AA24" s="96">
        <v>12.1723</v>
      </c>
      <c r="AB24" s="96">
        <v>6.6707000000000001</v>
      </c>
      <c r="AC24" s="96">
        <v>6.7941000000000003</v>
      </c>
      <c r="AD24" s="96">
        <v>9.3307000000000002</v>
      </c>
      <c r="AE24" s="103">
        <v>11.0059</v>
      </c>
      <c r="AF24" s="96">
        <v>10.246499999999999</v>
      </c>
      <c r="AG24" s="96">
        <v>11.2822</v>
      </c>
      <c r="AH24" s="104">
        <v>22.380099999999999</v>
      </c>
    </row>
    <row r="25" spans="1:34" ht="15.75" thickBot="1" x14ac:dyDescent="0.3">
      <c r="A25" s="28" t="s">
        <v>20</v>
      </c>
      <c r="B25" s="201"/>
      <c r="C25" s="113">
        <f>(C24-C23)/C23*100</f>
        <v>45.406505114908107</v>
      </c>
      <c r="D25" s="105">
        <f t="shared" ref="D25" si="76">(D24-D23)/D23*100</f>
        <v>27.53691046520062</v>
      </c>
      <c r="E25" s="105">
        <f t="shared" ref="E25" si="77">(E24-E23)/E23*100</f>
        <v>97.884285258796737</v>
      </c>
      <c r="F25" s="105">
        <f t="shared" ref="F25" si="78">(F24-F23)/F23*100</f>
        <v>86.95221528383459</v>
      </c>
      <c r="G25" s="105"/>
      <c r="H25" s="106"/>
      <c r="I25" s="105">
        <f t="shared" ref="I25" si="79">(I24-I23)/I23*100</f>
        <v>25.114770517165617</v>
      </c>
      <c r="J25" s="105">
        <f t="shared" ref="J25" si="80">(J24-J23)/J23*100</f>
        <v>-14.732933341616592</v>
      </c>
      <c r="K25" s="105">
        <f t="shared" ref="K25" si="81">(K24-K23)/K23*100</f>
        <v>-14.870326158711162</v>
      </c>
      <c r="L25" s="105">
        <f t="shared" ref="L25" si="82">(L24-L23)/L23*100</f>
        <v>-3.5659245081998949</v>
      </c>
      <c r="M25" s="105">
        <f t="shared" ref="M25" si="83">(M24-M23)/M23*100</f>
        <v>154.92127153363887</v>
      </c>
      <c r="N25" s="114">
        <f t="shared" ref="N25" si="84">(N24-N23)/N23*100</f>
        <v>38.236042177470104</v>
      </c>
      <c r="O25" s="105">
        <f t="shared" ref="O25" si="85">(O24-O23)/O23*100</f>
        <v>479.49990936166864</v>
      </c>
      <c r="P25" s="105">
        <f t="shared" ref="P25" si="86">(P24-P23)/P23*100</f>
        <v>15.74610936356788</v>
      </c>
      <c r="Q25" s="106">
        <f t="shared" ref="Q25" si="87">(Q24-Q23)/Q23*100</f>
        <v>97.884610912851997</v>
      </c>
      <c r="T25" s="105">
        <f>(T24-T23)/T23*100</f>
        <v>40.862550663367955</v>
      </c>
      <c r="U25" s="105">
        <f>(U24-U23)/U23*100</f>
        <v>23.551380989844219</v>
      </c>
      <c r="V25" s="105">
        <f>(V24-V23)/V23*100</f>
        <v>91.700399756693656</v>
      </c>
      <c r="W25" s="105">
        <f>(W24-W23)/W23*100</f>
        <v>81.109957056164831</v>
      </c>
      <c r="X25" s="105"/>
      <c r="Y25" s="106"/>
      <c r="Z25" s="105">
        <f t="shared" ref="Z25:AH25" si="88">(Z24-Z23)/Z23*100</f>
        <v>21.204932934619848</v>
      </c>
      <c r="AA25" s="105">
        <f t="shared" si="88"/>
        <v>-17.397529858849083</v>
      </c>
      <c r="AB25" s="105">
        <f t="shared" si="88"/>
        <v>-17.53062914930705</v>
      </c>
      <c r="AC25" s="105">
        <f t="shared" si="88"/>
        <v>-6.5794901410774624</v>
      </c>
      <c r="AD25" s="105">
        <f t="shared" si="88"/>
        <v>146.95497975279886</v>
      </c>
      <c r="AE25" s="114">
        <f t="shared" si="88"/>
        <v>33.916164750258559</v>
      </c>
      <c r="AF25" s="105">
        <f t="shared" si="88"/>
        <v>461.39053254437863</v>
      </c>
      <c r="AG25" s="105">
        <f t="shared" si="88"/>
        <v>12.129042517243432</v>
      </c>
      <c r="AH25" s="106">
        <f t="shared" si="88"/>
        <v>91.700715234057114</v>
      </c>
    </row>
    <row r="26" spans="1:34" x14ac:dyDescent="0.25">
      <c r="A26" s="31" t="s">
        <v>43</v>
      </c>
      <c r="B26" s="202" t="s">
        <v>47</v>
      </c>
      <c r="C26" s="107">
        <v>2.0995611831706698</v>
      </c>
      <c r="D26" s="108">
        <v>1.4509688799426164</v>
      </c>
      <c r="E26" s="108">
        <v>1.0265813235094456</v>
      </c>
      <c r="F26" s="108">
        <v>1.0139670642719645</v>
      </c>
      <c r="G26" s="96">
        <v>30.8917</v>
      </c>
      <c r="H26" s="102">
        <v>1.2272000000000001</v>
      </c>
      <c r="I26" s="108">
        <v>2.68892679704848</v>
      </c>
      <c r="J26" s="108">
        <v>0.58936561387781039</v>
      </c>
      <c r="K26" s="108">
        <v>0.41984093864713951</v>
      </c>
      <c r="L26" s="108">
        <v>0.24937293620392659</v>
      </c>
      <c r="M26" s="108">
        <v>0.78174952063101233</v>
      </c>
      <c r="N26" s="173"/>
      <c r="O26" s="108">
        <v>0.7549140552184056</v>
      </c>
      <c r="P26" s="108">
        <v>0.25906946243517304</v>
      </c>
      <c r="Q26" s="104">
        <v>1.0265813235094456</v>
      </c>
      <c r="S26">
        <v>54.844605380352903</v>
      </c>
      <c r="T26" s="97">
        <v>38.281999999999996</v>
      </c>
      <c r="U26" s="97">
        <v>26.456</v>
      </c>
      <c r="V26" s="97">
        <v>18.718</v>
      </c>
      <c r="W26" s="97">
        <v>18.488</v>
      </c>
      <c r="X26" s="96">
        <v>30.8917</v>
      </c>
      <c r="Y26" s="102">
        <v>1.2272000000000001</v>
      </c>
      <c r="Z26" s="96">
        <v>49.028100000000002</v>
      </c>
      <c r="AA26" s="96">
        <v>10.7461</v>
      </c>
      <c r="AB26" s="96">
        <v>7.6551</v>
      </c>
      <c r="AC26" s="96">
        <v>4.5468999999999999</v>
      </c>
      <c r="AD26" s="96">
        <v>14.2539</v>
      </c>
      <c r="AE26" s="176"/>
      <c r="AF26" s="96">
        <v>13.7646</v>
      </c>
      <c r="AG26" s="96">
        <v>4.7237</v>
      </c>
      <c r="AH26" s="104">
        <v>18.718</v>
      </c>
    </row>
    <row r="27" spans="1:34" x14ac:dyDescent="0.25">
      <c r="A27" t="s">
        <v>44</v>
      </c>
      <c r="B27" s="203"/>
      <c r="C27" s="107">
        <v>2.3318673967160075</v>
      </c>
      <c r="D27" s="108">
        <v>1.8081927143513832</v>
      </c>
      <c r="E27" s="108">
        <v>1.2413855032195815</v>
      </c>
      <c r="F27" s="108">
        <v>1.2937951401294197</v>
      </c>
      <c r="G27" s="96">
        <v>22.457799999999999</v>
      </c>
      <c r="H27" s="102">
        <v>-4.2252999999999998</v>
      </c>
      <c r="I27" s="108">
        <v>3.2721565238404704</v>
      </c>
      <c r="J27" s="108">
        <v>0.94030719941305219</v>
      </c>
      <c r="K27" s="108">
        <v>0.46983131056001159</v>
      </c>
      <c r="L27" s="108">
        <v>0.30985541196487792</v>
      </c>
      <c r="M27" s="108">
        <v>1.0284818954417076</v>
      </c>
      <c r="N27" s="174"/>
      <c r="O27" s="108">
        <v>1.1615903250003035</v>
      </c>
      <c r="P27" s="108">
        <v>0.13221686332150906</v>
      </c>
      <c r="Q27" s="104">
        <v>1.2413614068347953</v>
      </c>
      <c r="S27">
        <v>60.240961965331266</v>
      </c>
      <c r="T27" s="97">
        <v>38.708999999999996</v>
      </c>
      <c r="U27" s="97">
        <v>30.015999999999998</v>
      </c>
      <c r="V27" s="97">
        <v>20.607000000000003</v>
      </c>
      <c r="W27" s="97">
        <v>21.477</v>
      </c>
      <c r="X27" s="96">
        <v>22.457799999999999</v>
      </c>
      <c r="Y27" s="102">
        <v>-4.2252999999999998</v>
      </c>
      <c r="Z27" s="96">
        <v>54.317799999999998</v>
      </c>
      <c r="AA27" s="96">
        <v>15.6091</v>
      </c>
      <c r="AB27" s="96">
        <v>7.7991999999999999</v>
      </c>
      <c r="AC27" s="96">
        <v>5.1436000000000002</v>
      </c>
      <c r="AD27" s="96">
        <v>17.072800000000001</v>
      </c>
      <c r="AE27" s="174"/>
      <c r="AF27" s="96">
        <v>19.282399999999999</v>
      </c>
      <c r="AG27" s="96">
        <v>2.1947999999999999</v>
      </c>
      <c r="AH27" s="104">
        <v>20.6066</v>
      </c>
    </row>
    <row r="28" spans="1:34" ht="15.75" thickBot="1" x14ac:dyDescent="0.3">
      <c r="A28" s="29" t="s">
        <v>20</v>
      </c>
      <c r="B28" s="204"/>
      <c r="C28" s="113">
        <f>(C27-C26)/C26*100</f>
        <v>11.064512689957365</v>
      </c>
      <c r="D28" s="105">
        <f t="shared" ref="D28" si="89">(D27-D26)/D26*100</f>
        <v>24.619675814335487</v>
      </c>
      <c r="E28" s="105">
        <f t="shared" ref="E28" si="90">(E27-E26)/E26*100</f>
        <v>20.924224393232834</v>
      </c>
      <c r="F28" s="105">
        <f t="shared" ref="F28" si="91">(F27-F26)/F26*100</f>
        <v>27.597353574632493</v>
      </c>
      <c r="G28" s="105"/>
      <c r="H28" s="106"/>
      <c r="I28" s="105">
        <f t="shared" ref="I28" si="92">(I27-I26)/I26*100</f>
        <v>21.690055952143311</v>
      </c>
      <c r="J28" s="105">
        <f t="shared" ref="J28" si="93">(J27-J26)/J26*100</f>
        <v>59.54564997882629</v>
      </c>
      <c r="K28" s="105">
        <f t="shared" ref="K28" si="94">(K27-K26)/K26*100</f>
        <v>11.906978884421539</v>
      </c>
      <c r="L28" s="105">
        <f t="shared" ref="L28" si="95">(L27-L26)/L26*100</f>
        <v>24.253825086893688</v>
      </c>
      <c r="M28" s="105">
        <f t="shared" ref="M28" si="96">(M27-M26)/M26*100</f>
        <v>31.561563940779646</v>
      </c>
      <c r="N28" s="175"/>
      <c r="O28" s="105">
        <f t="shared" ref="O28" si="97">(O27-O26)/O26*100</f>
        <v>53.870538900516507</v>
      </c>
      <c r="P28" s="105">
        <f t="shared" ref="P28" si="98">(P27-P26)/P26*100</f>
        <v>-48.964705419654123</v>
      </c>
      <c r="Q28" s="106">
        <f t="shared" ref="Q28" si="99">(Q27-Q26)/Q26*100</f>
        <v>20.921877147648448</v>
      </c>
      <c r="T28" s="105">
        <f>(T27-T26)/T27*100</f>
        <v>1.103102637629491</v>
      </c>
      <c r="U28" s="105">
        <f>(U27-U26)/U27*100</f>
        <v>11.860341151385924</v>
      </c>
      <c r="V28" s="105">
        <f>(V27-V26)/V27*100</f>
        <v>9.166787984665417</v>
      </c>
      <c r="W28" s="105">
        <f>(W27-W26)/W27*100</f>
        <v>13.917213763561023</v>
      </c>
      <c r="X28" s="105"/>
      <c r="Y28" s="106"/>
      <c r="Z28" s="105">
        <f>(Z27-Z26)/Z26*100</f>
        <v>10.789118893042961</v>
      </c>
      <c r="AA28" s="105">
        <f>(AA27-AA26)/AA26*100</f>
        <v>45.253626897199908</v>
      </c>
      <c r="AB28" s="105">
        <f>(AB27-AB26)/AB26*100</f>
        <v>1.8824051939230042</v>
      </c>
      <c r="AC28" s="105">
        <f>(AC27-AC26)/AC26*100</f>
        <v>13.123226813873194</v>
      </c>
      <c r="AD28" s="105">
        <f>(AD27-AD26)/AD26*100</f>
        <v>19.776341913441243</v>
      </c>
      <c r="AE28" s="175"/>
      <c r="AF28" s="105">
        <f>(AF27-AF26)/AF26*100</f>
        <v>40.086889557270098</v>
      </c>
      <c r="AG28" s="105">
        <f>(AG27-AG26)/AG26*100</f>
        <v>-53.536422719478381</v>
      </c>
      <c r="AH28" s="106">
        <f>(AH27-AH26)/AH26*100</f>
        <v>10.089753178758416</v>
      </c>
    </row>
    <row r="29" spans="1:34" x14ac:dyDescent="0.25">
      <c r="T29" s="96"/>
      <c r="U29" s="96"/>
      <c r="V29" s="96"/>
      <c r="W29" s="96"/>
      <c r="X29" s="96"/>
      <c r="Y29" s="96"/>
      <c r="Z29" s="96"/>
      <c r="AA29" s="96"/>
      <c r="AB29" s="96"/>
      <c r="AC29" s="96"/>
      <c r="AD29" s="96"/>
      <c r="AE29" s="96"/>
      <c r="AF29" s="96"/>
      <c r="AG29" s="96"/>
      <c r="AH29" s="96"/>
    </row>
    <row r="30" spans="1:34" x14ac:dyDescent="0.25">
      <c r="T30" s="96"/>
      <c r="U30" s="96"/>
      <c r="V30" s="96"/>
      <c r="W30" s="96"/>
      <c r="X30" s="96"/>
      <c r="Y30" s="96"/>
      <c r="Z30" s="96"/>
      <c r="AA30" s="96"/>
      <c r="AB30" s="96"/>
      <c r="AC30" s="96"/>
      <c r="AD30" s="96"/>
      <c r="AE30" s="96"/>
      <c r="AF30" s="96"/>
      <c r="AG30" s="96"/>
      <c r="AH30" s="96"/>
    </row>
    <row r="31" spans="1:34" ht="30.75" thickBot="1" x14ac:dyDescent="0.3">
      <c r="C31" s="3" t="s">
        <v>347</v>
      </c>
      <c r="D31" s="3" t="s">
        <v>3</v>
      </c>
      <c r="E31" s="3" t="s">
        <v>4</v>
      </c>
      <c r="F31" s="3" t="s">
        <v>5</v>
      </c>
      <c r="G31" s="3" t="s">
        <v>6</v>
      </c>
      <c r="H31" s="4" t="s">
        <v>7</v>
      </c>
      <c r="I31" s="3" t="s">
        <v>8</v>
      </c>
      <c r="J31" s="3" t="s">
        <v>9</v>
      </c>
      <c r="K31" s="3" t="s">
        <v>10</v>
      </c>
      <c r="L31" s="3" t="s">
        <v>11</v>
      </c>
      <c r="M31" s="3" t="s">
        <v>12</v>
      </c>
      <c r="N31" s="24" t="s">
        <v>13</v>
      </c>
      <c r="O31" s="3" t="s">
        <v>14</v>
      </c>
      <c r="P31" s="3" t="s">
        <v>15</v>
      </c>
      <c r="Q31" s="4" t="s">
        <v>16</v>
      </c>
      <c r="T31" s="96"/>
      <c r="U31" s="96"/>
      <c r="V31" s="96"/>
      <c r="W31" s="96"/>
      <c r="X31" s="96"/>
      <c r="Y31" s="96"/>
      <c r="Z31" s="96"/>
      <c r="AA31" s="96"/>
      <c r="AB31" s="96"/>
      <c r="AC31" s="96"/>
      <c r="AD31" s="96"/>
      <c r="AE31" s="96"/>
      <c r="AF31" s="96"/>
      <c r="AG31" s="96"/>
      <c r="AH31" s="96"/>
    </row>
    <row r="32" spans="1:34" ht="15.75" thickTop="1" x14ac:dyDescent="0.25">
      <c r="A32" s="18" t="s">
        <v>334</v>
      </c>
      <c r="B32" s="16" t="s">
        <v>35</v>
      </c>
      <c r="C32" s="96">
        <f t="shared" ref="C32:Q32" si="100">AVERAGE(C23,C20,C17,C14,C11,C8,C5,C26)</f>
        <v>1.7186976478952696</v>
      </c>
      <c r="D32" s="96">
        <f t="shared" si="100"/>
        <v>1.6696713825590694</v>
      </c>
      <c r="E32" s="96">
        <f t="shared" si="100"/>
        <v>0.87157719800616151</v>
      </c>
      <c r="F32" s="96">
        <f t="shared" si="100"/>
        <v>0.80570509136722968</v>
      </c>
      <c r="G32" s="96">
        <f t="shared" si="100"/>
        <v>-10.970817500500001</v>
      </c>
      <c r="H32" s="111">
        <f t="shared" si="100"/>
        <v>8.8368951073749997</v>
      </c>
      <c r="I32" s="96">
        <f>AVERAGE(I23,I20,I17,I14,I11,I8,I5,I26)</f>
        <v>2.9044642527159561</v>
      </c>
      <c r="J32" s="96">
        <f t="shared" si="100"/>
        <v>1.1748671804789785</v>
      </c>
      <c r="K32" s="96">
        <f t="shared" si="100"/>
        <v>0.38304690613508124</v>
      </c>
      <c r="L32" s="96">
        <f t="shared" si="100"/>
        <v>0.31965954848496564</v>
      </c>
      <c r="M32" s="96">
        <f t="shared" si="100"/>
        <v>0.51460250635498672</v>
      </c>
      <c r="N32" s="96">
        <f t="shared" si="100"/>
        <v>0.50351927116116302</v>
      </c>
      <c r="O32" s="96">
        <f t="shared" si="100"/>
        <v>0.47017272220281908</v>
      </c>
      <c r="P32" s="96">
        <f t="shared" si="100"/>
        <v>0.33553254823833878</v>
      </c>
      <c r="Q32" s="111">
        <f t="shared" si="100"/>
        <v>0.87157693535999048</v>
      </c>
      <c r="S32" s="16" t="s">
        <v>35</v>
      </c>
      <c r="T32" s="109">
        <f t="shared" ref="T32:AH32" si="101">AVERAGE(T23,T20,T17,T14,T11,T8,T5,T26)</f>
        <v>26.016977048749993</v>
      </c>
      <c r="U32" s="110">
        <f t="shared" si="101"/>
        <v>26.096248048749999</v>
      </c>
      <c r="V32" s="110">
        <f t="shared" si="101"/>
        <v>13.549994298749999</v>
      </c>
      <c r="W32" s="110">
        <f t="shared" si="101"/>
        <v>12.678613954999999</v>
      </c>
      <c r="X32" s="110">
        <f t="shared" si="101"/>
        <v>-10.970817500500001</v>
      </c>
      <c r="Y32" s="111">
        <f t="shared" si="101"/>
        <v>8.8368951073749997</v>
      </c>
      <c r="Z32" s="110">
        <f t="shared" si="101"/>
        <v>44.038174999999995</v>
      </c>
      <c r="AA32" s="110">
        <f t="shared" si="101"/>
        <v>17.079857142857144</v>
      </c>
      <c r="AB32" s="110">
        <f t="shared" si="101"/>
        <v>6.0762375000000004</v>
      </c>
      <c r="AC32" s="110">
        <f t="shared" si="101"/>
        <v>4.8891285714285706</v>
      </c>
      <c r="AD32" s="110">
        <f t="shared" si="101"/>
        <v>8.0489499999999996</v>
      </c>
      <c r="AE32" s="110">
        <f t="shared" si="101"/>
        <v>7.6390142857142873</v>
      </c>
      <c r="AF32" s="110">
        <f t="shared" si="101"/>
        <v>7.5920375000000009</v>
      </c>
      <c r="AG32" s="110">
        <f t="shared" si="101"/>
        <v>5.0865875000000003</v>
      </c>
      <c r="AH32" s="111">
        <f t="shared" si="101"/>
        <v>13.549987500000002</v>
      </c>
    </row>
    <row r="33" spans="1:34" x14ac:dyDescent="0.25">
      <c r="A33" s="8"/>
      <c r="B33" s="6" t="s">
        <v>36</v>
      </c>
      <c r="C33" s="96">
        <f t="shared" ref="C33:Q33" si="102">AVERAGE(C24,C21,C18,C15,C12,C9,C6,C27)</f>
        <v>2.2226751490207031</v>
      </c>
      <c r="D33" s="96">
        <f t="shared" si="102"/>
        <v>1.8784199975017348</v>
      </c>
      <c r="E33" s="96">
        <f t="shared" si="102"/>
        <v>1.3940205821403318</v>
      </c>
      <c r="F33" s="96">
        <f t="shared" si="102"/>
        <v>1.2873762357294205</v>
      </c>
      <c r="G33" s="96">
        <f t="shared" si="102"/>
        <v>0.46348017949999853</v>
      </c>
      <c r="H33" s="104">
        <f t="shared" si="102"/>
        <v>7.4421805780000012</v>
      </c>
      <c r="I33" s="96">
        <f>AVERAGE(I24,I21,I18,I15,I12,I9,I6,I27)</f>
        <v>3.3934849083182304</v>
      </c>
      <c r="J33" s="96">
        <f t="shared" si="102"/>
        <v>1.1389271316463661</v>
      </c>
      <c r="K33" s="96">
        <f t="shared" si="102"/>
        <v>0.38514251172556779</v>
      </c>
      <c r="L33" s="96">
        <f t="shared" si="102"/>
        <v>0.31206872510721856</v>
      </c>
      <c r="M33" s="96">
        <f t="shared" si="102"/>
        <v>0.71121551574676123</v>
      </c>
      <c r="N33" s="96">
        <f t="shared" si="102"/>
        <v>0.5164125788677949</v>
      </c>
      <c r="O33" s="96">
        <f t="shared" si="102"/>
        <v>0.94922068569942053</v>
      </c>
      <c r="P33" s="96">
        <f t="shared" si="102"/>
        <v>0.33815208069482394</v>
      </c>
      <c r="Q33" s="104">
        <f t="shared" si="102"/>
        <v>1.3940109118353528</v>
      </c>
      <c r="S33" s="6" t="s">
        <v>36</v>
      </c>
      <c r="T33" s="107">
        <f t="shared" ref="T33:AH33" si="103">AVERAGE(T24,T21,T18,T15,T12,T9,T6,T27)</f>
        <v>31.933120693749999</v>
      </c>
      <c r="U33" s="108">
        <f t="shared" si="103"/>
        <v>27.937043603749999</v>
      </c>
      <c r="V33" s="108">
        <f t="shared" si="103"/>
        <v>20.597381186250001</v>
      </c>
      <c r="W33" s="108">
        <f t="shared" si="103"/>
        <v>19.114799927500002</v>
      </c>
      <c r="X33" s="108">
        <f t="shared" si="103"/>
        <v>0.46348017949999853</v>
      </c>
      <c r="Y33" s="104">
        <f t="shared" si="103"/>
        <v>7.4421805780000012</v>
      </c>
      <c r="Z33" s="108">
        <f t="shared" si="103"/>
        <v>49.045162500000004</v>
      </c>
      <c r="AA33" s="108">
        <f t="shared" si="103"/>
        <v>16.040785714285715</v>
      </c>
      <c r="AB33" s="108">
        <f t="shared" si="103"/>
        <v>5.7778624999999995</v>
      </c>
      <c r="AC33" s="108">
        <f t="shared" si="103"/>
        <v>4.5341999999999993</v>
      </c>
      <c r="AD33" s="108">
        <f t="shared" si="103"/>
        <v>10.783412500000001</v>
      </c>
      <c r="AE33" s="108">
        <f t="shared" si="103"/>
        <v>7.3136857142857137</v>
      </c>
      <c r="AF33" s="108">
        <f t="shared" si="103"/>
        <v>14.266012499999999</v>
      </c>
      <c r="AG33" s="108">
        <f t="shared" si="103"/>
        <v>4.8487499999999999</v>
      </c>
      <c r="AH33" s="104">
        <f t="shared" si="103"/>
        <v>20.597250000000003</v>
      </c>
    </row>
    <row r="34" spans="1:34" x14ac:dyDescent="0.25">
      <c r="A34" s="8"/>
      <c r="B34" s="43" t="s">
        <v>37</v>
      </c>
      <c r="C34" s="121">
        <f>AVERAGE(C28,C25,C22,C19,C16,C13,C10,C7)</f>
        <v>29.645217238675624</v>
      </c>
      <c r="D34" s="121">
        <f>AVERAGE(D28,D25,D22,D19,D16,D13,D10,D7)</f>
        <v>12.789169075279876</v>
      </c>
      <c r="E34" s="121">
        <f>AVERAGE(E28,E25,E22,E19,E16,E13,E10,E7)</f>
        <v>64.523454937954227</v>
      </c>
      <c r="F34" s="121">
        <f>AVERAGE(F28,F25,F22,F19,F16,F13,F10,F7)</f>
        <v>67.21143548059402</v>
      </c>
      <c r="G34" s="121"/>
      <c r="H34" s="122"/>
      <c r="I34" s="121">
        <f>AVERAGE(I28,I25,I22,I19,I16,I13,I10,I7)</f>
        <v>18.968187769249013</v>
      </c>
      <c r="J34" s="121">
        <f t="shared" ref="J34:Q34" si="104">AVERAGE(J28,J25,J22,J19,J16,J13,J10,J7)</f>
        <v>8.2687805021991174</v>
      </c>
      <c r="K34" s="121">
        <f t="shared" si="104"/>
        <v>1.6077328987222861</v>
      </c>
      <c r="L34" s="121">
        <f t="shared" si="104"/>
        <v>-2.1468091082205665</v>
      </c>
      <c r="M34" s="121">
        <f t="shared" si="104"/>
        <v>57.119166829382429</v>
      </c>
      <c r="N34" s="121">
        <f t="shared" si="104"/>
        <v>1.0771781756148058</v>
      </c>
      <c r="O34" s="121">
        <f t="shared" si="104"/>
        <v>154.20957923740735</v>
      </c>
      <c r="P34" s="121">
        <f t="shared" si="104"/>
        <v>0.16004216051657005</v>
      </c>
      <c r="Q34" s="122">
        <f t="shared" si="104"/>
        <v>64.522685204938114</v>
      </c>
      <c r="S34" s="43" t="s">
        <v>37</v>
      </c>
      <c r="T34" s="130">
        <f>AVERAGE(T28,T25,T22,T19,T16,T13,T10,T7)</f>
        <v>22.438760258077306</v>
      </c>
      <c r="U34" s="121">
        <f>AVERAGE(U28,U25,U22,U19,U16,U13,U10,U7)</f>
        <v>5.9121084287762615</v>
      </c>
      <c r="V34" s="121">
        <f>AVERAGE(V28,V25,V22,V19,V16,V13,V10,V7)</f>
        <v>54.342172878064154</v>
      </c>
      <c r="W34" s="121">
        <f>AVERAGE(W28,W25,W22,W19,W16,W13,W10,W7)</f>
        <v>56.710086751461127</v>
      </c>
      <c r="X34" s="121"/>
      <c r="Y34" s="122"/>
      <c r="Z34" s="121">
        <f t="shared" ref="Z34:AH34" si="105">AVERAGE(Z28,Z25,Z22,Z19,Z16,Z13,Z10,Z7)</f>
        <v>12.055930569903211</v>
      </c>
      <c r="AA34" s="121">
        <f t="shared" si="105"/>
        <v>1.9835504241805009</v>
      </c>
      <c r="AB34" s="121">
        <f t="shared" si="105"/>
        <v>-3.8476657240889929</v>
      </c>
      <c r="AC34" s="121">
        <f t="shared" si="105"/>
        <v>-7.0148459757590933</v>
      </c>
      <c r="AD34" s="121">
        <f t="shared" si="105"/>
        <v>47.050968554811625</v>
      </c>
      <c r="AE34" s="121">
        <f t="shared" si="105"/>
        <v>-3.5431625299230163</v>
      </c>
      <c r="AF34" s="121">
        <f t="shared" si="105"/>
        <v>139.95201497195907</v>
      </c>
      <c r="AG34" s="121">
        <f t="shared" si="105"/>
        <v>-5.6699288336264253</v>
      </c>
      <c r="AH34" s="122">
        <f t="shared" si="105"/>
        <v>54.457028074401535</v>
      </c>
    </row>
    <row r="35" spans="1:34" x14ac:dyDescent="0.25">
      <c r="A35" s="8"/>
      <c r="B35" s="6" t="s">
        <v>38</v>
      </c>
      <c r="C35" s="108">
        <f>_xlfn.STDEV.P(C20,C14,C11,C17,C8,C5,C23)</f>
        <v>0.5758288333974001</v>
      </c>
      <c r="D35" s="108">
        <f t="shared" ref="D35:H35" si="106">_xlfn.STDEV.P(D20,D14,D11,D17,D8,D5,D23)</f>
        <v>0.28165670068740567</v>
      </c>
      <c r="E35" s="108">
        <f t="shared" si="106"/>
        <v>0.236606120182626</v>
      </c>
      <c r="F35" s="108">
        <f t="shared" si="106"/>
        <v>0.255076478286412</v>
      </c>
      <c r="G35" s="108">
        <f t="shared" si="106"/>
        <v>54.126103270177815</v>
      </c>
      <c r="H35" s="108">
        <f t="shared" si="106"/>
        <v>12.040321046577812</v>
      </c>
      <c r="I35" s="108">
        <f>_xlfn.STDEV.P(I20,I14,I11,I17,I8,I5,I23)</f>
        <v>0.86426279341668322</v>
      </c>
      <c r="J35" s="108">
        <f t="shared" ref="J35:Q35" si="107">_xlfn.STDEV.P(J20,J14,J11,J17,J8,J5,J23)</f>
        <v>0.40933304690752631</v>
      </c>
      <c r="K35" s="108">
        <f t="shared" si="107"/>
        <v>0.13827242159106107</v>
      </c>
      <c r="L35" s="108">
        <f t="shared" si="107"/>
        <v>0.14647371963030523</v>
      </c>
      <c r="M35" s="108">
        <f t="shared" si="107"/>
        <v>0.20721225127030349</v>
      </c>
      <c r="N35" s="108">
        <f t="shared" si="107"/>
        <v>0.15562893168779199</v>
      </c>
      <c r="O35" s="108">
        <f t="shared" si="107"/>
        <v>0.21524275441051183</v>
      </c>
      <c r="P35" s="108">
        <f t="shared" si="107"/>
        <v>0.18923684554514492</v>
      </c>
      <c r="Q35" s="108">
        <f t="shared" si="107"/>
        <v>0.23660912542713061</v>
      </c>
      <c r="S35" s="6" t="s">
        <v>38</v>
      </c>
      <c r="T35" s="107">
        <f t="shared" ref="T35:AH35" si="108">_xlfn.STDEV.P(T20,T14,T11,T17,T8,T5,T2,T23)</f>
        <v>8.5910437835515001</v>
      </c>
      <c r="U35" s="108">
        <f t="shared" si="108"/>
        <v>7.0108224286835794</v>
      </c>
      <c r="V35" s="108">
        <f t="shared" si="108"/>
        <v>3.6443188955230497</v>
      </c>
      <c r="W35" s="108">
        <f t="shared" si="108"/>
        <v>4.5490061857752639</v>
      </c>
      <c r="X35" s="108">
        <f t="shared" si="108"/>
        <v>52.22413768963046</v>
      </c>
      <c r="Y35" s="104">
        <f t="shared" si="108"/>
        <v>14.302658226852191</v>
      </c>
      <c r="Z35" s="108">
        <f t="shared" si="108"/>
        <v>10.417038299314029</v>
      </c>
      <c r="AA35" s="108">
        <f t="shared" si="108"/>
        <v>5.6422750626002616</v>
      </c>
      <c r="AB35" s="108">
        <f t="shared" si="108"/>
        <v>2.6767348916170213</v>
      </c>
      <c r="AC35" s="108">
        <f t="shared" si="108"/>
        <v>2.6494175543207339</v>
      </c>
      <c r="AD35" s="108">
        <f t="shared" si="108"/>
        <v>3.0101798791507028</v>
      </c>
      <c r="AE35" s="103">
        <f t="shared" si="108"/>
        <v>2.8529920508728668</v>
      </c>
      <c r="AF35" s="108">
        <f t="shared" si="108"/>
        <v>3.5255643514327932</v>
      </c>
      <c r="AG35" s="108">
        <f t="shared" si="108"/>
        <v>2.8995331079977342</v>
      </c>
      <c r="AH35" s="104">
        <f t="shared" si="108"/>
        <v>3.6443501846822821</v>
      </c>
    </row>
    <row r="36" spans="1:34" x14ac:dyDescent="0.25">
      <c r="A36" s="8"/>
      <c r="B36" s="6" t="s">
        <v>39</v>
      </c>
      <c r="C36" s="108">
        <f>_xlfn.STDEV.P(C12,C15,C21,C24,C18,C9,C6)</f>
        <v>0.82020579496474677</v>
      </c>
      <c r="D36" s="108">
        <f t="shared" ref="D36:H36" si="109">_xlfn.STDEV.P(D12,D15,D21,D24,D18,D9,D6)</f>
        <v>0.45791102778304849</v>
      </c>
      <c r="E36" s="108">
        <f t="shared" si="109"/>
        <v>0.35393364353358309</v>
      </c>
      <c r="F36" s="108">
        <f t="shared" si="109"/>
        <v>0.32248685746936545</v>
      </c>
      <c r="G36" s="108">
        <f t="shared" si="109"/>
        <v>60.589140789616685</v>
      </c>
      <c r="H36" s="108">
        <f t="shared" si="109"/>
        <v>4.3788492792457907</v>
      </c>
      <c r="I36" s="108">
        <f>_xlfn.STDEV.P(I12,I15,I21,I24,I18,I9,I6)</f>
        <v>0.99158254387254086</v>
      </c>
      <c r="J36" s="108">
        <f t="shared" ref="J36:Q36" si="110">_xlfn.STDEV.P(J12,J15,J21,J24,J18,J9,J6)</f>
        <v>0.35935761623544193</v>
      </c>
      <c r="K36" s="108">
        <f t="shared" si="110"/>
        <v>0.14654894579609407</v>
      </c>
      <c r="L36" s="108">
        <f t="shared" si="110"/>
        <v>0.14363885801249562</v>
      </c>
      <c r="M36" s="108">
        <f t="shared" si="110"/>
        <v>0.25042017585194437</v>
      </c>
      <c r="N36" s="108">
        <f t="shared" si="110"/>
        <v>0.19276779416467046</v>
      </c>
      <c r="O36" s="108">
        <f t="shared" si="110"/>
        <v>0.22606183175357455</v>
      </c>
      <c r="P36" s="108">
        <f t="shared" si="110"/>
        <v>0.22280201569958119</v>
      </c>
      <c r="Q36" s="108">
        <f t="shared" si="110"/>
        <v>0.35393682768179152</v>
      </c>
      <c r="S36" s="6" t="s">
        <v>39</v>
      </c>
      <c r="T36" s="107">
        <f t="shared" ref="T36:AH36" si="111">_xlfn.STDEV.P(T12,T15,T21,T24,T18,T9,T6,T3)</f>
        <v>14.004548413910843</v>
      </c>
      <c r="U36" s="108">
        <f t="shared" si="111"/>
        <v>10.90545557352949</v>
      </c>
      <c r="V36" s="108">
        <f t="shared" si="111"/>
        <v>8.4712601530493075</v>
      </c>
      <c r="W36" s="108">
        <f t="shared" si="111"/>
        <v>8.9270735812796254</v>
      </c>
      <c r="X36" s="108">
        <f t="shared" si="111"/>
        <v>57.106660592541452</v>
      </c>
      <c r="Y36" s="104">
        <f t="shared" si="111"/>
        <v>5.7691272707445824</v>
      </c>
      <c r="Z36" s="108">
        <f t="shared" si="111"/>
        <v>19.584923583014064</v>
      </c>
      <c r="AA36" s="108">
        <f t="shared" si="111"/>
        <v>7.952676419820401</v>
      </c>
      <c r="AB36" s="108">
        <f t="shared" si="111"/>
        <v>2.5047080216252233</v>
      </c>
      <c r="AC36" s="108">
        <f t="shared" si="111"/>
        <v>2.475860221483944</v>
      </c>
      <c r="AD36" s="108">
        <f t="shared" si="111"/>
        <v>6.9986723434587086</v>
      </c>
      <c r="AE36" s="103">
        <f t="shared" si="111"/>
        <v>2.6009321790465796</v>
      </c>
      <c r="AF36" s="108">
        <f t="shared" si="111"/>
        <v>8.0028578520426024</v>
      </c>
      <c r="AG36" s="108">
        <f t="shared" si="111"/>
        <v>2.8438796651757254</v>
      </c>
      <c r="AH36" s="104">
        <f t="shared" si="111"/>
        <v>8.4712138714645722</v>
      </c>
    </row>
    <row r="37" spans="1:34" ht="15.75" thickBot="1" x14ac:dyDescent="0.3">
      <c r="A37" s="8"/>
      <c r="B37" s="30" t="s">
        <v>40</v>
      </c>
      <c r="C37" s="105">
        <f>_xlfn.STDEV.P(C25,C22,C16,C13,C19,C10,C7)</f>
        <v>21.782849094742623</v>
      </c>
      <c r="D37" s="105">
        <f t="shared" ref="D37:F37" si="112">_xlfn.STDEV.P(D25,D22,D16,D13,D19,D10,D7)</f>
        <v>20.076948404439371</v>
      </c>
      <c r="E37" s="105">
        <f t="shared" si="112"/>
        <v>34.897769220418546</v>
      </c>
      <c r="F37" s="105">
        <f t="shared" si="112"/>
        <v>29.121250443918012</v>
      </c>
      <c r="G37" s="105"/>
      <c r="H37" s="106"/>
      <c r="I37" s="105">
        <f>_xlfn.STDEV.P(I25,I22,I16,I13,I19,I10,I7)</f>
        <v>18.988038589520581</v>
      </c>
      <c r="J37" s="105">
        <f t="shared" ref="J37:Q37" si="113">_xlfn.STDEV.P(J25,J22,J16,J13,J19,J10,J7)</f>
        <v>32.828942285664475</v>
      </c>
      <c r="K37" s="105">
        <f t="shared" si="113"/>
        <v>16.743359396760273</v>
      </c>
      <c r="L37" s="105">
        <f t="shared" si="113"/>
        <v>10.595287023747085</v>
      </c>
      <c r="M37" s="105">
        <f t="shared" si="113"/>
        <v>66.227607956702613</v>
      </c>
      <c r="N37" s="105">
        <f t="shared" si="113"/>
        <v>25.754414812971298</v>
      </c>
      <c r="O37" s="105">
        <f t="shared" si="113"/>
        <v>136.72949341819108</v>
      </c>
      <c r="P37" s="105">
        <f t="shared" si="113"/>
        <v>40.24041088155883</v>
      </c>
      <c r="Q37" s="105">
        <f t="shared" si="113"/>
        <v>34.898848420281041</v>
      </c>
      <c r="S37" s="30" t="s">
        <v>40</v>
      </c>
      <c r="T37" s="113">
        <f>_xlfn.STDEV.P(T25,T22,T16,T13,T19,T10,T7,T4)</f>
        <v>19.547096551934988</v>
      </c>
      <c r="U37" s="105">
        <f>_xlfn.STDEV.P(U25,U22,U16,U13,U19,U10,U7,U4)</f>
        <v>20.96510582544682</v>
      </c>
      <c r="V37" s="105">
        <f>_xlfn.STDEV.P(V25,V22,V16,V13,V19,V10,V7,V4)</f>
        <v>39.563722030919237</v>
      </c>
      <c r="W37" s="105">
        <f>_xlfn.STDEV.P(W25,W22,W16,W13,W19,W10,W7,W4)</f>
        <v>28.313136461530654</v>
      </c>
      <c r="X37" s="105"/>
      <c r="Y37" s="106"/>
      <c r="Z37" s="105">
        <f t="shared" ref="Z37:AH37" si="114">_xlfn.STDEV.P(Z25,Z22,Z16,Z13,Z19,Z10,Z7,Z4)</f>
        <v>25.034109002454468</v>
      </c>
      <c r="AA37" s="105">
        <f t="shared" si="114"/>
        <v>70.1921039028813</v>
      </c>
      <c r="AB37" s="105">
        <f t="shared" si="114"/>
        <v>18.698832256542335</v>
      </c>
      <c r="AC37" s="105">
        <f t="shared" si="114"/>
        <v>12.0445112397303</v>
      </c>
      <c r="AD37" s="105">
        <f t="shared" si="114"/>
        <v>118.4306614332254</v>
      </c>
      <c r="AE37" s="114">
        <f t="shared" si="114"/>
        <v>26.21951228717769</v>
      </c>
      <c r="AF37" s="105">
        <f t="shared" si="114"/>
        <v>136.05398166322877</v>
      </c>
      <c r="AG37" s="105">
        <f t="shared" si="114"/>
        <v>36.29531894725465</v>
      </c>
      <c r="AH37" s="106">
        <f t="shared" si="114"/>
        <v>39.562851770819357</v>
      </c>
    </row>
    <row r="38" spans="1:34" ht="15.75" thickBot="1" x14ac:dyDescent="0.3">
      <c r="C38" s="58"/>
      <c r="D38" s="58"/>
      <c r="E38" s="58"/>
      <c r="F38" s="58"/>
      <c r="G38" s="58"/>
      <c r="H38" s="58"/>
      <c r="I38" s="58"/>
      <c r="J38" s="58"/>
      <c r="K38" s="58"/>
      <c r="L38" s="58"/>
      <c r="M38" s="58"/>
      <c r="N38" s="58"/>
      <c r="O38" s="58"/>
      <c r="P38" s="58"/>
      <c r="S38" s="58"/>
      <c r="T38" s="169"/>
      <c r="U38" s="169"/>
      <c r="V38" s="169"/>
      <c r="W38" s="169"/>
      <c r="X38" s="169"/>
      <c r="Y38" s="169"/>
      <c r="Z38" s="169"/>
      <c r="AA38" s="169"/>
      <c r="AB38" s="169"/>
      <c r="AC38" s="169"/>
      <c r="AD38" s="169"/>
      <c r="AE38" s="169"/>
      <c r="AF38" s="169"/>
      <c r="AG38" s="169"/>
      <c r="AH38" s="169"/>
    </row>
    <row r="39" spans="1:34" x14ac:dyDescent="0.25">
      <c r="A39" s="20" t="s">
        <v>333</v>
      </c>
      <c r="B39" s="16" t="s">
        <v>35</v>
      </c>
      <c r="C39" s="96">
        <v>2.3505340283800362</v>
      </c>
      <c r="D39" s="96">
        <v>1.8805230229693206</v>
      </c>
      <c r="E39" s="96">
        <v>1.0160252812826149</v>
      </c>
      <c r="F39" s="96">
        <v>0.93064091431231954</v>
      </c>
      <c r="G39" s="96">
        <v>16.932252380952381</v>
      </c>
      <c r="H39" s="111">
        <v>6.7260809523809542</v>
      </c>
      <c r="I39" s="96">
        <v>3.4358630019485559</v>
      </c>
      <c r="J39" s="96">
        <v>1.0612955117796181</v>
      </c>
      <c r="K39" s="96">
        <v>0.35258478889367656</v>
      </c>
      <c r="L39" s="96">
        <v>0.35050024161249194</v>
      </c>
      <c r="M39" s="96">
        <v>0.42613551691128604</v>
      </c>
      <c r="N39" s="112">
        <v>0.79603776298904771</v>
      </c>
      <c r="O39" s="96">
        <v>0.48300783325726021</v>
      </c>
      <c r="P39" s="96">
        <v>0.46308976587638639</v>
      </c>
      <c r="Q39" s="111">
        <v>1.0160233290085481</v>
      </c>
      <c r="S39" s="6" t="s">
        <v>35</v>
      </c>
      <c r="T39" s="96">
        <v>38.509043478260871</v>
      </c>
      <c r="U39" s="96">
        <v>30.935217391304349</v>
      </c>
      <c r="V39" s="96">
        <v>16.656999999999996</v>
      </c>
      <c r="W39" s="96">
        <v>15.317272727272728</v>
      </c>
      <c r="X39" s="96">
        <v>16.79301818181818</v>
      </c>
      <c r="Y39" s="104">
        <v>6.0623045454545466</v>
      </c>
      <c r="Z39" s="96">
        <v>55.930869565217385</v>
      </c>
      <c r="AA39" s="96">
        <v>16.97650909090909</v>
      </c>
      <c r="AB39" s="96">
        <v>6.0907954545454546</v>
      </c>
      <c r="AC39" s="96">
        <v>5.9655826086956516</v>
      </c>
      <c r="AD39" s="96">
        <v>7.0906565217391293</v>
      </c>
      <c r="AE39" s="103">
        <v>12.485695454545453</v>
      </c>
      <c r="AF39" s="96">
        <v>8.0412681818181806</v>
      </c>
      <c r="AG39" s="96">
        <v>7.2758954545454539</v>
      </c>
      <c r="AH39" s="104">
        <v>16.656949999999998</v>
      </c>
    </row>
    <row r="40" spans="1:34" x14ac:dyDescent="0.25">
      <c r="B40" s="6" t="s">
        <v>36</v>
      </c>
      <c r="C40" s="96">
        <v>2.941865852956163</v>
      </c>
      <c r="D40" s="96">
        <v>2.1849707149652109</v>
      </c>
      <c r="E40" s="96">
        <v>1.4880043601529855</v>
      </c>
      <c r="F40" s="96">
        <v>1.4104592812467101</v>
      </c>
      <c r="G40" s="96">
        <v>23.960213636363633</v>
      </c>
      <c r="H40" s="104">
        <v>4.1328190476190469</v>
      </c>
      <c r="I40" s="96">
        <v>3.9288343417843903</v>
      </c>
      <c r="J40" s="96">
        <v>0.98698184742510164</v>
      </c>
      <c r="K40" s="96">
        <v>0.34681927385864758</v>
      </c>
      <c r="L40" s="96">
        <v>0.36936273150036186</v>
      </c>
      <c r="M40" s="96">
        <v>0.78145124558012324</v>
      </c>
      <c r="N40" s="103">
        <v>0.73523640942635982</v>
      </c>
      <c r="O40" s="96">
        <v>1.0270769835671483</v>
      </c>
      <c r="P40" s="96">
        <v>0.41345341529555324</v>
      </c>
      <c r="Q40" s="104">
        <v>1.4879967641036531</v>
      </c>
      <c r="S40" s="6" t="s">
        <v>36</v>
      </c>
      <c r="T40" s="96">
        <v>48.302043478260877</v>
      </c>
      <c r="U40" s="96">
        <v>36.448086956521735</v>
      </c>
      <c r="V40" s="96">
        <v>24.847318181818185</v>
      </c>
      <c r="W40" s="96">
        <v>23.667818181818181</v>
      </c>
      <c r="X40" s="96">
        <v>23.900504347826086</v>
      </c>
      <c r="Y40" s="104">
        <v>3.8601818181818177</v>
      </c>
      <c r="Z40" s="96">
        <v>64.177730434782617</v>
      </c>
      <c r="AA40" s="96">
        <v>15.832478260869564</v>
      </c>
      <c r="AB40" s="96">
        <v>6.0439590909090901</v>
      </c>
      <c r="AC40" s="96">
        <v>6.4575217391304349</v>
      </c>
      <c r="AD40" s="96">
        <v>13.219591304347828</v>
      </c>
      <c r="AE40" s="103">
        <v>11.11825</v>
      </c>
      <c r="AF40" s="96">
        <v>17.210290909090904</v>
      </c>
      <c r="AG40" s="96">
        <v>6.7832904761904773</v>
      </c>
      <c r="AH40" s="104">
        <v>24.847190909090909</v>
      </c>
    </row>
    <row r="41" spans="1:34" x14ac:dyDescent="0.25">
      <c r="B41" s="56" t="s">
        <v>128</v>
      </c>
      <c r="C41" s="121">
        <v>28.97307873420899</v>
      </c>
      <c r="D41" s="121">
        <v>18.759714392109931</v>
      </c>
      <c r="E41" s="121">
        <v>56.691686242311839</v>
      </c>
      <c r="F41" s="121">
        <v>62.446339948550353</v>
      </c>
      <c r="G41" s="121"/>
      <c r="H41" s="122"/>
      <c r="I41" s="121">
        <v>15.728720953037771</v>
      </c>
      <c r="J41" s="121">
        <v>-9.9917593795579975</v>
      </c>
      <c r="K41" s="121">
        <v>3.581496807289271</v>
      </c>
      <c r="L41" s="121">
        <v>6.9664152824614352</v>
      </c>
      <c r="M41" s="121">
        <v>98.786476887573627</v>
      </c>
      <c r="N41" s="121">
        <v>5.2541223991712069</v>
      </c>
      <c r="O41" s="121">
        <v>132.46498861738144</v>
      </c>
      <c r="P41" s="121">
        <v>-4.755190039117509</v>
      </c>
      <c r="Q41" s="122">
        <v>56.691126629985106</v>
      </c>
      <c r="S41" s="56" t="s">
        <v>128</v>
      </c>
      <c r="T41" s="121">
        <v>19.744967227717357</v>
      </c>
      <c r="U41" s="121">
        <v>12.929061252812712</v>
      </c>
      <c r="V41" s="121">
        <v>35.659543298503408</v>
      </c>
      <c r="W41" s="121">
        <v>43.300770037206192</v>
      </c>
      <c r="X41" s="121"/>
      <c r="Y41" s="122"/>
      <c r="Z41" s="121">
        <v>10.137425602022006</v>
      </c>
      <c r="AA41" s="121">
        <v>-11.349021305084666</v>
      </c>
      <c r="AB41" s="121">
        <v>-0.53484515846737513</v>
      </c>
      <c r="AC41" s="121">
        <v>2.6451988604960937</v>
      </c>
      <c r="AD41" s="121">
        <v>66.665302620966855</v>
      </c>
      <c r="AE41" s="123">
        <v>-14.028527589120625</v>
      </c>
      <c r="AF41" s="121">
        <v>91.256016687690177</v>
      </c>
      <c r="AG41" s="121">
        <v>-6.5431233894477892</v>
      </c>
      <c r="AH41" s="122">
        <v>35.658735419083094</v>
      </c>
    </row>
    <row r="42" spans="1:34" x14ac:dyDescent="0.25">
      <c r="B42" s="6" t="s">
        <v>38</v>
      </c>
      <c r="C42" s="96">
        <v>0.50221324952494106</v>
      </c>
      <c r="D42" s="96">
        <v>0.48420675970139238</v>
      </c>
      <c r="E42" s="96">
        <v>0.33252222933831793</v>
      </c>
      <c r="F42" s="96">
        <v>0.30329078142963217</v>
      </c>
      <c r="G42" s="96">
        <v>14.362216400342779</v>
      </c>
      <c r="H42" s="104">
        <v>15.710143261640708</v>
      </c>
      <c r="I42" s="96">
        <v>0.67113733782644158</v>
      </c>
      <c r="J42" s="96">
        <v>0.45957388131448002</v>
      </c>
      <c r="K42" s="96">
        <v>0.15902384601399711</v>
      </c>
      <c r="L42" s="96">
        <v>0.11018685728824226</v>
      </c>
      <c r="M42" s="96">
        <v>0.16199335087789643</v>
      </c>
      <c r="N42" s="103">
        <v>0.35716769257228553</v>
      </c>
      <c r="O42" s="96">
        <v>0.19211972779749101</v>
      </c>
      <c r="P42" s="96">
        <v>0.21918527289237225</v>
      </c>
      <c r="Q42" s="104">
        <v>0.33252864316845659</v>
      </c>
      <c r="S42" s="6" t="s">
        <v>38</v>
      </c>
      <c r="T42" s="96">
        <v>8.8567321067971037</v>
      </c>
      <c r="U42" s="96">
        <v>8.3251242608550537</v>
      </c>
      <c r="V42" s="96">
        <v>6.037636573386159</v>
      </c>
      <c r="W42" s="96">
        <v>5.396310647393701</v>
      </c>
      <c r="X42" s="96">
        <v>14.097616359691241</v>
      </c>
      <c r="Y42" s="104">
        <v>15.658147707740367</v>
      </c>
      <c r="Z42" s="96">
        <v>10.579647082386577</v>
      </c>
      <c r="AA42" s="96">
        <v>6.6916315307351786</v>
      </c>
      <c r="AB42" s="96">
        <v>3.3371686996376542</v>
      </c>
      <c r="AC42" s="96">
        <v>2.3698018888673702</v>
      </c>
      <c r="AD42" s="96">
        <v>3.1494424347319137</v>
      </c>
      <c r="AE42" s="103">
        <v>4.365833366540584</v>
      </c>
      <c r="AF42" s="96">
        <v>3.4319386044965907</v>
      </c>
      <c r="AG42" s="96">
        <v>3.3712896925054703</v>
      </c>
      <c r="AH42" s="104">
        <v>6.037688894055897</v>
      </c>
    </row>
    <row r="43" spans="1:34" x14ac:dyDescent="0.25">
      <c r="B43" s="6" t="s">
        <v>39</v>
      </c>
      <c r="C43" s="96">
        <v>0.64771890217256245</v>
      </c>
      <c r="D43" s="96">
        <v>0.5834373436582857</v>
      </c>
      <c r="E43" s="96">
        <v>0.46045984580707155</v>
      </c>
      <c r="F43" s="96">
        <v>0.43102125829759935</v>
      </c>
      <c r="G43" s="96">
        <v>13.372533896970454</v>
      </c>
      <c r="H43" s="104">
        <v>10.980549735391211</v>
      </c>
      <c r="I43" s="96">
        <v>0.85528022863904052</v>
      </c>
      <c r="J43" s="96">
        <v>0.51457381314985673</v>
      </c>
      <c r="K43" s="96">
        <v>0.13304239100838294</v>
      </c>
      <c r="L43" s="96">
        <v>0.12520845137003778</v>
      </c>
      <c r="M43" s="96">
        <v>0.31784158931966133</v>
      </c>
      <c r="N43" s="96">
        <v>0.31676724674770979</v>
      </c>
      <c r="O43" s="96">
        <v>0.37708613718822537</v>
      </c>
      <c r="P43" s="96">
        <v>0.1439095909165784</v>
      </c>
      <c r="Q43" s="104">
        <v>0.46046723395869837</v>
      </c>
      <c r="S43" s="6" t="s">
        <v>39</v>
      </c>
      <c r="T43" s="96">
        <v>13.333147103976621</v>
      </c>
      <c r="U43" s="96">
        <v>12.631393472529126</v>
      </c>
      <c r="V43" s="96">
        <v>9.4500737695233248</v>
      </c>
      <c r="W43" s="96">
        <v>8.9129790770096005</v>
      </c>
      <c r="X43" s="96">
        <v>13.075570836379956</v>
      </c>
      <c r="Y43" s="104">
        <v>10.797076382719801</v>
      </c>
      <c r="Z43" s="96">
        <v>13.934689974859648</v>
      </c>
      <c r="AA43" s="96">
        <v>6.6621780598011577</v>
      </c>
      <c r="AB43" s="96">
        <v>2.8559419890956086</v>
      </c>
      <c r="AC43" s="96">
        <v>2.9871056778529219</v>
      </c>
      <c r="AD43" s="96">
        <v>6.9810091042273879</v>
      </c>
      <c r="AE43" s="103">
        <v>4.6984463845489124</v>
      </c>
      <c r="AF43" s="96">
        <v>7.3284160395482179</v>
      </c>
      <c r="AG43" s="96">
        <v>2.6290055980303655</v>
      </c>
      <c r="AH43" s="104">
        <v>9.4501180875919868</v>
      </c>
    </row>
    <row r="44" spans="1:34" ht="15.75" thickBot="1" x14ac:dyDescent="0.3">
      <c r="B44" s="30" t="s">
        <v>40</v>
      </c>
      <c r="C44" s="105">
        <v>26.594846958389351</v>
      </c>
      <c r="D44" s="105">
        <v>17.862580714615568</v>
      </c>
      <c r="E44" s="105">
        <v>47.006677910182347</v>
      </c>
      <c r="F44" s="105">
        <v>45.241468885169532</v>
      </c>
      <c r="G44" s="105"/>
      <c r="H44" s="106"/>
      <c r="I44" s="105">
        <v>14.329828312252118</v>
      </c>
      <c r="J44" s="105">
        <v>25.718886249384958</v>
      </c>
      <c r="K44" s="105">
        <v>14.662887975382729</v>
      </c>
      <c r="L44" s="105">
        <v>16.748059465129984</v>
      </c>
      <c r="M44" s="105">
        <v>79.572745069680082</v>
      </c>
      <c r="N44" s="105">
        <v>50.231638115024019</v>
      </c>
      <c r="O44" s="105">
        <v>81.282697537177938</v>
      </c>
      <c r="P44" s="105">
        <v>30.446881433359223</v>
      </c>
      <c r="Q44" s="106">
        <v>47.006766999608594</v>
      </c>
      <c r="S44" s="30" t="s">
        <v>40</v>
      </c>
      <c r="T44" s="113">
        <v>19.972167594140327</v>
      </c>
      <c r="U44" s="105">
        <v>16.615029662718182</v>
      </c>
      <c r="V44" s="105">
        <v>22.539507749598812</v>
      </c>
      <c r="W44" s="105">
        <v>31.616048684196105</v>
      </c>
      <c r="X44" s="105"/>
      <c r="Y44" s="106"/>
      <c r="Z44" s="105">
        <v>15.431726094295676</v>
      </c>
      <c r="AA44" s="105">
        <v>28.525733513754655</v>
      </c>
      <c r="AB44" s="105">
        <v>16.535616393189969</v>
      </c>
      <c r="AC44" s="105">
        <v>16.362437980118671</v>
      </c>
      <c r="AD44" s="105">
        <v>49.148753353232799</v>
      </c>
      <c r="AE44" s="114">
        <v>22.677389578918458</v>
      </c>
      <c r="AF44" s="105">
        <v>51.052932177624811</v>
      </c>
      <c r="AG44" s="105">
        <v>36.921064081927781</v>
      </c>
      <c r="AH44" s="106">
        <v>22.537210913359559</v>
      </c>
    </row>
    <row r="47" spans="1:34" x14ac:dyDescent="0.25">
      <c r="D47" s="186"/>
    </row>
    <row r="48" spans="1:34" x14ac:dyDescent="0.25">
      <c r="D48" s="186"/>
    </row>
    <row r="49" spans="4:4" x14ac:dyDescent="0.25">
      <c r="D49" s="186"/>
    </row>
    <row r="50" spans="4:4" x14ac:dyDescent="0.25">
      <c r="D50" s="186"/>
    </row>
    <row r="51" spans="4:4" x14ac:dyDescent="0.25">
      <c r="D51" s="186"/>
    </row>
    <row r="52" spans="4:4" x14ac:dyDescent="0.25">
      <c r="D52" s="186"/>
    </row>
    <row r="53" spans="4:4" x14ac:dyDescent="0.25">
      <c r="D53" s="186"/>
    </row>
  </sheetData>
  <mergeCells count="3">
    <mergeCell ref="B14:B16"/>
    <mergeCell ref="B23:B25"/>
    <mergeCell ref="B26:B28"/>
  </mergeCells>
  <conditionalFormatting sqref="T7:AH7 T10:AH10 T13:AH13 T16:AH16 T19:AH19 T22:AH22 T25:AH25 T4:AH4">
    <cfRule type="colorScale" priority="19">
      <colorScale>
        <cfvo type="num" val="-100"/>
        <cfvo type="num" val="0"/>
        <cfvo type="num" val="100"/>
        <color rgb="FFF8696B"/>
        <color theme="0"/>
        <color rgb="FF63BE7B"/>
      </colorScale>
    </cfRule>
  </conditionalFormatting>
  <conditionalFormatting sqref="T34:AH34">
    <cfRule type="colorScale" priority="15">
      <colorScale>
        <cfvo type="num" val="-100"/>
        <cfvo type="num" val="0"/>
        <cfvo type="num" val="100"/>
        <color rgb="FFF8696B"/>
        <color theme="0"/>
        <color rgb="FF63BE7B"/>
      </colorScale>
    </cfRule>
  </conditionalFormatting>
  <conditionalFormatting sqref="T41:AH41">
    <cfRule type="colorScale" priority="14">
      <colorScale>
        <cfvo type="num" val="-100"/>
        <cfvo type="num" val="0"/>
        <cfvo type="num" val="100"/>
        <color rgb="FFF8696B"/>
        <color theme="0"/>
        <color rgb="FF63BE7B"/>
      </colorScale>
    </cfRule>
  </conditionalFormatting>
  <conditionalFormatting sqref="T28:AH28">
    <cfRule type="colorScale" priority="13">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11">
      <colorScale>
        <cfvo type="num" val="-100"/>
        <cfvo type="num" val="0"/>
        <cfvo type="num" val="100"/>
        <color rgb="FFF8696B"/>
        <color theme="0"/>
        <color rgb="FF63BE7B"/>
      </colorScale>
    </cfRule>
  </conditionalFormatting>
  <conditionalFormatting sqref="C4:F4 I4:Q4">
    <cfRule type="colorScale" priority="10">
      <colorScale>
        <cfvo type="num" val="-100"/>
        <cfvo type="num" val="0"/>
        <cfvo type="num" val="100"/>
        <color rgb="FFF8696B"/>
        <color theme="0"/>
        <color rgb="FF63BE7B"/>
      </colorScale>
    </cfRule>
  </conditionalFormatting>
  <conditionalFormatting sqref="R27">
    <cfRule type="colorScale" priority="9">
      <colorScale>
        <cfvo type="num" val="-100"/>
        <cfvo type="num" val="0"/>
        <cfvo type="num" val="100"/>
        <color rgb="FFF8696B"/>
        <color theme="0"/>
        <color rgb="FF63BE7B"/>
      </colorScale>
    </cfRule>
  </conditionalFormatting>
  <conditionalFormatting sqref="C34:Q34">
    <cfRule type="colorScale" priority="8">
      <colorScale>
        <cfvo type="num" val="-100"/>
        <cfvo type="num" val="0"/>
        <cfvo type="num" val="100"/>
        <color rgb="FFF8696B"/>
        <color theme="0"/>
        <color rgb="FF63BE7B"/>
      </colorScale>
    </cfRule>
  </conditionalFormatting>
  <conditionalFormatting sqref="C41:Q41">
    <cfRule type="colorScale" priority="3">
      <colorScale>
        <cfvo type="num" val="-100"/>
        <cfvo type="num" val="0"/>
        <cfvo type="num" val="100"/>
        <color rgb="FFF8696B"/>
        <color theme="0"/>
        <color rgb="FF63BE7B"/>
      </colorScale>
    </cfRule>
  </conditionalFormatting>
  <conditionalFormatting sqref="G7:H7 G10:H10 G13:H13 G16:H16 G19:H19 G22:H22 G25:H25 G4:H4">
    <cfRule type="colorScale" priority="2">
      <colorScale>
        <cfvo type="num" val="-100"/>
        <cfvo type="num" val="0"/>
        <cfvo type="num" val="100"/>
        <color rgb="FFF8696B"/>
        <color theme="0"/>
        <color rgb="FF63BE7B"/>
      </colorScale>
    </cfRule>
  </conditionalFormatting>
  <conditionalFormatting sqref="G28:H28">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
  <sheetViews>
    <sheetView topLeftCell="A10" workbookViewId="0">
      <selection activeCell="I14" sqref="I14:Q19"/>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82</v>
      </c>
      <c r="B1" s="2" t="s">
        <v>83</v>
      </c>
      <c r="C1" s="48" t="s">
        <v>8</v>
      </c>
      <c r="D1" s="48" t="s">
        <v>9</v>
      </c>
      <c r="E1" s="48" t="s">
        <v>10</v>
      </c>
      <c r="F1" s="48" t="s">
        <v>11</v>
      </c>
      <c r="G1" s="48" t="s">
        <v>12</v>
      </c>
      <c r="H1" s="49" t="s">
        <v>13</v>
      </c>
      <c r="I1" s="48" t="s">
        <v>14</v>
      </c>
      <c r="J1" s="48" t="s">
        <v>15</v>
      </c>
      <c r="K1" s="37" t="s">
        <v>16</v>
      </c>
    </row>
    <row r="2" spans="1:15" ht="15.75" thickTop="1" x14ac:dyDescent="0.25">
      <c r="A2" s="54" t="s">
        <v>85</v>
      </c>
      <c r="B2" s="230" t="s">
        <v>133</v>
      </c>
      <c r="C2" s="110">
        <v>3.4025200935513338</v>
      </c>
      <c r="D2" s="110">
        <v>1.1066742405501007</v>
      </c>
      <c r="E2" s="110">
        <v>0.33353064342257766</v>
      </c>
      <c r="F2" s="110">
        <v>0.39352013472088254</v>
      </c>
      <c r="G2" s="110">
        <v>0.58297722494831938</v>
      </c>
      <c r="H2" s="99">
        <v>0.57887915144922353</v>
      </c>
      <c r="I2" s="110">
        <v>0.7938651379998749</v>
      </c>
      <c r="J2" s="110">
        <v>0.31485288535939027</v>
      </c>
      <c r="K2" s="111">
        <v>1.0909912285054835</v>
      </c>
    </row>
    <row r="3" spans="1:15" x14ac:dyDescent="0.25">
      <c r="A3" s="54" t="s">
        <v>86</v>
      </c>
      <c r="B3" s="230"/>
      <c r="C3" s="108">
        <v>3.6130612698420239</v>
      </c>
      <c r="D3" s="108">
        <v>1.0944205467211061</v>
      </c>
      <c r="E3" s="108">
        <v>0.40322923049382603</v>
      </c>
      <c r="F3" s="108">
        <v>0.41670215430120205</v>
      </c>
      <c r="G3" s="108">
        <v>0.5714241715939461</v>
      </c>
      <c r="H3" s="103">
        <v>0.51648193487785399</v>
      </c>
      <c r="I3" s="108">
        <v>0.85319131165391193</v>
      </c>
      <c r="J3" s="108">
        <v>0.29638266311306405</v>
      </c>
      <c r="K3" s="104">
        <v>1.1285252388991021</v>
      </c>
    </row>
    <row r="4" spans="1:15" ht="15.75" thickBot="1" x14ac:dyDescent="0.3">
      <c r="A4" s="55" t="s">
        <v>259</v>
      </c>
      <c r="B4" s="231"/>
      <c r="C4" s="105">
        <f t="shared" ref="C4:K4" si="0">(C3-C2)/C2*100</f>
        <v>6.1878011151123191</v>
      </c>
      <c r="D4" s="105">
        <f t="shared" si="0"/>
        <v>-1.107253912669327</v>
      </c>
      <c r="E4" s="105">
        <f t="shared" si="0"/>
        <v>20.897206432376127</v>
      </c>
      <c r="F4" s="105">
        <f t="shared" si="0"/>
        <v>5.8909360754214379</v>
      </c>
      <c r="G4" s="105">
        <f t="shared" si="0"/>
        <v>-1.9817332238660712</v>
      </c>
      <c r="H4" s="114">
        <f t="shared" si="0"/>
        <v>-10.778971122929224</v>
      </c>
      <c r="I4" s="105">
        <f t="shared" si="0"/>
        <v>7.473079596807584</v>
      </c>
      <c r="J4" s="105">
        <f t="shared" si="0"/>
        <v>-5.8663023606225799</v>
      </c>
      <c r="K4" s="106">
        <f t="shared" si="0"/>
        <v>3.4403585851955305</v>
      </c>
    </row>
    <row r="5" spans="1:15" x14ac:dyDescent="0.25">
      <c r="A5" s="54" t="s">
        <v>90</v>
      </c>
      <c r="B5" s="212" t="s">
        <v>132</v>
      </c>
      <c r="C5" s="110">
        <v>3.529888855725511</v>
      </c>
      <c r="D5" s="110">
        <v>1.207786399649794</v>
      </c>
      <c r="E5" s="110">
        <v>0.46007108468251701</v>
      </c>
      <c r="F5" s="110">
        <v>0.48874301760479211</v>
      </c>
      <c r="G5" s="110">
        <v>0.45786555138080354</v>
      </c>
      <c r="H5" s="112">
        <v>0.90136746831998205</v>
      </c>
      <c r="I5" s="110">
        <v>0.51833985158907614</v>
      </c>
      <c r="J5" s="110">
        <v>0.4799366946725025</v>
      </c>
      <c r="K5" s="111">
        <v>0.99906705998979128</v>
      </c>
    </row>
    <row r="6" spans="1:15" x14ac:dyDescent="0.25">
      <c r="A6" s="54" t="s">
        <v>91</v>
      </c>
      <c r="B6" s="213"/>
      <c r="C6" s="108">
        <v>2.5781012020098628</v>
      </c>
      <c r="D6" s="108">
        <v>0.82662359804662899</v>
      </c>
      <c r="E6" s="108">
        <v>0.30633484798683397</v>
      </c>
      <c r="F6" s="108">
        <v>0.315809501701446</v>
      </c>
      <c r="G6" s="108">
        <v>0.29426111611315525</v>
      </c>
      <c r="H6" s="103">
        <v>0.67182176556547735</v>
      </c>
      <c r="I6" s="108">
        <v>0.44873115138251107</v>
      </c>
      <c r="J6" s="108">
        <v>0.32592931666121644</v>
      </c>
      <c r="K6" s="104">
        <v>0.71808904343255175</v>
      </c>
    </row>
    <row r="7" spans="1:15" ht="15.75" thickBot="1" x14ac:dyDescent="0.3">
      <c r="A7" s="55" t="s">
        <v>259</v>
      </c>
      <c r="B7" s="214"/>
      <c r="C7" s="105">
        <f t="shared" ref="C7:K7" si="1">(C6-C5)/C5*100</f>
        <v>-26.963672019639944</v>
      </c>
      <c r="D7" s="105">
        <f t="shared" si="1"/>
        <v>-31.558792325669984</v>
      </c>
      <c r="E7" s="105">
        <f t="shared" si="1"/>
        <v>-33.41575721972886</v>
      </c>
      <c r="F7" s="105">
        <f t="shared" si="1"/>
        <v>-35.383322047412612</v>
      </c>
      <c r="G7" s="105">
        <f t="shared" si="1"/>
        <v>-35.731981751905082</v>
      </c>
      <c r="H7" s="114">
        <f t="shared" si="1"/>
        <v>-25.466384224221507</v>
      </c>
      <c r="I7" s="105">
        <f t="shared" si="1"/>
        <v>-13.42916235229945</v>
      </c>
      <c r="J7" s="105">
        <f t="shared" si="1"/>
        <v>-32.089102525568933</v>
      </c>
      <c r="K7" s="106">
        <f t="shared" si="1"/>
        <v>-28.124039697606552</v>
      </c>
    </row>
    <row r="8" spans="1:15" x14ac:dyDescent="0.25">
      <c r="C8" s="96"/>
      <c r="D8" s="96"/>
      <c r="E8" s="96"/>
      <c r="F8" s="96"/>
      <c r="G8" s="96"/>
      <c r="H8" s="108"/>
      <c r="I8" s="96"/>
      <c r="J8" s="96"/>
      <c r="K8" s="96"/>
    </row>
    <row r="9" spans="1:15" x14ac:dyDescent="0.25">
      <c r="C9" s="23"/>
      <c r="D9" s="23"/>
      <c r="E9" s="23"/>
      <c r="F9" s="23"/>
      <c r="G9" s="23"/>
      <c r="H9" s="23"/>
      <c r="I9" s="23"/>
      <c r="J9" s="23"/>
      <c r="K9" s="23"/>
    </row>
    <row r="10" spans="1:15" ht="15.75" thickBot="1" x14ac:dyDescent="0.3">
      <c r="A10" s="87" t="s">
        <v>265</v>
      </c>
      <c r="B10" s="48" t="s">
        <v>8</v>
      </c>
      <c r="C10" s="48" t="s">
        <v>9</v>
      </c>
      <c r="D10" s="48" t="s">
        <v>10</v>
      </c>
      <c r="E10" s="48" t="s">
        <v>11</v>
      </c>
      <c r="F10" s="48" t="s">
        <v>12</v>
      </c>
      <c r="G10" s="49" t="s">
        <v>13</v>
      </c>
      <c r="H10" s="48" t="s">
        <v>14</v>
      </c>
      <c r="I10" s="48" t="s">
        <v>15</v>
      </c>
      <c r="J10" s="48" t="s">
        <v>16</v>
      </c>
    </row>
    <row r="11" spans="1:15" ht="15.75" thickTop="1" x14ac:dyDescent="0.25">
      <c r="A11" s="139" t="s">
        <v>50</v>
      </c>
      <c r="B11" s="96">
        <v>2.5229606637205615</v>
      </c>
      <c r="C11" s="96">
        <v>1.1047571486274532</v>
      </c>
      <c r="D11" s="96">
        <v>0.27397636570877021</v>
      </c>
      <c r="E11" s="96">
        <v>0.2646930307392667</v>
      </c>
      <c r="F11" s="96">
        <v>0.26355347691164011</v>
      </c>
      <c r="G11" s="103">
        <v>0.12837822060120638</v>
      </c>
      <c r="H11" s="96">
        <v>0.13276377624086028</v>
      </c>
      <c r="I11" s="96">
        <v>0.27783818701350482</v>
      </c>
      <c r="J11" s="104">
        <v>0.30706946928883555</v>
      </c>
      <c r="K11" s="221" t="s">
        <v>332</v>
      </c>
      <c r="L11" s="222"/>
      <c r="M11" s="222"/>
      <c r="N11" s="222"/>
      <c r="O11" s="223"/>
    </row>
    <row r="12" spans="1:15" x14ac:dyDescent="0.25">
      <c r="A12" s="139" t="s">
        <v>354</v>
      </c>
      <c r="B12" s="97">
        <v>2.4820403217285163</v>
      </c>
      <c r="C12" s="97">
        <v>1.107980129150034</v>
      </c>
      <c r="D12" s="97">
        <v>0.28505536125513997</v>
      </c>
      <c r="E12" s="97">
        <v>0.24654649933266751</v>
      </c>
      <c r="F12" s="97">
        <v>0.25383849276500536</v>
      </c>
      <c r="G12" s="129">
        <v>0.15320092594743631</v>
      </c>
      <c r="H12" s="97">
        <v>0.18619043372499011</v>
      </c>
      <c r="I12" s="97">
        <v>0.28089426318759447</v>
      </c>
      <c r="J12" s="102">
        <v>0.34088774348648149</v>
      </c>
      <c r="K12" s="224"/>
      <c r="L12" s="225"/>
      <c r="M12" s="225"/>
      <c r="N12" s="225"/>
      <c r="O12" s="226"/>
    </row>
    <row r="13" spans="1:15" x14ac:dyDescent="0.25">
      <c r="A13" s="140" t="s">
        <v>321</v>
      </c>
      <c r="B13" s="130">
        <f t="shared" ref="B13:J13" si="2">(B12-B11)/B11*100</f>
        <v>-1.6219175582270378</v>
      </c>
      <c r="C13" s="121">
        <f t="shared" si="2"/>
        <v>0.29173656188466068</v>
      </c>
      <c r="D13" s="121">
        <f t="shared" si="2"/>
        <v>4.0437778337955068</v>
      </c>
      <c r="E13" s="121">
        <f t="shared" si="2"/>
        <v>-6.8556891565740754</v>
      </c>
      <c r="F13" s="121">
        <f t="shared" si="2"/>
        <v>-3.6861529054658697</v>
      </c>
      <c r="G13" s="123">
        <f t="shared" si="2"/>
        <v>19.335604770017099</v>
      </c>
      <c r="H13" s="121">
        <f t="shared" si="2"/>
        <v>40.241893532165804</v>
      </c>
      <c r="I13" s="121">
        <f t="shared" si="2"/>
        <v>1.0999482133610037</v>
      </c>
      <c r="J13" s="122">
        <f t="shared" si="2"/>
        <v>11.013232372455697</v>
      </c>
      <c r="K13" s="227"/>
      <c r="L13" s="228"/>
      <c r="M13" s="228"/>
      <c r="N13" s="228"/>
      <c r="O13" s="229"/>
    </row>
    <row r="14" spans="1:15" x14ac:dyDescent="0.25">
      <c r="A14" s="139" t="s">
        <v>51</v>
      </c>
      <c r="B14" s="96">
        <v>4.131327291459141</v>
      </c>
      <c r="C14" s="96">
        <v>0.7292045263465694</v>
      </c>
      <c r="D14" s="96">
        <v>0.5791785853992214</v>
      </c>
      <c r="E14" s="96">
        <v>0.50942584723137385</v>
      </c>
      <c r="F14" s="96">
        <v>1.144968657765765</v>
      </c>
      <c r="G14" s="103">
        <v>8.1977312267329225E-2</v>
      </c>
      <c r="H14" s="96">
        <v>1.5308497824304672</v>
      </c>
      <c r="I14" s="96">
        <v>0.45637981264609007</v>
      </c>
      <c r="J14" s="104">
        <v>2.2092204012250094</v>
      </c>
    </row>
    <row r="15" spans="1:15" x14ac:dyDescent="0.25">
      <c r="A15" s="139" t="s">
        <v>260</v>
      </c>
      <c r="B15" s="97">
        <v>4.1917170733466884</v>
      </c>
      <c r="C15" s="97">
        <v>0.69427992774883862</v>
      </c>
      <c r="D15" s="97">
        <v>0.55029875253190252</v>
      </c>
      <c r="E15" s="97">
        <v>0.47409612071766893</v>
      </c>
      <c r="F15" s="97">
        <v>1.0358542057299907</v>
      </c>
      <c r="G15" s="129">
        <v>0.1063364320405205</v>
      </c>
      <c r="H15" s="97">
        <v>1.5706294854180483</v>
      </c>
      <c r="I15" s="97">
        <v>0.42768646723215636</v>
      </c>
      <c r="J15" s="102">
        <v>2.2065709932665727</v>
      </c>
    </row>
    <row r="16" spans="1:15" ht="15.75" thickBot="1" x14ac:dyDescent="0.3">
      <c r="A16" s="140" t="s">
        <v>321</v>
      </c>
      <c r="B16" s="105">
        <f t="shared" ref="B16:J16" si="3">(B15-B14)/B14*100</f>
        <v>1.4617525465095351</v>
      </c>
      <c r="C16" s="105">
        <f t="shared" si="3"/>
        <v>-4.7894105612191655</v>
      </c>
      <c r="D16" s="105">
        <f t="shared" si="3"/>
        <v>-4.9863433482113866</v>
      </c>
      <c r="E16" s="105">
        <f t="shared" si="3"/>
        <v>-6.9352049382093215</v>
      </c>
      <c r="F16" s="105">
        <f t="shared" si="3"/>
        <v>-9.5299073294019099</v>
      </c>
      <c r="G16" s="114">
        <f t="shared" si="3"/>
        <v>29.714465014119789</v>
      </c>
      <c r="H16" s="105">
        <f t="shared" si="3"/>
        <v>2.5985373250943309</v>
      </c>
      <c r="I16" s="105">
        <f t="shared" si="3"/>
        <v>-6.2871635902494658</v>
      </c>
      <c r="J16" s="104">
        <f t="shared" si="3"/>
        <v>-0.11992501775592958</v>
      </c>
    </row>
    <row r="17" spans="1:15" x14ac:dyDescent="0.25">
      <c r="A17" s="8" t="s">
        <v>48</v>
      </c>
      <c r="B17" s="97"/>
      <c r="C17" s="97"/>
      <c r="D17" s="97"/>
      <c r="E17" s="97"/>
      <c r="F17" s="97"/>
      <c r="G17" s="131"/>
      <c r="H17" s="96">
        <v>0.26871320317289465</v>
      </c>
      <c r="I17" s="96">
        <v>0.44582741980049667</v>
      </c>
      <c r="J17" s="111">
        <v>0.73360661319030018</v>
      </c>
      <c r="K17" s="232" t="s">
        <v>328</v>
      </c>
      <c r="L17" s="232"/>
      <c r="M17" s="232"/>
      <c r="N17" s="232"/>
      <c r="O17" s="232"/>
    </row>
    <row r="18" spans="1:15" x14ac:dyDescent="0.25">
      <c r="A18" s="8" t="s">
        <v>326</v>
      </c>
      <c r="B18" s="97"/>
      <c r="C18" s="97"/>
      <c r="D18" s="97"/>
      <c r="E18" s="97"/>
      <c r="F18" s="97"/>
      <c r="G18" s="129"/>
      <c r="H18" s="96">
        <v>0.34055583324423827</v>
      </c>
      <c r="I18" s="96">
        <v>0.45495001314739997</v>
      </c>
      <c r="J18" s="104">
        <v>0.77552440327494909</v>
      </c>
      <c r="K18" s="232"/>
      <c r="L18" s="232"/>
      <c r="M18" s="232"/>
      <c r="N18" s="232"/>
      <c r="O18" s="232"/>
    </row>
    <row r="19" spans="1:15" x14ac:dyDescent="0.25">
      <c r="A19" s="38" t="s">
        <v>321</v>
      </c>
      <c r="B19" s="130"/>
      <c r="C19" s="121"/>
      <c r="D19" s="121"/>
      <c r="E19" s="121"/>
      <c r="F19" s="121"/>
      <c r="G19" s="123"/>
      <c r="H19" s="121">
        <f>(H18-H17)/H17*100</f>
        <v>26.735802045840984</v>
      </c>
      <c r="I19" s="121">
        <f t="shared" ref="I19:J19" si="4">(I18-I17)/I17*100</f>
        <v>2.0462163029329972</v>
      </c>
      <c r="J19" s="132">
        <f t="shared" si="4"/>
        <v>5.7139329622939599</v>
      </c>
      <c r="K19" s="232"/>
      <c r="L19" s="232"/>
      <c r="M19" s="232"/>
      <c r="N19" s="232"/>
      <c r="O19" s="232"/>
    </row>
    <row r="20" spans="1:15" ht="15.75" customHeight="1" x14ac:dyDescent="0.25">
      <c r="A20" s="128" t="s">
        <v>49</v>
      </c>
      <c r="B20" s="97"/>
      <c r="C20" s="97"/>
      <c r="D20" s="97"/>
      <c r="E20" s="97"/>
      <c r="F20" s="97"/>
      <c r="G20" s="129"/>
      <c r="H20" s="96">
        <v>1.4990422203469551</v>
      </c>
      <c r="I20" s="96">
        <v>0.4888644746825721</v>
      </c>
      <c r="J20" s="104">
        <v>2.197536220327784</v>
      </c>
    </row>
    <row r="21" spans="1:15" x14ac:dyDescent="0.25">
      <c r="A21" s="8" t="s">
        <v>327</v>
      </c>
      <c r="B21" s="97"/>
      <c r="C21" s="97"/>
      <c r="D21" s="97"/>
      <c r="E21" s="97"/>
      <c r="F21" s="97"/>
      <c r="G21" s="129"/>
      <c r="H21" s="97">
        <v>1.5257800176550576</v>
      </c>
      <c r="I21" s="97">
        <v>0.46931372438222174</v>
      </c>
      <c r="J21" s="102">
        <v>2.2734912727494523</v>
      </c>
    </row>
    <row r="22" spans="1:15" ht="15.75" thickBot="1" x14ac:dyDescent="0.3">
      <c r="A22" s="29" t="s">
        <v>321</v>
      </c>
      <c r="B22" s="105"/>
      <c r="C22" s="105"/>
      <c r="D22" s="105"/>
      <c r="E22" s="105"/>
      <c r="F22" s="105"/>
      <c r="G22" s="114"/>
      <c r="H22" s="105">
        <f>(H21-H20)/H20*100</f>
        <v>1.7836587218947004</v>
      </c>
      <c r="I22" s="105">
        <f t="shared" ref="I22" si="5">(I21-I20)/I20*100</f>
        <v>-3.9992168203764429</v>
      </c>
      <c r="J22" s="106">
        <f t="shared" ref="J22" si="6">(J21-J20)/J20*100</f>
        <v>3.4563731746063731</v>
      </c>
    </row>
    <row r="23" spans="1:15" x14ac:dyDescent="0.25">
      <c r="L23" s="23"/>
      <c r="M23" s="23"/>
      <c r="N23" s="23"/>
    </row>
    <row r="24" spans="1:15" ht="15.75" thickBot="1" x14ac:dyDescent="0.3">
      <c r="A24" s="87" t="s">
        <v>266</v>
      </c>
      <c r="B24" s="48" t="s">
        <v>8</v>
      </c>
      <c r="C24" s="48" t="s">
        <v>9</v>
      </c>
      <c r="D24" s="48" t="s">
        <v>10</v>
      </c>
      <c r="E24" s="48" t="s">
        <v>11</v>
      </c>
      <c r="F24" s="48" t="s">
        <v>12</v>
      </c>
      <c r="G24" s="49" t="s">
        <v>13</v>
      </c>
      <c r="H24" s="48" t="s">
        <v>14</v>
      </c>
      <c r="I24" s="48" t="s">
        <v>15</v>
      </c>
      <c r="J24" s="48" t="s">
        <v>16</v>
      </c>
      <c r="L24" s="23"/>
      <c r="M24" s="23"/>
      <c r="N24" s="23"/>
    </row>
    <row r="25" spans="1:15" ht="15.75" thickTop="1" x14ac:dyDescent="0.25">
      <c r="A25" s="89" t="s">
        <v>267</v>
      </c>
      <c r="B25">
        <v>2.659344338505</v>
      </c>
      <c r="C25">
        <v>0.60179251757999996</v>
      </c>
      <c r="D25">
        <v>0.49057592257199995</v>
      </c>
      <c r="E25">
        <v>0.44534936757300003</v>
      </c>
      <c r="F25">
        <v>0.28123816794599998</v>
      </c>
      <c r="G25" s="90">
        <v>0.392604140544</v>
      </c>
      <c r="H25">
        <v>0.391588372932</v>
      </c>
      <c r="I25">
        <v>0.49451949094800002</v>
      </c>
      <c r="J25" s="22">
        <v>0.75909707835600004</v>
      </c>
    </row>
    <row r="26" spans="1:15" x14ac:dyDescent="0.25">
      <c r="A26" s="134" t="s">
        <v>268</v>
      </c>
      <c r="B26" s="7"/>
      <c r="C26" s="7"/>
      <c r="D26" s="7"/>
      <c r="E26" s="7"/>
      <c r="F26" s="7"/>
      <c r="G26" s="10"/>
      <c r="H26" s="7"/>
      <c r="I26" s="7"/>
      <c r="J26" s="11"/>
      <c r="K26">
        <v>49.792532381368119</v>
      </c>
    </row>
    <row r="27" spans="1:15" x14ac:dyDescent="0.25">
      <c r="A27" s="135" t="s">
        <v>321</v>
      </c>
      <c r="B27" s="44">
        <f>(B26-B25)/B25*100</f>
        <v>-100</v>
      </c>
      <c r="C27" s="45">
        <f t="shared" ref="C27:J27" si="7">(C26-C25)/C25*100</f>
        <v>-100</v>
      </c>
      <c r="D27" s="45">
        <f t="shared" si="7"/>
        <v>-100</v>
      </c>
      <c r="E27" s="45">
        <f t="shared" si="7"/>
        <v>-100</v>
      </c>
      <c r="F27" s="45">
        <f t="shared" si="7"/>
        <v>-100</v>
      </c>
      <c r="G27" s="47">
        <f t="shared" si="7"/>
        <v>-100</v>
      </c>
      <c r="H27" s="45">
        <f t="shared" si="7"/>
        <v>-100</v>
      </c>
      <c r="I27" s="45">
        <f t="shared" si="7"/>
        <v>-100</v>
      </c>
      <c r="J27" s="45">
        <f t="shared" si="7"/>
        <v>-100</v>
      </c>
    </row>
    <row r="28" spans="1:15" x14ac:dyDescent="0.25">
      <c r="A28" s="134" t="s">
        <v>269</v>
      </c>
      <c r="B28">
        <v>5.7072267003870003</v>
      </c>
      <c r="C28">
        <v>2.1003363054179998</v>
      </c>
      <c r="D28">
        <v>0.437639047038</v>
      </c>
      <c r="E28">
        <v>0.526643205138</v>
      </c>
      <c r="F28">
        <v>1.63369310616</v>
      </c>
      <c r="G28" s="9">
        <v>0.34203737791799999</v>
      </c>
      <c r="H28">
        <v>2.075894394309</v>
      </c>
      <c r="I28">
        <v>0.37832368852800002</v>
      </c>
      <c r="J28" s="8">
        <v>2.378682805725</v>
      </c>
    </row>
    <row r="29" spans="1:15" x14ac:dyDescent="0.25">
      <c r="A29" s="134" t="s">
        <v>270</v>
      </c>
      <c r="B29" s="7"/>
      <c r="C29" s="7"/>
      <c r="D29" s="7"/>
      <c r="E29" s="7"/>
      <c r="F29" s="7"/>
      <c r="G29" s="10"/>
      <c r="H29" s="7"/>
      <c r="I29" s="7"/>
      <c r="J29" s="11"/>
      <c r="K29">
        <v>62.240666855968534</v>
      </c>
    </row>
    <row r="30" spans="1:15" ht="15.75" thickBot="1" x14ac:dyDescent="0.3">
      <c r="A30" s="136" t="s">
        <v>321</v>
      </c>
      <c r="B30" s="44">
        <f>(B29-B28)/B28*100</f>
        <v>-100</v>
      </c>
      <c r="C30" s="45">
        <f t="shared" ref="C30" si="8">(C29-C28)/C28*100</f>
        <v>-100</v>
      </c>
      <c r="D30" s="45">
        <f t="shared" ref="D30" si="9">(D29-D28)/D28*100</f>
        <v>-100</v>
      </c>
      <c r="E30" s="45">
        <f t="shared" ref="E30" si="10">(E29-E28)/E28*100</f>
        <v>-100</v>
      </c>
      <c r="F30" s="45">
        <f t="shared" ref="F30" si="11">(F29-F28)/F28*100</f>
        <v>-100</v>
      </c>
      <c r="G30" s="47">
        <f t="shared" ref="G30" si="12">(G29-G28)/G28*100</f>
        <v>-100</v>
      </c>
      <c r="H30" s="45">
        <f t="shared" ref="H30" si="13">(H29-H28)/H28*100</f>
        <v>-100</v>
      </c>
      <c r="I30" s="45">
        <f t="shared" ref="I30" si="14">(I29-I28)/I28*100</f>
        <v>-100</v>
      </c>
      <c r="J30" s="45">
        <f t="shared" ref="J30" si="15">(J29-J28)/J28*100</f>
        <v>-100</v>
      </c>
      <c r="K30" s="23"/>
    </row>
    <row r="31" spans="1:15" x14ac:dyDescent="0.25">
      <c r="A31" s="134" t="s">
        <v>29</v>
      </c>
      <c r="B31" s="41">
        <v>3.5578552293679495</v>
      </c>
      <c r="C31" s="41">
        <v>1.4328364310522657</v>
      </c>
      <c r="D31" s="41">
        <v>0.48117608486713553</v>
      </c>
      <c r="E31" s="41">
        <v>0.52862891350141139</v>
      </c>
      <c r="F31" s="41">
        <v>0.78462261580769732</v>
      </c>
      <c r="G31" s="40">
        <v>0.20174842106432062</v>
      </c>
      <c r="H31" s="41">
        <v>0.74935846601944234</v>
      </c>
      <c r="I31" s="41">
        <v>0.21649055894619498</v>
      </c>
      <c r="J31" s="31">
        <v>1.0001005961707088</v>
      </c>
    </row>
    <row r="32" spans="1:15" x14ac:dyDescent="0.25">
      <c r="A32" s="134" t="s">
        <v>278</v>
      </c>
      <c r="B32" s="7"/>
      <c r="C32" s="7"/>
      <c r="D32" s="7"/>
      <c r="E32" s="7"/>
      <c r="F32" s="7"/>
      <c r="G32" s="10"/>
      <c r="H32" s="7"/>
      <c r="I32" s="7"/>
      <c r="J32" s="11"/>
      <c r="K32">
        <v>62.893079700829411</v>
      </c>
    </row>
    <row r="33" spans="1:11" x14ac:dyDescent="0.25">
      <c r="A33" s="137" t="s">
        <v>321</v>
      </c>
      <c r="B33" s="44">
        <f>(B32-B31)/B31*100</f>
        <v>-100</v>
      </c>
      <c r="C33" s="45">
        <f t="shared" ref="C33" si="16">(C32-C31)/C31*100</f>
        <v>-100</v>
      </c>
      <c r="D33" s="45">
        <f t="shared" ref="D33" si="17">(D32-D31)/D31*100</f>
        <v>-100</v>
      </c>
      <c r="E33" s="45">
        <f t="shared" ref="E33" si="18">(E32-E31)/E31*100</f>
        <v>-100</v>
      </c>
      <c r="F33" s="45">
        <f t="shared" ref="F33" si="19">(F32-F31)/F31*100</f>
        <v>-100</v>
      </c>
      <c r="G33" s="47">
        <f t="shared" ref="G33" si="20">(G32-G31)/G31*100</f>
        <v>-100</v>
      </c>
      <c r="H33" s="45">
        <f t="shared" ref="H33" si="21">(H32-H31)/H31*100</f>
        <v>-100</v>
      </c>
      <c r="I33" s="45">
        <f t="shared" ref="I33" si="22">(I32-I31)/I31*100</f>
        <v>-100</v>
      </c>
      <c r="J33" s="45">
        <f t="shared" ref="J33" si="23">(J32-J31)/J31*100</f>
        <v>-100</v>
      </c>
    </row>
    <row r="34" spans="1:11" x14ac:dyDescent="0.25">
      <c r="A34" s="138" t="s">
        <v>30</v>
      </c>
      <c r="B34" s="23">
        <v>5.2041646156252055</v>
      </c>
      <c r="C34" s="23">
        <v>1.8736028232735278</v>
      </c>
      <c r="D34" s="23">
        <v>0.47005481548118283</v>
      </c>
      <c r="E34" s="23">
        <v>0.48360276129079088</v>
      </c>
      <c r="F34" s="23">
        <v>0.93730826097443365</v>
      </c>
      <c r="G34" s="9">
        <v>0.1265958960561098</v>
      </c>
      <c r="H34" s="23">
        <v>1.2350206030171145</v>
      </c>
      <c r="I34" s="23">
        <v>0.42817125196967976</v>
      </c>
      <c r="J34" s="8">
        <v>1.9395411823782274</v>
      </c>
    </row>
    <row r="35" spans="1:11" x14ac:dyDescent="0.25">
      <c r="A35" s="134" t="s">
        <v>279</v>
      </c>
      <c r="B35" s="7"/>
      <c r="C35" s="7"/>
      <c r="D35" s="7"/>
      <c r="E35" s="7"/>
      <c r="F35" s="7"/>
      <c r="G35" s="10"/>
      <c r="H35" s="7"/>
      <c r="I35" s="7"/>
      <c r="J35" s="11"/>
      <c r="K35">
        <v>68.493153739171021</v>
      </c>
    </row>
    <row r="36" spans="1:11" ht="15.75" thickBot="1" x14ac:dyDescent="0.3">
      <c r="A36" s="136" t="s">
        <v>321</v>
      </c>
      <c r="B36" s="44">
        <f>(B35-B34)/B34*100</f>
        <v>-100</v>
      </c>
      <c r="C36" s="45">
        <f t="shared" ref="C36" si="24">(C35-C34)/C34*100</f>
        <v>-100</v>
      </c>
      <c r="D36" s="45">
        <f t="shared" ref="D36" si="25">(D35-D34)/D34*100</f>
        <v>-100</v>
      </c>
      <c r="E36" s="45">
        <f t="shared" ref="E36" si="26">(E35-E34)/E34*100</f>
        <v>-100</v>
      </c>
      <c r="F36" s="45">
        <f t="shared" ref="F36" si="27">(F35-F34)/F34*100</f>
        <v>-100</v>
      </c>
      <c r="G36" s="47">
        <f t="shared" ref="G36" si="28">(G35-G34)/G34*100</f>
        <v>-100</v>
      </c>
      <c r="H36" s="45">
        <f t="shared" ref="H36" si="29">(H35-H34)/H34*100</f>
        <v>-100</v>
      </c>
      <c r="I36" s="45">
        <f t="shared" ref="I36" si="30">(I35-I34)/I34*100</f>
        <v>-100</v>
      </c>
      <c r="J36" s="45">
        <f t="shared" ref="J36" si="31">(J35-J34)/J34*100</f>
        <v>-100</v>
      </c>
    </row>
    <row r="37" spans="1:11" x14ac:dyDescent="0.25">
      <c r="A37" s="89" t="s">
        <v>275</v>
      </c>
      <c r="B37" s="23">
        <v>4.2205166666666667</v>
      </c>
      <c r="C37" s="23">
        <v>1.7646833333333334</v>
      </c>
      <c r="D37" s="23">
        <v>0.36100833333333326</v>
      </c>
      <c r="E37" s="23">
        <v>0.16195833333333332</v>
      </c>
      <c r="F37" s="23">
        <v>0.65074166666666666</v>
      </c>
      <c r="G37" s="23">
        <v>0.55703333333333327</v>
      </c>
      <c r="H37" s="23">
        <v>0.24007499999999998</v>
      </c>
      <c r="I37" s="23">
        <v>0.20473333333333332</v>
      </c>
      <c r="J37" s="8">
        <v>0.63325833333333337</v>
      </c>
    </row>
    <row r="38" spans="1:11" x14ac:dyDescent="0.25">
      <c r="A38" s="134" t="s">
        <v>276</v>
      </c>
      <c r="B38" s="7"/>
      <c r="C38" s="7"/>
      <c r="D38" s="7"/>
      <c r="E38" s="7"/>
      <c r="F38" s="7"/>
      <c r="G38" s="10"/>
      <c r="H38" s="7"/>
      <c r="I38" s="7"/>
      <c r="J38" s="11"/>
      <c r="K38">
        <v>83.333333333333329</v>
      </c>
    </row>
    <row r="39" spans="1:11" x14ac:dyDescent="0.25">
      <c r="A39" s="137" t="s">
        <v>321</v>
      </c>
      <c r="B39" s="44">
        <f>(B38-B37)/B37*100</f>
        <v>-100</v>
      </c>
      <c r="C39" s="45">
        <f t="shared" ref="C39" si="32">(C38-C37)/C37*100</f>
        <v>-100</v>
      </c>
      <c r="D39" s="45">
        <f t="shared" ref="D39" si="33">(D38-D37)/D37*100</f>
        <v>-100</v>
      </c>
      <c r="E39" s="45">
        <f t="shared" ref="E39" si="34">(E38-E37)/E37*100</f>
        <v>-100</v>
      </c>
      <c r="F39" s="45">
        <f t="shared" ref="F39" si="35">(F38-F37)/F37*100</f>
        <v>-100</v>
      </c>
      <c r="G39" s="47">
        <f t="shared" ref="G39" si="36">(G38-G37)/G37*100</f>
        <v>-100</v>
      </c>
      <c r="H39" s="45">
        <f t="shared" ref="H39" si="37">(H38-H37)/H37*100</f>
        <v>-100</v>
      </c>
      <c r="I39" s="45">
        <f t="shared" ref="I39" si="38">(I38-I37)/I37*100</f>
        <v>-100</v>
      </c>
      <c r="J39" s="45">
        <f t="shared" ref="J39" si="39">(J38-J37)/J37*100</f>
        <v>-100</v>
      </c>
    </row>
    <row r="40" spans="1:11" x14ac:dyDescent="0.25">
      <c r="A40" s="138" t="s">
        <v>277</v>
      </c>
      <c r="B40" s="23">
        <v>3.7966363636363636</v>
      </c>
      <c r="C40" s="23">
        <v>1.3650818181818181</v>
      </c>
      <c r="D40" s="23">
        <v>0.26103636363636362</v>
      </c>
      <c r="E40" s="23">
        <v>0.13195454545454544</v>
      </c>
      <c r="F40" s="23">
        <v>0.5572818181818181</v>
      </c>
      <c r="G40" s="23">
        <v>0.51330909090909083</v>
      </c>
      <c r="H40" s="23">
        <v>0.62452727272727271</v>
      </c>
      <c r="I40" s="23">
        <v>0.20800909090909089</v>
      </c>
      <c r="J40" s="8">
        <v>0.97598181818181806</v>
      </c>
    </row>
    <row r="41" spans="1:11" x14ac:dyDescent="0.25">
      <c r="A41" s="134" t="s">
        <v>277</v>
      </c>
      <c r="B41" s="7"/>
      <c r="C41" s="7"/>
      <c r="D41" s="7"/>
      <c r="E41" s="7"/>
      <c r="F41" s="7"/>
      <c r="G41" s="10"/>
      <c r="H41" s="7"/>
      <c r="I41" s="7"/>
      <c r="J41" s="11"/>
      <c r="K41">
        <v>90.909090909090907</v>
      </c>
    </row>
    <row r="42" spans="1:11" ht="15.75" thickBot="1" x14ac:dyDescent="0.3">
      <c r="A42" s="136" t="s">
        <v>321</v>
      </c>
      <c r="B42" s="44">
        <f>(B41-B40)/B40*100</f>
        <v>-100</v>
      </c>
      <c r="C42" s="45">
        <f t="shared" ref="C42" si="40">(C41-C40)/C40*100</f>
        <v>-100</v>
      </c>
      <c r="D42" s="45">
        <f t="shared" ref="D42" si="41">(D41-D40)/D40*100</f>
        <v>-100</v>
      </c>
      <c r="E42" s="45">
        <f t="shared" ref="E42" si="42">(E41-E40)/E40*100</f>
        <v>-100</v>
      </c>
      <c r="F42" s="45">
        <f t="shared" ref="F42" si="43">(F41-F40)/F40*100</f>
        <v>-100</v>
      </c>
      <c r="G42" s="47">
        <f t="shared" ref="G42" si="44">(G41-G40)/G40*100</f>
        <v>-100</v>
      </c>
      <c r="H42" s="45">
        <f t="shared" ref="H42" si="45">(H41-H40)/H40*100</f>
        <v>-100</v>
      </c>
      <c r="I42" s="45">
        <f t="shared" ref="I42" si="46">(I41-I40)/I40*100</f>
        <v>-100</v>
      </c>
      <c r="J42" s="45">
        <f t="shared" ref="J42" si="47">(J41-J40)/J40*100</f>
        <v>-100</v>
      </c>
    </row>
    <row r="43" spans="1:11" x14ac:dyDescent="0.25">
      <c r="A43" s="8" t="s">
        <v>280</v>
      </c>
      <c r="F43" s="110">
        <v>0.27247354769803034</v>
      </c>
      <c r="G43" s="112">
        <v>0.59268026672214025</v>
      </c>
      <c r="H43" s="110">
        <v>0.13162499517202048</v>
      </c>
      <c r="I43" s="110">
        <v>0.7256105503078214</v>
      </c>
      <c r="J43" s="8"/>
    </row>
    <row r="44" spans="1:11" x14ac:dyDescent="0.25">
      <c r="A44" s="8" t="s">
        <v>281</v>
      </c>
      <c r="B44" s="7"/>
      <c r="C44" s="7"/>
      <c r="D44" s="7"/>
      <c r="E44" s="7"/>
      <c r="F44" s="97">
        <v>0.29806516000482447</v>
      </c>
      <c r="G44" s="129">
        <v>0.62883861126049057</v>
      </c>
      <c r="H44" s="97">
        <v>0.15606217322837115</v>
      </c>
      <c r="I44" s="97">
        <v>0.75250866332685318</v>
      </c>
      <c r="J44" s="11"/>
    </row>
    <row r="45" spans="1:11" x14ac:dyDescent="0.25">
      <c r="A45" s="38" t="s">
        <v>321</v>
      </c>
      <c r="B45" s="44"/>
      <c r="C45" s="45"/>
      <c r="D45" s="45"/>
      <c r="E45" s="45"/>
      <c r="F45" s="121">
        <f>(F44-F43)/F43*100</f>
        <v>9.3923290987336934</v>
      </c>
      <c r="G45" s="123">
        <f t="shared" ref="G45:I45" si="48">(G44-G43)/G43*100</f>
        <v>6.1008180242488201</v>
      </c>
      <c r="H45" s="121">
        <f t="shared" si="48"/>
        <v>18.565757988757206</v>
      </c>
      <c r="I45" s="121">
        <f t="shared" si="48"/>
        <v>3.7069627788103348</v>
      </c>
      <c r="J45" s="46"/>
    </row>
    <row r="46" spans="1:11" x14ac:dyDescent="0.25">
      <c r="A46" s="128" t="s">
        <v>282</v>
      </c>
      <c r="F46" s="108">
        <v>0.69459303238463499</v>
      </c>
      <c r="G46" s="103">
        <v>0.8192977434835601</v>
      </c>
      <c r="H46" s="108">
        <v>0.76276672771915943</v>
      </c>
      <c r="I46" s="108">
        <v>0.83986598111287769</v>
      </c>
      <c r="J46" s="8"/>
    </row>
    <row r="47" spans="1:11" x14ac:dyDescent="0.25">
      <c r="A47" s="8" t="s">
        <v>283</v>
      </c>
      <c r="B47" s="7"/>
      <c r="C47" s="7"/>
      <c r="D47" s="7"/>
      <c r="E47" s="7"/>
      <c r="F47" s="97">
        <v>0.62515469342041186</v>
      </c>
      <c r="G47" s="129">
        <v>0.80564120136195139</v>
      </c>
      <c r="H47" s="97">
        <v>0.77480315581509196</v>
      </c>
      <c r="I47" s="97">
        <v>0.82969584885432979</v>
      </c>
      <c r="J47" s="11"/>
    </row>
    <row r="48" spans="1:11" ht="15.75" thickBot="1" x14ac:dyDescent="0.3">
      <c r="A48" s="29" t="s">
        <v>321</v>
      </c>
      <c r="B48" s="13"/>
      <c r="C48" s="13"/>
      <c r="D48" s="13"/>
      <c r="E48" s="13"/>
      <c r="F48" s="105">
        <f>(F47-F46)/F46*100</f>
        <v>-9.996981790305556</v>
      </c>
      <c r="G48" s="114">
        <f t="shared" ref="G48" si="49">(G47-G46)/G46*100</f>
        <v>-1.6668594818219153</v>
      </c>
      <c r="H48" s="105">
        <f t="shared" ref="H48" si="50">(H47-H46)/H46*100</f>
        <v>1.577995953222042</v>
      </c>
      <c r="I48" s="105">
        <f t="shared" ref="I48" si="51">(I47-I46)/I46*100</f>
        <v>-1.2109232290932666</v>
      </c>
      <c r="J48" s="14"/>
    </row>
    <row r="49" spans="1:10" x14ac:dyDescent="0.25">
      <c r="A49" s="31" t="s">
        <v>43</v>
      </c>
      <c r="B49" s="7"/>
      <c r="C49" s="108">
        <v>0.58936561387781039</v>
      </c>
      <c r="F49" s="108">
        <v>0.78174952063101233</v>
      </c>
      <c r="G49" s="9"/>
      <c r="I49" s="7"/>
      <c r="J49" s="104">
        <v>1.0265813235094456</v>
      </c>
    </row>
    <row r="50" spans="1:10" x14ac:dyDescent="0.25">
      <c r="A50" s="8" t="s">
        <v>284</v>
      </c>
      <c r="B50" s="7"/>
      <c r="C50" s="97">
        <v>0.5806508748111352</v>
      </c>
      <c r="D50" s="7"/>
      <c r="E50" s="7"/>
      <c r="F50" s="97">
        <v>0.7989007319756759</v>
      </c>
      <c r="G50" s="10"/>
      <c r="H50" s="7"/>
      <c r="I50" s="7"/>
      <c r="J50" s="102">
        <v>1.0341172956258742</v>
      </c>
    </row>
    <row r="51" spans="1:10" x14ac:dyDescent="0.25">
      <c r="A51" s="38" t="s">
        <v>321</v>
      </c>
      <c r="B51" s="44"/>
      <c r="C51" s="121">
        <f>(C50-C49)/C49*100</f>
        <v>-1.4786643233790639</v>
      </c>
      <c r="D51" s="45"/>
      <c r="E51" s="45"/>
      <c r="F51" s="121">
        <f>(F50-F49)/F49*100</f>
        <v>2.1939522688570969</v>
      </c>
      <c r="G51" s="47"/>
      <c r="H51" s="45"/>
      <c r="I51" s="45"/>
      <c r="J51" s="121">
        <f>(J50-J49)/J49*100</f>
        <v>0.7340842799152284</v>
      </c>
    </row>
    <row r="52" spans="1:10" x14ac:dyDescent="0.25">
      <c r="A52" s="128" t="s">
        <v>44</v>
      </c>
      <c r="C52" s="108">
        <v>0.94030719941305219</v>
      </c>
      <c r="F52" s="108">
        <v>1.0284818954417076</v>
      </c>
      <c r="G52" s="9"/>
      <c r="J52" s="104">
        <v>1.2413614068347953</v>
      </c>
    </row>
    <row r="53" spans="1:10" x14ac:dyDescent="0.25">
      <c r="A53" s="8" t="s">
        <v>285</v>
      </c>
      <c r="B53" s="7"/>
      <c r="C53" s="97">
        <v>0.86321569139273147</v>
      </c>
      <c r="D53" s="7"/>
      <c r="E53" s="7"/>
      <c r="F53" s="97">
        <v>1.0353623546702297</v>
      </c>
      <c r="G53" s="10"/>
      <c r="H53" s="7"/>
      <c r="I53" s="7"/>
      <c r="J53" s="102">
        <v>1.2026418111210058</v>
      </c>
    </row>
    <row r="54" spans="1:10" ht="15.75" thickBot="1" x14ac:dyDescent="0.3">
      <c r="A54" s="29" t="s">
        <v>321</v>
      </c>
      <c r="B54" s="13"/>
      <c r="C54" s="105">
        <f>(C53-C52)/C52*100</f>
        <v>-8.1985449083493034</v>
      </c>
      <c r="D54" s="13"/>
      <c r="E54" s="13"/>
      <c r="F54" s="105">
        <f>(F53-F52)/F52*100</f>
        <v>0.66899176922964776</v>
      </c>
      <c r="G54" s="15"/>
      <c r="H54" s="13"/>
      <c r="I54" s="13"/>
      <c r="J54" s="105">
        <f>(J53-J52)/J52*100</f>
        <v>-3.119123528458664</v>
      </c>
    </row>
    <row r="55" spans="1:10" x14ac:dyDescent="0.25">
      <c r="A55" s="8" t="s">
        <v>21</v>
      </c>
      <c r="B55" s="7"/>
      <c r="C55" s="7"/>
      <c r="D55" s="7"/>
      <c r="E55" s="7"/>
      <c r="F55" s="110">
        <v>0.6055605234004936</v>
      </c>
      <c r="G55" s="112">
        <v>0.53013799316870647</v>
      </c>
      <c r="H55" s="7"/>
      <c r="I55" s="7"/>
      <c r="J55" s="11"/>
    </row>
    <row r="56" spans="1:10" x14ac:dyDescent="0.25">
      <c r="A56" s="8" t="s">
        <v>271</v>
      </c>
      <c r="B56" s="7"/>
      <c r="C56" s="7"/>
      <c r="D56" s="7"/>
      <c r="E56" s="7"/>
      <c r="F56" s="96">
        <v>0.59469394083927596</v>
      </c>
      <c r="G56" s="103">
        <v>0.53508015944677467</v>
      </c>
      <c r="H56" s="7"/>
      <c r="I56" s="7"/>
      <c r="J56" s="11"/>
    </row>
    <row r="57" spans="1:10" x14ac:dyDescent="0.25">
      <c r="A57" s="94" t="s">
        <v>321</v>
      </c>
      <c r="B57" s="45"/>
      <c r="C57" s="45"/>
      <c r="D57" s="45"/>
      <c r="E57" s="45"/>
      <c r="F57" s="121">
        <f>(F56-F55)/F55*100</f>
        <v>-1.7944668024588051</v>
      </c>
      <c r="G57" s="123">
        <f>(G56-G55)/G55*100</f>
        <v>0.93224148085071379</v>
      </c>
      <c r="H57" s="45"/>
      <c r="I57" s="45"/>
      <c r="J57" s="46"/>
    </row>
    <row r="58" spans="1:10" x14ac:dyDescent="0.25">
      <c r="A58" s="8" t="s">
        <v>22</v>
      </c>
      <c r="B58" s="7"/>
      <c r="C58" s="7"/>
      <c r="D58" s="7"/>
      <c r="E58" s="7"/>
      <c r="F58" s="108">
        <v>0.39367174506149483</v>
      </c>
      <c r="G58" s="103">
        <v>0.55617393628132084</v>
      </c>
      <c r="H58" s="7"/>
      <c r="I58" s="7"/>
      <c r="J58" s="11"/>
    </row>
    <row r="59" spans="1:10" x14ac:dyDescent="0.25">
      <c r="A59" s="8" t="s">
        <v>272</v>
      </c>
      <c r="B59" s="7"/>
      <c r="C59" s="7"/>
      <c r="D59" s="7"/>
      <c r="E59" s="7"/>
      <c r="F59" s="97">
        <v>0.39187478727951214</v>
      </c>
      <c r="G59" s="129">
        <v>0.61899379144580091</v>
      </c>
      <c r="H59" s="7"/>
      <c r="I59" s="7"/>
      <c r="J59" s="11"/>
    </row>
    <row r="60" spans="1:10" ht="15.75" thickBot="1" x14ac:dyDescent="0.3">
      <c r="A60" s="29" t="s">
        <v>321</v>
      </c>
      <c r="B60" s="13"/>
      <c r="C60" s="13"/>
      <c r="D60" s="13"/>
      <c r="E60" s="13"/>
      <c r="F60" s="105">
        <f>(F59-F58)/F58*100</f>
        <v>-0.45646094862662517</v>
      </c>
      <c r="G60" s="114">
        <f>(G59-G58)/G58*100</f>
        <v>11.295001629257378</v>
      </c>
      <c r="H60" s="13"/>
      <c r="I60" s="13"/>
      <c r="J60" s="14"/>
    </row>
    <row r="61" spans="1:10" x14ac:dyDescent="0.25">
      <c r="A61" s="8" t="s">
        <v>23</v>
      </c>
      <c r="B61" s="7"/>
      <c r="C61" s="110">
        <v>0.50415429254138933</v>
      </c>
      <c r="D61" s="7"/>
      <c r="E61" s="41"/>
      <c r="F61" s="7"/>
      <c r="G61" s="26"/>
      <c r="H61" s="7"/>
      <c r="I61" s="7"/>
      <c r="J61" s="11"/>
    </row>
    <row r="62" spans="1:10" x14ac:dyDescent="0.25">
      <c r="A62" s="8" t="s">
        <v>273</v>
      </c>
      <c r="B62" s="7"/>
      <c r="C62" s="96">
        <v>0.50696797422157414</v>
      </c>
      <c r="D62" s="7"/>
      <c r="E62" s="23"/>
      <c r="F62" s="7"/>
      <c r="G62" s="10"/>
      <c r="H62" s="7"/>
      <c r="I62" s="7"/>
      <c r="J62" s="11"/>
    </row>
    <row r="63" spans="1:10" x14ac:dyDescent="0.25">
      <c r="A63" s="38" t="s">
        <v>321</v>
      </c>
      <c r="B63" s="44"/>
      <c r="C63" s="121">
        <f>(C62-C61)/C61*100</f>
        <v>0.55809932034919973</v>
      </c>
      <c r="D63" s="45"/>
      <c r="E63" s="45"/>
      <c r="F63" s="45"/>
      <c r="G63" s="47"/>
      <c r="H63" s="45"/>
      <c r="I63" s="45"/>
      <c r="J63" s="46"/>
    </row>
    <row r="64" spans="1:10" x14ac:dyDescent="0.25">
      <c r="A64" s="128" t="s">
        <v>24</v>
      </c>
      <c r="B64" s="7"/>
      <c r="C64" s="108">
        <v>0.79401864699302172</v>
      </c>
      <c r="D64" s="7"/>
      <c r="E64" s="7"/>
      <c r="F64" s="7"/>
      <c r="G64" s="10"/>
      <c r="H64" s="7"/>
      <c r="I64" s="7"/>
      <c r="J64" s="11"/>
    </row>
    <row r="65" spans="1:12" x14ac:dyDescent="0.25">
      <c r="A65" s="8" t="s">
        <v>274</v>
      </c>
      <c r="B65" s="7"/>
      <c r="C65" s="97">
        <v>0.75315088331459912</v>
      </c>
      <c r="D65" s="7"/>
      <c r="E65" s="7"/>
      <c r="F65" s="7"/>
      <c r="G65" s="10"/>
      <c r="H65" s="7"/>
      <c r="I65" s="7"/>
      <c r="J65" s="11"/>
    </row>
    <row r="66" spans="1:12" ht="15.75" thickBot="1" x14ac:dyDescent="0.3">
      <c r="A66" s="29" t="s">
        <v>321</v>
      </c>
      <c r="B66" s="13"/>
      <c r="C66" s="105">
        <f>(C65-C64)/C64*100</f>
        <v>-5.1469526355823438</v>
      </c>
      <c r="D66" s="13"/>
      <c r="E66" s="13"/>
      <c r="F66" s="13"/>
      <c r="G66" s="15"/>
      <c r="H66" s="13"/>
      <c r="I66" s="13"/>
      <c r="J66" s="14"/>
    </row>
    <row r="68" spans="1:12" ht="15.75" thickBot="1" x14ac:dyDescent="0.3">
      <c r="A68" s="88" t="s">
        <v>140</v>
      </c>
      <c r="B68" s="48" t="s">
        <v>8</v>
      </c>
      <c r="C68" s="48" t="s">
        <v>9</v>
      </c>
      <c r="D68" s="48" t="s">
        <v>10</v>
      </c>
      <c r="E68" s="48" t="s">
        <v>11</v>
      </c>
      <c r="F68" s="48" t="s">
        <v>12</v>
      </c>
      <c r="G68" s="49" t="s">
        <v>13</v>
      </c>
      <c r="H68" s="48" t="s">
        <v>14</v>
      </c>
      <c r="I68" s="48" t="s">
        <v>15</v>
      </c>
      <c r="J68" s="37" t="s">
        <v>16</v>
      </c>
    </row>
    <row r="69" spans="1:12" x14ac:dyDescent="0.25">
      <c r="A69" s="134" t="s">
        <v>286</v>
      </c>
      <c r="B69" s="41">
        <v>2.3256387903162534</v>
      </c>
      <c r="C69" s="41">
        <v>0.73807252886581287</v>
      </c>
      <c r="D69" s="41">
        <v>0.13080641118061087</v>
      </c>
      <c r="E69" s="41">
        <v>0.21875716741747714</v>
      </c>
      <c r="F69" s="41">
        <v>0.3620292467538006</v>
      </c>
      <c r="G69" s="40">
        <v>0.43223938894169484</v>
      </c>
      <c r="H69" s="41">
        <v>0.7236385973170929</v>
      </c>
      <c r="I69" s="41">
        <v>0.28898480527997589</v>
      </c>
      <c r="J69" s="31">
        <v>1.2150920969577483</v>
      </c>
      <c r="L69" s="7"/>
    </row>
    <row r="70" spans="1:12" x14ac:dyDescent="0.25">
      <c r="A70" s="134" t="s">
        <v>289</v>
      </c>
      <c r="B70" s="7">
        <v>2.3714162229189508</v>
      </c>
      <c r="C70" s="7">
        <v>0.7747959498606769</v>
      </c>
      <c r="D70" s="7">
        <v>0.13324705778793985</v>
      </c>
      <c r="E70" s="7">
        <v>0.21672766916335412</v>
      </c>
      <c r="F70" s="7">
        <v>0.37586832536596715</v>
      </c>
      <c r="G70" s="7">
        <v>0.43566854116417858</v>
      </c>
      <c r="H70" s="7">
        <v>0.80060206990232752</v>
      </c>
      <c r="I70" s="7">
        <v>0.30778390764252073</v>
      </c>
      <c r="J70" s="11">
        <v>1.2043672484251842</v>
      </c>
    </row>
    <row r="71" spans="1:12" x14ac:dyDescent="0.25">
      <c r="A71" s="135" t="s">
        <v>321</v>
      </c>
      <c r="B71" s="44">
        <f>(B70-B69)/B69*100</f>
        <v>1.9683810225951868</v>
      </c>
      <c r="C71" s="45">
        <f t="shared" ref="C71" si="52">(C70-C69)/C69*100</f>
        <v>4.9755843170719913</v>
      </c>
      <c r="D71" s="45">
        <f t="shared" ref="D71" si="53">(D70-D69)/D69*100</f>
        <v>1.8658463184645147</v>
      </c>
      <c r="E71" s="45">
        <f t="shared" ref="E71" si="54">(E70-E69)/E69*100</f>
        <v>-0.92774023273482753</v>
      </c>
      <c r="F71" s="45">
        <f t="shared" ref="F71" si="55">(F70-F69)/F69*100</f>
        <v>3.8226410535218065</v>
      </c>
      <c r="G71" s="47">
        <f t="shared" ref="G71" si="56">(G70-G69)/G69*100</f>
        <v>0.79334561130112691</v>
      </c>
      <c r="H71" s="45">
        <f t="shared" ref="H71" si="57">(H70-H69)/H69*100</f>
        <v>10.635622929813101</v>
      </c>
      <c r="I71" s="45">
        <f t="shared" ref="I71" si="58">(I70-I69)/I69*100</f>
        <v>6.505221734523996</v>
      </c>
      <c r="J71" s="46">
        <f t="shared" ref="J71" si="59">(J70-J69)/J69*100</f>
        <v>-0.8826366790975102</v>
      </c>
    </row>
    <row r="72" spans="1:12" x14ac:dyDescent="0.25">
      <c r="A72" s="134" t="s">
        <v>290</v>
      </c>
      <c r="B72" s="23">
        <v>2.5222346487724341</v>
      </c>
      <c r="C72" s="23">
        <v>0.63026911704225064</v>
      </c>
      <c r="D72" s="23">
        <v>4.561590061704679E-2</v>
      </c>
      <c r="E72" s="23">
        <v>0.11677561123576252</v>
      </c>
      <c r="F72" s="23">
        <v>0.62412255226498359</v>
      </c>
      <c r="G72" s="9">
        <v>0.50061672618408304</v>
      </c>
      <c r="H72" s="23">
        <v>1.3013754997708538</v>
      </c>
      <c r="I72" s="23">
        <v>0.29200742458173495</v>
      </c>
      <c r="J72" s="8">
        <v>1.7368240480642101</v>
      </c>
    </row>
    <row r="73" spans="1:12" x14ac:dyDescent="0.25">
      <c r="A73" s="134" t="s">
        <v>291</v>
      </c>
      <c r="B73" s="7">
        <v>2.5361784136751662</v>
      </c>
      <c r="C73" s="7">
        <v>0.64486948827133728</v>
      </c>
      <c r="D73" s="7">
        <v>4.7868425097736624E-2</v>
      </c>
      <c r="E73" s="7">
        <v>0.11827121453468209</v>
      </c>
      <c r="F73" s="7">
        <v>0.62318324043700368</v>
      </c>
      <c r="G73" s="7">
        <v>0.46718452073384442</v>
      </c>
      <c r="H73" s="7">
        <v>1.3080965950836814</v>
      </c>
      <c r="I73" s="7">
        <v>0.27038501347357463</v>
      </c>
      <c r="J73" s="11">
        <v>1.7515703318102647</v>
      </c>
    </row>
    <row r="74" spans="1:12" ht="15.75" thickBot="1" x14ac:dyDescent="0.3">
      <c r="A74" s="136" t="s">
        <v>321</v>
      </c>
      <c r="B74" s="44">
        <f>(B73-B72)/B72*100</f>
        <v>0.55283377022508517</v>
      </c>
      <c r="C74" s="45">
        <f t="shared" ref="C74" si="60">(C73-C72)/C72*100</f>
        <v>2.3165296909364339</v>
      </c>
      <c r="D74" s="45">
        <f t="shared" ref="D74" si="61">(D73-D72)/D72*100</f>
        <v>4.9380247900839631</v>
      </c>
      <c r="E74" s="45">
        <f t="shared" ref="E74" si="62">(E73-E72)/E72*100</f>
        <v>1.2807497071456471</v>
      </c>
      <c r="F74" s="45">
        <f t="shared" ref="F74" si="63">(F73-F72)/F72*100</f>
        <v>-0.15050118355298617</v>
      </c>
      <c r="G74" s="47">
        <f t="shared" ref="G74" si="64">(G73-G72)/G72*100</f>
        <v>-6.6782038437016134</v>
      </c>
      <c r="H74" s="45">
        <f t="shared" ref="H74" si="65">(H73-H72)/H72*100</f>
        <v>0.51646087651189521</v>
      </c>
      <c r="I74" s="45">
        <f t="shared" ref="I74" si="66">(I73-I72)/I72*100</f>
        <v>-7.404747033104309</v>
      </c>
      <c r="J74" s="46">
        <f t="shared" ref="J74" si="67">(J73-J72)/J72*100</f>
        <v>0.84903728518096899</v>
      </c>
    </row>
    <row r="75" spans="1:12" x14ac:dyDescent="0.25">
      <c r="A75" s="89" t="s">
        <v>287</v>
      </c>
      <c r="B75" s="41">
        <v>1.3903019077023142</v>
      </c>
      <c r="C75" s="41"/>
      <c r="D75" s="41">
        <v>0.10120059473958701</v>
      </c>
      <c r="E75" s="41">
        <v>0.17686463612737638</v>
      </c>
      <c r="F75" s="41">
        <v>0.67031270351543593</v>
      </c>
      <c r="G75" s="40">
        <v>0.40894855311630218</v>
      </c>
      <c r="H75" s="41">
        <v>0.45790250413916539</v>
      </c>
      <c r="I75" s="41">
        <v>0.45481833248482745</v>
      </c>
      <c r="J75" s="31">
        <v>1.0848864753723544</v>
      </c>
    </row>
    <row r="76" spans="1:12" x14ac:dyDescent="0.25">
      <c r="A76" s="134" t="s">
        <v>292</v>
      </c>
      <c r="B76" s="7">
        <v>1.4791852131305527</v>
      </c>
      <c r="C76" s="7"/>
      <c r="D76" s="7">
        <v>0.13232357221999674</v>
      </c>
      <c r="E76" s="7">
        <v>0.19825986464772044</v>
      </c>
      <c r="F76" s="7">
        <v>0.69100477969320329</v>
      </c>
      <c r="G76" s="7">
        <v>0.39742655335104016</v>
      </c>
      <c r="H76" s="7">
        <v>0.54327004785451816</v>
      </c>
      <c r="I76" s="7">
        <v>0.45481833248482778</v>
      </c>
      <c r="J76" s="11">
        <v>1.0581763850074291</v>
      </c>
    </row>
    <row r="77" spans="1:12" x14ac:dyDescent="0.25">
      <c r="A77" s="135" t="s">
        <v>321</v>
      </c>
      <c r="B77" s="44">
        <f>(B76-B75)/B75*100</f>
        <v>6.3930938262993342</v>
      </c>
      <c r="C77" s="45"/>
      <c r="D77" s="45">
        <f t="shared" ref="D77" si="68">(D76-D75)/D75*100</f>
        <v>30.753749580717876</v>
      </c>
      <c r="E77" s="45">
        <f t="shared" ref="E77" si="69">(E76-E75)/E75*100</f>
        <v>12.096951085764484</v>
      </c>
      <c r="F77" s="45">
        <f t="shared" ref="F77" si="70">(F76-F75)/F75*100</f>
        <v>3.0869288422028038</v>
      </c>
      <c r="G77" s="47">
        <f t="shared" ref="G77" si="71">(G76-G75)/G75*100</f>
        <v>-2.8174692580426486</v>
      </c>
      <c r="H77" s="45">
        <f t="shared" ref="H77" si="72">(H76-H75)/H75*100</f>
        <v>18.643170313261255</v>
      </c>
      <c r="I77" s="45">
        <f t="shared" ref="I77" si="73">(I76-I75)/I75*100</f>
        <v>7.3230756897570302E-14</v>
      </c>
      <c r="J77" s="46">
        <f t="shared" ref="J77" si="74">(J76-J75)/J75*100</f>
        <v>-2.4620170839310997</v>
      </c>
    </row>
    <row r="78" spans="1:12" x14ac:dyDescent="0.25">
      <c r="A78" s="134" t="s">
        <v>293</v>
      </c>
      <c r="B78" s="23">
        <v>1.5360128226453302</v>
      </c>
      <c r="C78" s="23"/>
      <c r="D78" s="23">
        <v>6.4977272528465774E-2</v>
      </c>
      <c r="E78" s="23">
        <v>1.5808460670234968E-2</v>
      </c>
      <c r="F78" s="23">
        <v>1.02601102161775</v>
      </c>
      <c r="G78" s="9">
        <v>0.40415873738100722</v>
      </c>
      <c r="H78" s="23">
        <v>0.85900987047526778</v>
      </c>
      <c r="I78" s="23">
        <v>0.2689943535714982</v>
      </c>
      <c r="J78" s="8">
        <v>1.2882924033716483</v>
      </c>
    </row>
    <row r="79" spans="1:12" x14ac:dyDescent="0.25">
      <c r="A79" s="134" t="s">
        <v>294</v>
      </c>
      <c r="B79" s="7">
        <v>1.9712516481292994</v>
      </c>
      <c r="C79" s="7"/>
      <c r="D79" s="7">
        <v>9.5990895563926745E-2</v>
      </c>
      <c r="E79" s="7">
        <v>2.0645072505306856E-2</v>
      </c>
      <c r="F79" s="7">
        <v>1.0364767134004056</v>
      </c>
      <c r="G79" s="7">
        <v>0.4048336134510172</v>
      </c>
      <c r="H79" s="7">
        <v>0.88726774955818766</v>
      </c>
      <c r="I79" s="7">
        <v>0.32159889814978004</v>
      </c>
      <c r="J79" s="7">
        <v>1.348008710172536</v>
      </c>
    </row>
    <row r="80" spans="1:12" ht="15.75" thickBot="1" x14ac:dyDescent="0.3">
      <c r="A80" s="136" t="s">
        <v>321</v>
      </c>
      <c r="B80" s="44">
        <f>(B79-B78)/B78*100</f>
        <v>28.335624486154899</v>
      </c>
      <c r="C80" s="45"/>
      <c r="D80" s="45">
        <f t="shared" ref="D80" si="75">(D79-D78)/D78*100</f>
        <v>47.72995514989379</v>
      </c>
      <c r="E80" s="45">
        <f t="shared" ref="E80" si="76">(E79-E78)/E78*100</f>
        <v>30.595084087968942</v>
      </c>
      <c r="F80" s="45">
        <f t="shared" ref="F80" si="77">(F79-F78)/F78*100</f>
        <v>1.0200369744716682</v>
      </c>
      <c r="G80" s="47">
        <f t="shared" ref="G80" si="78">(G79-G78)/G78*100</f>
        <v>0.16698292220112806</v>
      </c>
      <c r="H80" s="45">
        <f t="shared" ref="H80" si="79">(H79-H78)/H78*100</f>
        <v>3.2895872392345775</v>
      </c>
      <c r="I80" s="45">
        <f t="shared" ref="I80" si="80">(I79-I78)/I78*100</f>
        <v>19.556003269153994</v>
      </c>
      <c r="J80" s="45">
        <f t="shared" ref="J80" si="81">(J79-J78)/J78*100</f>
        <v>4.6353069104965181</v>
      </c>
    </row>
    <row r="81" spans="1:17" x14ac:dyDescent="0.25">
      <c r="A81" s="89" t="s">
        <v>288</v>
      </c>
      <c r="B81" s="23">
        <v>3.6701086150013142</v>
      </c>
      <c r="C81" s="23">
        <v>1.6415909939238003</v>
      </c>
      <c r="D81" s="23">
        <v>0.62303712283968904</v>
      </c>
      <c r="E81" s="23"/>
      <c r="F81" s="23">
        <v>0.87218598476279652</v>
      </c>
      <c r="G81" s="9">
        <v>1.2592540130867274</v>
      </c>
      <c r="H81" s="23">
        <v>1.2286053094420999</v>
      </c>
      <c r="I81" s="23">
        <v>0.53097906931271788</v>
      </c>
      <c r="J81" s="8">
        <v>1.6642151811585886</v>
      </c>
    </row>
    <row r="82" spans="1:17" x14ac:dyDescent="0.25">
      <c r="A82" s="134" t="s">
        <v>295</v>
      </c>
      <c r="B82" s="7"/>
      <c r="C82" s="7"/>
      <c r="D82" s="7"/>
      <c r="E82" s="7"/>
      <c r="F82" s="7"/>
      <c r="G82" s="10"/>
      <c r="H82" s="7"/>
      <c r="I82" s="7"/>
      <c r="J82" s="11"/>
      <c r="K82">
        <v>58.917154257261508</v>
      </c>
    </row>
    <row r="83" spans="1:17" x14ac:dyDescent="0.25">
      <c r="A83" s="135" t="s">
        <v>321</v>
      </c>
      <c r="B83" s="44">
        <f>(B82-B81)/B81*100</f>
        <v>-100</v>
      </c>
      <c r="C83" s="45">
        <f t="shared" ref="C83" si="82">(C82-C81)/C81*100</f>
        <v>-100</v>
      </c>
      <c r="D83" s="45">
        <f t="shared" ref="D83" si="83">(D82-D81)/D81*100</f>
        <v>-100</v>
      </c>
      <c r="E83" s="45"/>
      <c r="F83" s="45">
        <f t="shared" ref="F83" si="84">(F82-F81)/F81*100</f>
        <v>-100</v>
      </c>
      <c r="G83" s="47">
        <f t="shared" ref="G83" si="85">(G82-G81)/G81*100</f>
        <v>-100</v>
      </c>
      <c r="H83" s="45">
        <f t="shared" ref="H83" si="86">(H82-H81)/H81*100</f>
        <v>-100</v>
      </c>
      <c r="I83" s="45">
        <f t="shared" ref="I83" si="87">(I82-I81)/I81*100</f>
        <v>-100</v>
      </c>
      <c r="J83" s="45">
        <f t="shared" ref="J83" si="88">(J82-J81)/J81*100</f>
        <v>-100</v>
      </c>
    </row>
    <row r="84" spans="1:17" x14ac:dyDescent="0.25">
      <c r="A84" s="134" t="s">
        <v>296</v>
      </c>
      <c r="B84" s="23">
        <v>3.0143451216214068</v>
      </c>
      <c r="C84" s="23">
        <v>1.4849793983359583</v>
      </c>
      <c r="D84" s="23">
        <v>0.59367409599261844</v>
      </c>
      <c r="E84" s="23"/>
      <c r="F84" s="23">
        <v>0.81000588618972624</v>
      </c>
      <c r="G84" s="9">
        <v>1.3714249351723697</v>
      </c>
      <c r="H84" s="23">
        <v>1.2645902734691929</v>
      </c>
      <c r="I84" s="23">
        <v>0.57719531013856407</v>
      </c>
      <c r="J84" s="8">
        <v>2.0477271353346378</v>
      </c>
    </row>
    <row r="85" spans="1:17" x14ac:dyDescent="0.25">
      <c r="A85" s="134" t="s">
        <v>297</v>
      </c>
      <c r="B85" s="7"/>
      <c r="C85" s="7"/>
      <c r="D85" s="7"/>
      <c r="E85" s="7"/>
      <c r="F85" s="7"/>
      <c r="G85" s="10"/>
      <c r="H85" s="7"/>
      <c r="I85" s="7"/>
      <c r="J85" s="11"/>
      <c r="K85">
        <v>50.907586821298459</v>
      </c>
    </row>
    <row r="86" spans="1:17" ht="15.75" thickBot="1" x14ac:dyDescent="0.3">
      <c r="A86" s="136" t="s">
        <v>321</v>
      </c>
      <c r="B86" s="44">
        <f>(B85-B84)/B84*100</f>
        <v>-100</v>
      </c>
      <c r="C86" s="45">
        <f t="shared" ref="C86" si="89">(C85-C84)/C84*100</f>
        <v>-100</v>
      </c>
      <c r="D86" s="45">
        <f t="shared" ref="D86" si="90">(D85-D84)/D84*100</f>
        <v>-100</v>
      </c>
      <c r="E86" s="45"/>
      <c r="F86" s="45">
        <f t="shared" ref="F86" si="91">(F85-F84)/F84*100</f>
        <v>-100</v>
      </c>
      <c r="G86" s="47">
        <f t="shared" ref="G86" si="92">(G85-G84)/G84*100</f>
        <v>-100</v>
      </c>
      <c r="H86" s="45">
        <f t="shared" ref="H86" si="93">(H85-H84)/H84*100</f>
        <v>-100</v>
      </c>
      <c r="I86" s="45">
        <f t="shared" ref="I86" si="94">(I85-I84)/I84*100</f>
        <v>-100</v>
      </c>
      <c r="J86" s="45">
        <f t="shared" ref="J86" si="95">(J85-J84)/J84*100</f>
        <v>-100</v>
      </c>
    </row>
    <row r="87" spans="1:17" x14ac:dyDescent="0.25">
      <c r="A87" s="8" t="s">
        <v>67</v>
      </c>
      <c r="B87" s="7"/>
      <c r="C87" s="7"/>
      <c r="D87" s="7"/>
      <c r="E87" s="7"/>
      <c r="G87" s="26"/>
      <c r="H87" s="108">
        <v>0.21433525066329853</v>
      </c>
      <c r="J87" s="11"/>
    </row>
    <row r="88" spans="1:17" x14ac:dyDescent="0.25">
      <c r="A88" s="8" t="s">
        <v>324</v>
      </c>
      <c r="B88" s="7"/>
      <c r="C88" s="7"/>
      <c r="D88" s="7"/>
      <c r="E88" s="7"/>
      <c r="G88" s="10"/>
      <c r="H88" s="97">
        <v>0.24164610544124301</v>
      </c>
      <c r="I88" s="7"/>
      <c r="J88" s="11"/>
    </row>
    <row r="89" spans="1:17" x14ac:dyDescent="0.25">
      <c r="A89" s="94" t="s">
        <v>321</v>
      </c>
      <c r="B89" s="45"/>
      <c r="C89" s="45"/>
      <c r="D89" s="45"/>
      <c r="E89" s="45"/>
      <c r="F89" s="45"/>
      <c r="G89" s="47"/>
      <c r="H89" s="121">
        <f>(H88-H87)/H87*100</f>
        <v>12.742119970199109</v>
      </c>
      <c r="I89" s="45"/>
      <c r="J89" s="46"/>
    </row>
    <row r="90" spans="1:17" x14ac:dyDescent="0.25">
      <c r="A90" s="8" t="s">
        <v>298</v>
      </c>
      <c r="B90" s="7"/>
      <c r="C90" s="7"/>
      <c r="D90" s="7"/>
      <c r="E90" s="7"/>
      <c r="F90" s="7"/>
      <c r="G90" s="10"/>
      <c r="H90" s="108">
        <v>1.0183024769221314</v>
      </c>
      <c r="I90" s="7"/>
      <c r="J90" s="11"/>
      <c r="L90" s="221" t="s">
        <v>329</v>
      </c>
      <c r="M90" s="222"/>
      <c r="N90" s="222"/>
      <c r="O90" s="222"/>
      <c r="P90" s="222"/>
      <c r="Q90" s="223"/>
    </row>
    <row r="91" spans="1:17" x14ac:dyDescent="0.25">
      <c r="A91" s="8" t="s">
        <v>325</v>
      </c>
      <c r="B91" s="7"/>
      <c r="C91" s="7"/>
      <c r="D91" s="7"/>
      <c r="E91" s="7"/>
      <c r="F91" s="7"/>
      <c r="G91" s="10"/>
      <c r="H91" s="97">
        <v>0.96862823316063618</v>
      </c>
      <c r="I91" s="7"/>
      <c r="J91" s="11"/>
      <c r="L91" s="224"/>
      <c r="M91" s="225"/>
      <c r="N91" s="225"/>
      <c r="O91" s="225"/>
      <c r="P91" s="225"/>
      <c r="Q91" s="226"/>
    </row>
    <row r="92" spans="1:17" ht="15.75" thickBot="1" x14ac:dyDescent="0.3">
      <c r="A92" s="29" t="s">
        <v>321</v>
      </c>
      <c r="B92" s="13"/>
      <c r="C92" s="13"/>
      <c r="D92" s="13"/>
      <c r="E92" s="13"/>
      <c r="F92" s="13"/>
      <c r="G92" s="15"/>
      <c r="H92" s="105">
        <f>(H91-H90)/H90*100</f>
        <v>-4.8781422894735575</v>
      </c>
      <c r="I92" s="13"/>
      <c r="J92" s="14"/>
      <c r="L92" s="227"/>
      <c r="M92" s="228"/>
      <c r="N92" s="228"/>
      <c r="O92" s="228"/>
      <c r="P92" s="228"/>
      <c r="Q92" s="229"/>
    </row>
    <row r="93" spans="1:17" x14ac:dyDescent="0.25">
      <c r="A93" s="8" t="s">
        <v>388</v>
      </c>
      <c r="B93" s="7"/>
      <c r="C93" s="7"/>
      <c r="D93" s="7"/>
      <c r="E93" s="7"/>
      <c r="G93" s="26"/>
      <c r="H93">
        <v>0.53668821698082092</v>
      </c>
      <c r="J93" s="11"/>
      <c r="K93" s="96"/>
    </row>
    <row r="94" spans="1:17" x14ac:dyDescent="0.25">
      <c r="A94" s="8" t="s">
        <v>391</v>
      </c>
      <c r="B94" s="7"/>
      <c r="C94" s="7"/>
      <c r="D94" s="7"/>
      <c r="E94" s="7"/>
      <c r="G94" s="10"/>
      <c r="H94" s="7">
        <v>0.53048729324792177</v>
      </c>
      <c r="I94" s="7"/>
      <c r="J94" s="11"/>
      <c r="K94" s="96"/>
    </row>
    <row r="95" spans="1:17" x14ac:dyDescent="0.25">
      <c r="A95" s="94" t="s">
        <v>321</v>
      </c>
      <c r="B95" s="45"/>
      <c r="C95" s="45"/>
      <c r="D95" s="45"/>
      <c r="E95" s="45"/>
      <c r="F95" s="45"/>
      <c r="G95" s="47"/>
      <c r="H95" s="121">
        <f>(H94-H93)/H93*(100)</f>
        <v>-1.1554052309519498</v>
      </c>
      <c r="I95" s="45"/>
      <c r="J95" s="46"/>
      <c r="K95" s="23"/>
    </row>
    <row r="96" spans="1:17" x14ac:dyDescent="0.25">
      <c r="A96" s="8" t="s">
        <v>389</v>
      </c>
      <c r="B96" s="7"/>
      <c r="C96" s="7"/>
      <c r="D96" s="7"/>
      <c r="E96" s="7"/>
      <c r="F96" s="7"/>
      <c r="G96" s="10"/>
      <c r="H96">
        <v>1.0824999788235248</v>
      </c>
      <c r="I96" s="7"/>
      <c r="J96" s="11"/>
      <c r="K96" s="96"/>
    </row>
    <row r="97" spans="1:11" x14ac:dyDescent="0.25">
      <c r="A97" s="8" t="s">
        <v>390</v>
      </c>
      <c r="B97" s="7"/>
      <c r="C97" s="7"/>
      <c r="D97" s="7"/>
      <c r="E97" s="7"/>
      <c r="F97" s="7"/>
      <c r="G97" s="10"/>
      <c r="H97" s="7">
        <v>1.1653076695112863</v>
      </c>
      <c r="I97" s="7"/>
      <c r="J97" s="11"/>
      <c r="K97" s="96"/>
    </row>
    <row r="98" spans="1:11" ht="15.75" thickBot="1" x14ac:dyDescent="0.3">
      <c r="A98" s="29" t="s">
        <v>321</v>
      </c>
      <c r="B98" s="13"/>
      <c r="C98" s="13"/>
      <c r="D98" s="13"/>
      <c r="E98" s="13"/>
      <c r="F98" s="13"/>
      <c r="G98" s="15"/>
      <c r="H98" s="108">
        <f>(H97-H96)/H96*(100)</f>
        <v>7.6496713448214555</v>
      </c>
      <c r="I98" s="13"/>
      <c r="J98" s="14"/>
    </row>
    <row r="99" spans="1:11" x14ac:dyDescent="0.25">
      <c r="H99" s="41"/>
    </row>
    <row r="100" spans="1:11" x14ac:dyDescent="0.25">
      <c r="J100" s="23"/>
    </row>
    <row r="101" spans="1:11" ht="15.75" thickBot="1" x14ac:dyDescent="0.3">
      <c r="A101" s="88" t="s">
        <v>299</v>
      </c>
      <c r="B101" s="13"/>
      <c r="C101" s="13"/>
      <c r="D101" s="13"/>
      <c r="E101" s="13"/>
      <c r="F101" s="13"/>
      <c r="G101" s="13"/>
      <c r="H101" s="13"/>
      <c r="I101" s="13"/>
      <c r="J101" s="13"/>
    </row>
    <row r="102" spans="1:11" x14ac:dyDescent="0.25">
      <c r="A102" s="134" t="s">
        <v>375</v>
      </c>
      <c r="B102" s="110">
        <v>5.4205414924059001</v>
      </c>
      <c r="C102" s="110">
        <v>2.4235263042042705</v>
      </c>
      <c r="D102" s="110">
        <v>0.22890600924499233</v>
      </c>
      <c r="E102" s="110">
        <v>0.31206691613471277</v>
      </c>
      <c r="F102" s="110">
        <v>0.53692273827867054</v>
      </c>
      <c r="G102" s="112">
        <v>0.41824345146379055</v>
      </c>
      <c r="H102" s="110">
        <v>0.65061853400836467</v>
      </c>
      <c r="I102" s="110">
        <v>0.57488003521901843</v>
      </c>
      <c r="J102" s="111">
        <v>1.4346202949592786</v>
      </c>
    </row>
    <row r="103" spans="1:11" x14ac:dyDescent="0.25">
      <c r="A103" s="134" t="s">
        <v>355</v>
      </c>
      <c r="B103" s="97">
        <v>5.4170195905789127</v>
      </c>
      <c r="C103" s="97">
        <v>2.4138322694254892</v>
      </c>
      <c r="D103" s="97">
        <v>0.22806075280651547</v>
      </c>
      <c r="E103" s="97">
        <v>0.3079815100154083</v>
      </c>
      <c r="F103" s="97">
        <v>0.5032093330398415</v>
      </c>
      <c r="G103" s="129">
        <v>0.42224961479198758</v>
      </c>
      <c r="H103" s="97">
        <v>0.71580893682588576</v>
      </c>
      <c r="I103" s="97">
        <v>0.57309267004182241</v>
      </c>
      <c r="J103" s="102">
        <v>1.5726876513317187</v>
      </c>
    </row>
    <row r="104" spans="1:11" ht="15.75" thickBot="1" x14ac:dyDescent="0.3">
      <c r="A104" s="135" t="s">
        <v>321</v>
      </c>
      <c r="B104" s="113">
        <f>(B103-B102)/B102*100</f>
        <v>-6.4973247265454018E-2</v>
      </c>
      <c r="C104" s="105">
        <f t="shared" ref="C104:J104" si="96">(C103-C102)/C102*100</f>
        <v>-0.39999709357246588</v>
      </c>
      <c r="D104" s="105">
        <f t="shared" si="96"/>
        <v>-0.36925917378263234</v>
      </c>
      <c r="E104" s="105">
        <f t="shared" si="96"/>
        <v>-1.3091442597974354</v>
      </c>
      <c r="F104" s="105">
        <f t="shared" si="96"/>
        <v>-6.2790049359636741</v>
      </c>
      <c r="G104" s="114">
        <f t="shared" si="96"/>
        <v>0.95785440613022144</v>
      </c>
      <c r="H104" s="105">
        <f t="shared" si="96"/>
        <v>10.019758031775186</v>
      </c>
      <c r="I104" s="105">
        <f t="shared" si="96"/>
        <v>-0.3109109845004564</v>
      </c>
      <c r="J104" s="106">
        <f t="shared" si="96"/>
        <v>9.6239650908018959</v>
      </c>
    </row>
    <row r="105" spans="1:11" x14ac:dyDescent="0.25">
      <c r="A105" s="134" t="s">
        <v>300</v>
      </c>
      <c r="B105" s="108">
        <v>5.8641903572575158</v>
      </c>
      <c r="C105" s="108">
        <v>2.5526437605157257</v>
      </c>
      <c r="D105" s="108">
        <v>0.2596178423996241</v>
      </c>
      <c r="E105" s="108">
        <v>0.27201537557596112</v>
      </c>
      <c r="F105" s="108">
        <v>0.52790748652885611</v>
      </c>
      <c r="G105" s="103">
        <v>0.36466867721149393</v>
      </c>
      <c r="H105" s="108">
        <v>0.95226182681748039</v>
      </c>
      <c r="I105" s="108">
        <v>0.51143291224083776</v>
      </c>
      <c r="J105" s="104">
        <v>1.7024373913668394</v>
      </c>
    </row>
    <row r="106" spans="1:11" x14ac:dyDescent="0.25">
      <c r="A106" s="134" t="s">
        <v>356</v>
      </c>
      <c r="B106" s="97">
        <v>5.8712073055653757</v>
      </c>
      <c r="C106" s="97">
        <v>2.5579318954723731</v>
      </c>
      <c r="D106" s="97">
        <v>0.26270566945472967</v>
      </c>
      <c r="E106" s="97">
        <v>0.26168872042460506</v>
      </c>
      <c r="F106" s="97">
        <v>0.53786434203289402</v>
      </c>
      <c r="G106" s="129">
        <v>0.35328809306528147</v>
      </c>
      <c r="H106" s="97">
        <v>0.91687200056914453</v>
      </c>
      <c r="I106" s="97">
        <v>0.55449608117102245</v>
      </c>
      <c r="J106" s="102">
        <v>1.6966500268863118</v>
      </c>
    </row>
    <row r="107" spans="1:11" ht="15.75" thickBot="1" x14ac:dyDescent="0.3">
      <c r="A107" s="136" t="s">
        <v>321</v>
      </c>
      <c r="B107" s="113">
        <f>(B106-B105)/B105*100</f>
        <v>0.11965758067822201</v>
      </c>
      <c r="C107" s="105">
        <f t="shared" ref="C107" si="97">(C106-C105)/C105*100</f>
        <v>0.20716306123260142</v>
      </c>
      <c r="D107" s="105">
        <f t="shared" ref="D107" si="98">(D106-D105)/D105*100</f>
        <v>1.1893739762125244</v>
      </c>
      <c r="E107" s="105">
        <f t="shared" ref="E107" si="99">(E106-E105)/E105*100</f>
        <v>-3.796349794378556</v>
      </c>
      <c r="F107" s="105">
        <f t="shared" ref="F107" si="100">(F106-F105)/F105*100</f>
        <v>1.8860985604707188</v>
      </c>
      <c r="G107" s="114">
        <f t="shared" ref="G107" si="101">(G106-G105)/G105*100</f>
        <v>-3.1208011154772564</v>
      </c>
      <c r="H107" s="105">
        <f t="shared" ref="H107" si="102">(H106-H105)/H105*100</f>
        <v>-3.7163966098075063</v>
      </c>
      <c r="I107" s="105">
        <f t="shared" ref="I107" si="103">(I106-I105)/I105*100</f>
        <v>8.4201012292118413</v>
      </c>
      <c r="J107" s="106">
        <f t="shared" ref="J107" si="104">(J106-J105)/J105*100</f>
        <v>-0.33994580416734216</v>
      </c>
    </row>
    <row r="108" spans="1:11" x14ac:dyDescent="0.25">
      <c r="A108" s="134" t="s">
        <v>301</v>
      </c>
      <c r="B108" s="96">
        <v>4.2907268047552698</v>
      </c>
      <c r="C108" s="96">
        <v>1.0653172246937059</v>
      </c>
      <c r="D108" s="96">
        <v>0.13720408420279082</v>
      </c>
      <c r="E108" s="96">
        <v>0.17206610817051984</v>
      </c>
      <c r="F108" s="96">
        <v>0.80127185174429827</v>
      </c>
      <c r="G108" s="103">
        <v>1.453018566456324</v>
      </c>
      <c r="H108" s="96">
        <v>0.62159123207070177</v>
      </c>
      <c r="I108" s="96">
        <v>0.19133771399453206</v>
      </c>
      <c r="J108" s="104">
        <v>0.66041179347546075</v>
      </c>
    </row>
    <row r="109" spans="1:11" x14ac:dyDescent="0.25">
      <c r="A109" s="134" t="s">
        <v>357</v>
      </c>
      <c r="B109" s="97">
        <v>4.7240980445760234</v>
      </c>
      <c r="C109" s="97">
        <v>1.1855961592839752</v>
      </c>
      <c r="D109" s="97">
        <v>0.15196916506534508</v>
      </c>
      <c r="E109" s="97">
        <v>0.18493680362374762</v>
      </c>
      <c r="F109" s="97">
        <v>0.87076722953976893</v>
      </c>
      <c r="G109" s="129">
        <v>1.6089705305072066</v>
      </c>
      <c r="H109" s="97">
        <v>0.6990137833429092</v>
      </c>
      <c r="I109" s="97">
        <v>0.19125113260170301</v>
      </c>
      <c r="J109" s="102">
        <v>0.74123565807544545</v>
      </c>
    </row>
    <row r="110" spans="1:11" x14ac:dyDescent="0.25">
      <c r="A110" s="135" t="s">
        <v>321</v>
      </c>
      <c r="B110" s="130">
        <f>(B109-B108)/B108*100</f>
        <v>10.100182545774359</v>
      </c>
      <c r="C110" s="121">
        <f t="shared" ref="C110" si="105">(C109-C108)/C108*100</f>
        <v>11.290433666352406</v>
      </c>
      <c r="D110" s="121">
        <f t="shared" ref="D110" si="106">(D109-D108)/D108*100</f>
        <v>10.761400397331563</v>
      </c>
      <c r="E110" s="121">
        <f t="shared" ref="E110" si="107">(E109-E108)/E108*100</f>
        <v>7.4800875024573363</v>
      </c>
      <c r="F110" s="121">
        <f t="shared" ref="F110" si="108">(F109-F108)/F108*100</f>
        <v>8.6731335493921744</v>
      </c>
      <c r="G110" s="123">
        <f t="shared" ref="G110" si="109">(G109-G108)/G108*100</f>
        <v>10.732964302804755</v>
      </c>
      <c r="H110" s="121">
        <f t="shared" ref="H110" si="110">(H109-H108)/H108*100</f>
        <v>12.455541081924583</v>
      </c>
      <c r="I110" s="121">
        <f t="shared" ref="I110" si="111">(I109-I108)/I108*100</f>
        <v>-4.5250563007940808E-2</v>
      </c>
      <c r="J110" s="122">
        <f t="shared" ref="J110" si="112">(J109-J108)/J108*100</f>
        <v>12.238404189398825</v>
      </c>
    </row>
    <row r="111" spans="1:11" x14ac:dyDescent="0.25">
      <c r="A111" s="134" t="s">
        <v>302</v>
      </c>
      <c r="B111" s="96">
        <v>4.8258576625267642</v>
      </c>
      <c r="C111" s="96">
        <v>1.0973434734515273</v>
      </c>
      <c r="D111" s="96">
        <v>0.13335899781406516</v>
      </c>
      <c r="E111" s="96">
        <v>0.16591985676041784</v>
      </c>
      <c r="F111" s="96">
        <v>0.98334348717456088</v>
      </c>
      <c r="G111" s="103">
        <v>1.5354820955939308</v>
      </c>
      <c r="H111" s="96">
        <v>1.0499259136741725</v>
      </c>
      <c r="I111" s="117"/>
      <c r="J111" s="104">
        <v>0.88877647236415724</v>
      </c>
    </row>
    <row r="112" spans="1:11" x14ac:dyDescent="0.25">
      <c r="A112" s="134" t="s">
        <v>358</v>
      </c>
      <c r="B112" s="97">
        <v>4.8153091275870166</v>
      </c>
      <c r="C112" s="97">
        <v>1.1024097286197838</v>
      </c>
      <c r="D112" s="97">
        <v>0.13792602345844285</v>
      </c>
      <c r="E112" s="97">
        <v>0.17231739065901977</v>
      </c>
      <c r="F112" s="97">
        <v>1.0015930997697056</v>
      </c>
      <c r="G112" s="129">
        <v>1.5309797848878337</v>
      </c>
      <c r="H112" s="97">
        <v>1.0428904753839467</v>
      </c>
      <c r="I112" s="97"/>
      <c r="J112" s="102">
        <v>0.87956846114593801</v>
      </c>
    </row>
    <row r="113" spans="1:16" ht="15.75" thickBot="1" x14ac:dyDescent="0.3">
      <c r="A113" s="136" t="s">
        <v>321</v>
      </c>
      <c r="B113" s="130">
        <f>(B112-B111)/B111*100</f>
        <v>-0.21858363170671136</v>
      </c>
      <c r="C113" s="121">
        <f t="shared" ref="C113" si="113">(C112-C111)/C111*100</f>
        <v>0.46168362876587798</v>
      </c>
      <c r="D113" s="121">
        <f t="shared" ref="D113" si="114">(D112-D111)/D111*100</f>
        <v>3.4246100519930689</v>
      </c>
      <c r="E113" s="121">
        <f t="shared" ref="E113" si="115">(E112-E111)/E111*100</f>
        <v>3.8557976263442226</v>
      </c>
      <c r="F113" s="121">
        <f t="shared" ref="F113" si="116">(F112-F111)/F111*100</f>
        <v>1.8558736426455886</v>
      </c>
      <c r="G113" s="123">
        <f t="shared" ref="G113" si="117">(G112-G111)/G111*100</f>
        <v>-0.29321805308029764</v>
      </c>
      <c r="H113" s="121">
        <f t="shared" ref="H113" si="118">(H112-H111)/H111*100</f>
        <v>-0.67008902233925871</v>
      </c>
      <c r="I113" s="121"/>
      <c r="J113" s="122">
        <f t="shared" ref="J113" si="119">(J112-J111)/J111*100</f>
        <v>-1.0360322875926051</v>
      </c>
      <c r="K113" s="23"/>
    </row>
    <row r="114" spans="1:16" x14ac:dyDescent="0.25">
      <c r="A114" s="134" t="s">
        <v>303</v>
      </c>
      <c r="B114" s="110">
        <v>3.3160711000411363</v>
      </c>
      <c r="C114" s="110">
        <v>0.96456606347947593</v>
      </c>
      <c r="D114" s="110">
        <v>0.2823626280256637</v>
      </c>
      <c r="E114" s="110">
        <v>0.27795584806993723</v>
      </c>
      <c r="F114" s="110">
        <v>0.43308682916872848</v>
      </c>
      <c r="G114" s="112">
        <v>0.56985622711865924</v>
      </c>
      <c r="H114" s="110">
        <v>0.30720084232157668</v>
      </c>
      <c r="I114" s="110">
        <v>0.19504880605905495</v>
      </c>
      <c r="J114" s="111">
        <v>0.42336417828738787</v>
      </c>
    </row>
    <row r="115" spans="1:16" x14ac:dyDescent="0.25">
      <c r="A115" s="134" t="s">
        <v>361</v>
      </c>
      <c r="B115" s="97">
        <v>3.3179098264096112</v>
      </c>
      <c r="C115" s="97">
        <v>0.94883416720396341</v>
      </c>
      <c r="D115" s="97">
        <v>0.28196714777322684</v>
      </c>
      <c r="E115" s="97">
        <v>0.27988188826037724</v>
      </c>
      <c r="F115" s="97">
        <v>0.42429381368597369</v>
      </c>
      <c r="G115" s="129">
        <v>0.58406269956334433</v>
      </c>
      <c r="H115" s="97">
        <v>0.30633284020908519</v>
      </c>
      <c r="I115" s="97">
        <v>0.18731382865424839</v>
      </c>
      <c r="J115" s="102">
        <v>0.42475606333167931</v>
      </c>
    </row>
    <row r="116" spans="1:16" x14ac:dyDescent="0.25">
      <c r="A116" s="135" t="s">
        <v>321</v>
      </c>
      <c r="B116" s="130">
        <f>(B115-B114)/B114*100</f>
        <v>5.5448942830330757E-2</v>
      </c>
      <c r="C116" s="121">
        <f t="shared" ref="C116" si="120">(C115-C114)/C114*100</f>
        <v>-1.6309817306616519</v>
      </c>
      <c r="D116" s="121">
        <f t="shared" ref="D116" si="121">(D115-D114)/D114*100</f>
        <v>-0.14006111757853024</v>
      </c>
      <c r="E116" s="121">
        <f t="shared" ref="E116" si="122">(E115-E114)/E114*100</f>
        <v>0.69293026349832321</v>
      </c>
      <c r="F116" s="121">
        <f t="shared" ref="F116" si="123">(F115-F114)/F114*100</f>
        <v>-2.0303123739948878</v>
      </c>
      <c r="G116" s="123">
        <f t="shared" ref="G116" si="124">(G115-G114)/G114*100</f>
        <v>2.492992402051426</v>
      </c>
      <c r="H116" s="121">
        <f t="shared" ref="H116" si="125">(H115-H114)/H114*100</f>
        <v>-0.28255199625490401</v>
      </c>
      <c r="I116" s="121">
        <f t="shared" ref="I116" si="126">(I115-I114)/I114*100</f>
        <v>-3.9656625236991374</v>
      </c>
      <c r="J116" s="122">
        <f t="shared" ref="J116" si="127">(J115-J114)/J114*100</f>
        <v>0.32876778803581302</v>
      </c>
    </row>
    <row r="117" spans="1:16" x14ac:dyDescent="0.25">
      <c r="A117" s="134" t="s">
        <v>304</v>
      </c>
      <c r="B117" s="108">
        <v>3.4025200935513338</v>
      </c>
      <c r="C117" s="108">
        <v>1.1066742405501007</v>
      </c>
      <c r="D117" s="108">
        <v>0.33353064342257766</v>
      </c>
      <c r="E117" s="108">
        <v>0.39352013472088254</v>
      </c>
      <c r="F117" s="108">
        <v>0.58297722494831938</v>
      </c>
      <c r="G117" s="103">
        <v>0.57887915144922353</v>
      </c>
      <c r="H117" s="108">
        <v>0.7938651379998749</v>
      </c>
      <c r="I117" s="108">
        <v>0.31485288535939027</v>
      </c>
      <c r="J117" s="104">
        <v>1.0909912285054835</v>
      </c>
    </row>
    <row r="118" spans="1:16" x14ac:dyDescent="0.25">
      <c r="A118" s="134" t="s">
        <v>362</v>
      </c>
      <c r="B118" s="97">
        <v>3.4725866425051106</v>
      </c>
      <c r="C118" s="97">
        <v>1.1173029619458337</v>
      </c>
      <c r="D118" s="97">
        <v>0.33452363815505115</v>
      </c>
      <c r="E118" s="97">
        <v>0.38420489842101474</v>
      </c>
      <c r="F118" s="97">
        <v>0.58686514083207764</v>
      </c>
      <c r="G118" s="129">
        <v>0.57616811821136049</v>
      </c>
      <c r="H118" s="97">
        <v>0.79940804510442209</v>
      </c>
      <c r="I118" s="97">
        <v>0.29477232521382019</v>
      </c>
      <c r="J118" s="102">
        <v>1.1006111933475928</v>
      </c>
    </row>
    <row r="119" spans="1:16" ht="15.75" thickBot="1" x14ac:dyDescent="0.3">
      <c r="A119" s="136" t="s">
        <v>321</v>
      </c>
      <c r="B119" s="113">
        <f>(B118-B117)/B117*100</f>
        <v>2.0592545239209987</v>
      </c>
      <c r="C119" s="105">
        <f t="shared" ref="C119" si="128">(C118-C117)/C117*100</f>
        <v>0.96042005915396855</v>
      </c>
      <c r="D119" s="105">
        <f t="shared" ref="D119" si="129">(D118-D117)/D117*100</f>
        <v>0.29772218896702335</v>
      </c>
      <c r="E119" s="105">
        <f t="shared" ref="E119" si="130">(E118-E117)/E117*100</f>
        <v>-2.3671562082776139</v>
      </c>
      <c r="F119" s="105">
        <f t="shared" ref="F119" si="131">(F118-F117)/F117*100</f>
        <v>0.66690699351126703</v>
      </c>
      <c r="G119" s="114">
        <f t="shared" ref="G119" si="132">(G118-G117)/G117*100</f>
        <v>-0.46832455981113963</v>
      </c>
      <c r="H119" s="105">
        <f t="shared" ref="H119" si="133">(H118-H117)/H117*100</f>
        <v>0.69821772480303368</v>
      </c>
      <c r="I119" s="105">
        <f t="shared" ref="I119" si="134">(I118-I117)/I117*100</f>
        <v>-6.3777596075224245</v>
      </c>
      <c r="J119" s="106">
        <f t="shared" ref="J119" si="135">(J118-J117)/J117*100</f>
        <v>0.88176372007018489</v>
      </c>
    </row>
    <row r="120" spans="1:16" x14ac:dyDescent="0.25">
      <c r="A120" s="89" t="s">
        <v>305</v>
      </c>
      <c r="B120" s="96">
        <v>3.4172181793170813</v>
      </c>
      <c r="C120" s="96">
        <v>1.4734006568367197</v>
      </c>
      <c r="D120" s="96">
        <v>0.646041462407272</v>
      </c>
      <c r="E120" s="96">
        <v>0.43539545784107159</v>
      </c>
      <c r="F120" s="96">
        <v>0.54943068226224967</v>
      </c>
      <c r="G120" s="103">
        <v>0.10948528645167296</v>
      </c>
      <c r="H120" s="96">
        <v>0.2941021918789764</v>
      </c>
      <c r="I120" s="96">
        <v>0.24195824848820321</v>
      </c>
      <c r="J120" s="104">
        <v>0.57319520898542253</v>
      </c>
    </row>
    <row r="121" spans="1:16" x14ac:dyDescent="0.25">
      <c r="A121" s="134" t="s">
        <v>359</v>
      </c>
      <c r="B121" s="97">
        <v>3.3272925201195944</v>
      </c>
      <c r="C121" s="97">
        <v>1.4020208170420718</v>
      </c>
      <c r="D121" s="97">
        <v>0.58272689756223051</v>
      </c>
      <c r="E121" s="97">
        <v>0.39916641528668811</v>
      </c>
      <c r="F121" s="97">
        <v>0.51294286083247786</v>
      </c>
      <c r="G121" s="129">
        <v>0.10950659410188021</v>
      </c>
      <c r="H121" s="97">
        <v>0.25675177419790973</v>
      </c>
      <c r="I121" s="97">
        <v>0.21728799570117072</v>
      </c>
      <c r="J121" s="102">
        <v>0.57047803079384385</v>
      </c>
    </row>
    <row r="122" spans="1:16" x14ac:dyDescent="0.25">
      <c r="A122" s="135" t="s">
        <v>321</v>
      </c>
      <c r="B122" s="130">
        <f>(B121-B120)/B120*100</f>
        <v>-2.6315457333619294</v>
      </c>
      <c r="C122" s="121">
        <f t="shared" ref="C122" si="136">(C121-C120)/C120*100</f>
        <v>-4.8445641355892324</v>
      </c>
      <c r="D122" s="121">
        <f t="shared" ref="D122" si="137">(D121-D120)/D120*100</f>
        <v>-9.8003872087589432</v>
      </c>
      <c r="E122" s="121">
        <f t="shared" ref="E122" si="138">(E121-E120)/E120*100</f>
        <v>-8.3209509658246894</v>
      </c>
      <c r="F122" s="121">
        <f t="shared" ref="F122" si="139">(F121-F120)/F120*100</f>
        <v>-6.6410236282282726</v>
      </c>
      <c r="G122" s="123">
        <f t="shared" ref="G122" si="140">(G121-G120)/G120*100</f>
        <v>1.9461656353844937E-2</v>
      </c>
      <c r="H122" s="121">
        <f t="shared" ref="H122" si="141">(H121-H120)/H120*100</f>
        <v>-12.699809356210592</v>
      </c>
      <c r="I122" s="121">
        <f t="shared" ref="I122" si="142">(I121-I120)/I120*100</f>
        <v>-10.196078431372554</v>
      </c>
      <c r="J122" s="122">
        <f t="shared" ref="J122" si="143">(J121-J120)/J120*100</f>
        <v>-0.47404063205416419</v>
      </c>
    </row>
    <row r="123" spans="1:16" x14ac:dyDescent="0.25">
      <c r="A123" s="134" t="s">
        <v>306</v>
      </c>
      <c r="B123" s="96">
        <v>3.5425073000626992</v>
      </c>
      <c r="C123" s="96">
        <v>0.71396193965519972</v>
      </c>
      <c r="D123" s="96">
        <v>0.54663965710651474</v>
      </c>
      <c r="E123" s="96">
        <v>0.62326387995591248</v>
      </c>
      <c r="F123" s="96">
        <v>1.041590718214787</v>
      </c>
      <c r="G123" s="103">
        <v>0.34491339434487039</v>
      </c>
      <c r="H123" s="96">
        <v>0.7590151230845753</v>
      </c>
      <c r="I123" s="96">
        <v>0.40585902483329678</v>
      </c>
      <c r="J123" s="104">
        <v>1.0243470982905982</v>
      </c>
      <c r="K123" s="50"/>
    </row>
    <row r="124" spans="1:16" x14ac:dyDescent="0.25">
      <c r="A124" s="134" t="s">
        <v>360</v>
      </c>
      <c r="B124" s="97">
        <v>3.4483013470945241</v>
      </c>
      <c r="C124" s="97">
        <v>0.71527211665924406</v>
      </c>
      <c r="D124" s="97">
        <v>0.5781684327522133</v>
      </c>
      <c r="E124" s="97">
        <v>0.58446573512648825</v>
      </c>
      <c r="F124" s="97">
        <v>0.96931966412076109</v>
      </c>
      <c r="G124" s="129">
        <v>0.29943884108548474</v>
      </c>
      <c r="H124" s="97">
        <v>0.76607317339668268</v>
      </c>
      <c r="I124" s="97">
        <v>0.40036473417117818</v>
      </c>
      <c r="J124" s="102">
        <v>1.1507157835193356</v>
      </c>
      <c r="L124" s="221" t="s">
        <v>330</v>
      </c>
      <c r="M124" s="222"/>
      <c r="N124" s="222"/>
      <c r="O124" s="222"/>
      <c r="P124" s="223"/>
    </row>
    <row r="125" spans="1:16" ht="15.75" thickBot="1" x14ac:dyDescent="0.3">
      <c r="A125" s="136" t="s">
        <v>321</v>
      </c>
      <c r="B125" s="113">
        <f>(B124-B123)/B123*100</f>
        <v>-2.6593015903314519</v>
      </c>
      <c r="C125" s="105">
        <f t="shared" ref="C125" si="144">(C124-C123)/C123*100</f>
        <v>0.18350796187778298</v>
      </c>
      <c r="D125" s="105">
        <f t="shared" ref="D125" si="145">(D124-D123)/D123*100</f>
        <v>5.7677439307252936</v>
      </c>
      <c r="E125" s="105">
        <f t="shared" ref="E125" si="146">(E124-E123)/E123*100</f>
        <v>-6.2249949142197485</v>
      </c>
      <c r="F125" s="105">
        <f t="shared" ref="F125" si="147">(F124-F123)/F123*100</f>
        <v>-6.9385270846012705</v>
      </c>
      <c r="G125" s="114">
        <f t="shared" ref="G125" si="148">(G124-G123)/G123*100</f>
        <v>-13.184339606688852</v>
      </c>
      <c r="H125" s="105">
        <f t="shared" ref="H125" si="149">(H124-H123)/H123*100</f>
        <v>0.92989587393516471</v>
      </c>
      <c r="I125" s="105">
        <f t="shared" ref="I125" si="150">(I124-I123)/I123*100</f>
        <v>-1.3537436217847636</v>
      </c>
      <c r="J125" s="106">
        <f t="shared" ref="J125" si="151">(J124-J123)/J123*100</f>
        <v>12.336510294178396</v>
      </c>
      <c r="K125" s="23"/>
      <c r="L125" s="224"/>
      <c r="M125" s="225"/>
      <c r="N125" s="225"/>
      <c r="O125" s="225"/>
      <c r="P125" s="226"/>
    </row>
    <row r="126" spans="1:16" x14ac:dyDescent="0.25">
      <c r="A126" s="8" t="s">
        <v>307</v>
      </c>
      <c r="B126" s="97"/>
      <c r="C126" s="97"/>
      <c r="D126" s="97"/>
      <c r="E126" s="97"/>
      <c r="F126" s="97"/>
      <c r="G126" s="129"/>
      <c r="H126" s="97"/>
      <c r="I126" s="97"/>
      <c r="J126" s="104">
        <v>1.5470492933408844</v>
      </c>
      <c r="L126" s="227"/>
      <c r="M126" s="228"/>
      <c r="N126" s="228"/>
      <c r="O126" s="228"/>
      <c r="P126" s="229"/>
    </row>
    <row r="127" spans="1:16" x14ac:dyDescent="0.25">
      <c r="A127" s="8" t="s">
        <v>323</v>
      </c>
      <c r="B127" s="97"/>
      <c r="C127" s="97"/>
      <c r="D127" s="97"/>
      <c r="E127" s="97"/>
      <c r="F127" s="97"/>
      <c r="G127" s="129"/>
      <c r="H127" s="97"/>
      <c r="I127" s="97"/>
      <c r="J127" s="102">
        <v>1.5463540945550951</v>
      </c>
    </row>
    <row r="128" spans="1:16" x14ac:dyDescent="0.25">
      <c r="A128" s="94" t="s">
        <v>321</v>
      </c>
      <c r="B128" s="121"/>
      <c r="C128" s="121"/>
      <c r="D128" s="121"/>
      <c r="E128" s="121"/>
      <c r="F128" s="121"/>
      <c r="G128" s="123"/>
      <c r="H128" s="121"/>
      <c r="I128" s="121"/>
      <c r="J128" s="122">
        <f>(J127-J126)/J126*100</f>
        <v>-4.4937080465482719E-2</v>
      </c>
    </row>
    <row r="129" spans="1:16" x14ac:dyDescent="0.25">
      <c r="A129" s="8" t="s">
        <v>308</v>
      </c>
      <c r="B129" s="97"/>
      <c r="C129" s="97"/>
      <c r="D129" s="97"/>
      <c r="E129" s="97"/>
      <c r="F129" s="97"/>
      <c r="G129" s="129"/>
      <c r="H129" s="97"/>
      <c r="I129" s="97"/>
      <c r="J129" s="104">
        <v>1.543150616446388</v>
      </c>
    </row>
    <row r="130" spans="1:16" x14ac:dyDescent="0.25">
      <c r="A130" s="8" t="s">
        <v>322</v>
      </c>
      <c r="B130" s="97"/>
      <c r="C130" s="97"/>
      <c r="D130" s="97"/>
      <c r="E130" s="97"/>
      <c r="F130" s="97"/>
      <c r="G130" s="129"/>
      <c r="H130" s="97"/>
      <c r="I130" s="97"/>
      <c r="J130" s="102">
        <v>1.5377868087232693</v>
      </c>
    </row>
    <row r="131" spans="1:16" ht="15.75" thickBot="1" x14ac:dyDescent="0.3">
      <c r="A131" s="29" t="s">
        <v>321</v>
      </c>
      <c r="B131" s="105"/>
      <c r="C131" s="105"/>
      <c r="D131" s="105"/>
      <c r="E131" s="105"/>
      <c r="F131" s="105"/>
      <c r="G131" s="114"/>
      <c r="H131" s="105"/>
      <c r="I131" s="105"/>
      <c r="J131" s="106">
        <f>(J130-J129)/J129*100</f>
        <v>-0.34758808802931696</v>
      </c>
    </row>
    <row r="132" spans="1:16" x14ac:dyDescent="0.25">
      <c r="A132" s="8" t="s">
        <v>309</v>
      </c>
      <c r="B132" s="97"/>
      <c r="C132" s="97"/>
      <c r="D132" s="97"/>
      <c r="E132" s="97"/>
      <c r="F132" s="97"/>
      <c r="G132" s="131"/>
      <c r="H132" s="97"/>
      <c r="I132" s="97"/>
      <c r="J132" s="104">
        <v>1.3808976153341153</v>
      </c>
    </row>
    <row r="133" spans="1:16" x14ac:dyDescent="0.25">
      <c r="A133" s="8" t="s">
        <v>320</v>
      </c>
      <c r="B133" s="97"/>
      <c r="C133" s="97"/>
      <c r="D133" s="97"/>
      <c r="E133" s="97"/>
      <c r="F133" s="97"/>
      <c r="G133" s="129"/>
      <c r="H133" s="97"/>
      <c r="I133" s="97"/>
      <c r="J133" s="102">
        <v>1.3594335910811406</v>
      </c>
    </row>
    <row r="134" spans="1:16" x14ac:dyDescent="0.25">
      <c r="A134" s="94" t="s">
        <v>321</v>
      </c>
      <c r="B134" s="121"/>
      <c r="C134" s="121"/>
      <c r="D134" s="121"/>
      <c r="E134" s="121"/>
      <c r="F134" s="121"/>
      <c r="G134" s="123"/>
      <c r="H134" s="121"/>
      <c r="I134" s="121"/>
      <c r="J134" s="122">
        <f>(J133-J132)/J132*100</f>
        <v>-1.5543530537404351</v>
      </c>
    </row>
    <row r="135" spans="1:16" x14ac:dyDescent="0.25">
      <c r="A135" s="8" t="s">
        <v>310</v>
      </c>
      <c r="B135" s="97"/>
      <c r="C135" s="97"/>
      <c r="D135" s="97"/>
      <c r="E135" s="97"/>
      <c r="F135" s="97"/>
      <c r="G135" s="129"/>
      <c r="H135" s="97"/>
      <c r="I135" s="97"/>
      <c r="J135" s="104">
        <v>1.4077895911028766</v>
      </c>
    </row>
    <row r="136" spans="1:16" x14ac:dyDescent="0.25">
      <c r="A136" s="8" t="s">
        <v>319</v>
      </c>
      <c r="B136" s="97"/>
      <c r="C136" s="97"/>
      <c r="D136" s="97"/>
      <c r="E136" s="97"/>
      <c r="F136" s="97"/>
      <c r="G136" s="129"/>
      <c r="H136" s="97"/>
      <c r="I136" s="97"/>
      <c r="J136" s="102">
        <v>1.4164531946370724</v>
      </c>
      <c r="L136" s="221" t="s">
        <v>331</v>
      </c>
      <c r="M136" s="222"/>
      <c r="N136" s="222"/>
      <c r="O136" s="222"/>
      <c r="P136" s="223"/>
    </row>
    <row r="137" spans="1:16" ht="15.75" thickBot="1" x14ac:dyDescent="0.3">
      <c r="A137" s="29" t="s">
        <v>321</v>
      </c>
      <c r="B137" s="105"/>
      <c r="C137" s="105"/>
      <c r="D137" s="105"/>
      <c r="E137" s="105"/>
      <c r="F137" s="105"/>
      <c r="G137" s="114"/>
      <c r="H137" s="105"/>
      <c r="I137" s="105"/>
      <c r="J137" s="106">
        <f>(J136-J135)/J135*100</f>
        <v>0.61540471594257662</v>
      </c>
      <c r="L137" s="224"/>
      <c r="M137" s="225"/>
      <c r="N137" s="225"/>
      <c r="O137" s="225"/>
      <c r="P137" s="226"/>
    </row>
    <row r="138" spans="1:16" x14ac:dyDescent="0.25">
      <c r="A138" s="8" t="s">
        <v>311</v>
      </c>
      <c r="B138" s="97"/>
      <c r="C138" s="110">
        <v>0.58025131713370537</v>
      </c>
      <c r="D138" s="97"/>
      <c r="E138" s="97"/>
      <c r="F138" s="97"/>
      <c r="G138" s="129"/>
      <c r="H138" s="97"/>
      <c r="I138" s="97"/>
      <c r="J138" s="102"/>
      <c r="L138" s="227"/>
      <c r="M138" s="228"/>
      <c r="N138" s="228"/>
      <c r="O138" s="228"/>
      <c r="P138" s="229"/>
    </row>
    <row r="139" spans="1:16" x14ac:dyDescent="0.25">
      <c r="A139" s="8" t="s">
        <v>317</v>
      </c>
      <c r="B139" s="97"/>
      <c r="C139" s="133">
        <v>0.58025192360276723</v>
      </c>
      <c r="D139" s="97"/>
      <c r="E139" s="97"/>
      <c r="F139" s="97"/>
      <c r="G139" s="129"/>
      <c r="H139" s="97"/>
      <c r="I139" s="97"/>
      <c r="J139" s="102"/>
    </row>
    <row r="140" spans="1:16" x14ac:dyDescent="0.25">
      <c r="A140" s="94" t="s">
        <v>321</v>
      </c>
      <c r="B140" s="121"/>
      <c r="C140" s="121">
        <f>(C139-C138)/C138*100</f>
        <v>1.0451834299227789E-4</v>
      </c>
      <c r="D140" s="121"/>
      <c r="E140" s="121"/>
      <c r="F140" s="121"/>
      <c r="G140" s="123"/>
      <c r="H140" s="121"/>
      <c r="I140" s="121"/>
      <c r="J140" s="122"/>
    </row>
    <row r="141" spans="1:16" x14ac:dyDescent="0.25">
      <c r="A141" s="8" t="s">
        <v>312</v>
      </c>
      <c r="B141" s="97"/>
      <c r="C141" s="108">
        <v>0.73306131099650784</v>
      </c>
      <c r="D141" s="97"/>
      <c r="E141" s="97"/>
      <c r="F141" s="97"/>
      <c r="G141" s="129"/>
      <c r="H141" s="97"/>
      <c r="I141" s="97"/>
      <c r="J141" s="102"/>
    </row>
    <row r="142" spans="1:16" x14ac:dyDescent="0.25">
      <c r="A142" s="8" t="s">
        <v>318</v>
      </c>
      <c r="B142" s="96"/>
      <c r="C142" s="97">
        <v>0.73277316679841742</v>
      </c>
      <c r="D142" s="96"/>
      <c r="E142" s="97"/>
      <c r="F142" s="97"/>
      <c r="G142" s="129"/>
      <c r="H142" s="97"/>
      <c r="I142" s="97"/>
      <c r="J142" s="102"/>
    </row>
    <row r="143" spans="1:16" ht="15.75" thickBot="1" x14ac:dyDescent="0.3">
      <c r="A143" s="29" t="s">
        <v>321</v>
      </c>
      <c r="B143" s="105"/>
      <c r="C143" s="105">
        <f>(C142-C141)/C141*100</f>
        <v>-3.9306971158896122E-2</v>
      </c>
      <c r="D143" s="105"/>
      <c r="E143" s="105"/>
      <c r="F143" s="105"/>
      <c r="G143" s="114"/>
      <c r="H143" s="105"/>
      <c r="I143" s="105"/>
      <c r="J143" s="106"/>
    </row>
    <row r="144" spans="1:16" x14ac:dyDescent="0.25">
      <c r="A144" s="31" t="s">
        <v>313</v>
      </c>
      <c r="B144" s="97"/>
      <c r="C144" s="97"/>
      <c r="D144" s="97"/>
      <c r="E144" s="97"/>
      <c r="F144" s="97"/>
      <c r="G144" s="131"/>
      <c r="H144" s="97"/>
      <c r="I144" s="108">
        <v>0.50179971599574902</v>
      </c>
      <c r="J144" s="102"/>
    </row>
    <row r="145" spans="1:10" x14ac:dyDescent="0.25">
      <c r="A145" s="8" t="s">
        <v>315</v>
      </c>
      <c r="B145" s="97"/>
      <c r="C145" s="97"/>
      <c r="D145" s="97"/>
      <c r="E145" s="97"/>
      <c r="F145" s="97"/>
      <c r="G145" s="129"/>
      <c r="H145" s="97"/>
      <c r="I145" s="97">
        <v>0.50803113363971097</v>
      </c>
      <c r="J145" s="102"/>
    </row>
    <row r="146" spans="1:10" x14ac:dyDescent="0.25">
      <c r="A146" s="94" t="s">
        <v>321</v>
      </c>
      <c r="B146" s="121"/>
      <c r="C146" s="121"/>
      <c r="D146" s="121"/>
      <c r="E146" s="121"/>
      <c r="F146" s="121"/>
      <c r="G146" s="123"/>
      <c r="H146" s="121"/>
      <c r="I146" s="121">
        <f>(I145-I144)/I144*100</f>
        <v>1.2418137048157967</v>
      </c>
      <c r="J146" s="122"/>
    </row>
    <row r="147" spans="1:10" x14ac:dyDescent="0.25">
      <c r="A147" s="8" t="s">
        <v>314</v>
      </c>
      <c r="B147" s="97"/>
      <c r="C147" s="97"/>
      <c r="D147" s="97"/>
      <c r="E147" s="97"/>
      <c r="F147" s="97"/>
      <c r="G147" s="129"/>
      <c r="H147" s="97"/>
      <c r="I147" s="96">
        <v>0.31154502081286078</v>
      </c>
      <c r="J147" s="102"/>
    </row>
    <row r="148" spans="1:10" x14ac:dyDescent="0.25">
      <c r="A148" s="8" t="s">
        <v>316</v>
      </c>
      <c r="B148" s="97"/>
      <c r="C148" s="97"/>
      <c r="D148" s="97"/>
      <c r="E148" s="97"/>
      <c r="F148" s="97"/>
      <c r="G148" s="129"/>
      <c r="H148" s="97"/>
      <c r="I148" s="97">
        <v>0.3572566870086134</v>
      </c>
      <c r="J148" s="102"/>
    </row>
    <row r="149" spans="1:10" ht="15.75" thickBot="1" x14ac:dyDescent="0.3">
      <c r="A149" s="29" t="s">
        <v>321</v>
      </c>
      <c r="B149" s="105"/>
      <c r="C149" s="105"/>
      <c r="D149" s="105"/>
      <c r="E149" s="105"/>
      <c r="F149" s="105"/>
      <c r="G149" s="114"/>
      <c r="H149" s="105"/>
      <c r="I149" s="105">
        <f>(I148-I147)/I147*100</f>
        <v>14.672571584191921</v>
      </c>
      <c r="J149" s="106"/>
    </row>
  </sheetData>
  <mergeCells count="7">
    <mergeCell ref="L136:P138"/>
    <mergeCell ref="K11:O13"/>
    <mergeCell ref="B2:B4"/>
    <mergeCell ref="B5:B7"/>
    <mergeCell ref="K17:O19"/>
    <mergeCell ref="L90:Q92"/>
    <mergeCell ref="L124:P126"/>
  </mergeCells>
  <conditionalFormatting sqref="B13:J13 C9:K9 B16:J16 B63:J63 B89:J89 B128:J128 B131:J131 B134:J134 B140 B19:J19 B22:J23 C152:K152 C155:J155 B45:J45 B48:J48 B66:J66 B57:J57 B60:J60 C158:J158 B146:K146 B27:J27 B30:J30 B33:J33 B36:J36 B39:J39 B42:J42 B71:J71 B74:J74 B77:J77 B80:J80 B83:J83 B86:J86 B107:J107 B110:J110 B116:J116 B119:J119 B122:J122 B51:J51 B54:J54 C161:J161 K140 C164:J164 B143:K143 C167:J167 B113:K113 B137:K137 B125:K125 B149:K149 B104:J104 B92:J92">
    <cfRule type="colorScale" priority="62">
      <colorScale>
        <cfvo type="num" val="-100"/>
        <cfvo type="num" val="0"/>
        <cfvo type="num" val="100"/>
        <color rgb="FFF8696B"/>
        <color theme="0"/>
        <color rgb="FF63BE7B"/>
      </colorScale>
    </cfRule>
  </conditionalFormatting>
  <conditionalFormatting sqref="D140:J140">
    <cfRule type="colorScale" priority="14">
      <colorScale>
        <cfvo type="num" val="-100"/>
        <cfvo type="num" val="0"/>
        <cfvo type="num" val="100"/>
        <color rgb="FFF8696B"/>
        <color theme="0"/>
        <color rgb="FF63BE7B"/>
      </colorScale>
    </cfRule>
  </conditionalFormatting>
  <conditionalFormatting sqref="C140">
    <cfRule type="colorScale" priority="4">
      <colorScale>
        <cfvo type="num" val="-100"/>
        <cfvo type="num" val="0"/>
        <cfvo type="num" val="100"/>
        <color rgb="FFF8696B"/>
        <color theme="0"/>
        <color rgb="FF63BE7B"/>
      </colorScale>
    </cfRule>
  </conditionalFormatting>
  <conditionalFormatting sqref="C4:K4">
    <cfRule type="colorScale" priority="3">
      <colorScale>
        <cfvo type="num" val="-100"/>
        <cfvo type="num" val="0"/>
        <cfvo type="num" val="100"/>
        <color rgb="FFF8696B"/>
        <color theme="0"/>
        <color rgb="FF63BE7B"/>
      </colorScale>
    </cfRule>
  </conditionalFormatting>
  <conditionalFormatting sqref="C7:K8">
    <cfRule type="colorScale" priority="2">
      <colorScale>
        <cfvo type="num" val="-100"/>
        <cfvo type="num" val="0"/>
        <cfvo type="num" val="100"/>
        <color rgb="FFF8696B"/>
        <color theme="0"/>
        <color rgb="FF63BE7B"/>
      </colorScale>
    </cfRule>
  </conditionalFormatting>
  <conditionalFormatting sqref="B98:J98 B95:J95">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6"/>
  <sheetViews>
    <sheetView workbookViewId="0">
      <selection activeCell="I14" sqref="I14:Q19"/>
    </sheetView>
  </sheetViews>
  <sheetFormatPr defaultRowHeight="15" x14ac:dyDescent="0.25"/>
  <cols>
    <col min="1" max="1" width="32" customWidth="1"/>
    <col min="2" max="2" width="18" customWidth="1"/>
    <col min="3" max="3" width="12.42578125" customWidth="1"/>
    <col min="4" max="4" width="12.140625" customWidth="1"/>
    <col min="5" max="5" width="13.140625" customWidth="1"/>
    <col min="6" max="6" width="12.42578125" customWidth="1"/>
    <col min="7" max="8" width="14.42578125" customWidth="1"/>
    <col min="9" max="9" width="11" customWidth="1"/>
    <col min="10" max="14" width="9.140625" customWidth="1"/>
    <col min="15" max="15" width="16.7109375" bestFit="1" customWidth="1"/>
    <col min="16" max="16" width="15.42578125" bestFit="1" customWidth="1"/>
    <col min="17" max="17" width="15.7109375" bestFit="1" customWidth="1"/>
    <col min="18" max="18" width="13.28515625" customWidth="1"/>
    <col min="19" max="19" width="20" customWidth="1"/>
    <col min="20" max="20" width="13.5703125" customWidth="1"/>
    <col min="21" max="23" width="9.5703125" bestFit="1" customWidth="1"/>
    <col min="24" max="29" width="9.28515625" bestFit="1" customWidth="1"/>
    <col min="30" max="30" width="9.5703125" bestFit="1" customWidth="1"/>
    <col min="31" max="31" width="9.28515625" bestFit="1" customWidth="1"/>
    <col min="32" max="32" width="9.5703125" bestFit="1" customWidth="1"/>
    <col min="33" max="33" width="9.28515625" bestFit="1" customWidth="1"/>
    <col min="34" max="34" width="9.5703125" bestFit="1" customWidth="1"/>
  </cols>
  <sheetData>
    <row r="1" spans="1:34" ht="60.75" thickBot="1" x14ac:dyDescent="0.3">
      <c r="A1" s="1" t="s">
        <v>0</v>
      </c>
      <c r="B1" s="2" t="s">
        <v>1</v>
      </c>
      <c r="C1" s="3" t="s">
        <v>347</v>
      </c>
      <c r="D1" s="3" t="s">
        <v>3</v>
      </c>
      <c r="E1" s="3" t="s">
        <v>4</v>
      </c>
      <c r="F1" s="3" t="s">
        <v>5</v>
      </c>
      <c r="G1" s="3" t="s">
        <v>6</v>
      </c>
      <c r="H1" s="4" t="s">
        <v>7</v>
      </c>
      <c r="I1" s="3" t="s">
        <v>8</v>
      </c>
      <c r="J1" s="3" t="s">
        <v>9</v>
      </c>
      <c r="K1" s="3" t="s">
        <v>10</v>
      </c>
      <c r="L1" s="3" t="s">
        <v>11</v>
      </c>
      <c r="M1" s="3" t="s">
        <v>12</v>
      </c>
      <c r="N1" s="3" t="s">
        <v>13</v>
      </c>
      <c r="O1" s="3" t="s">
        <v>14</v>
      </c>
      <c r="P1" s="3" t="s">
        <v>15</v>
      </c>
      <c r="Q1" s="4" t="s">
        <v>16</v>
      </c>
      <c r="R1" s="5" t="s">
        <v>17</v>
      </c>
      <c r="S1" s="194" t="s">
        <v>348</v>
      </c>
      <c r="T1" s="3" t="s">
        <v>2</v>
      </c>
      <c r="U1" s="3" t="s">
        <v>3</v>
      </c>
      <c r="V1" s="3" t="s">
        <v>4</v>
      </c>
      <c r="W1" s="3" t="s">
        <v>5</v>
      </c>
      <c r="X1" s="3" t="s">
        <v>6</v>
      </c>
      <c r="Y1" s="4" t="s">
        <v>7</v>
      </c>
      <c r="Z1" s="3" t="s">
        <v>8</v>
      </c>
      <c r="AA1" s="3" t="s">
        <v>9</v>
      </c>
      <c r="AB1" s="3" t="s">
        <v>10</v>
      </c>
      <c r="AC1" s="3" t="s">
        <v>11</v>
      </c>
      <c r="AD1" s="3" t="s">
        <v>12</v>
      </c>
      <c r="AE1" s="3" t="s">
        <v>13</v>
      </c>
      <c r="AF1" s="3" t="s">
        <v>14</v>
      </c>
      <c r="AG1" s="3" t="s">
        <v>15</v>
      </c>
      <c r="AH1" s="4" t="s">
        <v>16</v>
      </c>
    </row>
    <row r="2" spans="1:34" ht="15.75" thickTop="1" x14ac:dyDescent="0.25">
      <c r="A2" t="s">
        <v>48</v>
      </c>
      <c r="B2" s="6"/>
      <c r="C2" s="96">
        <v>2.0135494851831837</v>
      </c>
      <c r="D2" s="96">
        <v>1.7960958758962786</v>
      </c>
      <c r="E2" s="96">
        <v>0.73360541547454106</v>
      </c>
      <c r="F2" s="96">
        <v>0.71454275876023488</v>
      </c>
      <c r="G2" s="96">
        <v>10.799516519999999</v>
      </c>
      <c r="H2" s="104">
        <v>2.5984890100000002</v>
      </c>
      <c r="I2" s="96">
        <v>3.2379746819893498</v>
      </c>
      <c r="J2" s="96">
        <v>1.2244188054354843</v>
      </c>
      <c r="K2" s="96">
        <v>0.40857107390140135</v>
      </c>
      <c r="L2" s="96">
        <v>0.61358376822658889</v>
      </c>
      <c r="M2" s="96">
        <v>0.52567006094047497</v>
      </c>
      <c r="N2" s="99">
        <v>0.24826904034046651</v>
      </c>
      <c r="O2" s="96">
        <v>0.26871320317289465</v>
      </c>
      <c r="P2" s="96">
        <v>0.44582741980049667</v>
      </c>
      <c r="Q2" s="100">
        <v>0.73360661319030018</v>
      </c>
      <c r="S2" s="8">
        <v>76.142133454108603</v>
      </c>
      <c r="T2" s="96">
        <v>26.444616060000001</v>
      </c>
      <c r="U2" s="96">
        <v>23.58872538</v>
      </c>
      <c r="V2" s="96">
        <v>9.634684270000001</v>
      </c>
      <c r="W2" s="96">
        <v>9.3843280500000006</v>
      </c>
      <c r="X2" s="96">
        <v>10.799516519999999</v>
      </c>
      <c r="Y2" s="104">
        <v>2.5984890100000002</v>
      </c>
      <c r="Z2" s="96">
        <v>42.525399999999998</v>
      </c>
      <c r="AA2" s="96">
        <v>16.0807</v>
      </c>
      <c r="AB2" s="96">
        <v>5.3658999999999999</v>
      </c>
      <c r="AC2" s="96">
        <v>8.0584000000000007</v>
      </c>
      <c r="AD2" s="96">
        <v>6.9038000000000004</v>
      </c>
      <c r="AE2" s="103">
        <v>3.2606000000000002</v>
      </c>
      <c r="AF2" s="96">
        <v>3.5291000000000001</v>
      </c>
      <c r="AG2" s="96">
        <v>5.8552</v>
      </c>
      <c r="AH2" s="104">
        <v>9.6347000000000005</v>
      </c>
    </row>
    <row r="3" spans="1:34" x14ac:dyDescent="0.25">
      <c r="A3" t="s">
        <v>49</v>
      </c>
      <c r="B3" s="6"/>
      <c r="C3" s="96">
        <v>2.3932160162295286</v>
      </c>
      <c r="D3" s="96">
        <v>1.9700331534495674</v>
      </c>
      <c r="E3" s="96">
        <v>2.1975406091833571</v>
      </c>
      <c r="F3" s="96">
        <v>1.9879059685234781</v>
      </c>
      <c r="G3" s="96">
        <v>17.682601989999998</v>
      </c>
      <c r="H3" s="104">
        <v>9.5395115589999993</v>
      </c>
      <c r="I3" s="96">
        <v>4.0821778515567813</v>
      </c>
      <c r="J3" s="96">
        <v>1.6889639136405779</v>
      </c>
      <c r="K3" s="96">
        <v>0.57993977902677363</v>
      </c>
      <c r="L3" s="96">
        <v>0.5538162841503883</v>
      </c>
      <c r="M3" s="96">
        <v>0.70019279522010958</v>
      </c>
      <c r="N3" s="103">
        <v>0.13608434204024944</v>
      </c>
      <c r="O3" s="96">
        <v>1.4990422203469551</v>
      </c>
      <c r="P3" s="96">
        <v>0.4888644746825721</v>
      </c>
      <c r="Q3" s="104">
        <v>2.197536220327784</v>
      </c>
      <c r="S3" s="8">
        <v>90.361448897908005</v>
      </c>
      <c r="T3" s="96">
        <v>26.484923000000002</v>
      </c>
      <c r="U3" s="96">
        <v>21.80169948</v>
      </c>
      <c r="V3" s="96">
        <v>24.319448569999999</v>
      </c>
      <c r="W3" s="96">
        <v>21.99949196</v>
      </c>
      <c r="X3" s="96">
        <v>17.682601989999998</v>
      </c>
      <c r="Y3" s="104">
        <v>9.5395115589999993</v>
      </c>
      <c r="Z3" s="96">
        <v>45.176099999999998</v>
      </c>
      <c r="AA3" s="96">
        <v>18.691199999999998</v>
      </c>
      <c r="AB3" s="96">
        <v>6.4180000000000001</v>
      </c>
      <c r="AC3" s="96">
        <v>6.1288999999999998</v>
      </c>
      <c r="AD3" s="96">
        <v>7.7488000000000001</v>
      </c>
      <c r="AE3" s="103">
        <v>1.506</v>
      </c>
      <c r="AF3" s="96">
        <v>16.589400000000001</v>
      </c>
      <c r="AG3" s="96">
        <v>5.4100999999999999</v>
      </c>
      <c r="AH3" s="104">
        <v>24.319400000000002</v>
      </c>
    </row>
    <row r="4" spans="1:34" ht="15.75" thickBot="1" x14ac:dyDescent="0.3">
      <c r="A4" s="29" t="s">
        <v>20</v>
      </c>
      <c r="B4" s="12"/>
      <c r="C4" s="105">
        <f>(C3-C2)/C2*100</f>
        <v>18.855584818756245</v>
      </c>
      <c r="D4" s="105">
        <f t="shared" ref="D4" si="0">(D3-D2)/D2*100</f>
        <v>9.6841866788704412</v>
      </c>
      <c r="E4" s="105">
        <f t="shared" ref="E4" si="1">(E3-E2)/E2*100</f>
        <v>199.55348785993527</v>
      </c>
      <c r="F4" s="105">
        <f t="shared" ref="F4" si="2">(F3-F2)/F2*100</f>
        <v>178.20671949325859</v>
      </c>
      <c r="G4" s="105"/>
      <c r="H4" s="106"/>
      <c r="I4" s="105">
        <f t="shared" ref="I4" si="3">(I3-I2)/I2*100</f>
        <v>26.071950910029017</v>
      </c>
      <c r="J4" s="105">
        <f t="shared" ref="J4" si="4">(J3-J2)/J2*100</f>
        <v>37.94005009910564</v>
      </c>
      <c r="K4" s="105">
        <f t="shared" ref="K4" si="5">(K3-K2)/K2*100</f>
        <v>41.943425776325988</v>
      </c>
      <c r="L4" s="105">
        <f t="shared" ref="L4" si="6">(L3-L2)/L2*100</f>
        <v>-9.7407211812241403</v>
      </c>
      <c r="M4" s="105">
        <f t="shared" ref="M4" si="7">(M3-M2)/M2*100</f>
        <v>33.200052132966526</v>
      </c>
      <c r="N4" s="114">
        <f t="shared" ref="N4" si="8">(N3-N2)/N2*100</f>
        <v>-45.186745051405261</v>
      </c>
      <c r="O4" s="105">
        <f t="shared" ref="O4" si="9">(O3-O2)/O2*100</f>
        <v>457.85953300643945</v>
      </c>
      <c r="P4" s="105">
        <f t="shared" ref="P4" si="10">(P3-P2)/P2*100</f>
        <v>9.6532992298531308</v>
      </c>
      <c r="Q4" s="106">
        <f t="shared" ref="Q4" si="11">(Q3-Q2)/Q2*100</f>
        <v>199.55240053946119</v>
      </c>
      <c r="S4" s="8"/>
      <c r="T4" s="105">
        <f>(T3-T2)/T2*100</f>
        <v>0.15242021252472923</v>
      </c>
      <c r="U4" s="105">
        <f>(U3-U2)/U2*100</f>
        <v>-7.575762874899346</v>
      </c>
      <c r="V4" s="105">
        <f>(V3-V2)/V2*100</f>
        <v>152.41562555116292</v>
      </c>
      <c r="W4" s="105">
        <f>(W3-W2)/W2*100</f>
        <v>134.42799359513012</v>
      </c>
      <c r="X4" s="105"/>
      <c r="Y4" s="106"/>
      <c r="Z4" s="105">
        <f t="shared" ref="Z4:AH4" si="12">(Z3-Z2)/Z2*100</f>
        <v>6.2332159133129856</v>
      </c>
      <c r="AA4" s="105">
        <f t="shared" si="12"/>
        <v>16.233746043393623</v>
      </c>
      <c r="AB4" s="105">
        <f t="shared" si="12"/>
        <v>19.607148847350871</v>
      </c>
      <c r="AC4" s="105">
        <f t="shared" si="12"/>
        <v>-23.943959098580372</v>
      </c>
      <c r="AD4" s="105">
        <f t="shared" si="12"/>
        <v>12.239636142414319</v>
      </c>
      <c r="AE4" s="114">
        <f t="shared" si="12"/>
        <v>-53.812181807029383</v>
      </c>
      <c r="AF4" s="105">
        <f t="shared" si="12"/>
        <v>370.07452324955375</v>
      </c>
      <c r="AG4" s="105">
        <f t="shared" si="12"/>
        <v>-7.6017898620030069</v>
      </c>
      <c r="AH4" s="106">
        <f t="shared" si="12"/>
        <v>152.4147093318941</v>
      </c>
    </row>
    <row r="5" spans="1:34" x14ac:dyDescent="0.25">
      <c r="A5" t="s">
        <v>50</v>
      </c>
      <c r="B5" s="6"/>
      <c r="C5" s="96">
        <v>1.4182265363825555</v>
      </c>
      <c r="D5" s="96">
        <v>0.93057807267143655</v>
      </c>
      <c r="E5" s="96">
        <v>0.30704644799938852</v>
      </c>
      <c r="F5" s="96">
        <v>0.41058469728727987</v>
      </c>
      <c r="G5" s="101">
        <v>34.3812</v>
      </c>
      <c r="H5" s="119">
        <v>-33.7149</v>
      </c>
      <c r="I5" s="96">
        <v>2.5229606637205615</v>
      </c>
      <c r="J5" s="96">
        <v>1.1047571486274532</v>
      </c>
      <c r="K5" s="96">
        <v>0.27397636570877021</v>
      </c>
      <c r="L5" s="96">
        <v>0.2646930307392667</v>
      </c>
      <c r="M5" s="96">
        <v>0.26355347691164011</v>
      </c>
      <c r="N5" s="103">
        <v>0.12837822060120638</v>
      </c>
      <c r="O5" s="96">
        <v>0.13276377624086028</v>
      </c>
      <c r="P5" s="96">
        <v>0.27783818701350482</v>
      </c>
      <c r="Q5" s="104">
        <v>0.30706946928883555</v>
      </c>
      <c r="S5" s="8">
        <v>57.553223617504884</v>
      </c>
      <c r="T5" s="97">
        <v>24.641999999999999</v>
      </c>
      <c r="U5" s="97">
        <v>16.169</v>
      </c>
      <c r="V5" s="97">
        <v>5.335</v>
      </c>
      <c r="W5" s="97">
        <v>7.1340000000000003</v>
      </c>
      <c r="X5" s="101">
        <v>34.3812</v>
      </c>
      <c r="Y5" s="119">
        <v>-33.7149</v>
      </c>
      <c r="Z5" s="97">
        <v>43.837000000000003</v>
      </c>
      <c r="AA5" s="97">
        <v>19.195399999999999</v>
      </c>
      <c r="AB5" s="97">
        <v>4.7603999999999997</v>
      </c>
      <c r="AC5" s="97">
        <v>4.5991</v>
      </c>
      <c r="AD5" s="97">
        <v>4.5792999999999999</v>
      </c>
      <c r="AE5" s="131">
        <v>2.2305999999999999</v>
      </c>
      <c r="AF5" s="97">
        <v>2.3068</v>
      </c>
      <c r="AG5" s="97">
        <v>4.8274999999999997</v>
      </c>
      <c r="AH5" s="102">
        <v>5.3353999999999999</v>
      </c>
    </row>
    <row r="6" spans="1:34" x14ac:dyDescent="0.25">
      <c r="A6" t="s">
        <v>51</v>
      </c>
      <c r="B6" s="6"/>
      <c r="C6" s="96">
        <v>3.4021099039088902</v>
      </c>
      <c r="D6" s="96">
        <v>2.3155311108581667</v>
      </c>
      <c r="E6" s="96">
        <v>2.2092332624286919</v>
      </c>
      <c r="F6" s="96">
        <v>1.9872488868820797</v>
      </c>
      <c r="G6" s="101">
        <v>31.938099999999999</v>
      </c>
      <c r="H6" s="102">
        <v>10.048500000000001</v>
      </c>
      <c r="I6" s="96">
        <v>4.131327291459141</v>
      </c>
      <c r="J6" s="96">
        <v>0.7292045263465694</v>
      </c>
      <c r="K6" s="96">
        <v>0.5791785853992214</v>
      </c>
      <c r="L6" s="96">
        <v>0.50942584723137385</v>
      </c>
      <c r="M6" s="96">
        <v>1.144968657765765</v>
      </c>
      <c r="N6" s="103">
        <v>8.1977312267329225E-2</v>
      </c>
      <c r="O6" s="96">
        <v>1.5308497824304672</v>
      </c>
      <c r="P6" s="96">
        <v>0.45637981264609007</v>
      </c>
      <c r="Q6" s="104">
        <v>2.2092204012250094</v>
      </c>
      <c r="S6" s="8">
        <v>64.306018408636049</v>
      </c>
      <c r="T6" s="97">
        <v>52.905000000000001</v>
      </c>
      <c r="U6" s="97">
        <v>36.008000000000003</v>
      </c>
      <c r="V6" s="97">
        <v>34.355000000000004</v>
      </c>
      <c r="W6" s="97">
        <v>30.902999999999999</v>
      </c>
      <c r="X6" s="101">
        <v>31.938099999999999</v>
      </c>
      <c r="Y6" s="102">
        <v>10.048500000000001</v>
      </c>
      <c r="Z6" s="97">
        <v>64.244799999999998</v>
      </c>
      <c r="AA6" s="97">
        <v>11.339600000000001</v>
      </c>
      <c r="AB6" s="97">
        <v>9.0066000000000006</v>
      </c>
      <c r="AC6" s="97">
        <v>7.9218999999999999</v>
      </c>
      <c r="AD6" s="97">
        <v>17.805</v>
      </c>
      <c r="AE6" s="129">
        <v>1.2747999999999999</v>
      </c>
      <c r="AF6" s="97">
        <v>23.805700000000002</v>
      </c>
      <c r="AG6" s="97">
        <v>7.0970000000000004</v>
      </c>
      <c r="AH6" s="102">
        <v>34.354799999999997</v>
      </c>
    </row>
    <row r="7" spans="1:34" ht="15.75" thickBot="1" x14ac:dyDescent="0.3">
      <c r="A7" s="29" t="s">
        <v>20</v>
      </c>
      <c r="B7" s="12"/>
      <c r="C7" s="113">
        <f>(C6-C5)/C5*100</f>
        <v>139.88480095617092</v>
      </c>
      <c r="D7" s="105">
        <f t="shared" ref="D7" si="13">(D6-D5)/D5*100</f>
        <v>148.82717300773126</v>
      </c>
      <c r="E7" s="105">
        <f t="shared" ref="E7" si="14">(E6-E5)/E5*100</f>
        <v>619.5110957391995</v>
      </c>
      <c r="F7" s="105">
        <f t="shared" ref="F7" si="15">(F6-F5)/F5*100</f>
        <v>384.0046158592296</v>
      </c>
      <c r="G7" s="105"/>
      <c r="H7" s="106"/>
      <c r="I7" s="113">
        <f t="shared" ref="I7" si="16">(I6-I5)/I5*100</f>
        <v>63.749175754756017</v>
      </c>
      <c r="J7" s="105">
        <f t="shared" ref="J7" si="17">(J6-J5)/J5*100</f>
        <v>-33.994133710514497</v>
      </c>
      <c r="K7" s="105">
        <f t="shared" ref="K7" si="18">(K6-K5)/K5*100</f>
        <v>111.39728016352815</v>
      </c>
      <c r="L7" s="105">
        <f t="shared" ref="L7" si="19">(L6-L5)/L5*100</f>
        <v>92.459108503381344</v>
      </c>
      <c r="M7" s="105">
        <f t="shared" ref="M7" si="20">(M6-M5)/M5*100</f>
        <v>334.43504186804233</v>
      </c>
      <c r="N7" s="114">
        <f t="shared" ref="N7" si="21">(N6-N5)/N5*100</f>
        <v>-36.143909859926133</v>
      </c>
      <c r="O7" s="105">
        <f t="shared" ref="O7" si="22">(O6-O5)/O5*100</f>
        <v>1053.0628502560794</v>
      </c>
      <c r="P7" s="105">
        <f t="shared" ref="P7" si="23">(P6-P5)/P5*100</f>
        <v>64.261010177088039</v>
      </c>
      <c r="Q7" s="106">
        <f t="shared" ref="Q7" si="24">(Q6-Q5)/Q5*100</f>
        <v>619.45296494031231</v>
      </c>
      <c r="S7" s="8"/>
      <c r="T7" s="105">
        <f>(T6-T5)/T5*100</f>
        <v>114.69442415388362</v>
      </c>
      <c r="U7" s="105">
        <f>(U6-U5)/U5*100</f>
        <v>122.69775496320119</v>
      </c>
      <c r="V7" s="105">
        <f>(V6-V5)/V5*100</f>
        <v>543.95501405810694</v>
      </c>
      <c r="W7" s="105">
        <f>(W6-W5)/W5*100</f>
        <v>333.17914213624891</v>
      </c>
      <c r="X7" s="105"/>
      <c r="Y7" s="106"/>
      <c r="Z7" s="105">
        <f t="shared" ref="Z7:AH7" si="25">(Z6-Z5)/Z5*100</f>
        <v>46.55382439491752</v>
      </c>
      <c r="AA7" s="105">
        <f t="shared" si="25"/>
        <v>-40.9254300509497</v>
      </c>
      <c r="AB7" s="105">
        <f t="shared" si="25"/>
        <v>89.198386690194127</v>
      </c>
      <c r="AC7" s="105">
        <f t="shared" si="25"/>
        <v>72.24891826661738</v>
      </c>
      <c r="AD7" s="105">
        <f t="shared" si="25"/>
        <v>288.81488437097374</v>
      </c>
      <c r="AE7" s="114">
        <f t="shared" si="25"/>
        <v>-42.849457545055145</v>
      </c>
      <c r="AF7" s="105">
        <f t="shared" si="25"/>
        <v>931.97936535460394</v>
      </c>
      <c r="AG7" s="105">
        <f t="shared" si="25"/>
        <v>47.01191092698086</v>
      </c>
      <c r="AH7" s="106">
        <f t="shared" si="25"/>
        <v>543.90298759230791</v>
      </c>
    </row>
    <row r="8" spans="1:34" x14ac:dyDescent="0.25">
      <c r="A8" t="s">
        <v>52</v>
      </c>
      <c r="B8" s="6"/>
      <c r="C8" s="96">
        <v>2.1096543251812179</v>
      </c>
      <c r="D8" s="96">
        <v>1.6140762976417373</v>
      </c>
      <c r="E8" s="96">
        <v>0.99143049950788975</v>
      </c>
      <c r="F8" s="96">
        <v>0.72926745877296606</v>
      </c>
      <c r="G8" s="96">
        <v>23.493200000000002</v>
      </c>
      <c r="H8" s="119">
        <v>26.4392</v>
      </c>
      <c r="I8" s="96">
        <v>2.7890346478855204</v>
      </c>
      <c r="J8" s="96">
        <v>0.67936660048285613</v>
      </c>
      <c r="K8" s="96">
        <v>0.4718591677692463</v>
      </c>
      <c r="L8" s="96">
        <v>0.35903506303632082</v>
      </c>
      <c r="M8" s="96">
        <v>0.55484430196680989</v>
      </c>
      <c r="N8" s="103">
        <v>0.22831032042646737</v>
      </c>
      <c r="O8" s="96">
        <v>0.42808528135498797</v>
      </c>
      <c r="P8" s="96">
        <v>0.30120276075014779</v>
      </c>
      <c r="Q8" s="104">
        <v>0.99140305506499671</v>
      </c>
      <c r="S8" s="8">
        <v>68.611107232379908</v>
      </c>
      <c r="T8" s="97">
        <v>30.748000000000001</v>
      </c>
      <c r="U8" s="97">
        <v>23.524999999999999</v>
      </c>
      <c r="V8" s="97">
        <v>14.450000000000001</v>
      </c>
      <c r="W8" s="97">
        <v>10.629</v>
      </c>
      <c r="X8" s="96">
        <v>23.493200000000002</v>
      </c>
      <c r="Y8" s="119">
        <v>26.4392</v>
      </c>
      <c r="Z8" s="96">
        <v>40.649900000000002</v>
      </c>
      <c r="AA8" s="96">
        <v>9.9016999999999999</v>
      </c>
      <c r="AB8" s="96">
        <v>6.8773</v>
      </c>
      <c r="AC8" s="96">
        <v>5.2328999999999999</v>
      </c>
      <c r="AD8" s="96">
        <v>8.0868000000000002</v>
      </c>
      <c r="AE8" s="103">
        <v>3.3275999999999999</v>
      </c>
      <c r="AF8" s="96">
        <v>6.2393000000000001</v>
      </c>
      <c r="AG8" s="96">
        <v>4.3899999999999997</v>
      </c>
      <c r="AH8" s="104">
        <v>14.4496</v>
      </c>
    </row>
    <row r="9" spans="1:34" x14ac:dyDescent="0.25">
      <c r="A9" t="s">
        <v>53</v>
      </c>
      <c r="B9" s="6"/>
      <c r="C9" s="96">
        <v>2.6177543318991225</v>
      </c>
      <c r="D9" s="96">
        <v>2.0723702678042022</v>
      </c>
      <c r="E9" s="96">
        <v>1.3622339935854995</v>
      </c>
      <c r="F9" s="96">
        <v>1.3009999741258709</v>
      </c>
      <c r="G9" s="96">
        <v>20.834800000000001</v>
      </c>
      <c r="H9" s="102">
        <v>4.4931999999999999</v>
      </c>
      <c r="I9" s="96">
        <v>3.2998002428220246</v>
      </c>
      <c r="J9" s="96">
        <v>0.68204591092290212</v>
      </c>
      <c r="K9" s="96">
        <v>0.46455367214560223</v>
      </c>
      <c r="L9" s="96">
        <v>0.43560870785006173</v>
      </c>
      <c r="M9" s="96">
        <v>0.76856868866179218</v>
      </c>
      <c r="N9" s="103">
        <v>0.21571615496044888</v>
      </c>
      <c r="O9" s="96">
        <v>1.0376119460060147</v>
      </c>
      <c r="P9" s="96">
        <v>0.26338802811985629</v>
      </c>
      <c r="Q9" s="104">
        <v>1.362211699646376</v>
      </c>
      <c r="S9" s="8">
        <v>74.313130412170622</v>
      </c>
      <c r="T9" s="97">
        <v>35.225999999999999</v>
      </c>
      <c r="U9" s="97">
        <v>27.887</v>
      </c>
      <c r="V9" s="97">
        <v>18.331</v>
      </c>
      <c r="W9" s="97">
        <v>17.506999999999998</v>
      </c>
      <c r="X9" s="96">
        <v>20.834800000000001</v>
      </c>
      <c r="Y9" s="102">
        <v>4.4931999999999999</v>
      </c>
      <c r="Z9" s="97">
        <v>44.404000000000003</v>
      </c>
      <c r="AA9" s="97">
        <v>9.1780000000000008</v>
      </c>
      <c r="AB9" s="97">
        <v>6.2512999999999996</v>
      </c>
      <c r="AC9" s="97">
        <v>5.8617999999999997</v>
      </c>
      <c r="AD9" s="97">
        <v>10.3423</v>
      </c>
      <c r="AE9" s="97">
        <v>2.9028</v>
      </c>
      <c r="AF9" s="97">
        <v>13.9627</v>
      </c>
      <c r="AG9" s="97">
        <v>3.5442999999999998</v>
      </c>
      <c r="AH9" s="97">
        <v>18.3307</v>
      </c>
    </row>
    <row r="10" spans="1:34" ht="15.75" thickBot="1" x14ac:dyDescent="0.3">
      <c r="A10" s="29" t="s">
        <v>20</v>
      </c>
      <c r="B10" s="12"/>
      <c r="C10" s="113">
        <f>(C9-C8)/C8*100</f>
        <v>24.084514730831991</v>
      </c>
      <c r="D10" s="105">
        <f t="shared" ref="D10" si="26">(D9-D8)/D8*100</f>
        <v>28.393575373856862</v>
      </c>
      <c r="E10" s="105">
        <f t="shared" ref="E10" si="27">(E9-E8)/E8*100</f>
        <v>37.400856062191259</v>
      </c>
      <c r="F10" s="105">
        <f t="shared" ref="F10" si="28">(F9-F8)/F8*100</f>
        <v>78.398193759375644</v>
      </c>
      <c r="G10" s="105"/>
      <c r="H10" s="106"/>
      <c r="I10" s="113">
        <f t="shared" ref="I10" si="29">(I9-I8)/I8*100</f>
        <v>18.313347068805193</v>
      </c>
      <c r="J10" s="105">
        <f t="shared" ref="J10" si="30">(J9-J8)/J8*100</f>
        <v>0.39438359762485886</v>
      </c>
      <c r="K10" s="105">
        <f t="shared" ref="K10" si="31">(K9-K8)/K8*100</f>
        <v>-1.5482364490619982</v>
      </c>
      <c r="L10" s="105">
        <f t="shared" ref="L10" si="32">(L9-L8)/L8*100</f>
        <v>21.327623036637661</v>
      </c>
      <c r="M10" s="105">
        <f t="shared" ref="M10" si="33">(M9-M8)/M8*100</f>
        <v>38.51970470587387</v>
      </c>
      <c r="N10" s="114">
        <f t="shared" ref="N10" si="34">(N9-N8)/N8*100</f>
        <v>-5.5162488679852446</v>
      </c>
      <c r="O10" s="105">
        <f t="shared" ref="O10" si="35">(O9-O8)/O8*100</f>
        <v>142.38440123933606</v>
      </c>
      <c r="P10" s="105">
        <f t="shared" ref="P10" si="36">(P9-P8)/P8*100</f>
        <v>-12.554577035121998</v>
      </c>
      <c r="Q10" s="106">
        <f t="shared" ref="Q10" si="37">(Q9-Q8)/Q8*100</f>
        <v>37.402410925299087</v>
      </c>
      <c r="S10" s="8"/>
      <c r="T10" s="105">
        <f>(T9-T8)/T8*100</f>
        <v>14.563548848705599</v>
      </c>
      <c r="U10" s="105">
        <f>(U9-U8)/U8*100</f>
        <v>18.541976620616374</v>
      </c>
      <c r="V10" s="105">
        <f>(V9-V8)/V8*100</f>
        <v>26.85813148788926</v>
      </c>
      <c r="W10" s="105">
        <f>(W9-W8)/W8*100</f>
        <v>64.709756327029808</v>
      </c>
      <c r="X10" s="105"/>
      <c r="Y10" s="106"/>
      <c r="Z10" s="105">
        <f t="shared" ref="Z10:AH10" si="38">(Z9-Z8)/Z8*100</f>
        <v>9.235201070605342</v>
      </c>
      <c r="AA10" s="105">
        <f t="shared" si="38"/>
        <v>-7.3088459557449639</v>
      </c>
      <c r="AB10" s="105">
        <f t="shared" si="38"/>
        <v>-9.1024093757724724</v>
      </c>
      <c r="AC10" s="105">
        <f t="shared" si="38"/>
        <v>12.01819258919528</v>
      </c>
      <c r="AD10" s="105">
        <f t="shared" si="38"/>
        <v>27.891131226195771</v>
      </c>
      <c r="AE10" s="114">
        <f t="shared" si="38"/>
        <v>-12.765957446808507</v>
      </c>
      <c r="AF10" s="105">
        <f t="shared" si="38"/>
        <v>123.78632218357828</v>
      </c>
      <c r="AG10" s="105">
        <f t="shared" si="38"/>
        <v>-19.264236902050115</v>
      </c>
      <c r="AH10" s="106">
        <f t="shared" si="38"/>
        <v>26.859567046838666</v>
      </c>
    </row>
    <row r="11" spans="1:34" x14ac:dyDescent="0.25">
      <c r="C11" s="7"/>
      <c r="D11" s="7"/>
      <c r="E11" s="7"/>
      <c r="F11" s="7"/>
      <c r="G11" s="7"/>
      <c r="H11" s="7"/>
      <c r="I11" s="7"/>
      <c r="J11" s="7"/>
      <c r="K11" s="7"/>
      <c r="L11" s="7"/>
      <c r="M11" s="7"/>
      <c r="N11" s="7"/>
      <c r="O11" s="7"/>
      <c r="P11" s="7"/>
      <c r="Q11" s="7"/>
      <c r="T11" s="96"/>
      <c r="U11" s="96"/>
      <c r="V11" s="96"/>
      <c r="W11" s="96"/>
      <c r="X11" s="96"/>
      <c r="Y11" s="96"/>
      <c r="Z11" s="96"/>
      <c r="AA11" s="96"/>
      <c r="AB11" s="96"/>
      <c r="AC11" s="96"/>
      <c r="AD11" s="96"/>
      <c r="AE11" s="96"/>
      <c r="AF11" s="96"/>
      <c r="AG11" s="96"/>
      <c r="AH11" s="96"/>
    </row>
    <row r="12" spans="1:34" x14ac:dyDescent="0.25">
      <c r="S12" t="s">
        <v>134</v>
      </c>
      <c r="T12" s="96"/>
      <c r="U12" s="96"/>
      <c r="V12" s="96"/>
      <c r="W12" s="96"/>
      <c r="X12" s="96"/>
      <c r="Y12" s="96"/>
      <c r="Z12" s="96"/>
      <c r="AA12" s="96"/>
      <c r="AB12" s="96"/>
      <c r="AC12" s="96"/>
      <c r="AD12" s="96"/>
      <c r="AE12" s="96"/>
      <c r="AF12" s="96"/>
      <c r="AG12" s="96"/>
      <c r="AH12" s="96"/>
    </row>
    <row r="13" spans="1:34" ht="15.75" thickBot="1" x14ac:dyDescent="0.3">
      <c r="B13" s="13"/>
      <c r="C13" s="13"/>
      <c r="D13" s="13"/>
      <c r="E13" s="13"/>
      <c r="F13" s="13"/>
      <c r="G13" s="13"/>
      <c r="H13" s="13"/>
      <c r="I13" s="13"/>
      <c r="J13" s="13"/>
      <c r="K13" s="13"/>
      <c r="L13" s="13"/>
      <c r="M13" s="13"/>
      <c r="N13" s="13"/>
      <c r="O13" s="13"/>
      <c r="P13" s="13"/>
      <c r="Q13" s="13"/>
      <c r="T13" s="96"/>
      <c r="U13" s="96"/>
      <c r="V13" s="96"/>
      <c r="W13" s="96"/>
      <c r="X13" s="96"/>
      <c r="Y13" s="96"/>
      <c r="Z13" s="96"/>
      <c r="AA13" s="96"/>
      <c r="AB13" s="96"/>
      <c r="AC13" s="96"/>
      <c r="AD13" s="96"/>
      <c r="AE13" s="96"/>
      <c r="AF13" s="96"/>
      <c r="AG13" s="96"/>
      <c r="AH13" s="96"/>
    </row>
    <row r="14" spans="1:34" x14ac:dyDescent="0.25">
      <c r="A14" s="8"/>
      <c r="B14" t="s">
        <v>35</v>
      </c>
      <c r="C14" s="96">
        <f>AVERAGE(C2,C5,C8)</f>
        <v>1.8471434489156522</v>
      </c>
      <c r="D14" s="96">
        <f t="shared" ref="D14:Q14" si="39">AVERAGE(D2,D5,D8)</f>
        <v>1.4469167487364842</v>
      </c>
      <c r="E14" s="96">
        <f t="shared" si="39"/>
        <v>0.67736078766060659</v>
      </c>
      <c r="F14" s="96">
        <f t="shared" si="39"/>
        <v>0.6181316382734936</v>
      </c>
      <c r="G14" s="96">
        <f t="shared" si="39"/>
        <v>22.891305506666669</v>
      </c>
      <c r="H14" s="111">
        <f t="shared" si="39"/>
        <v>-1.5590703299999997</v>
      </c>
      <c r="I14" s="96">
        <f t="shared" si="39"/>
        <v>2.8499899978651442</v>
      </c>
      <c r="J14" s="96">
        <f t="shared" si="39"/>
        <v>1.0028475181819312</v>
      </c>
      <c r="K14" s="96">
        <f t="shared" si="39"/>
        <v>0.38480220245980595</v>
      </c>
      <c r="L14" s="96">
        <f t="shared" si="39"/>
        <v>0.41243728733405877</v>
      </c>
      <c r="M14" s="96">
        <f t="shared" si="39"/>
        <v>0.44802261327297499</v>
      </c>
      <c r="N14" s="112">
        <f t="shared" si="39"/>
        <v>0.20165252712271342</v>
      </c>
      <c r="O14" s="96">
        <f t="shared" si="39"/>
        <v>0.276520753589581</v>
      </c>
      <c r="P14" s="96">
        <f t="shared" si="39"/>
        <v>0.34162278918804972</v>
      </c>
      <c r="Q14" s="111">
        <f t="shared" si="39"/>
        <v>0.67735971251471083</v>
      </c>
      <c r="S14" s="16" t="s">
        <v>35</v>
      </c>
      <c r="T14" s="109">
        <v>27.278205353333298</v>
      </c>
      <c r="U14" s="110">
        <v>21.094241793333332</v>
      </c>
      <c r="V14" s="110">
        <v>9.8065614233333349</v>
      </c>
      <c r="W14" s="110">
        <v>9.0491093500000002</v>
      </c>
      <c r="X14" s="110">
        <v>22.891305506666669</v>
      </c>
      <c r="Y14" s="111">
        <v>-1.5590703299999997</v>
      </c>
      <c r="Z14" s="110">
        <v>42.337433333333337</v>
      </c>
      <c r="AA14" s="110">
        <v>15.059266666666666</v>
      </c>
      <c r="AB14" s="110">
        <v>5.6678666666666659</v>
      </c>
      <c r="AC14" s="110">
        <v>5.9634666666666662</v>
      </c>
      <c r="AD14" s="110">
        <v>6.5232999999999999</v>
      </c>
      <c r="AE14" s="112">
        <v>2.9396</v>
      </c>
      <c r="AF14" s="110">
        <v>4.0250666666666666</v>
      </c>
      <c r="AG14" s="110">
        <v>5.024233333333334</v>
      </c>
      <c r="AH14" s="111">
        <v>9.8065666666666669</v>
      </c>
    </row>
    <row r="15" spans="1:34" x14ac:dyDescent="0.25">
      <c r="A15" s="8"/>
      <c r="B15" t="s">
        <v>36</v>
      </c>
      <c r="C15" s="96">
        <f>AVERAGE(C3,C6,C9)</f>
        <v>2.8043600840125138</v>
      </c>
      <c r="D15" s="96">
        <f t="shared" ref="D15:Q15" si="40">AVERAGE(D3,D6,D9)</f>
        <v>2.1193115107039788</v>
      </c>
      <c r="E15" s="96">
        <f t="shared" si="40"/>
        <v>1.9230026217325165</v>
      </c>
      <c r="F15" s="96">
        <f t="shared" si="40"/>
        <v>1.7587182765104761</v>
      </c>
      <c r="G15" s="96">
        <f t="shared" si="40"/>
        <v>23.485167329999999</v>
      </c>
      <c r="H15" s="104">
        <f t="shared" si="40"/>
        <v>8.0270705196666672</v>
      </c>
      <c r="I15" s="96">
        <f t="shared" si="40"/>
        <v>3.8377684619459824</v>
      </c>
      <c r="J15" s="96">
        <f t="shared" si="40"/>
        <v>1.0334047836366831</v>
      </c>
      <c r="K15" s="96">
        <f t="shared" si="40"/>
        <v>0.5412240121905324</v>
      </c>
      <c r="L15" s="96">
        <f t="shared" si="40"/>
        <v>0.49961694641060794</v>
      </c>
      <c r="M15" s="96">
        <f t="shared" si="40"/>
        <v>0.87124338054922223</v>
      </c>
      <c r="N15" s="103">
        <f t="shared" si="40"/>
        <v>0.14459260308934252</v>
      </c>
      <c r="O15" s="96">
        <f t="shared" si="40"/>
        <v>1.3558346495944791</v>
      </c>
      <c r="P15" s="96">
        <f t="shared" si="40"/>
        <v>0.40287743848283952</v>
      </c>
      <c r="Q15" s="104">
        <f t="shared" si="40"/>
        <v>1.922989440399723</v>
      </c>
      <c r="S15" s="6" t="s">
        <v>36</v>
      </c>
      <c r="T15" s="107">
        <v>38.20530766666667</v>
      </c>
      <c r="U15" s="108">
        <v>28.565566493333336</v>
      </c>
      <c r="V15" s="108">
        <v>25.668482856666667</v>
      </c>
      <c r="W15" s="108">
        <v>23.469830653333332</v>
      </c>
      <c r="X15" s="108">
        <v>23.485167329999999</v>
      </c>
      <c r="Y15" s="104">
        <v>8.0270705196666672</v>
      </c>
      <c r="Z15" s="108">
        <v>51.274966666666664</v>
      </c>
      <c r="AA15" s="108">
        <v>13.069599999999999</v>
      </c>
      <c r="AB15" s="108">
        <v>7.2253000000000007</v>
      </c>
      <c r="AC15" s="108">
        <v>6.6375333333333328</v>
      </c>
      <c r="AD15" s="108">
        <v>11.965366666666666</v>
      </c>
      <c r="AE15" s="103">
        <v>1.8945333333333334</v>
      </c>
      <c r="AF15" s="108">
        <v>18.119266666666665</v>
      </c>
      <c r="AG15" s="108">
        <v>5.3504666666666667</v>
      </c>
      <c r="AH15" s="104">
        <v>25.668299999999999</v>
      </c>
    </row>
    <row r="16" spans="1:34" x14ac:dyDescent="0.25">
      <c r="A16" s="8"/>
      <c r="B16" s="44" t="s">
        <v>37</v>
      </c>
      <c r="C16" s="121">
        <f>AVERAGE(C4,C7,C10)</f>
        <v>60.941633501919718</v>
      </c>
      <c r="D16" s="121">
        <f t="shared" ref="D16:Q16" si="41">AVERAGE(D4,D7,D10)</f>
        <v>62.301645020152854</v>
      </c>
      <c r="E16" s="121">
        <f t="shared" si="41"/>
        <v>285.48847988710867</v>
      </c>
      <c r="F16" s="121">
        <f t="shared" si="41"/>
        <v>213.53650970395461</v>
      </c>
      <c r="G16" s="121"/>
      <c r="H16" s="122"/>
      <c r="I16" s="121">
        <f t="shared" si="41"/>
        <v>36.044824577863409</v>
      </c>
      <c r="J16" s="121">
        <f t="shared" si="41"/>
        <v>1.446766662072001</v>
      </c>
      <c r="K16" s="121">
        <f t="shared" si="41"/>
        <v>50.597489830264045</v>
      </c>
      <c r="L16" s="121">
        <f t="shared" si="41"/>
        <v>34.682003452931617</v>
      </c>
      <c r="M16" s="121">
        <f t="shared" si="41"/>
        <v>135.38493290229425</v>
      </c>
      <c r="N16" s="123">
        <f t="shared" si="41"/>
        <v>-28.948967926438879</v>
      </c>
      <c r="O16" s="121">
        <f t="shared" si="41"/>
        <v>551.10226150061828</v>
      </c>
      <c r="P16" s="121">
        <f t="shared" si="41"/>
        <v>20.453244123939726</v>
      </c>
      <c r="Q16" s="122">
        <f t="shared" si="41"/>
        <v>285.46925880169084</v>
      </c>
      <c r="S16" s="43" t="s">
        <v>37</v>
      </c>
      <c r="T16" s="130">
        <v>43.136797738371314</v>
      </c>
      <c r="U16" s="121">
        <v>44.554656236306073</v>
      </c>
      <c r="V16" s="121">
        <v>241.07625703238637</v>
      </c>
      <c r="W16" s="121">
        <v>177.43896401946961</v>
      </c>
      <c r="X16" s="121"/>
      <c r="Y16" s="122"/>
      <c r="Z16" s="121">
        <v>20.674080459611947</v>
      </c>
      <c r="AA16" s="121">
        <v>-10.666843321100346</v>
      </c>
      <c r="AB16" s="121">
        <v>33.234375387257508</v>
      </c>
      <c r="AC16" s="121">
        <v>20.107717252410762</v>
      </c>
      <c r="AD16" s="121">
        <v>109.64855057986129</v>
      </c>
      <c r="AE16" s="123">
        <v>-36.475865599631014</v>
      </c>
      <c r="AF16" s="121">
        <v>475.28007026257865</v>
      </c>
      <c r="AG16" s="121">
        <v>6.715294720975912</v>
      </c>
      <c r="AH16" s="122">
        <v>241.05908799034691</v>
      </c>
    </row>
    <row r="17" spans="1:34" x14ac:dyDescent="0.25">
      <c r="A17" s="8"/>
      <c r="B17" t="s">
        <v>38</v>
      </c>
      <c r="C17" s="96">
        <f>_xlfn.STDEV.S(C2,C5,C8)</f>
        <v>0.37454815906697125</v>
      </c>
      <c r="D17" s="96">
        <f t="shared" ref="D17:Q17" si="42">_xlfn.STDEV.S(D2,D5,D8)</f>
        <v>0.45632992781259102</v>
      </c>
      <c r="E17" s="96">
        <f t="shared" si="42"/>
        <v>0.34564139814010048</v>
      </c>
      <c r="F17" s="96">
        <f t="shared" si="42"/>
        <v>0.17989164442009897</v>
      </c>
      <c r="G17" s="96">
        <f t="shared" si="42"/>
        <v>11.802358098005445</v>
      </c>
      <c r="H17" s="104">
        <f t="shared" si="42"/>
        <v>30.291796108050708</v>
      </c>
      <c r="I17" s="96">
        <f t="shared" si="42"/>
        <v>0.36138335268599503</v>
      </c>
      <c r="J17" s="96">
        <f t="shared" si="42"/>
        <v>0.28646056642073375</v>
      </c>
      <c r="K17" s="96">
        <f t="shared" si="42"/>
        <v>0.10105998354953216</v>
      </c>
      <c r="L17" s="96">
        <f t="shared" si="42"/>
        <v>0.18047170095633097</v>
      </c>
      <c r="M17" s="96">
        <f t="shared" si="42"/>
        <v>0.16041954615098564</v>
      </c>
      <c r="N17" s="103">
        <f t="shared" si="42"/>
        <v>6.4237299307389931E-2</v>
      </c>
      <c r="O17" s="96">
        <f t="shared" si="42"/>
        <v>0.14781548034069453</v>
      </c>
      <c r="P17" s="96">
        <f t="shared" si="42"/>
        <v>9.0996865920102851E-2</v>
      </c>
      <c r="Q17" s="104">
        <f t="shared" si="42"/>
        <v>0.34561669452157806</v>
      </c>
      <c r="S17" s="6" t="s">
        <v>38</v>
      </c>
      <c r="T17" s="107">
        <v>3.1371901970505358</v>
      </c>
      <c r="U17" s="108">
        <v>4.2655035192943007</v>
      </c>
      <c r="V17" s="108">
        <v>4.5599301054817118</v>
      </c>
      <c r="W17" s="108">
        <v>1.7714499520512257</v>
      </c>
      <c r="X17" s="108">
        <v>11.802358098005445</v>
      </c>
      <c r="Y17" s="104">
        <v>30.291796108050708</v>
      </c>
      <c r="Z17" s="108">
        <v>1.6018427523740693</v>
      </c>
      <c r="AA17" s="108">
        <v>4.7302969741162437</v>
      </c>
      <c r="AB17" s="108">
        <v>1.0902771681243895</v>
      </c>
      <c r="AC17" s="108">
        <v>1.8417341999684269</v>
      </c>
      <c r="AD17" s="108">
        <v>1.7844394778192953</v>
      </c>
      <c r="AE17" s="103">
        <v>0.61492519870306328</v>
      </c>
      <c r="AF17" s="108">
        <v>2.0126167701113222</v>
      </c>
      <c r="AG17" s="108">
        <v>0.75215075838114231</v>
      </c>
      <c r="AH17" s="104">
        <v>4.5595300221989286</v>
      </c>
    </row>
    <row r="18" spans="1:34" x14ac:dyDescent="0.25">
      <c r="A18" s="8"/>
      <c r="B18" t="s">
        <v>39</v>
      </c>
      <c r="C18" s="96">
        <f>_xlfn.STDEV.S(C3,C6,C9)</f>
        <v>0.52970085821201762</v>
      </c>
      <c r="D18" s="96">
        <f t="shared" ref="D18:Q18" si="43">_xlfn.STDEV.S(D3,D6,D9)</f>
        <v>0.17746779949362768</v>
      </c>
      <c r="E18" s="96">
        <f t="shared" si="43"/>
        <v>0.4856750665521069</v>
      </c>
      <c r="F18" s="96">
        <f t="shared" si="43"/>
        <v>0.39639581379279848</v>
      </c>
      <c r="G18" s="96">
        <f t="shared" si="43"/>
        <v>7.4882001252789054</v>
      </c>
      <c r="H18" s="104">
        <f t="shared" si="43"/>
        <v>3.0709848494570497</v>
      </c>
      <c r="I18" s="96">
        <f t="shared" si="43"/>
        <v>0.46654182068838251</v>
      </c>
      <c r="J18" s="96">
        <f t="shared" si="43"/>
        <v>0.56822030362419007</v>
      </c>
      <c r="K18" s="96">
        <f t="shared" si="43"/>
        <v>6.6399552979583956E-2</v>
      </c>
      <c r="L18" s="96">
        <f t="shared" si="43"/>
        <v>5.9711126895940415E-2</v>
      </c>
      <c r="M18" s="96">
        <f t="shared" si="43"/>
        <v>0.23950566014489447</v>
      </c>
      <c r="N18" s="103">
        <f t="shared" si="43"/>
        <v>6.7274158417503685E-2</v>
      </c>
      <c r="O18" s="96">
        <f t="shared" si="43"/>
        <v>0.2760474543638966</v>
      </c>
      <c r="P18" s="96">
        <f t="shared" si="43"/>
        <v>0.12188841216237746</v>
      </c>
      <c r="Q18" s="104">
        <f t="shared" si="43"/>
        <v>0.48568290675515052</v>
      </c>
      <c r="S18" s="6" t="s">
        <v>39</v>
      </c>
      <c r="T18" s="107">
        <v>13.459655374524869</v>
      </c>
      <c r="U18" s="108">
        <v>7.1274176937053397</v>
      </c>
      <c r="V18" s="108">
        <v>8.0967316943289998</v>
      </c>
      <c r="W18" s="108">
        <v>6.8179634719492919</v>
      </c>
      <c r="X18" s="108">
        <v>7.4882001252789054</v>
      </c>
      <c r="Y18" s="104">
        <v>3.0709848494570497</v>
      </c>
      <c r="Z18" s="108">
        <v>11.238837445364794</v>
      </c>
      <c r="AA18" s="108">
        <v>4.9869748906526521</v>
      </c>
      <c r="AB18" s="108">
        <v>1.5449011262860772</v>
      </c>
      <c r="AC18" s="108">
        <v>1.1202829568164203</v>
      </c>
      <c r="AD18" s="108">
        <v>5.2208762352054832</v>
      </c>
      <c r="AE18" s="103">
        <v>0.88080339085026971</v>
      </c>
      <c r="AF18" s="108">
        <v>5.0967176950792039</v>
      </c>
      <c r="AG18" s="108">
        <v>1.7771005664658739</v>
      </c>
      <c r="AH18" s="104">
        <v>8.0967643914097103</v>
      </c>
    </row>
    <row r="19" spans="1:34" ht="15.75" thickBot="1" x14ac:dyDescent="0.3">
      <c r="A19" s="8"/>
      <c r="B19" t="s">
        <v>40</v>
      </c>
      <c r="C19" s="96">
        <f>_xlfn.STDEV.S(C4,C7,C10)</f>
        <v>68.416761051578661</v>
      </c>
      <c r="D19" s="96">
        <f t="shared" ref="D19:Q19" si="44">_xlfn.STDEV.S(D4,D7,D10)</f>
        <v>75.514969055690742</v>
      </c>
      <c r="E19" s="96">
        <f t="shared" si="44"/>
        <v>300.41920698457147</v>
      </c>
      <c r="F19" s="96">
        <f t="shared" si="44"/>
        <v>155.83634641641655</v>
      </c>
      <c r="G19" s="96"/>
      <c r="H19" s="106"/>
      <c r="I19" s="105">
        <f t="shared" si="44"/>
        <v>24.304264831315233</v>
      </c>
      <c r="J19" s="105">
        <f t="shared" si="44"/>
        <v>35.978637170893585</v>
      </c>
      <c r="K19" s="105">
        <f t="shared" si="44"/>
        <v>56.967903675740665</v>
      </c>
      <c r="L19" s="105">
        <f t="shared" si="44"/>
        <v>52.392326767551694</v>
      </c>
      <c r="M19" s="105">
        <f t="shared" si="44"/>
        <v>172.40297005948372</v>
      </c>
      <c r="N19" s="114">
        <f t="shared" si="44"/>
        <v>20.790922512706736</v>
      </c>
      <c r="O19" s="105">
        <f t="shared" si="44"/>
        <v>462.44401195027348</v>
      </c>
      <c r="P19" s="105">
        <f t="shared" si="44"/>
        <v>39.53021271098401</v>
      </c>
      <c r="Q19" s="106">
        <f t="shared" si="44"/>
        <v>300.38640408236694</v>
      </c>
      <c r="S19" s="30" t="s">
        <v>40</v>
      </c>
      <c r="T19" s="113">
        <v>62.388224696721871</v>
      </c>
      <c r="U19" s="105">
        <v>68.92236203199846</v>
      </c>
      <c r="V19" s="105">
        <v>269.70878215576585</v>
      </c>
      <c r="W19" s="105">
        <v>139.3068930879854</v>
      </c>
      <c r="X19" s="105"/>
      <c r="Y19" s="106"/>
      <c r="Z19" s="105">
        <v>22.462721080467741</v>
      </c>
      <c r="AA19" s="105">
        <v>28.727164194805891</v>
      </c>
      <c r="AB19" s="105">
        <v>50.547379795377537</v>
      </c>
      <c r="AC19" s="105">
        <v>48.603988734532606</v>
      </c>
      <c r="AD19" s="105">
        <v>155.35982008775838</v>
      </c>
      <c r="AE19" s="114">
        <v>21.252414904487409</v>
      </c>
      <c r="AF19" s="105">
        <v>414.24045444553485</v>
      </c>
      <c r="AG19" s="105">
        <v>35.381720223598812</v>
      </c>
      <c r="AH19" s="106">
        <v>269.67915025664684</v>
      </c>
    </row>
    <row r="20" spans="1:34" ht="15.75" thickBot="1" x14ac:dyDescent="0.3">
      <c r="B20" s="58"/>
      <c r="C20" s="58"/>
      <c r="D20" s="58"/>
      <c r="E20" s="58"/>
      <c r="F20" s="58"/>
      <c r="G20" s="58"/>
      <c r="H20" s="13"/>
      <c r="I20" s="169">
        <f>(I15-I14)/I14*100</f>
        <v>34.65901511306209</v>
      </c>
      <c r="J20" s="169">
        <f t="shared" ref="J20:Q20" si="45">(J15-J14)/J14*100</f>
        <v>3.0470500151557807</v>
      </c>
      <c r="K20" s="169">
        <f t="shared" si="45"/>
        <v>40.649925788058681</v>
      </c>
      <c r="L20" s="169">
        <f t="shared" si="45"/>
        <v>21.137676382285221</v>
      </c>
      <c r="M20" s="169">
        <f t="shared" si="45"/>
        <v>94.464153089161982</v>
      </c>
      <c r="N20" s="169">
        <f t="shared" si="45"/>
        <v>-28.296161147857923</v>
      </c>
      <c r="O20" s="169">
        <f t="shared" si="45"/>
        <v>390.31930948909633</v>
      </c>
      <c r="P20" s="169">
        <f t="shared" si="45"/>
        <v>17.930492705236816</v>
      </c>
      <c r="Q20" s="169">
        <f t="shared" si="45"/>
        <v>183.8948648511421</v>
      </c>
      <c r="S20" s="58"/>
      <c r="T20" s="169"/>
      <c r="U20" s="169"/>
      <c r="V20" s="169"/>
      <c r="W20" s="169"/>
      <c r="X20" s="169"/>
      <c r="Y20" s="169"/>
      <c r="Z20" s="169"/>
      <c r="AA20" s="169"/>
      <c r="AB20" s="169"/>
      <c r="AC20" s="169"/>
      <c r="AD20" s="169"/>
      <c r="AE20" s="169"/>
      <c r="AF20" s="169"/>
      <c r="AG20" s="169"/>
      <c r="AH20" s="96"/>
    </row>
    <row r="21" spans="1:34" x14ac:dyDescent="0.25">
      <c r="B21" s="16" t="s">
        <v>35</v>
      </c>
      <c r="C21" s="96">
        <v>2.3505340283800362</v>
      </c>
      <c r="D21" s="96">
        <v>1.8805230229693206</v>
      </c>
      <c r="E21" s="96">
        <v>1.0160252812826149</v>
      </c>
      <c r="F21" s="96">
        <v>0.93064091431231954</v>
      </c>
      <c r="G21" s="96">
        <v>16.932252380952381</v>
      </c>
      <c r="H21" s="111">
        <v>6.7260809523809542</v>
      </c>
      <c r="I21" s="96">
        <v>3.4358630019485559</v>
      </c>
      <c r="J21" s="96">
        <v>1.0612955117796181</v>
      </c>
      <c r="K21" s="96">
        <v>0.35258478889367656</v>
      </c>
      <c r="L21" s="96">
        <v>0.35050024161249194</v>
      </c>
      <c r="M21" s="96">
        <v>0.42613551691128604</v>
      </c>
      <c r="N21" s="103">
        <v>0.79603776298904771</v>
      </c>
      <c r="O21" s="96">
        <v>0.48300783325726021</v>
      </c>
      <c r="P21" s="96">
        <v>0.46308976587638639</v>
      </c>
      <c r="Q21" s="104">
        <v>1.0160233290085481</v>
      </c>
      <c r="S21" s="6" t="s">
        <v>35</v>
      </c>
      <c r="T21" s="96">
        <v>38.509043478260871</v>
      </c>
      <c r="U21" s="96">
        <v>30.935217391304349</v>
      </c>
      <c r="V21" s="96">
        <v>16.656999999999996</v>
      </c>
      <c r="W21" s="96">
        <v>15.317272727272728</v>
      </c>
      <c r="X21" s="96">
        <v>16.79301818181818</v>
      </c>
      <c r="Y21" s="104">
        <v>6.0623045454545466</v>
      </c>
      <c r="Z21" s="96">
        <v>55.930869565217385</v>
      </c>
      <c r="AA21" s="96">
        <v>16.97650909090909</v>
      </c>
      <c r="AB21" s="96">
        <v>6.0907954545454546</v>
      </c>
      <c r="AC21" s="96">
        <v>5.9655826086956516</v>
      </c>
      <c r="AD21" s="96">
        <v>7.0906565217391293</v>
      </c>
      <c r="AE21" s="103">
        <v>12.485695454545453</v>
      </c>
      <c r="AF21" s="96">
        <v>8.0412681818181806</v>
      </c>
      <c r="AG21" s="96">
        <v>7.2758954545454539</v>
      </c>
      <c r="AH21" s="111">
        <v>16.656949999999998</v>
      </c>
    </row>
    <row r="22" spans="1:34" x14ac:dyDescent="0.25">
      <c r="B22" s="6" t="s">
        <v>36</v>
      </c>
      <c r="C22" s="96">
        <v>2.941865852956163</v>
      </c>
      <c r="D22" s="96">
        <v>2.1849707149652109</v>
      </c>
      <c r="E22" s="96">
        <v>1.4880043601529855</v>
      </c>
      <c r="F22" s="96">
        <v>1.4104592812467101</v>
      </c>
      <c r="G22" s="96">
        <v>23.960213636363633</v>
      </c>
      <c r="H22" s="104">
        <v>4.1328190476190469</v>
      </c>
      <c r="I22" s="96">
        <v>3.9288343417843903</v>
      </c>
      <c r="J22" s="96">
        <v>0.98698184742510164</v>
      </c>
      <c r="K22" s="96">
        <v>0.34681927385864758</v>
      </c>
      <c r="L22" s="96">
        <v>0.36936273150036186</v>
      </c>
      <c r="M22" s="96">
        <v>0.78145124558012324</v>
      </c>
      <c r="N22" s="103">
        <v>0.73523640942635982</v>
      </c>
      <c r="O22" s="96">
        <v>1.0270769835671483</v>
      </c>
      <c r="P22" s="96">
        <v>0.41345341529555324</v>
      </c>
      <c r="Q22" s="104">
        <v>1.4879967641036531</v>
      </c>
      <c r="S22" s="6" t="s">
        <v>36</v>
      </c>
      <c r="T22" s="96">
        <v>48.302043478260877</v>
      </c>
      <c r="U22" s="96">
        <v>36.448086956521735</v>
      </c>
      <c r="V22" s="96">
        <v>24.847318181818185</v>
      </c>
      <c r="W22" s="96">
        <v>23.667818181818181</v>
      </c>
      <c r="X22" s="96">
        <v>23.900504347826086</v>
      </c>
      <c r="Y22" s="104">
        <v>3.8601818181818177</v>
      </c>
      <c r="Z22" s="96">
        <v>64.177730434782617</v>
      </c>
      <c r="AA22" s="96">
        <v>15.832478260869564</v>
      </c>
      <c r="AB22" s="96">
        <v>6.0439590909090901</v>
      </c>
      <c r="AC22" s="96">
        <v>6.4575217391304349</v>
      </c>
      <c r="AD22" s="96">
        <v>13.219591304347828</v>
      </c>
      <c r="AE22" s="103">
        <v>11.11825</v>
      </c>
      <c r="AF22" s="96">
        <v>17.210290909090904</v>
      </c>
      <c r="AG22" s="96">
        <v>6.7832904761904773</v>
      </c>
      <c r="AH22" s="104">
        <v>24.847190909090909</v>
      </c>
    </row>
    <row r="23" spans="1:34" x14ac:dyDescent="0.25">
      <c r="B23" s="56" t="s">
        <v>128</v>
      </c>
      <c r="C23" s="121">
        <v>28.97307873420899</v>
      </c>
      <c r="D23" s="121">
        <v>18.759714392109931</v>
      </c>
      <c r="E23" s="121">
        <v>56.691686242311839</v>
      </c>
      <c r="F23" s="121">
        <v>62.446339948550353</v>
      </c>
      <c r="G23" s="121"/>
      <c r="H23" s="122"/>
      <c r="I23" s="121">
        <v>15.728720953037771</v>
      </c>
      <c r="J23" s="121">
        <v>-9.9917593795579975</v>
      </c>
      <c r="K23" s="121">
        <v>3.581496807289271</v>
      </c>
      <c r="L23" s="121">
        <v>6.9664152824614352</v>
      </c>
      <c r="M23" s="121">
        <v>98.786476887573627</v>
      </c>
      <c r="N23" s="121">
        <v>5.2541223991712069</v>
      </c>
      <c r="O23" s="121">
        <v>132.46498861738144</v>
      </c>
      <c r="P23" s="121">
        <v>-4.755190039117509</v>
      </c>
      <c r="Q23" s="122">
        <v>56.691126629985106</v>
      </c>
      <c r="S23" s="56" t="s">
        <v>128</v>
      </c>
      <c r="T23" s="121">
        <v>19.744967227717357</v>
      </c>
      <c r="U23" s="121">
        <v>12.929061252812712</v>
      </c>
      <c r="V23" s="121">
        <v>35.659543298503408</v>
      </c>
      <c r="W23" s="121">
        <v>43.300770037206192</v>
      </c>
      <c r="X23" s="121"/>
      <c r="Y23" s="122"/>
      <c r="Z23" s="121">
        <v>10.137425602022006</v>
      </c>
      <c r="AA23" s="121">
        <v>-11.349021305084666</v>
      </c>
      <c r="AB23" s="121">
        <v>-0.53484515846737513</v>
      </c>
      <c r="AC23" s="121">
        <v>2.6451988604960937</v>
      </c>
      <c r="AD23" s="121">
        <v>66.665302620966855</v>
      </c>
      <c r="AE23" s="123">
        <v>-14.028527589120625</v>
      </c>
      <c r="AF23" s="121">
        <v>91.256016687690177</v>
      </c>
      <c r="AG23" s="121">
        <v>-6.5431233894477892</v>
      </c>
      <c r="AH23" s="122">
        <v>35.658735419083094</v>
      </c>
    </row>
    <row r="24" spans="1:34" x14ac:dyDescent="0.25">
      <c r="B24" s="6" t="s">
        <v>38</v>
      </c>
      <c r="C24" s="96">
        <v>0.50221324952494106</v>
      </c>
      <c r="D24" s="96">
        <v>0.48420675970139238</v>
      </c>
      <c r="E24" s="96">
        <v>0.33252222933831793</v>
      </c>
      <c r="F24" s="96">
        <v>0.30329078142963217</v>
      </c>
      <c r="G24" s="96">
        <v>14.362216400342779</v>
      </c>
      <c r="H24" s="104">
        <v>15.710143261640708</v>
      </c>
      <c r="I24" s="96">
        <v>0.67113733782644158</v>
      </c>
      <c r="J24" s="96">
        <v>0.45957388131448002</v>
      </c>
      <c r="K24" s="96">
        <v>0.15902384601399711</v>
      </c>
      <c r="L24" s="96">
        <v>0.11018685728824226</v>
      </c>
      <c r="M24" s="96">
        <v>0.16199335087789643</v>
      </c>
      <c r="N24" s="103">
        <v>0.35716769257228553</v>
      </c>
      <c r="O24" s="96">
        <v>0.19211972779749101</v>
      </c>
      <c r="P24" s="96">
        <v>0.21918527289237225</v>
      </c>
      <c r="Q24" s="104">
        <v>0.33252864316845659</v>
      </c>
      <c r="S24" s="6" t="s">
        <v>38</v>
      </c>
      <c r="T24" s="96">
        <v>8.8567321067971037</v>
      </c>
      <c r="U24" s="96">
        <v>8.3251242608550537</v>
      </c>
      <c r="V24" s="96">
        <v>6.037636573386159</v>
      </c>
      <c r="W24" s="96">
        <v>5.396310647393701</v>
      </c>
      <c r="X24" s="96">
        <v>14.097616359691241</v>
      </c>
      <c r="Y24" s="104">
        <v>15.658147707740367</v>
      </c>
      <c r="Z24" s="96">
        <v>10.579647082386577</v>
      </c>
      <c r="AA24" s="96">
        <v>6.6916315307351786</v>
      </c>
      <c r="AB24" s="96">
        <v>3.3371686996376542</v>
      </c>
      <c r="AC24" s="96">
        <v>2.3698018888673702</v>
      </c>
      <c r="AD24" s="96">
        <v>3.1494424347319137</v>
      </c>
      <c r="AE24" s="103">
        <v>4.365833366540584</v>
      </c>
      <c r="AF24" s="96">
        <v>3.4319386044965907</v>
      </c>
      <c r="AG24" s="96">
        <v>3.3712896925054703</v>
      </c>
      <c r="AH24" s="104">
        <v>6.037688894055897</v>
      </c>
    </row>
    <row r="25" spans="1:34" x14ac:dyDescent="0.25">
      <c r="B25" s="6" t="s">
        <v>39</v>
      </c>
      <c r="C25" s="96">
        <v>0.64771890217256245</v>
      </c>
      <c r="D25" s="96">
        <v>0.5834373436582857</v>
      </c>
      <c r="E25" s="96">
        <v>0.46045984580707155</v>
      </c>
      <c r="F25" s="96">
        <v>0.43102125829759935</v>
      </c>
      <c r="G25" s="96">
        <v>13.372533896970454</v>
      </c>
      <c r="H25" s="104">
        <v>10.980549735391211</v>
      </c>
      <c r="I25" s="96">
        <v>0.85528022863904052</v>
      </c>
      <c r="J25" s="96">
        <v>0.51457381314985673</v>
      </c>
      <c r="K25" s="96">
        <v>0.13304239100838294</v>
      </c>
      <c r="L25" s="96">
        <v>0.12520845137003778</v>
      </c>
      <c r="M25" s="96">
        <v>0.31784158931966133</v>
      </c>
      <c r="N25" s="96">
        <v>0.31676724674770979</v>
      </c>
      <c r="O25" s="96">
        <v>0.37708613718822537</v>
      </c>
      <c r="P25" s="96">
        <v>0.1439095909165784</v>
      </c>
      <c r="Q25" s="104">
        <v>0.46046723395869837</v>
      </c>
      <c r="S25" s="6" t="s">
        <v>39</v>
      </c>
      <c r="T25" s="96">
        <v>13.333147103976621</v>
      </c>
      <c r="U25" s="96">
        <v>12.631393472529126</v>
      </c>
      <c r="V25" s="96">
        <v>9.4500737695233248</v>
      </c>
      <c r="W25" s="96">
        <v>8.9129790770096005</v>
      </c>
      <c r="X25" s="96">
        <v>13.075570836379956</v>
      </c>
      <c r="Y25" s="104">
        <v>10.797076382719801</v>
      </c>
      <c r="Z25" s="96">
        <v>13.934689974859648</v>
      </c>
      <c r="AA25" s="96">
        <v>6.6621780598011577</v>
      </c>
      <c r="AB25" s="96">
        <v>2.8559419890956086</v>
      </c>
      <c r="AC25" s="96">
        <v>2.9871056778529219</v>
      </c>
      <c r="AD25" s="96">
        <v>6.9810091042273879</v>
      </c>
      <c r="AE25" s="103">
        <v>4.6984463845489124</v>
      </c>
      <c r="AF25" s="96">
        <v>7.3284160395482179</v>
      </c>
      <c r="AG25" s="96">
        <v>2.6290055980303655</v>
      </c>
      <c r="AH25" s="104">
        <v>9.4501180875919868</v>
      </c>
    </row>
    <row r="26" spans="1:34" ht="15.75" thickBot="1" x14ac:dyDescent="0.3">
      <c r="B26" s="30" t="s">
        <v>40</v>
      </c>
      <c r="C26" s="105">
        <v>26.594846958389351</v>
      </c>
      <c r="D26" s="105">
        <v>17.862580714615568</v>
      </c>
      <c r="E26" s="105">
        <v>47.006677910182347</v>
      </c>
      <c r="F26" s="105">
        <v>45.241468885169532</v>
      </c>
      <c r="G26" s="105"/>
      <c r="H26" s="106"/>
      <c r="I26" s="105">
        <v>14.329828312252118</v>
      </c>
      <c r="J26" s="105">
        <v>25.718886249384958</v>
      </c>
      <c r="K26" s="105">
        <v>14.662887975382729</v>
      </c>
      <c r="L26" s="105">
        <v>16.748059465129984</v>
      </c>
      <c r="M26" s="105">
        <v>79.572745069680082</v>
      </c>
      <c r="N26" s="105">
        <v>50.231638115024019</v>
      </c>
      <c r="O26" s="105">
        <v>81.282697537177938</v>
      </c>
      <c r="P26" s="105">
        <v>30.446881433359223</v>
      </c>
      <c r="Q26" s="106">
        <v>47.006766999608594</v>
      </c>
      <c r="S26" s="30" t="s">
        <v>40</v>
      </c>
      <c r="T26" s="113">
        <v>19.972167594140327</v>
      </c>
      <c r="U26" s="105">
        <v>16.615029662718182</v>
      </c>
      <c r="V26" s="105">
        <v>22.539507749598812</v>
      </c>
      <c r="W26" s="105">
        <v>31.616048684196105</v>
      </c>
      <c r="X26" s="105"/>
      <c r="Y26" s="106"/>
      <c r="Z26" s="105">
        <v>15.431726094295676</v>
      </c>
      <c r="AA26" s="105">
        <v>28.525733513754655</v>
      </c>
      <c r="AB26" s="105">
        <v>16.535616393189969</v>
      </c>
      <c r="AC26" s="105">
        <v>16.362437980118671</v>
      </c>
      <c r="AD26" s="105">
        <v>49.148753353232799</v>
      </c>
      <c r="AE26" s="114">
        <v>22.677389578918458</v>
      </c>
      <c r="AF26" s="105">
        <v>51.052932177624811</v>
      </c>
      <c r="AG26" s="105">
        <v>36.921064081927781</v>
      </c>
      <c r="AH26" s="106">
        <v>22.537210913359559</v>
      </c>
    </row>
  </sheetData>
  <conditionalFormatting sqref="T10:AH10 T7:AH7 T4:AH4">
    <cfRule type="colorScale" priority="17">
      <colorScale>
        <cfvo type="num" val="-100"/>
        <cfvo type="num" val="0"/>
        <cfvo type="num" val="100"/>
        <color rgb="FFF8696B"/>
        <color theme="0"/>
        <color rgb="FF63BE7B"/>
      </colorScale>
    </cfRule>
  </conditionalFormatting>
  <conditionalFormatting sqref="C16:Q16">
    <cfRule type="colorScale" priority="14">
      <colorScale>
        <cfvo type="num" val="-100"/>
        <cfvo type="num" val="0"/>
        <cfvo type="num" val="100"/>
        <color rgb="FFF8696B"/>
        <color theme="0"/>
        <color rgb="FF63BE7B"/>
      </colorScale>
    </cfRule>
  </conditionalFormatting>
  <conditionalFormatting sqref="AI20:AW20 AI17:AW17 AI14:AW14">
    <cfRule type="colorScale" priority="10">
      <colorScale>
        <cfvo type="num" val="-100"/>
        <cfvo type="num" val="0"/>
        <cfvo type="num" val="100"/>
        <color rgb="FFF8696B"/>
        <color theme="0"/>
        <color rgb="FF63BE7B"/>
      </colorScale>
    </cfRule>
  </conditionalFormatting>
  <conditionalFormatting sqref="C10:F10 C7:F7 C4:F4 I4:Q4 I7:Q7 I10:Q10">
    <cfRule type="colorScale" priority="9">
      <colorScale>
        <cfvo type="num" val="-100"/>
        <cfvo type="num" val="0"/>
        <cfvo type="num" val="100"/>
        <color rgb="FFF8696B"/>
        <color theme="0"/>
        <color rgb="FF63BE7B"/>
      </colorScale>
    </cfRule>
  </conditionalFormatting>
  <conditionalFormatting sqref="G10:H10 G7:H7 G4:H4">
    <cfRule type="colorScale" priority="6">
      <colorScale>
        <cfvo type="num" val="-100"/>
        <cfvo type="num" val="0"/>
        <cfvo type="num" val="100"/>
        <color rgb="FFF8696B"/>
        <color theme="0"/>
        <color rgb="FF63BE7B"/>
      </colorScale>
    </cfRule>
  </conditionalFormatting>
  <conditionalFormatting sqref="T16:AH16">
    <cfRule type="colorScale" priority="8">
      <colorScale>
        <cfvo type="num" val="-100"/>
        <cfvo type="num" val="0"/>
        <cfvo type="num" val="100"/>
        <color rgb="FFF8696B"/>
        <color theme="0"/>
        <color rgb="FF63BE7B"/>
      </colorScale>
    </cfRule>
  </conditionalFormatting>
  <conditionalFormatting sqref="T23:AH23">
    <cfRule type="colorScale" priority="7">
      <colorScale>
        <cfvo type="num" val="-100"/>
        <cfvo type="num" val="0"/>
        <cfvo type="num" val="100"/>
        <color rgb="FFF8696B"/>
        <color theme="0"/>
        <color rgb="FF63BE7B"/>
      </colorScale>
    </cfRule>
  </conditionalFormatting>
  <conditionalFormatting sqref="C23:Q23">
    <cfRule type="colorScale" priority="2">
      <colorScale>
        <cfvo type="num" val="-100"/>
        <cfvo type="num" val="0"/>
        <cfvo type="num" val="100"/>
        <color rgb="FFF8696B"/>
        <color theme="0"/>
        <color rgb="FF63BE7B"/>
      </colorScale>
    </cfRule>
  </conditionalFormatting>
  <conditionalFormatting sqref="I20:Q20">
    <cfRule type="colorScale" priority="1">
      <colorScale>
        <cfvo type="num" val="-100"/>
        <cfvo type="num" val="0"/>
        <cfvo type="num" val="100"/>
        <color rgb="FFF8696B"/>
        <color theme="0"/>
        <color rgb="FF63BE7B"/>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35"/>
  <sheetViews>
    <sheetView workbookViewId="0">
      <selection activeCell="I14" sqref="I14:Q19"/>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2.85546875" customWidth="1"/>
    <col min="19" max="19" width="19.28515625" customWidth="1"/>
    <col min="20" max="25" width="13.42578125" bestFit="1"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37" t="s">
        <v>1</v>
      </c>
      <c r="C1" s="3" t="s">
        <v>347</v>
      </c>
      <c r="D1" s="3" t="s">
        <v>3</v>
      </c>
      <c r="E1" s="3" t="s">
        <v>4</v>
      </c>
      <c r="F1" s="3" t="s">
        <v>5</v>
      </c>
      <c r="G1" s="3" t="s">
        <v>6</v>
      </c>
      <c r="H1" s="4" t="s">
        <v>7</v>
      </c>
      <c r="I1" s="3" t="s">
        <v>8</v>
      </c>
      <c r="J1" s="3" t="s">
        <v>9</v>
      </c>
      <c r="K1" s="3" t="s">
        <v>10</v>
      </c>
      <c r="L1" s="3" t="s">
        <v>11</v>
      </c>
      <c r="M1" s="3" t="s">
        <v>12</v>
      </c>
      <c r="N1" s="24" t="s">
        <v>13</v>
      </c>
      <c r="O1" s="3" t="s">
        <v>14</v>
      </c>
      <c r="P1" s="3" t="s">
        <v>15</v>
      </c>
      <c r="Q1" s="4" t="s">
        <v>16</v>
      </c>
      <c r="R1" s="5" t="s">
        <v>17</v>
      </c>
      <c r="S1" s="71" t="s">
        <v>346</v>
      </c>
      <c r="T1" s="3" t="s">
        <v>2</v>
      </c>
      <c r="U1" s="3" t="s">
        <v>3</v>
      </c>
      <c r="V1" s="3" t="s">
        <v>4</v>
      </c>
      <c r="W1" s="3" t="s">
        <v>5</v>
      </c>
      <c r="X1" s="3" t="s">
        <v>6</v>
      </c>
      <c r="Y1" s="4" t="s">
        <v>7</v>
      </c>
      <c r="Z1" s="3" t="s">
        <v>8</v>
      </c>
      <c r="AA1" s="3" t="s">
        <v>9</v>
      </c>
      <c r="AB1" s="3" t="s">
        <v>10</v>
      </c>
      <c r="AC1" s="3" t="s">
        <v>11</v>
      </c>
      <c r="AD1" s="3" t="s">
        <v>12</v>
      </c>
      <c r="AE1" s="24" t="s">
        <v>13</v>
      </c>
      <c r="AF1" s="3" t="s">
        <v>14</v>
      </c>
      <c r="AG1" s="3" t="s">
        <v>15</v>
      </c>
      <c r="AH1" s="4" t="s">
        <v>16</v>
      </c>
    </row>
    <row r="2" spans="1:34" ht="15.75" thickTop="1" x14ac:dyDescent="0.25">
      <c r="A2" s="8" t="s">
        <v>54</v>
      </c>
      <c r="B2" s="8"/>
      <c r="C2" s="96">
        <v>0.79144670245937387</v>
      </c>
      <c r="D2" s="96">
        <v>0.76883939036067894</v>
      </c>
      <c r="E2" s="96">
        <v>0.66467405360213538</v>
      </c>
      <c r="F2" s="96">
        <v>0.61011125815718392</v>
      </c>
      <c r="G2" s="97">
        <v>2.8584999999999998</v>
      </c>
      <c r="H2" s="102">
        <v>8.2036999999999995</v>
      </c>
      <c r="I2" s="96">
        <v>2.7801175121740633</v>
      </c>
      <c r="J2" s="96">
        <v>1.9886231149634266</v>
      </c>
      <c r="K2" s="96">
        <v>0.21740221520732303</v>
      </c>
      <c r="L2" s="96">
        <v>0.16413671699672708</v>
      </c>
      <c r="M2" s="96">
        <v>0.17328457028898378</v>
      </c>
      <c r="N2" s="99">
        <v>0.21404450471840292</v>
      </c>
      <c r="O2" s="96">
        <v>0.47377104219657373</v>
      </c>
      <c r="P2" s="96">
        <v>0.13634975491086282</v>
      </c>
      <c r="Q2" s="100">
        <v>0.66465497570163012</v>
      </c>
      <c r="S2">
        <v>95.389502526138827</v>
      </c>
      <c r="T2" s="97">
        <v>8.2970000000000006</v>
      </c>
      <c r="U2" s="97">
        <v>8.06</v>
      </c>
      <c r="V2" s="97">
        <v>6.968</v>
      </c>
      <c r="W2" s="97">
        <v>6.395999999999999</v>
      </c>
      <c r="X2" s="97">
        <v>2.8584999999999998</v>
      </c>
      <c r="Y2" s="102">
        <v>8.2036999999999995</v>
      </c>
      <c r="Z2" s="96">
        <v>29.1449</v>
      </c>
      <c r="AA2" s="96">
        <v>20.8474</v>
      </c>
      <c r="AB2" s="96">
        <v>2.2791000000000001</v>
      </c>
      <c r="AC2" s="96">
        <v>1.7206999999999999</v>
      </c>
      <c r="AD2" s="96">
        <v>1.8166</v>
      </c>
      <c r="AE2" s="103">
        <v>2.2439</v>
      </c>
      <c r="AF2" s="96">
        <v>4.9667000000000003</v>
      </c>
      <c r="AG2" s="96">
        <v>1.4294</v>
      </c>
      <c r="AH2" s="104">
        <v>6.9678000000000004</v>
      </c>
    </row>
    <row r="3" spans="1:34" x14ac:dyDescent="0.25">
      <c r="A3" s="8" t="s">
        <v>55</v>
      </c>
      <c r="B3" s="8"/>
      <c r="C3" s="96">
        <v>1.0064705631412858</v>
      </c>
      <c r="D3" s="96">
        <v>0.80254899959814585</v>
      </c>
      <c r="E3" s="96">
        <v>0.45715685134695272</v>
      </c>
      <c r="F3" s="96">
        <v>0.46970587064191516</v>
      </c>
      <c r="G3" s="167">
        <v>20.262599999999999</v>
      </c>
      <c r="H3" s="102">
        <v>-2.7498</v>
      </c>
      <c r="I3" s="96">
        <v>2.6742450313631205</v>
      </c>
      <c r="J3" s="96">
        <v>1.6677548603791863</v>
      </c>
      <c r="K3" s="96">
        <v>0.20076470087675097</v>
      </c>
      <c r="L3" s="96">
        <v>0.17103921142180864</v>
      </c>
      <c r="M3" s="96">
        <v>0.19450979907191812</v>
      </c>
      <c r="N3" s="103">
        <v>0.23623528822766829</v>
      </c>
      <c r="O3" s="96">
        <v>0.33928430526622327</v>
      </c>
      <c r="P3" s="96">
        <v>0.1304607810609886</v>
      </c>
      <c r="Q3" s="104">
        <v>0.45717645918960104</v>
      </c>
      <c r="S3">
        <v>98.039213241894203</v>
      </c>
      <c r="T3" s="97">
        <v>10.266</v>
      </c>
      <c r="U3" s="97">
        <v>8.1859999999999999</v>
      </c>
      <c r="V3" s="97">
        <v>4.6630000000000003</v>
      </c>
      <c r="W3" s="97">
        <v>4.7910000000000004</v>
      </c>
      <c r="X3" s="167">
        <v>20.262599999999999</v>
      </c>
      <c r="Y3" s="102">
        <v>-2.7498</v>
      </c>
      <c r="Z3" s="96">
        <v>27.2773</v>
      </c>
      <c r="AA3" s="96">
        <v>17.011099999999999</v>
      </c>
      <c r="AB3" s="96">
        <v>2.0478000000000001</v>
      </c>
      <c r="AC3" s="96">
        <v>1.7445999999999999</v>
      </c>
      <c r="AD3" s="96">
        <v>1.984</v>
      </c>
      <c r="AE3" s="103">
        <v>2.4096000000000002</v>
      </c>
      <c r="AF3" s="96">
        <v>3.4607000000000001</v>
      </c>
      <c r="AG3" s="96">
        <v>1.3307</v>
      </c>
      <c r="AH3" s="104">
        <v>4.6631999999999998</v>
      </c>
    </row>
    <row r="4" spans="1:34" ht="15.75" thickBot="1" x14ac:dyDescent="0.3">
      <c r="A4" s="29" t="s">
        <v>20</v>
      </c>
      <c r="B4" s="12"/>
      <c r="C4" s="96">
        <v>27.168457460715672</v>
      </c>
      <c r="D4" s="96">
        <v>4.3844799915432286</v>
      </c>
      <c r="E4" s="96">
        <v>-31.220897089417537</v>
      </c>
      <c r="F4" s="96">
        <v>-23.013079276615464</v>
      </c>
      <c r="G4" s="105"/>
      <c r="H4" s="106"/>
      <c r="I4" s="96">
        <v>-3.8082016442589177</v>
      </c>
      <c r="J4" s="96">
        <v>-16.135196869123263</v>
      </c>
      <c r="K4" s="96">
        <v>-7.652872494747073</v>
      </c>
      <c r="L4" s="96">
        <v>4.2053323298888685</v>
      </c>
      <c r="M4" s="96">
        <v>12.248770186253388</v>
      </c>
      <c r="N4" s="103">
        <v>10.367368944350886</v>
      </c>
      <c r="O4" s="96">
        <v>-28.386440907578763</v>
      </c>
      <c r="P4" s="96">
        <v>-4.3190204879532574</v>
      </c>
      <c r="Q4" s="104">
        <v>-31.215972812512</v>
      </c>
      <c r="T4" s="105">
        <f>(T3-T2)/T3*100</f>
        <v>19.179816871225398</v>
      </c>
      <c r="U4" s="105">
        <f>(U3-U2)/U3*100</f>
        <v>1.539213290984601</v>
      </c>
      <c r="V4" s="105">
        <f>(V3-V2)/V3*100</f>
        <v>-49.431696332832928</v>
      </c>
      <c r="W4" s="105">
        <f>(W3-W2)/W3*100</f>
        <v>-33.500313087038165</v>
      </c>
      <c r="X4" s="105"/>
      <c r="Y4" s="106"/>
      <c r="Z4" s="105">
        <f t="shared" ref="Z4:AH4" si="0">(Z3-Z2)/Z2*100</f>
        <v>-6.4079821855624806</v>
      </c>
      <c r="AA4" s="105">
        <f t="shared" si="0"/>
        <v>-18.401815094448235</v>
      </c>
      <c r="AB4" s="105">
        <f t="shared" si="0"/>
        <v>-10.148742924838754</v>
      </c>
      <c r="AC4" s="105">
        <f t="shared" si="0"/>
        <v>1.3889696053931559</v>
      </c>
      <c r="AD4" s="105">
        <f t="shared" si="0"/>
        <v>9.2150170648464158</v>
      </c>
      <c r="AE4" s="114">
        <f t="shared" si="0"/>
        <v>7.3844645483310396</v>
      </c>
      <c r="AF4" s="105">
        <f t="shared" si="0"/>
        <v>-30.321944148025853</v>
      </c>
      <c r="AG4" s="105">
        <f t="shared" si="0"/>
        <v>-6.9049951028403527</v>
      </c>
      <c r="AH4" s="106">
        <f t="shared" si="0"/>
        <v>-33.075002152759851</v>
      </c>
    </row>
    <row r="5" spans="1:34" ht="15" customHeight="1" x14ac:dyDescent="0.25">
      <c r="A5" s="8" t="s">
        <v>56</v>
      </c>
      <c r="B5" s="205" t="s">
        <v>71</v>
      </c>
      <c r="C5" s="109">
        <v>2.6996080448047897</v>
      </c>
      <c r="D5" s="110">
        <v>2.4793836731401888</v>
      </c>
      <c r="E5" s="110">
        <v>0.8463365560268461</v>
      </c>
      <c r="F5" s="110">
        <v>0.84052470892193476</v>
      </c>
      <c r="G5" s="96">
        <v>8.1576424432579078</v>
      </c>
      <c r="H5" s="104">
        <v>0.68670637744813379</v>
      </c>
      <c r="I5" s="110"/>
      <c r="J5" s="110">
        <v>0.94504849051945394</v>
      </c>
      <c r="K5" s="110">
        <v>1.0838798980723405</v>
      </c>
      <c r="L5" s="110">
        <v>0.7948267828359683</v>
      </c>
      <c r="M5" s="110">
        <v>0.27353348488811041</v>
      </c>
      <c r="N5" s="112">
        <v>0.32714549365366763</v>
      </c>
      <c r="O5" s="110">
        <v>0.53668821698082092</v>
      </c>
      <c r="P5" s="110">
        <v>0.30383833450565334</v>
      </c>
      <c r="Q5" s="111">
        <v>0.84633948446066698</v>
      </c>
      <c r="S5">
        <v>69.284064054739218</v>
      </c>
      <c r="T5" s="96">
        <v>38.964343123288955</v>
      </c>
      <c r="U5" s="96">
        <v>35.785771330926892</v>
      </c>
      <c r="V5" s="96">
        <v>12.215457732938146</v>
      </c>
      <c r="W5" s="96">
        <v>12.131573405651579</v>
      </c>
      <c r="X5" s="96">
        <v>8.1576424432579078</v>
      </c>
      <c r="Y5" s="104">
        <v>0.68670637744813379</v>
      </c>
      <c r="Z5" s="117">
        <v>52.604500000000002</v>
      </c>
      <c r="AA5" s="96">
        <v>13.6402</v>
      </c>
      <c r="AB5" s="96">
        <v>15.644</v>
      </c>
      <c r="AC5" s="96">
        <v>11.472</v>
      </c>
      <c r="AD5" s="96">
        <v>3.948</v>
      </c>
      <c r="AE5" s="103">
        <v>4.7218</v>
      </c>
      <c r="AF5" s="96">
        <v>7.7462</v>
      </c>
      <c r="AG5" s="96">
        <v>4.3853999999999997</v>
      </c>
      <c r="AH5" s="104">
        <v>12.2155</v>
      </c>
    </row>
    <row r="6" spans="1:34" x14ac:dyDescent="0.25">
      <c r="A6" s="8" t="s">
        <v>57</v>
      </c>
      <c r="B6" s="197"/>
      <c r="C6" s="107">
        <v>1.8551538098622808</v>
      </c>
      <c r="D6" s="108">
        <v>2.305076877983709</v>
      </c>
      <c r="E6" s="108">
        <v>1.1704615155643103</v>
      </c>
      <c r="F6" s="108">
        <v>1.2946153592893888</v>
      </c>
      <c r="G6" s="167">
        <v>-24.255700000000001</v>
      </c>
      <c r="H6" s="104">
        <v>-10.6069</v>
      </c>
      <c r="I6" s="108"/>
      <c r="J6" s="108">
        <v>1.3689384347585156</v>
      </c>
      <c r="K6" s="108">
        <v>1.1462692083452659</v>
      </c>
      <c r="L6" s="108">
        <v>0.50795383621696666</v>
      </c>
      <c r="M6" s="108">
        <v>0.32342307059609243</v>
      </c>
      <c r="N6" s="103">
        <v>0.32744614744046757</v>
      </c>
      <c r="O6" s="108">
        <v>1.0824999788235248</v>
      </c>
      <c r="P6" s="108">
        <v>0.21212307277340575</v>
      </c>
      <c r="Q6" s="104">
        <v>1.1704769001793938</v>
      </c>
      <c r="S6">
        <v>76.923075418264332</v>
      </c>
      <c r="T6" s="97">
        <v>24.117000000000001</v>
      </c>
      <c r="U6" s="97">
        <v>29.966000000000001</v>
      </c>
      <c r="V6" s="97">
        <v>15.216000000000001</v>
      </c>
      <c r="W6" s="97">
        <v>16.830000000000002</v>
      </c>
      <c r="X6" s="167">
        <v>-24.255700000000001</v>
      </c>
      <c r="Y6" s="104">
        <v>-10.6069</v>
      </c>
      <c r="Z6" s="117"/>
      <c r="AA6" s="96">
        <v>17.796199999999999</v>
      </c>
      <c r="AB6" s="96">
        <v>14.9015</v>
      </c>
      <c r="AC6" s="96">
        <v>6.6033999999999997</v>
      </c>
      <c r="AD6" s="96">
        <v>4.2045000000000003</v>
      </c>
      <c r="AE6" s="96">
        <v>4.2568000000000001</v>
      </c>
      <c r="AF6" s="96">
        <v>14.0725</v>
      </c>
      <c r="AG6" s="96">
        <v>2.7576000000000001</v>
      </c>
      <c r="AH6" s="104">
        <v>15.216200000000001</v>
      </c>
    </row>
    <row r="7" spans="1:34" ht="15.75" thickBot="1" x14ac:dyDescent="0.3">
      <c r="A7" s="29" t="s">
        <v>20</v>
      </c>
      <c r="B7" s="206"/>
      <c r="C7" s="113">
        <v>-31.280623739716695</v>
      </c>
      <c r="D7" s="105">
        <v>-7.0302469539019281</v>
      </c>
      <c r="E7" s="105">
        <v>38.29740748279611</v>
      </c>
      <c r="F7" s="105">
        <v>54.024664063698388</v>
      </c>
      <c r="G7" s="105"/>
      <c r="H7" s="106"/>
      <c r="I7" s="105"/>
      <c r="J7" s="105">
        <v>44.853777186191465</v>
      </c>
      <c r="K7" s="105">
        <v>5.7561091762919085</v>
      </c>
      <c r="L7" s="105">
        <v>-36.092511326232554</v>
      </c>
      <c r="M7" s="105">
        <v>18.238931781382995</v>
      </c>
      <c r="N7" s="114">
        <v>9.1902163603766324E-2</v>
      </c>
      <c r="O7" s="105">
        <v>101.69997115144582</v>
      </c>
      <c r="P7" s="105">
        <v>-30.185546495134929</v>
      </c>
      <c r="Q7" s="106">
        <v>38.298746740533389</v>
      </c>
      <c r="T7" s="105">
        <f>(T6-T5)/T6*100</f>
        <v>-61.563806125508791</v>
      </c>
      <c r="U7" s="105">
        <f>(U6-U5)/U6*100</f>
        <v>-19.421248518076791</v>
      </c>
      <c r="V7" s="105">
        <f>(V6-V5)/V6*100</f>
        <v>19.719652123172018</v>
      </c>
      <c r="W7" s="105">
        <f>(W6-W5)/W6*100</f>
        <v>27.916973228451702</v>
      </c>
      <c r="X7" s="105"/>
      <c r="Y7" s="106"/>
      <c r="Z7" s="117"/>
      <c r="AA7" s="105">
        <f t="shared" ref="AA7:AH7" si="1">(AA6-AA5)/AA5*100</f>
        <v>30.46876145511062</v>
      </c>
      <c r="AB7" s="105">
        <f t="shared" si="1"/>
        <v>-4.7462285860393738</v>
      </c>
      <c r="AC7" s="105">
        <f t="shared" si="1"/>
        <v>-42.438981868898182</v>
      </c>
      <c r="AD7" s="105">
        <f t="shared" si="1"/>
        <v>6.4969604863221981</v>
      </c>
      <c r="AE7" s="114">
        <f t="shared" si="1"/>
        <v>-9.8479393451649759</v>
      </c>
      <c r="AF7" s="105">
        <f t="shared" si="1"/>
        <v>81.669721928171242</v>
      </c>
      <c r="AG7" s="105">
        <f t="shared" si="1"/>
        <v>-37.118620878369128</v>
      </c>
      <c r="AH7" s="106">
        <f t="shared" si="1"/>
        <v>24.56469239900127</v>
      </c>
    </row>
    <row r="8" spans="1:34" x14ac:dyDescent="0.25">
      <c r="A8" s="8" t="s">
        <v>58</v>
      </c>
      <c r="B8" s="8"/>
      <c r="C8" s="96">
        <v>1.0978785686666668</v>
      </c>
      <c r="D8" s="96">
        <v>1.27502187</v>
      </c>
      <c r="E8" s="96">
        <v>1.0158945873333334</v>
      </c>
      <c r="F8" s="96">
        <v>0.79652662733333346</v>
      </c>
      <c r="G8" s="167">
        <v>-16.13505412</v>
      </c>
      <c r="H8" s="168">
        <v>21.59357507</v>
      </c>
      <c r="I8" s="96">
        <v>1.9276000000000002</v>
      </c>
      <c r="J8" s="96">
        <v>0.82972000000000001</v>
      </c>
      <c r="K8" s="96">
        <v>0.14709333333333333</v>
      </c>
      <c r="L8" s="96">
        <v>0.17254</v>
      </c>
      <c r="M8" s="96">
        <v>0.53300666666666663</v>
      </c>
      <c r="N8" s="103">
        <v>0.42238000000000003</v>
      </c>
      <c r="O8" s="96">
        <v>0.57267999999999997</v>
      </c>
      <c r="P8" s="96">
        <v>0.22384666666666667</v>
      </c>
      <c r="Q8" s="104">
        <v>1.0158933333333335</v>
      </c>
      <c r="S8">
        <v>66.666666666666671</v>
      </c>
      <c r="T8" s="96">
        <v>16.468178529999999</v>
      </c>
      <c r="U8" s="96">
        <v>19.12532805</v>
      </c>
      <c r="V8" s="96">
        <v>15.238418810000001</v>
      </c>
      <c r="W8" s="96">
        <v>11.94789941</v>
      </c>
      <c r="X8" s="167">
        <v>-16.13505412</v>
      </c>
      <c r="Y8" s="168">
        <v>21.59357507</v>
      </c>
      <c r="Z8" s="96">
        <v>28.914000000000001</v>
      </c>
      <c r="AA8" s="96">
        <v>12.4458</v>
      </c>
      <c r="AB8" s="96">
        <v>2.2063999999999999</v>
      </c>
      <c r="AC8" s="96">
        <v>2.5880999999999998</v>
      </c>
      <c r="AD8" s="96">
        <v>7.9950999999999999</v>
      </c>
      <c r="AE8" s="103">
        <v>6.3357000000000001</v>
      </c>
      <c r="AF8" s="96">
        <v>8.5901999999999994</v>
      </c>
      <c r="AG8" s="96">
        <v>3.3576999999999999</v>
      </c>
      <c r="AH8" s="104">
        <v>15.2384</v>
      </c>
    </row>
    <row r="9" spans="1:34" x14ac:dyDescent="0.25">
      <c r="A9" s="8" t="s">
        <v>59</v>
      </c>
      <c r="B9" s="8"/>
      <c r="C9" s="96">
        <v>1.0718934745490982</v>
      </c>
      <c r="D9" s="96">
        <v>1.1712737440881762</v>
      </c>
      <c r="E9" s="96">
        <v>0.80064742785571152</v>
      </c>
      <c r="F9" s="96">
        <v>0.77720927134268536</v>
      </c>
      <c r="G9" s="96">
        <v>-9.2714688540000001</v>
      </c>
      <c r="H9" s="104">
        <v>2.9274004699999998</v>
      </c>
      <c r="I9" s="96">
        <v>1.7324729458917836</v>
      </c>
      <c r="J9" s="96">
        <v>0.66058316633266534</v>
      </c>
      <c r="K9" s="96">
        <v>0.12976953907815633</v>
      </c>
      <c r="L9" s="96">
        <v>0.15742484969939879</v>
      </c>
      <c r="M9" s="96">
        <v>0.49080961923847694</v>
      </c>
      <c r="N9" s="103">
        <v>0.39327054108216436</v>
      </c>
      <c r="O9" s="96">
        <v>0.56323647294589174</v>
      </c>
      <c r="P9" s="96">
        <v>0.21397394789579158</v>
      </c>
      <c r="Q9" s="104">
        <v>0.80064529058116229</v>
      </c>
      <c r="S9">
        <v>60.120240480961925</v>
      </c>
      <c r="T9" s="96">
        <v>17.829161460000002</v>
      </c>
      <c r="U9" s="96">
        <v>19.482186609999999</v>
      </c>
      <c r="V9" s="96">
        <v>13.317435550000001</v>
      </c>
      <c r="W9" s="96">
        <v>12.927580880000001</v>
      </c>
      <c r="X9" s="96">
        <v>-9.2714688540000001</v>
      </c>
      <c r="Y9" s="104">
        <v>2.9274004699999998</v>
      </c>
      <c r="Z9" s="96">
        <v>28.816800000000001</v>
      </c>
      <c r="AA9" s="96">
        <v>10.9877</v>
      </c>
      <c r="AB9" s="96">
        <v>2.1585000000000001</v>
      </c>
      <c r="AC9" s="96">
        <v>2.6185</v>
      </c>
      <c r="AD9" s="96">
        <v>8.1638000000000002</v>
      </c>
      <c r="AE9" s="103">
        <v>6.5414000000000003</v>
      </c>
      <c r="AF9" s="96">
        <v>9.3684999999999992</v>
      </c>
      <c r="AG9" s="96">
        <v>3.5590999999999999</v>
      </c>
      <c r="AH9" s="104">
        <v>13.317399999999999</v>
      </c>
    </row>
    <row r="10" spans="1:34" ht="15.75" thickBot="1" x14ac:dyDescent="0.3">
      <c r="A10" s="29" t="s">
        <v>20</v>
      </c>
      <c r="B10" s="14"/>
      <c r="C10" s="96">
        <v>-2.3668459207766936</v>
      </c>
      <c r="D10" s="96">
        <v>-8.1369683417135263</v>
      </c>
      <c r="E10" s="96">
        <v>-21.187942347702986</v>
      </c>
      <c r="F10" s="96">
        <v>-2.4251990238317669</v>
      </c>
      <c r="G10" s="105"/>
      <c r="H10" s="106"/>
      <c r="I10" s="96">
        <v>-10.122797992748319</v>
      </c>
      <c r="J10" s="96">
        <v>-20.384808570039851</v>
      </c>
      <c r="K10" s="96">
        <v>-11.777416326489073</v>
      </c>
      <c r="L10" s="96">
        <v>-8.7603745801560251</v>
      </c>
      <c r="M10" s="96">
        <v>-7.9167954299864354</v>
      </c>
      <c r="N10" s="103">
        <v>-6.8917701874699731</v>
      </c>
      <c r="O10" s="96">
        <v>-1.6490059115227047</v>
      </c>
      <c r="P10" s="96">
        <v>-4.4104828174978801</v>
      </c>
      <c r="Q10" s="106">
        <v>-21.188055447307907</v>
      </c>
      <c r="T10" s="105">
        <f>(T9-T8)/T9*100</f>
        <v>7.6334657300254332</v>
      </c>
      <c r="U10" s="105">
        <f>(U9-U8)/U9*100</f>
        <v>1.8317171842344815</v>
      </c>
      <c r="V10" s="105">
        <f>(V9-V8)/V9*100</f>
        <v>-14.424573355641279</v>
      </c>
      <c r="W10" s="105">
        <f>(W9-W8)/W9*100</f>
        <v>7.5782273504522903</v>
      </c>
      <c r="X10" s="105"/>
      <c r="Y10" s="106"/>
      <c r="Z10" s="105">
        <f t="shared" ref="Z10:AH10" si="2">(Z9-Z8)/Z8*100</f>
        <v>-0.33616932973646274</v>
      </c>
      <c r="AA10" s="105">
        <f t="shared" si="2"/>
        <v>-11.715598836555303</v>
      </c>
      <c r="AB10" s="105">
        <f t="shared" si="2"/>
        <v>-2.1709572153734515</v>
      </c>
      <c r="AC10" s="105">
        <f t="shared" si="2"/>
        <v>1.1746068544492179</v>
      </c>
      <c r="AD10" s="105">
        <f t="shared" si="2"/>
        <v>2.110042400970598</v>
      </c>
      <c r="AE10" s="114">
        <f t="shared" si="2"/>
        <v>3.246681503227745</v>
      </c>
      <c r="AF10" s="105">
        <f t="shared" si="2"/>
        <v>9.0603245558892667</v>
      </c>
      <c r="AG10" s="105">
        <f t="shared" si="2"/>
        <v>5.9981534979301321</v>
      </c>
      <c r="AH10" s="106">
        <f t="shared" si="2"/>
        <v>-12.606310373792532</v>
      </c>
    </row>
    <row r="11" spans="1:34" x14ac:dyDescent="0.25">
      <c r="A11" s="8" t="s">
        <v>60</v>
      </c>
      <c r="B11" s="8"/>
      <c r="C11" s="109">
        <v>1.5875575136131383</v>
      </c>
      <c r="D11" s="110">
        <v>1.1438672056427925</v>
      </c>
      <c r="E11" s="110">
        <v>1.2150746012831437</v>
      </c>
      <c r="F11" s="110">
        <v>1.0126496461089758</v>
      </c>
      <c r="G11" s="101">
        <v>27.950500000000002</v>
      </c>
      <c r="H11" s="168">
        <v>16.662400000000002</v>
      </c>
      <c r="I11" s="110">
        <v>2.3256387903162534</v>
      </c>
      <c r="J11" s="110">
        <v>0.73807252886581287</v>
      </c>
      <c r="K11" s="110">
        <v>0.13080641118061087</v>
      </c>
      <c r="L11" s="110">
        <v>0.21875716741747714</v>
      </c>
      <c r="M11" s="110">
        <v>0.3620292467538006</v>
      </c>
      <c r="N11" s="112">
        <v>0.43223938894169484</v>
      </c>
      <c r="O11" s="110">
        <v>0.7236385973170929</v>
      </c>
      <c r="P11" s="110">
        <v>0.28898480527997589</v>
      </c>
      <c r="Q11" s="111">
        <v>1.2150920969577483</v>
      </c>
      <c r="S11">
        <v>87.478373022544545</v>
      </c>
      <c r="T11" s="97">
        <v>18.148</v>
      </c>
      <c r="U11" s="97">
        <v>13.076000000000001</v>
      </c>
      <c r="V11" s="97">
        <v>13.89</v>
      </c>
      <c r="W11" s="97">
        <v>11.576000000000001</v>
      </c>
      <c r="X11" s="101">
        <v>27.950500000000002</v>
      </c>
      <c r="Y11" s="168">
        <v>16.662400000000002</v>
      </c>
      <c r="Z11" s="96">
        <v>26.5853</v>
      </c>
      <c r="AA11" s="96">
        <v>8.4372000000000007</v>
      </c>
      <c r="AB11" s="96">
        <v>1.4953000000000001</v>
      </c>
      <c r="AC11" s="96">
        <v>2.5007000000000001</v>
      </c>
      <c r="AD11" s="96">
        <v>4.1384999999999996</v>
      </c>
      <c r="AE11" s="103">
        <v>4.9410999999999996</v>
      </c>
      <c r="AF11" s="96">
        <v>8.2721999999999998</v>
      </c>
      <c r="AG11" s="96">
        <v>3.3035000000000001</v>
      </c>
      <c r="AH11" s="104">
        <v>13.8902</v>
      </c>
    </row>
    <row r="12" spans="1:34" x14ac:dyDescent="0.25">
      <c r="A12" s="8" t="s">
        <v>61</v>
      </c>
      <c r="B12" s="6"/>
      <c r="C12" s="107">
        <v>1.8919381731332523</v>
      </c>
      <c r="D12" s="108">
        <v>1.287130790301876</v>
      </c>
      <c r="E12" s="108">
        <v>1.7368149285318997</v>
      </c>
      <c r="F12" s="108">
        <v>1.5933646852879679</v>
      </c>
      <c r="G12" s="101">
        <v>31.968499999999999</v>
      </c>
      <c r="H12" s="102">
        <v>8.2588000000000008</v>
      </c>
      <c r="I12" s="108">
        <v>2.5222346487724341</v>
      </c>
      <c r="J12" s="108">
        <v>0.63026911704225064</v>
      </c>
      <c r="K12" s="108">
        <v>4.561590061704679E-2</v>
      </c>
      <c r="L12" s="108">
        <v>0.11677561123576252</v>
      </c>
      <c r="M12" s="108">
        <v>0.62412255226498359</v>
      </c>
      <c r="N12" s="103">
        <v>0.50061672618408304</v>
      </c>
      <c r="O12" s="108">
        <v>1.3013754997708538</v>
      </c>
      <c r="P12" s="108">
        <v>0.29200742458173495</v>
      </c>
      <c r="Q12" s="104">
        <v>1.7368240480642101</v>
      </c>
      <c r="S12">
        <v>91.195323104851639</v>
      </c>
      <c r="T12" s="97">
        <v>20.746000000000002</v>
      </c>
      <c r="U12" s="97">
        <v>14.114000000000001</v>
      </c>
      <c r="V12" s="97">
        <v>19.045000000000002</v>
      </c>
      <c r="W12" s="97">
        <v>17.472000000000001</v>
      </c>
      <c r="X12" s="101">
        <v>31.968499999999999</v>
      </c>
      <c r="Y12" s="102">
        <v>8.2588000000000008</v>
      </c>
      <c r="Z12" s="96">
        <v>27.657499999999999</v>
      </c>
      <c r="AA12" s="96">
        <v>6.9112</v>
      </c>
      <c r="AB12" s="96">
        <v>0.50019999999999998</v>
      </c>
      <c r="AC12" s="96">
        <v>1.2805</v>
      </c>
      <c r="AD12" s="96">
        <v>6.8437999999999999</v>
      </c>
      <c r="AE12" s="103">
        <v>5.4894999999999996</v>
      </c>
      <c r="AF12" s="96">
        <v>14.270200000000001</v>
      </c>
      <c r="AG12" s="96">
        <v>3.202</v>
      </c>
      <c r="AH12" s="104">
        <v>19.045100000000001</v>
      </c>
    </row>
    <row r="13" spans="1:34" ht="15.75" thickBot="1" x14ac:dyDescent="0.3">
      <c r="A13" s="29" t="s">
        <v>20</v>
      </c>
      <c r="B13" s="12"/>
      <c r="C13" s="107">
        <v>19.172890236106845</v>
      </c>
      <c r="D13" s="108">
        <v>12.524494447638002</v>
      </c>
      <c r="E13" s="108">
        <v>42.93895425826426</v>
      </c>
      <c r="F13" s="108">
        <v>57.346096096546582</v>
      </c>
      <c r="G13" s="105"/>
      <c r="H13" s="106"/>
      <c r="I13" s="108">
        <v>8.4534132847623535</v>
      </c>
      <c r="J13" s="108">
        <v>-14.60607292744284</v>
      </c>
      <c r="K13" s="108">
        <v>-65.127167540692881</v>
      </c>
      <c r="L13" s="108">
        <v>-46.61861249423319</v>
      </c>
      <c r="M13" s="108">
        <v>72.395616614207015</v>
      </c>
      <c r="N13" s="103">
        <v>15.819321189076474</v>
      </c>
      <c r="O13" s="108">
        <v>79.837767719374568</v>
      </c>
      <c r="P13" s="108">
        <v>1.0459440242301583</v>
      </c>
      <c r="Q13" s="104">
        <v>42.937646653511536</v>
      </c>
      <c r="T13" s="105">
        <f>(T12-T11)/T12*100</f>
        <v>12.522895979947954</v>
      </c>
      <c r="U13" s="105">
        <f>(U12-U11)/U12*100</f>
        <v>7.354399886637383</v>
      </c>
      <c r="V13" s="105">
        <f>(V12-V11)/V12*100</f>
        <v>27.067471777369391</v>
      </c>
      <c r="W13" s="105">
        <f>(W12-W11)/W12*100</f>
        <v>33.745421245421248</v>
      </c>
      <c r="X13" s="105"/>
      <c r="Y13" s="106"/>
      <c r="Z13" s="105">
        <f t="shared" ref="Z13:AH13" si="3">(Z12-Z11)/Z11*100</f>
        <v>4.033055861698001</v>
      </c>
      <c r="AA13" s="105">
        <f t="shared" si="3"/>
        <v>-18.086569003934962</v>
      </c>
      <c r="AB13" s="105">
        <f t="shared" si="3"/>
        <v>-66.548518691901293</v>
      </c>
      <c r="AC13" s="105">
        <f t="shared" si="3"/>
        <v>-48.794337585476072</v>
      </c>
      <c r="AD13" s="105">
        <f t="shared" si="3"/>
        <v>65.369095082759472</v>
      </c>
      <c r="AE13" s="114">
        <f t="shared" si="3"/>
        <v>11.098743194835158</v>
      </c>
      <c r="AF13" s="105">
        <f t="shared" si="3"/>
        <v>72.507918087086892</v>
      </c>
      <c r="AG13" s="105">
        <f t="shared" si="3"/>
        <v>-3.0724988648403251</v>
      </c>
      <c r="AH13" s="106">
        <f t="shared" si="3"/>
        <v>37.111776648284412</v>
      </c>
    </row>
    <row r="14" spans="1:34" x14ac:dyDescent="0.25">
      <c r="A14" s="8" t="s">
        <v>62</v>
      </c>
      <c r="B14" s="205" t="s">
        <v>63</v>
      </c>
      <c r="C14" s="109">
        <v>1.3903019077023142</v>
      </c>
      <c r="D14" s="110">
        <v>1.3573264874987014</v>
      </c>
      <c r="E14" s="110">
        <v>1.084891324698855</v>
      </c>
      <c r="F14" s="110">
        <v>0.91274023392999515</v>
      </c>
      <c r="G14" s="97">
        <v>2.3717999999999999</v>
      </c>
      <c r="H14" s="102">
        <v>15.869199999999999</v>
      </c>
      <c r="I14" s="110">
        <v>1.3903019077023142</v>
      </c>
      <c r="J14" s="110"/>
      <c r="K14" s="110">
        <v>0.10120059473958701</v>
      </c>
      <c r="L14" s="110">
        <v>0.17686463612737638</v>
      </c>
      <c r="M14" s="110">
        <v>0.67031270351543593</v>
      </c>
      <c r="N14" s="112">
        <v>0.40894855311630218</v>
      </c>
      <c r="O14" s="110">
        <v>0.45790250413916539</v>
      </c>
      <c r="P14" s="110">
        <v>0.45481833248482745</v>
      </c>
      <c r="Q14" s="111">
        <v>1.0848864753723544</v>
      </c>
      <c r="S14">
        <v>48.493265005312665</v>
      </c>
      <c r="T14" s="97">
        <v>28.67</v>
      </c>
      <c r="U14" s="97">
        <v>27.99</v>
      </c>
      <c r="V14" s="97">
        <v>22.372</v>
      </c>
      <c r="W14" s="97">
        <v>18.822000000000003</v>
      </c>
      <c r="X14" s="97">
        <v>2.3717999999999999</v>
      </c>
      <c r="Y14" s="102">
        <v>15.869199999999999</v>
      </c>
      <c r="Z14" s="96">
        <v>28.67</v>
      </c>
      <c r="AA14" s="117"/>
      <c r="AB14" s="96">
        <v>2.0869</v>
      </c>
      <c r="AC14" s="96">
        <v>3.6472000000000002</v>
      </c>
      <c r="AD14" s="96">
        <v>13.822800000000001</v>
      </c>
      <c r="AE14" s="103">
        <v>8.4330999999999996</v>
      </c>
      <c r="AF14" s="96">
        <v>9.4426000000000005</v>
      </c>
      <c r="AG14" s="96">
        <v>9.3789999999999996</v>
      </c>
      <c r="AH14" s="111">
        <v>22.3719</v>
      </c>
    </row>
    <row r="15" spans="1:34" x14ac:dyDescent="0.25">
      <c r="A15" s="8" t="s">
        <v>64</v>
      </c>
      <c r="B15" s="197"/>
      <c r="C15" s="107">
        <v>1.5328889644727839</v>
      </c>
      <c r="D15" s="108">
        <v>1.5109554921974577</v>
      </c>
      <c r="E15" s="108">
        <v>1.2882975160691486</v>
      </c>
      <c r="F15" s="108">
        <v>1.1280144494417661</v>
      </c>
      <c r="G15" s="97">
        <v>1.4316</v>
      </c>
      <c r="H15" s="102">
        <v>12.4419</v>
      </c>
      <c r="I15" s="108">
        <v>1.5360128226453302</v>
      </c>
      <c r="J15" s="108"/>
      <c r="K15" s="108">
        <v>6.4977272528465774E-2</v>
      </c>
      <c r="L15" s="108">
        <v>1.5808460670234968E-2</v>
      </c>
      <c r="M15" s="108">
        <v>1.02601102161775</v>
      </c>
      <c r="N15" s="103">
        <v>0.40415873738100722</v>
      </c>
      <c r="O15" s="108">
        <v>0.85900987047526778</v>
      </c>
      <c r="P15" s="108">
        <v>0.2689943535714982</v>
      </c>
      <c r="Q15" s="104">
        <v>1.2882924033716483</v>
      </c>
      <c r="S15">
        <v>51.12697500075992</v>
      </c>
      <c r="T15" s="97">
        <v>29.982000000000003</v>
      </c>
      <c r="U15" s="97">
        <v>29.552999999999997</v>
      </c>
      <c r="V15" s="97">
        <v>25.198</v>
      </c>
      <c r="W15" s="97">
        <v>22.063000000000002</v>
      </c>
      <c r="X15" s="97">
        <v>1.4316</v>
      </c>
      <c r="Y15" s="102">
        <v>12.4419</v>
      </c>
      <c r="Z15" s="96">
        <v>30.043099999999999</v>
      </c>
      <c r="AA15" s="117"/>
      <c r="AB15" s="96">
        <v>1.2708999999999999</v>
      </c>
      <c r="AC15" s="96">
        <v>0.30919999999999997</v>
      </c>
      <c r="AD15" s="96">
        <v>20.067900000000002</v>
      </c>
      <c r="AE15" s="103">
        <v>7.9050000000000002</v>
      </c>
      <c r="AF15" s="96">
        <v>16.801500000000001</v>
      </c>
      <c r="AG15" s="96">
        <v>5.2613000000000003</v>
      </c>
      <c r="AH15" s="104">
        <v>25.197900000000001</v>
      </c>
    </row>
    <row r="16" spans="1:34" ht="15.75" thickBot="1" x14ac:dyDescent="0.3">
      <c r="A16" s="29" t="s">
        <v>20</v>
      </c>
      <c r="B16" s="206"/>
      <c r="C16" s="113">
        <v>10.255834073199003</v>
      </c>
      <c r="D16" s="105">
        <v>11.318500457606612</v>
      </c>
      <c r="E16" s="105">
        <v>18.748992340477535</v>
      </c>
      <c r="F16" s="105">
        <v>23.585485498416404</v>
      </c>
      <c r="G16" s="105"/>
      <c r="H16" s="106"/>
      <c r="I16" s="105">
        <v>10.480523268778759</v>
      </c>
      <c r="J16" s="105"/>
      <c r="K16" s="105">
        <v>-35.793586296930748</v>
      </c>
      <c r="L16" s="105">
        <v>-91.061830665317473</v>
      </c>
      <c r="M16" s="105">
        <v>53.064534841256084</v>
      </c>
      <c r="N16" s="114">
        <v>-1.1712514199635218</v>
      </c>
      <c r="O16" s="105">
        <v>87.596674556337035</v>
      </c>
      <c r="P16" s="105">
        <v>-40.856747769622558</v>
      </c>
      <c r="Q16" s="106">
        <v>18.749051870102907</v>
      </c>
      <c r="T16" s="105">
        <f>(T15-T14)/T15*100</f>
        <v>4.3759589086785438</v>
      </c>
      <c r="U16" s="105">
        <f>(U15-U14)/U15*100</f>
        <v>5.2888031671911442</v>
      </c>
      <c r="V16" s="105">
        <f>(V15-V14)/V15*100</f>
        <v>11.21517580760378</v>
      </c>
      <c r="W16" s="105">
        <f>(W15-W14)/W15*100</f>
        <v>14.689752073607393</v>
      </c>
      <c r="X16" s="105"/>
      <c r="Y16" s="106"/>
      <c r="Z16" s="105">
        <f>(Z15-Z14)/Z14*100</f>
        <v>4.7893268224624945</v>
      </c>
      <c r="AA16" s="124"/>
      <c r="AB16" s="105">
        <f t="shared" ref="AB16:AH16" si="4">(AB15-AB14)/AB14*100</f>
        <v>-39.101058987014234</v>
      </c>
      <c r="AC16" s="105">
        <f t="shared" si="4"/>
        <v>-91.522263654310152</v>
      </c>
      <c r="AD16" s="105">
        <f t="shared" si="4"/>
        <v>45.179703099227368</v>
      </c>
      <c r="AE16" s="114">
        <f t="shared" si="4"/>
        <v>-6.2622285992102471</v>
      </c>
      <c r="AF16" s="105">
        <f t="shared" si="4"/>
        <v>77.93298455933747</v>
      </c>
      <c r="AG16" s="105">
        <f t="shared" si="4"/>
        <v>-43.903401215481388</v>
      </c>
      <c r="AH16" s="106">
        <f t="shared" si="4"/>
        <v>12.631917718209005</v>
      </c>
    </row>
    <row r="17" spans="1:34" ht="15" customHeight="1" x14ac:dyDescent="0.25">
      <c r="A17" t="s">
        <v>184</v>
      </c>
      <c r="B17" s="207" t="s">
        <v>185</v>
      </c>
      <c r="C17" s="107">
        <v>2.0285176210775138</v>
      </c>
      <c r="D17" s="108">
        <v>3.0474308868025943</v>
      </c>
      <c r="E17" s="108">
        <v>1.6642328563048658</v>
      </c>
      <c r="F17" s="108">
        <v>1.7595608118931148</v>
      </c>
      <c r="G17" s="101">
        <v>-50.229500000000002</v>
      </c>
      <c r="H17" s="116">
        <v>-5.7302</v>
      </c>
      <c r="I17" s="108">
        <v>3.6701086150013142</v>
      </c>
      <c r="J17" s="108">
        <v>1.6415909939238003</v>
      </c>
      <c r="K17" s="108">
        <v>0.62303712283968904</v>
      </c>
      <c r="L17" s="108"/>
      <c r="M17" s="108">
        <v>0.87218598476279652</v>
      </c>
      <c r="N17" s="103">
        <v>1.2592540130867274</v>
      </c>
      <c r="O17" s="108">
        <v>1.2286053094420999</v>
      </c>
      <c r="P17" s="108">
        <v>0.53097906931271788</v>
      </c>
      <c r="Q17" s="104">
        <v>1.6642151811585886</v>
      </c>
      <c r="S17">
        <v>58.917154257261508</v>
      </c>
      <c r="T17" s="97">
        <v>34.43</v>
      </c>
      <c r="U17" s="97">
        <v>51.723999999999997</v>
      </c>
      <c r="V17" s="97">
        <v>28.247</v>
      </c>
      <c r="W17" s="97">
        <v>29.864999999999998</v>
      </c>
      <c r="X17" s="101">
        <v>-50.229500000000002</v>
      </c>
      <c r="Y17" s="116">
        <v>-5.7302</v>
      </c>
      <c r="Z17" s="96">
        <v>62.292700000000004</v>
      </c>
      <c r="AA17" s="96">
        <v>27.8627</v>
      </c>
      <c r="AB17" s="96">
        <v>10.5748</v>
      </c>
      <c r="AC17" s="117"/>
      <c r="AD17" s="96">
        <v>14.803599999999999</v>
      </c>
      <c r="AE17" s="96">
        <v>21.3733</v>
      </c>
      <c r="AF17" s="96">
        <v>20.853100000000001</v>
      </c>
      <c r="AG17" s="96">
        <v>9.0122999999999998</v>
      </c>
      <c r="AH17" s="104">
        <v>28.246700000000001</v>
      </c>
    </row>
    <row r="18" spans="1:34" x14ac:dyDescent="0.25">
      <c r="A18" t="s">
        <v>186</v>
      </c>
      <c r="B18" s="208"/>
      <c r="C18" s="107">
        <v>1.5293657232854485</v>
      </c>
      <c r="D18" s="108">
        <v>3.0282378020649388</v>
      </c>
      <c r="E18" s="108">
        <v>2.0477067722999092</v>
      </c>
      <c r="F18" s="108">
        <v>1.841785583607757</v>
      </c>
      <c r="G18" s="101">
        <v>-98.005700000000004</v>
      </c>
      <c r="H18" s="102">
        <v>10.057</v>
      </c>
      <c r="I18" s="108">
        <v>3.0143451216214068</v>
      </c>
      <c r="J18" s="108">
        <v>1.4849793983359583</v>
      </c>
      <c r="K18" s="108">
        <v>0.59367409599261844</v>
      </c>
      <c r="L18" s="108"/>
      <c r="M18" s="108">
        <v>0.81000588618972624</v>
      </c>
      <c r="N18" s="103">
        <v>1.3714249351723697</v>
      </c>
      <c r="O18" s="108">
        <v>1.2645902734691929</v>
      </c>
      <c r="P18" s="108">
        <v>0.57719531013856407</v>
      </c>
      <c r="Q18" s="104">
        <v>2.0477271353346378</v>
      </c>
      <c r="S18">
        <v>50.907586821298459</v>
      </c>
      <c r="T18" s="97">
        <v>30.042000000000002</v>
      </c>
      <c r="U18" s="97">
        <v>59.484999999999999</v>
      </c>
      <c r="V18" s="97">
        <v>40.223999999999997</v>
      </c>
      <c r="W18" s="97">
        <v>36.179000000000002</v>
      </c>
      <c r="X18" s="101">
        <v>-98.005700000000004</v>
      </c>
      <c r="Y18" s="102">
        <v>10.057</v>
      </c>
      <c r="Z18" s="96">
        <v>59.2121</v>
      </c>
      <c r="AA18" s="96">
        <v>29.170100000000001</v>
      </c>
      <c r="AB18" s="96">
        <v>11.661799999999999</v>
      </c>
      <c r="AC18" s="117"/>
      <c r="AD18" s="96">
        <v>15.911300000000001</v>
      </c>
      <c r="AE18" s="96">
        <v>26.939499999999999</v>
      </c>
      <c r="AF18" s="96">
        <v>24.840900000000001</v>
      </c>
      <c r="AG18" s="96">
        <v>11.338100000000001</v>
      </c>
      <c r="AH18" s="104">
        <v>40.224400000000003</v>
      </c>
    </row>
    <row r="19" spans="1:34" ht="15.75" thickBot="1" x14ac:dyDescent="0.3">
      <c r="A19" s="28" t="s">
        <v>20</v>
      </c>
      <c r="B19" s="209"/>
      <c r="C19" s="113">
        <v>-24.606732157787437</v>
      </c>
      <c r="D19" s="105">
        <v>-0.62981197771455355</v>
      </c>
      <c r="E19" s="105">
        <v>23.04208299591436</v>
      </c>
      <c r="F19" s="105">
        <v>4.673028130592229</v>
      </c>
      <c r="G19" s="105"/>
      <c r="H19" s="106"/>
      <c r="I19" s="105">
        <v>-17.867686277717223</v>
      </c>
      <c r="J19" s="105">
        <v>-9.5402323823367432</v>
      </c>
      <c r="K19" s="105">
        <v>-4.7128856003377937</v>
      </c>
      <c r="L19" s="105"/>
      <c r="M19" s="105">
        <v>-7.1292246905321512</v>
      </c>
      <c r="N19" s="114">
        <v>8.9077279817981374</v>
      </c>
      <c r="O19" s="105">
        <v>2.9289279275077811</v>
      </c>
      <c r="P19" s="105">
        <v>8.7039665962100905</v>
      </c>
      <c r="Q19" s="106">
        <v>23.044613371995379</v>
      </c>
      <c r="T19" s="105">
        <f>(T18-T17)/T17*100</f>
        <v>-12.744699390066797</v>
      </c>
      <c r="U19" s="105">
        <f>(U18-U17)/U17*100</f>
        <v>15.004640012373372</v>
      </c>
      <c r="V19" s="105">
        <f>(V18-V17)/V17*100</f>
        <v>42.40096293411689</v>
      </c>
      <c r="W19" s="105">
        <f>(W18-W17)/W17*100</f>
        <v>21.141804788213641</v>
      </c>
      <c r="X19" s="105"/>
      <c r="Y19" s="106"/>
      <c r="Z19" s="105">
        <f>(Z18-Z17)/Z17*100</f>
        <v>-4.9453627792662758</v>
      </c>
      <c r="AA19" s="105">
        <f>(AA18-AA17)/AA17*100</f>
        <v>4.6922947165924374</v>
      </c>
      <c r="AB19" s="105">
        <f>(AB18-AB17)/AB17*100</f>
        <v>10.279154215682563</v>
      </c>
      <c r="AC19" s="124"/>
      <c r="AD19" s="105">
        <f>(AD18-AD17)/AD17*100</f>
        <v>7.4826393579940103</v>
      </c>
      <c r="AE19" s="105">
        <f>(AE18-AE17)/AE17*100</f>
        <v>26.042772992471907</v>
      </c>
      <c r="AF19" s="105">
        <f>(AF18-AF17)/AF17*100</f>
        <v>19.123295816928898</v>
      </c>
      <c r="AG19" s="105">
        <f>(AG18-AG17)/AG17*100</f>
        <v>25.806952720171335</v>
      </c>
      <c r="AH19" s="106">
        <f>(AH18-AH17)/AH17*100</f>
        <v>42.403891428025226</v>
      </c>
    </row>
    <row r="20" spans="1:34" x14ac:dyDescent="0.25">
      <c r="T20" s="96"/>
      <c r="U20" s="96"/>
      <c r="V20" s="96"/>
      <c r="W20" s="96"/>
      <c r="X20" s="96"/>
      <c r="Y20" s="96"/>
      <c r="Z20" s="96"/>
      <c r="AA20" s="96"/>
      <c r="AB20" s="96"/>
      <c r="AC20" s="96"/>
      <c r="AD20" s="96"/>
      <c r="AE20" s="96"/>
      <c r="AF20" s="96"/>
      <c r="AG20" s="96"/>
      <c r="AH20" s="96"/>
    </row>
    <row r="21" spans="1:34" x14ac:dyDescent="0.25">
      <c r="T21" s="96"/>
      <c r="U21" s="96"/>
      <c r="V21" s="96"/>
      <c r="W21" s="96"/>
      <c r="X21" s="96"/>
      <c r="Y21" s="96"/>
      <c r="Z21" s="96"/>
      <c r="AA21" s="96"/>
      <c r="AB21" s="96"/>
      <c r="AC21" s="96"/>
      <c r="AD21" s="96"/>
      <c r="AE21" s="96"/>
      <c r="AF21" s="96"/>
      <c r="AG21" s="96"/>
      <c r="AH21" s="96"/>
    </row>
    <row r="22" spans="1:34" ht="30.75" thickBot="1" x14ac:dyDescent="0.3">
      <c r="C22" s="3" t="s">
        <v>347</v>
      </c>
      <c r="D22" s="3" t="s">
        <v>3</v>
      </c>
      <c r="E22" s="3" t="s">
        <v>4</v>
      </c>
      <c r="F22" s="3" t="s">
        <v>5</v>
      </c>
      <c r="G22" s="3" t="s">
        <v>6</v>
      </c>
      <c r="H22" s="4" t="s">
        <v>7</v>
      </c>
      <c r="I22" s="3" t="s">
        <v>8</v>
      </c>
      <c r="J22" s="3" t="s">
        <v>9</v>
      </c>
      <c r="K22" s="3" t="s">
        <v>10</v>
      </c>
      <c r="L22" s="3" t="s">
        <v>11</v>
      </c>
      <c r="M22" s="3" t="s">
        <v>12</v>
      </c>
      <c r="N22" s="24" t="s">
        <v>13</v>
      </c>
      <c r="O22" s="3" t="s">
        <v>14</v>
      </c>
      <c r="P22" s="3" t="s">
        <v>15</v>
      </c>
      <c r="Q22" s="4" t="s">
        <v>16</v>
      </c>
      <c r="T22" s="96"/>
      <c r="U22" s="96"/>
      <c r="V22" s="96"/>
      <c r="W22" s="96"/>
      <c r="X22" s="96"/>
      <c r="Y22" s="96"/>
      <c r="Z22" s="96"/>
      <c r="AA22" s="96"/>
      <c r="AB22" s="96"/>
      <c r="AC22" s="96"/>
      <c r="AD22" s="96"/>
      <c r="AE22" s="96"/>
      <c r="AF22" s="96"/>
      <c r="AG22" s="96"/>
      <c r="AH22" s="96"/>
    </row>
    <row r="23" spans="1:34" ht="15.75" thickTop="1" x14ac:dyDescent="0.25">
      <c r="B23" s="16" t="s">
        <v>35</v>
      </c>
      <c r="C23" s="109">
        <f>AVERAGE(C17,C14,C11,C8,C5,C2)</f>
        <v>1.5992183930539661</v>
      </c>
      <c r="D23" s="110">
        <f t="shared" ref="D23:Q23" si="5">AVERAGE(D17,D14,D11,D8,D5,D2)</f>
        <v>1.6786449189074926</v>
      </c>
      <c r="E23" s="110">
        <f t="shared" si="5"/>
        <v>1.0818506632081963</v>
      </c>
      <c r="F23" s="110">
        <f t="shared" si="5"/>
        <v>0.98868554772408979</v>
      </c>
      <c r="G23" s="110">
        <f t="shared" si="5"/>
        <v>-4.1710186127903484</v>
      </c>
      <c r="H23" s="111">
        <f t="shared" si="5"/>
        <v>9.5475635745746885</v>
      </c>
      <c r="I23" s="110">
        <f>AVERAGE(I17,I14,I11,I8,I5,I2)</f>
        <v>2.4187533650387891</v>
      </c>
      <c r="J23" s="110">
        <f t="shared" si="5"/>
        <v>1.2286110256544989</v>
      </c>
      <c r="K23" s="110">
        <f t="shared" si="5"/>
        <v>0.38390326256214724</v>
      </c>
      <c r="L23" s="110">
        <f t="shared" si="5"/>
        <v>0.30542506067550979</v>
      </c>
      <c r="M23" s="110">
        <f t="shared" si="5"/>
        <v>0.48072544281263235</v>
      </c>
      <c r="N23" s="110">
        <f t="shared" si="5"/>
        <v>0.51066865891946578</v>
      </c>
      <c r="O23" s="110">
        <f t="shared" si="5"/>
        <v>0.66554761167929211</v>
      </c>
      <c r="P23" s="110">
        <f t="shared" si="5"/>
        <v>0.32313616052678401</v>
      </c>
      <c r="Q23" s="111">
        <f t="shared" si="5"/>
        <v>1.081846924497387</v>
      </c>
      <c r="S23" s="16" t="s">
        <v>35</v>
      </c>
      <c r="T23" s="110" t="e">
        <f>AVERAGE(#REF!,#REF!,#REF!,T14,T11,T8,T5,T2)</f>
        <v>#REF!</v>
      </c>
      <c r="U23" s="110" t="e">
        <f>AVERAGE(#REF!,#REF!,#REF!,U14,U11,U8,U5,U2)</f>
        <v>#REF!</v>
      </c>
      <c r="V23" s="110" t="e">
        <f>AVERAGE(#REF!,#REF!,#REF!,V14,V11,V8,V5,V2)</f>
        <v>#REF!</v>
      </c>
      <c r="W23" s="110" t="e">
        <f>AVERAGE(#REF!,#REF!,#REF!,W14,W11,W8,W5,W2)</f>
        <v>#REF!</v>
      </c>
      <c r="X23" s="110" t="e">
        <f>AVERAGE(#REF!,#REF!,#REF!,X14,X11,X8,X5,X2)</f>
        <v>#REF!</v>
      </c>
      <c r="Y23" s="111" t="e">
        <f>AVERAGE(#REF!,#REF!,#REF!,Y14,Y11,Y8,Y5,Y2)</f>
        <v>#REF!</v>
      </c>
      <c r="Z23" s="110" t="e">
        <f>AVERAGE(#REF!,#REF!,#REF!,Z14,Z11,Z8,Z5,Z2)</f>
        <v>#REF!</v>
      </c>
      <c r="AA23" s="110" t="e">
        <f>AVERAGE(#REF!,#REF!,#REF!,AA14,AA11,AA8,AA5,AA2)</f>
        <v>#REF!</v>
      </c>
      <c r="AB23" s="110" t="e">
        <f>AVERAGE(#REF!,#REF!,#REF!,AB14,AB11,AB8,AB5,AB2)</f>
        <v>#REF!</v>
      </c>
      <c r="AC23" s="110" t="e">
        <f>AVERAGE(#REF!,#REF!,#REF!,AC14,AC11,AC8,AC5,AC2)</f>
        <v>#REF!</v>
      </c>
      <c r="AD23" s="110" t="e">
        <f>AVERAGE(#REF!,#REF!,#REF!,AD14,AD11,AD8,AD5,AD2)</f>
        <v>#REF!</v>
      </c>
      <c r="AE23" s="112" t="e">
        <f>AVERAGE(#REF!,#REF!,#REF!,AE14,AE11,AE8,AE5,AE2)</f>
        <v>#REF!</v>
      </c>
      <c r="AF23" s="110" t="e">
        <f>AVERAGE(#REF!,#REF!,#REF!,AF14,AF11,AF8,AF5,AF2)</f>
        <v>#REF!</v>
      </c>
      <c r="AG23" s="110" t="e">
        <f>AVERAGE(#REF!,#REF!,#REF!,AG14,AG11,AG8,AG5,AG2)</f>
        <v>#REF!</v>
      </c>
      <c r="AH23" s="111" t="e">
        <f>AVERAGE(#REF!,#REF!,#REF!,AH14,AH11,AH8,AH5,AH2)</f>
        <v>#REF!</v>
      </c>
    </row>
    <row r="24" spans="1:34" x14ac:dyDescent="0.25">
      <c r="B24" s="6" t="s">
        <v>36</v>
      </c>
      <c r="C24" s="107">
        <f t="shared" ref="C24:Q24" si="6">AVERAGE(C18,C15,C12,C9,C6,C3)</f>
        <v>1.481285118074025</v>
      </c>
      <c r="D24" s="108">
        <f t="shared" si="6"/>
        <v>1.6842039510390505</v>
      </c>
      <c r="E24" s="108">
        <f t="shared" si="6"/>
        <v>1.2501808352779886</v>
      </c>
      <c r="F24" s="108">
        <f t="shared" si="6"/>
        <v>1.1841158699352468</v>
      </c>
      <c r="G24" s="108">
        <f t="shared" si="6"/>
        <v>-12.978361475666668</v>
      </c>
      <c r="H24" s="104">
        <f t="shared" si="6"/>
        <v>3.3880667450000002</v>
      </c>
      <c r="I24" s="108">
        <f t="shared" si="6"/>
        <v>2.2958621140588149</v>
      </c>
      <c r="J24" s="108">
        <f t="shared" si="6"/>
        <v>1.1625049953697153</v>
      </c>
      <c r="K24" s="108">
        <f t="shared" si="6"/>
        <v>0.3635117862397173</v>
      </c>
      <c r="L24" s="108">
        <f t="shared" si="6"/>
        <v>0.19380039384883432</v>
      </c>
      <c r="M24" s="108">
        <f t="shared" si="6"/>
        <v>0.57814699149649129</v>
      </c>
      <c r="N24" s="108">
        <f t="shared" si="6"/>
        <v>0.53885872924795997</v>
      </c>
      <c r="O24" s="108">
        <f t="shared" si="6"/>
        <v>0.90166606679182559</v>
      </c>
      <c r="P24" s="108">
        <f t="shared" si="6"/>
        <v>0.2824591483369972</v>
      </c>
      <c r="Q24" s="104">
        <f t="shared" si="6"/>
        <v>1.2501903727867756</v>
      </c>
      <c r="S24" s="6" t="s">
        <v>36</v>
      </c>
      <c r="T24" s="108" t="e">
        <f>AVERAGE(#REF!,#REF!,#REF!,T15,T12,T9,T6,T3)</f>
        <v>#REF!</v>
      </c>
      <c r="U24" s="108" t="e">
        <f>AVERAGE(#REF!,#REF!,#REF!,U15,U12,U9,U6,U3)</f>
        <v>#REF!</v>
      </c>
      <c r="V24" s="108" t="e">
        <f>AVERAGE(#REF!,#REF!,#REF!,V15,V12,V9,V6,V3)</f>
        <v>#REF!</v>
      </c>
      <c r="W24" s="108" t="e">
        <f>AVERAGE(#REF!,#REF!,#REF!,W15,W12,W9,W6,W3)</f>
        <v>#REF!</v>
      </c>
      <c r="X24" s="108" t="e">
        <f>AVERAGE(#REF!,#REF!,#REF!,X15,X12,X9,X6,X3)</f>
        <v>#REF!</v>
      </c>
      <c r="Y24" s="104" t="e">
        <f>AVERAGE(#REF!,#REF!,#REF!,Y15,Y12,Y9,Y6,Y3)</f>
        <v>#REF!</v>
      </c>
      <c r="Z24" s="108" t="e">
        <f>AVERAGE(#REF!,#REF!,#REF!,Z15,Z12,Z9,Z6,Z3)</f>
        <v>#REF!</v>
      </c>
      <c r="AA24" s="108" t="e">
        <f>AVERAGE(#REF!,#REF!,#REF!,AA15,AA12,AA9,AA6,AA3)</f>
        <v>#REF!</v>
      </c>
      <c r="AB24" s="108" t="e">
        <f>AVERAGE(#REF!,#REF!,#REF!,AB15,AB12,AB9,AB6,AB3)</f>
        <v>#REF!</v>
      </c>
      <c r="AC24" s="108" t="e">
        <f>AVERAGE(#REF!,#REF!,#REF!,AC15,AC12,AC9,AC6,AC3)</f>
        <v>#REF!</v>
      </c>
      <c r="AD24" s="108" t="e">
        <f>AVERAGE(#REF!,#REF!,#REF!,AD15,AD12,AD9,AD6,AD3)</f>
        <v>#REF!</v>
      </c>
      <c r="AE24" s="103" t="e">
        <f>AVERAGE(#REF!,#REF!,#REF!,AE15,AE12,AE9,AE6,AE3)</f>
        <v>#REF!</v>
      </c>
      <c r="AF24" s="108" t="e">
        <f>AVERAGE(#REF!,#REF!,#REF!,AF15,AF12,AF9,AF6,AF3)</f>
        <v>#REF!</v>
      </c>
      <c r="AG24" s="108" t="e">
        <f>AVERAGE(#REF!,#REF!,#REF!,AG15,AG12,AG9,AG6,AG3)</f>
        <v>#REF!</v>
      </c>
      <c r="AH24" s="104" t="e">
        <f>AVERAGE(#REF!,#REF!,#REF!,AH15,AH12,AH9,AH6,AH3)</f>
        <v>#REF!</v>
      </c>
    </row>
    <row r="25" spans="1:34" x14ac:dyDescent="0.25">
      <c r="B25" s="56" t="s">
        <v>37</v>
      </c>
      <c r="C25" s="130">
        <f t="shared" ref="C25:Q25" si="7">AVERAGE(C19,C16,C13,C10,C7,C4)</f>
        <v>-0.27617000804321751</v>
      </c>
      <c r="D25" s="121">
        <f t="shared" si="7"/>
        <v>2.0717412705763061</v>
      </c>
      <c r="E25" s="121">
        <f t="shared" si="7"/>
        <v>11.769766273388624</v>
      </c>
      <c r="F25" s="121">
        <f t="shared" si="7"/>
        <v>19.031832581467729</v>
      </c>
      <c r="G25" s="121"/>
      <c r="H25" s="122"/>
      <c r="I25" s="121">
        <f t="shared" si="7"/>
        <v>-2.572949872236669</v>
      </c>
      <c r="J25" s="121">
        <f t="shared" si="7"/>
        <v>-3.1625067125502468</v>
      </c>
      <c r="K25" s="121">
        <f t="shared" si="7"/>
        <v>-19.884636513817608</v>
      </c>
      <c r="L25" s="121">
        <f t="shared" si="7"/>
        <v>-35.665599347210076</v>
      </c>
      <c r="M25" s="121">
        <f t="shared" si="7"/>
        <v>23.483638883763479</v>
      </c>
      <c r="N25" s="121">
        <f t="shared" si="7"/>
        <v>4.5205497785659619</v>
      </c>
      <c r="O25" s="121">
        <f t="shared" si="7"/>
        <v>40.33798242259396</v>
      </c>
      <c r="P25" s="121">
        <f t="shared" si="7"/>
        <v>-11.670314491628062</v>
      </c>
      <c r="Q25" s="122">
        <f t="shared" si="7"/>
        <v>11.771005062720553</v>
      </c>
      <c r="S25" s="56" t="s">
        <v>37</v>
      </c>
      <c r="T25" s="121" t="e">
        <f>AVERAGE(#REF!,#REF!,#REF!,T16,T13,T10,T7,T4)</f>
        <v>#REF!</v>
      </c>
      <c r="U25" s="121" t="e">
        <f>AVERAGE(#REF!,#REF!,#REF!,U16,U13,U10,U7,U4)</f>
        <v>#REF!</v>
      </c>
      <c r="V25" s="121" t="e">
        <f>AVERAGE(#REF!,#REF!,#REF!,V16,V13,V10,V7,V4)</f>
        <v>#REF!</v>
      </c>
      <c r="W25" s="121" t="e">
        <f>AVERAGE(#REF!,#REF!,#REF!,W16,W13,W10,W7,W4)</f>
        <v>#REF!</v>
      </c>
      <c r="X25" s="121"/>
      <c r="Y25" s="122"/>
      <c r="Z25" s="121" t="e">
        <f>AVERAGE(#REF!,#REF!,#REF!,Z16,Z13,Z10,Z7,Z4)</f>
        <v>#REF!</v>
      </c>
      <c r="AA25" s="121" t="e">
        <f>AVERAGE(#REF!,#REF!,#REF!,AA16,AA13,AA10,AA7,AA4)</f>
        <v>#REF!</v>
      </c>
      <c r="AB25" s="121" t="e">
        <f>AVERAGE(#REF!,#REF!,#REF!,AB16,AB13,AB10,AB7,AB4)</f>
        <v>#REF!</v>
      </c>
      <c r="AC25" s="121" t="e">
        <f>AVERAGE(#REF!,#REF!,#REF!,AC16,AC13,AC10,AC7,AC4)</f>
        <v>#REF!</v>
      </c>
      <c r="AD25" s="121" t="e">
        <f>AVERAGE(#REF!,#REF!,#REF!,AD16,AD13,AD10,AD7,AD4)</f>
        <v>#REF!</v>
      </c>
      <c r="AE25" s="123" t="e">
        <f>AVERAGE(#REF!,#REF!,#REF!,AE16,AE13,AE10,AE7,AE4)</f>
        <v>#REF!</v>
      </c>
      <c r="AF25" s="121" t="e">
        <f>AVERAGE(#REF!,#REF!,#REF!,AF16,AF13,AF10,AF7,AF4)</f>
        <v>#REF!</v>
      </c>
      <c r="AG25" s="121" t="e">
        <f>AVERAGE(#REF!,#REF!,#REF!,AG16,AG13,AG10,AG7,AG4)</f>
        <v>#REF!</v>
      </c>
      <c r="AH25" s="122" t="e">
        <f>AVERAGE(#REF!,#REF!,#REF!,AH16,AH13,AH10,AH7,AH4)</f>
        <v>#REF!</v>
      </c>
    </row>
    <row r="26" spans="1:34" x14ac:dyDescent="0.25">
      <c r="B26" s="6" t="s">
        <v>38</v>
      </c>
      <c r="C26" s="107">
        <f>_xlfn.STDEV.S(C17,C14,C11,C8,C5,C2)</f>
        <v>0.68451062964218012</v>
      </c>
      <c r="D26" s="108">
        <f t="shared" ref="D26:Q26" si="8">_xlfn.STDEV.S(D17,D14,D11,D8,D5,D2)</f>
        <v>0.88256988174172568</v>
      </c>
      <c r="E26" s="108">
        <f t="shared" si="8"/>
        <v>0.34373836107226463</v>
      </c>
      <c r="F26" s="108">
        <f t="shared" si="8"/>
        <v>0.40069584953371645</v>
      </c>
      <c r="G26" s="108">
        <f t="shared" si="8"/>
        <v>26.610269829777792</v>
      </c>
      <c r="H26" s="104">
        <f t="shared" si="8"/>
        <v>10.482568357223156</v>
      </c>
      <c r="I26" s="108">
        <f t="shared" si="8"/>
        <v>0.86661530689166999</v>
      </c>
      <c r="J26" s="108">
        <f t="shared" si="8"/>
        <v>0.55414813195549273</v>
      </c>
      <c r="K26" s="108">
        <f t="shared" si="8"/>
        <v>0.39368328623812787</v>
      </c>
      <c r="L26" s="108">
        <f t="shared" si="8"/>
        <v>0.27439660509271635</v>
      </c>
      <c r="M26" s="108">
        <f t="shared" si="8"/>
        <v>0.26208975415987579</v>
      </c>
      <c r="N26" s="108">
        <f t="shared" si="8"/>
        <v>0.37585627336152005</v>
      </c>
      <c r="O26" s="108">
        <f t="shared" si="8"/>
        <v>0.29173015401610697</v>
      </c>
      <c r="P26" s="108">
        <f t="shared" si="8"/>
        <v>0.14616781808074913</v>
      </c>
      <c r="Q26" s="104">
        <f t="shared" si="8"/>
        <v>0.3437379972770559</v>
      </c>
      <c r="S26" s="6" t="s">
        <v>38</v>
      </c>
      <c r="T26" s="108" t="e">
        <f>_xlfn.STDEV.S(#REF!,#REF!,#REF!,T14,T11,T8,T5,T2)</f>
        <v>#REF!</v>
      </c>
      <c r="U26" s="108" t="e">
        <f>_xlfn.STDEV.S(#REF!,#REF!,#REF!,U14,U11,U8,U5,U2)</f>
        <v>#REF!</v>
      </c>
      <c r="V26" s="108" t="e">
        <f>_xlfn.STDEV.S(#REF!,#REF!,#REF!,V14,V11,V8,V5,V2)</f>
        <v>#REF!</v>
      </c>
      <c r="W26" s="108" t="e">
        <f>_xlfn.STDEV.S(#REF!,#REF!,#REF!,W14,W11,W8,W5,W2)</f>
        <v>#REF!</v>
      </c>
      <c r="X26" s="108" t="e">
        <f>_xlfn.STDEV.S(#REF!,#REF!,#REF!,X14,X11,X8,X5,X2)</f>
        <v>#REF!</v>
      </c>
      <c r="Y26" s="104" t="e">
        <f>_xlfn.STDEV.S(#REF!,#REF!,#REF!,Y14,Y11,Y8,Y5,Y2)</f>
        <v>#REF!</v>
      </c>
      <c r="Z26" s="108" t="e">
        <f>_xlfn.STDEV.S(#REF!,#REF!,#REF!,Z14,Z11,Z8,Z5,Z2)</f>
        <v>#REF!</v>
      </c>
      <c r="AA26" s="108" t="e">
        <f>_xlfn.STDEV.S(#REF!,#REF!,#REF!,AA14,AA11,AA8,AA5,AA2)</f>
        <v>#REF!</v>
      </c>
      <c r="AB26" s="108" t="e">
        <f>_xlfn.STDEV.S(#REF!,#REF!,#REF!,AB14,AB11,AB8,AB5,AB2)</f>
        <v>#REF!</v>
      </c>
      <c r="AC26" s="108" t="e">
        <f>_xlfn.STDEV.S(#REF!,#REF!,#REF!,AC14,AC11,AC8,AC5,AC2)</f>
        <v>#REF!</v>
      </c>
      <c r="AD26" s="108" t="e">
        <f>_xlfn.STDEV.S(#REF!,#REF!,#REF!,AD14,AD11,AD8,AD5,AD2)</f>
        <v>#REF!</v>
      </c>
      <c r="AE26" s="103" t="e">
        <f>_xlfn.STDEV.S(#REF!,#REF!,#REF!,AE14,AE11,AE8,AE5,AE2)</f>
        <v>#REF!</v>
      </c>
      <c r="AF26" s="108" t="e">
        <f>_xlfn.STDEV.S(#REF!,#REF!,#REF!,AF14,AF11,AF8,AF5,AF2)</f>
        <v>#REF!</v>
      </c>
      <c r="AG26" s="108" t="e">
        <f>_xlfn.STDEV.S(#REF!,#REF!,#REF!,AG14,AG11,AG8,AG5,AG2)</f>
        <v>#REF!</v>
      </c>
      <c r="AH26" s="104" t="e">
        <f>_xlfn.STDEV.S(#REF!,#REF!,#REF!,AH14,AH11,AH8,AH5,AH2)</f>
        <v>#REF!</v>
      </c>
    </row>
    <row r="27" spans="1:34" x14ac:dyDescent="0.25">
      <c r="B27" s="6" t="s">
        <v>39</v>
      </c>
      <c r="C27" s="107">
        <f t="shared" ref="C27:Q27" si="9">_xlfn.STDEV.S(C18,C15,C12,C9,C6,C3)</f>
        <v>0.37588264425312318</v>
      </c>
      <c r="D27" s="108">
        <f t="shared" si="9"/>
        <v>0.82704354881566344</v>
      </c>
      <c r="E27" s="108">
        <f t="shared" si="9"/>
        <v>0.5850872987355703</v>
      </c>
      <c r="F27" s="108">
        <f t="shared" si="9"/>
        <v>0.50819802808493164</v>
      </c>
      <c r="G27" s="108">
        <f t="shared" si="9"/>
        <v>46.267475789591728</v>
      </c>
      <c r="H27" s="104">
        <f t="shared" si="9"/>
        <v>8.7625946568388837</v>
      </c>
      <c r="I27" s="108">
        <f t="shared" si="9"/>
        <v>0.63352472114474179</v>
      </c>
      <c r="J27" s="108">
        <f t="shared" si="9"/>
        <v>0.48401510415515919</v>
      </c>
      <c r="K27" s="108">
        <f t="shared" si="9"/>
        <v>0.43289411466709199</v>
      </c>
      <c r="L27" s="108">
        <f t="shared" si="9"/>
        <v>0.18584104928852324</v>
      </c>
      <c r="M27" s="108">
        <f t="shared" si="9"/>
        <v>0.3085916643709023</v>
      </c>
      <c r="N27" s="108">
        <f t="shared" si="9"/>
        <v>0.41719184392543723</v>
      </c>
      <c r="O27" s="108">
        <f t="shared" si="9"/>
        <v>0.3890526702432619</v>
      </c>
      <c r="P27" s="108">
        <f t="shared" si="9"/>
        <v>0.15484364062535722</v>
      </c>
      <c r="Q27" s="104">
        <f t="shared" si="9"/>
        <v>0.5850888944550432</v>
      </c>
      <c r="S27" s="6" t="s">
        <v>39</v>
      </c>
      <c r="T27" s="108" t="e">
        <f>_xlfn.STDEV.S(#REF!,#REF!,#REF!,T15,T12,T9,T6,T3)</f>
        <v>#REF!</v>
      </c>
      <c r="U27" s="108" t="e">
        <f>_xlfn.STDEV.S(#REF!,#REF!,#REF!,U15,U12,U9,U6,U3)</f>
        <v>#REF!</v>
      </c>
      <c r="V27" s="108" t="e">
        <f>_xlfn.STDEV.S(#REF!,#REF!,#REF!,V15,V12,V9,V6,V3)</f>
        <v>#REF!</v>
      </c>
      <c r="W27" s="108" t="e">
        <f>_xlfn.STDEV.S(#REF!,#REF!,#REF!,W15,W12,W9,W6,W3)</f>
        <v>#REF!</v>
      </c>
      <c r="X27" s="108" t="e">
        <f>_xlfn.STDEV.S(#REF!,#REF!,#REF!,X15,X12,X9,X6,X3)</f>
        <v>#REF!</v>
      </c>
      <c r="Y27" s="104" t="e">
        <f>_xlfn.STDEV.S(#REF!,#REF!,#REF!,Y15,Y12,Y9,Y6,Y3)</f>
        <v>#REF!</v>
      </c>
      <c r="Z27" s="108" t="e">
        <f>_xlfn.STDEV.S(#REF!,#REF!,#REF!,Z15,Z12,Z9,Z6,Z3)</f>
        <v>#REF!</v>
      </c>
      <c r="AA27" s="108" t="e">
        <f>_xlfn.STDEV.S(#REF!,#REF!,#REF!,AA15,AA12,AA9,AA6,AA3)</f>
        <v>#REF!</v>
      </c>
      <c r="AB27" s="108" t="e">
        <f>_xlfn.STDEV.S(#REF!,#REF!,#REF!,AB15,AB12,AB9,AB6,AB3)</f>
        <v>#REF!</v>
      </c>
      <c r="AC27" s="108" t="e">
        <f>_xlfn.STDEV.S(#REF!,#REF!,#REF!,AC15,AC12,AC9,AC6,AC3)</f>
        <v>#REF!</v>
      </c>
      <c r="AD27" s="108" t="e">
        <f>_xlfn.STDEV.S(#REF!,#REF!,#REF!,AD15,AD12,AD9,AD6,AD3)</f>
        <v>#REF!</v>
      </c>
      <c r="AE27" s="103" t="e">
        <f>_xlfn.STDEV.S(#REF!,#REF!,#REF!,AE15,AE12,AE9,AE6,AE3)</f>
        <v>#REF!</v>
      </c>
      <c r="AF27" s="108" t="e">
        <f>_xlfn.STDEV.S(#REF!,#REF!,#REF!,AF15,AF12,AF9,AF6,AF3)</f>
        <v>#REF!</v>
      </c>
      <c r="AG27" s="108" t="e">
        <f>_xlfn.STDEV.S(#REF!,#REF!,#REF!,AG15,AG12,AG9,AG6,AG3)</f>
        <v>#REF!</v>
      </c>
      <c r="AH27" s="104" t="e">
        <f>_xlfn.STDEV.S(#REF!,#REF!,#REF!,AH15,AH12,AH9,AH6,AH3)</f>
        <v>#REF!</v>
      </c>
    </row>
    <row r="28" spans="1:34" ht="15.75" thickBot="1" x14ac:dyDescent="0.3">
      <c r="B28" s="12" t="s">
        <v>40</v>
      </c>
      <c r="C28" s="113">
        <f t="shared" ref="C28:Q28" si="10">_xlfn.STDEV.S(C19,C16,C13,C10,C7,C4)</f>
        <v>23.664403490225432</v>
      </c>
      <c r="D28" s="105">
        <f t="shared" si="10"/>
        <v>8.8822710651602232</v>
      </c>
      <c r="E28" s="105">
        <f t="shared" si="10"/>
        <v>30.936762734607306</v>
      </c>
      <c r="F28" s="105">
        <f t="shared" si="10"/>
        <v>32.086043328706076</v>
      </c>
      <c r="G28" s="105"/>
      <c r="H28" s="106"/>
      <c r="I28" s="105">
        <f t="shared" si="10"/>
        <v>12.087481756030144</v>
      </c>
      <c r="J28" s="105">
        <f t="shared" si="10"/>
        <v>27.120529507400772</v>
      </c>
      <c r="K28" s="105">
        <f t="shared" si="10"/>
        <v>26.088136125177623</v>
      </c>
      <c r="L28" s="105">
        <f t="shared" si="10"/>
        <v>37.089336431282867</v>
      </c>
      <c r="M28" s="105">
        <f t="shared" si="10"/>
        <v>32.693347609879353</v>
      </c>
      <c r="N28" s="105">
        <f t="shared" si="10"/>
        <v>8.524616471367489</v>
      </c>
      <c r="O28" s="105">
        <f t="shared" si="10"/>
        <v>55.577516301277413</v>
      </c>
      <c r="P28" s="105">
        <f t="shared" si="10"/>
        <v>19.381552794283817</v>
      </c>
      <c r="Q28" s="106">
        <f t="shared" si="10"/>
        <v>30.935571579267808</v>
      </c>
      <c r="S28" s="12" t="s">
        <v>40</v>
      </c>
      <c r="T28" s="105" t="e">
        <f>_xlfn.STDEV.S(#REF!,#REF!,#REF!,T16,T13,T10,T7,T4)</f>
        <v>#REF!</v>
      </c>
      <c r="U28" s="105" t="e">
        <f>_xlfn.STDEV.S(#REF!,#REF!,#REF!,U16,U13,U10,U7,U4)</f>
        <v>#REF!</v>
      </c>
      <c r="V28" s="105" t="e">
        <f>_xlfn.STDEV.S(#REF!,#REF!,#REF!,V16,V13,V10,V7,V4)</f>
        <v>#REF!</v>
      </c>
      <c r="W28" s="105" t="e">
        <f>_xlfn.STDEV.S(#REF!,#REF!,#REF!,W16,W13,W10,W7,W4)</f>
        <v>#REF!</v>
      </c>
      <c r="X28" s="105"/>
      <c r="Y28" s="106"/>
      <c r="Z28" s="105" t="e">
        <f>_xlfn.STDEV.S(#REF!,#REF!,#REF!,Z16,Z13,Z10,Z7,Z4)</f>
        <v>#REF!</v>
      </c>
      <c r="AA28" s="105" t="e">
        <f>_xlfn.STDEV.S(#REF!,#REF!,#REF!,AA16,AA13,AA10,AA7,AA4)</f>
        <v>#REF!</v>
      </c>
      <c r="AB28" s="105" t="e">
        <f>_xlfn.STDEV.S(#REF!,#REF!,#REF!,AB16,AB13,AB10,AB7,AB4)</f>
        <v>#REF!</v>
      </c>
      <c r="AC28" s="105" t="e">
        <f>_xlfn.STDEV.S(#REF!,#REF!,#REF!,AC16,AC13,AC10,AC7,AC4)</f>
        <v>#REF!</v>
      </c>
      <c r="AD28" s="105" t="e">
        <f>_xlfn.STDEV.S(#REF!,#REF!,#REF!,AD16,AD13,AD10,AD7,AD4)</f>
        <v>#REF!</v>
      </c>
      <c r="AE28" s="114" t="e">
        <f>_xlfn.STDEV.S(#REF!,#REF!,#REF!,AE16,AE13,AE10,AE7,AE4)</f>
        <v>#REF!</v>
      </c>
      <c r="AF28" s="105" t="e">
        <f>_xlfn.STDEV.S(#REF!,#REF!,#REF!,AF16,AF13,AF10,AF7,AF4)</f>
        <v>#REF!</v>
      </c>
      <c r="AG28" s="105" t="e">
        <f>_xlfn.STDEV.S(#REF!,#REF!,#REF!,AG16,AG13,AG10,AG7,AG4)</f>
        <v>#REF!</v>
      </c>
      <c r="AH28" s="106" t="e">
        <f>_xlfn.STDEV.S(#REF!,#REF!,#REF!,AH16,AH13,AH10,AH7,AH4)</f>
        <v>#REF!</v>
      </c>
    </row>
    <row r="29" spans="1:34" ht="15.75" thickBot="1" x14ac:dyDescent="0.3">
      <c r="B29" s="58"/>
      <c r="C29" s="13"/>
      <c r="D29" s="13"/>
      <c r="E29" s="13"/>
      <c r="F29" s="13"/>
      <c r="G29" s="13"/>
      <c r="H29" s="13"/>
      <c r="I29" s="121">
        <f t="shared" ref="I29:Q29" si="11">(I24-I23)/I23*100</f>
        <v>-5.0807681657945079</v>
      </c>
      <c r="J29" s="121">
        <f t="shared" si="11"/>
        <v>-5.3805499791577995</v>
      </c>
      <c r="K29" s="121">
        <f t="shared" si="11"/>
        <v>-5.3116183973896058</v>
      </c>
      <c r="L29" s="121">
        <f t="shared" si="11"/>
        <v>-36.547317557961598</v>
      </c>
      <c r="M29" s="121">
        <f t="shared" si="11"/>
        <v>20.265527889238427</v>
      </c>
      <c r="N29" s="121">
        <f t="shared" si="11"/>
        <v>5.520227222900683</v>
      </c>
      <c r="O29" s="121">
        <f t="shared" si="11"/>
        <v>35.477319874496381</v>
      </c>
      <c r="P29" s="121">
        <f t="shared" si="11"/>
        <v>-12.588195676854674</v>
      </c>
      <c r="Q29" s="121">
        <f t="shared" si="11"/>
        <v>15.560745654252239</v>
      </c>
      <c r="S29" s="13"/>
      <c r="T29" s="105"/>
      <c r="U29" s="105"/>
      <c r="V29" s="105"/>
      <c r="W29" s="105"/>
      <c r="X29" s="105"/>
      <c r="Y29" s="105"/>
      <c r="Z29" s="105"/>
      <c r="AA29" s="105"/>
      <c r="AB29" s="105"/>
      <c r="AC29" s="105"/>
      <c r="AD29" s="105"/>
      <c r="AE29" s="105"/>
      <c r="AF29" s="105"/>
      <c r="AG29" s="105"/>
      <c r="AH29" s="96"/>
    </row>
    <row r="30" spans="1:34" x14ac:dyDescent="0.25">
      <c r="B30" s="16" t="s">
        <v>35</v>
      </c>
      <c r="C30" s="96">
        <v>2.3505340283800362</v>
      </c>
      <c r="D30" s="96">
        <v>1.8805230229693206</v>
      </c>
      <c r="E30" s="96">
        <v>1.0160252812826149</v>
      </c>
      <c r="F30" s="96">
        <v>0.93064091431231954</v>
      </c>
      <c r="G30" s="96">
        <v>16.932252380952381</v>
      </c>
      <c r="H30" s="111">
        <v>6.7260809523809542</v>
      </c>
      <c r="I30" s="96">
        <v>3.4358630019485559</v>
      </c>
      <c r="J30" s="96">
        <v>1.0612955117796181</v>
      </c>
      <c r="K30" s="96">
        <v>0.35258478889367656</v>
      </c>
      <c r="L30" s="96">
        <v>0.35050024161249194</v>
      </c>
      <c r="M30" s="96">
        <v>0.42613551691128604</v>
      </c>
      <c r="N30" s="112">
        <v>0.79603776298904771</v>
      </c>
      <c r="O30" s="96">
        <v>0.48300783325726021</v>
      </c>
      <c r="P30" s="96">
        <v>0.46308976587638639</v>
      </c>
      <c r="Q30" s="111">
        <v>1.0160233290085481</v>
      </c>
      <c r="S30" s="6" t="s">
        <v>35</v>
      </c>
      <c r="T30" s="96">
        <v>38.509043478260871</v>
      </c>
      <c r="U30" s="96">
        <v>30.935217391304349</v>
      </c>
      <c r="V30" s="96">
        <v>16.656999999999996</v>
      </c>
      <c r="W30" s="96">
        <v>15.317272727272728</v>
      </c>
      <c r="X30" s="96">
        <v>16.79301818181818</v>
      </c>
      <c r="Y30" s="104">
        <v>6.0623045454545466</v>
      </c>
      <c r="Z30" s="96">
        <v>55.930869565217385</v>
      </c>
      <c r="AA30" s="96">
        <v>16.97650909090909</v>
      </c>
      <c r="AB30" s="96">
        <v>6.0907954545454546</v>
      </c>
      <c r="AC30" s="96">
        <v>5.9655826086956516</v>
      </c>
      <c r="AD30" s="96">
        <v>7.0906565217391293</v>
      </c>
      <c r="AE30" s="103">
        <v>12.485695454545453</v>
      </c>
      <c r="AF30" s="96">
        <v>8.0412681818181806</v>
      </c>
      <c r="AG30" s="96">
        <v>7.2758954545454539</v>
      </c>
      <c r="AH30" s="111">
        <v>16.656949999999998</v>
      </c>
    </row>
    <row r="31" spans="1:34" x14ac:dyDescent="0.25">
      <c r="B31" s="6" t="s">
        <v>36</v>
      </c>
      <c r="C31" s="96">
        <v>2.941865852956163</v>
      </c>
      <c r="D31" s="96">
        <v>2.1849707149652109</v>
      </c>
      <c r="E31" s="96">
        <v>1.4880043601529855</v>
      </c>
      <c r="F31" s="96">
        <v>1.4104592812467101</v>
      </c>
      <c r="G31" s="96">
        <v>23.960213636363633</v>
      </c>
      <c r="H31" s="104">
        <v>4.1328190476190469</v>
      </c>
      <c r="I31" s="96">
        <v>3.9288343417843903</v>
      </c>
      <c r="J31" s="96">
        <v>0.98698184742510164</v>
      </c>
      <c r="K31" s="96">
        <v>0.34681927385864758</v>
      </c>
      <c r="L31" s="96">
        <v>0.36936273150036186</v>
      </c>
      <c r="M31" s="96">
        <v>0.78145124558012324</v>
      </c>
      <c r="N31" s="103">
        <v>0.73523640942635982</v>
      </c>
      <c r="O31" s="96">
        <v>1.0270769835671483</v>
      </c>
      <c r="P31" s="96">
        <v>0.41345341529555324</v>
      </c>
      <c r="Q31" s="104">
        <v>1.4879967641036531</v>
      </c>
      <c r="S31" s="6" t="s">
        <v>36</v>
      </c>
      <c r="T31" s="96">
        <v>48.302043478260877</v>
      </c>
      <c r="U31" s="96">
        <v>36.448086956521735</v>
      </c>
      <c r="V31" s="96">
        <v>24.847318181818185</v>
      </c>
      <c r="W31" s="96">
        <v>23.667818181818181</v>
      </c>
      <c r="X31" s="96">
        <v>23.900504347826086</v>
      </c>
      <c r="Y31" s="104">
        <v>3.8601818181818177</v>
      </c>
      <c r="Z31" s="96">
        <v>64.177730434782617</v>
      </c>
      <c r="AA31" s="96">
        <v>15.832478260869564</v>
      </c>
      <c r="AB31" s="96">
        <v>6.0439590909090901</v>
      </c>
      <c r="AC31" s="96">
        <v>6.4575217391304349</v>
      </c>
      <c r="AD31" s="96">
        <v>13.219591304347828</v>
      </c>
      <c r="AE31" s="103">
        <v>11.11825</v>
      </c>
      <c r="AF31" s="96">
        <v>17.210290909090904</v>
      </c>
      <c r="AG31" s="96">
        <v>6.7832904761904773</v>
      </c>
      <c r="AH31" s="104">
        <v>24.847190909090909</v>
      </c>
    </row>
    <row r="32" spans="1:34" x14ac:dyDescent="0.25">
      <c r="B32" s="56" t="s">
        <v>128</v>
      </c>
      <c r="C32" s="121">
        <v>28.97307873420899</v>
      </c>
      <c r="D32" s="121">
        <v>18.759714392109931</v>
      </c>
      <c r="E32" s="121">
        <v>56.691686242311839</v>
      </c>
      <c r="F32" s="121">
        <v>62.446339948550353</v>
      </c>
      <c r="G32" s="121"/>
      <c r="H32" s="122"/>
      <c r="I32" s="121">
        <v>15.728720953037771</v>
      </c>
      <c r="J32" s="121">
        <v>-9.9917593795579975</v>
      </c>
      <c r="K32" s="121">
        <v>3.581496807289271</v>
      </c>
      <c r="L32" s="121">
        <v>6.9664152824614352</v>
      </c>
      <c r="M32" s="121">
        <v>98.786476887573627</v>
      </c>
      <c r="N32" s="121">
        <v>5.2541223991712069</v>
      </c>
      <c r="O32" s="121">
        <v>132.46498861738144</v>
      </c>
      <c r="P32" s="121">
        <v>-4.755190039117509</v>
      </c>
      <c r="Q32" s="122">
        <v>56.691126629985106</v>
      </c>
      <c r="S32" s="56" t="s">
        <v>128</v>
      </c>
      <c r="T32" s="121">
        <v>19.744967227717357</v>
      </c>
      <c r="U32" s="121">
        <v>12.929061252812712</v>
      </c>
      <c r="V32" s="121">
        <v>35.659543298503408</v>
      </c>
      <c r="W32" s="121">
        <v>43.300770037206192</v>
      </c>
      <c r="X32" s="121"/>
      <c r="Y32" s="122"/>
      <c r="Z32" s="121">
        <v>10.137425602022006</v>
      </c>
      <c r="AA32" s="121">
        <v>-11.349021305084666</v>
      </c>
      <c r="AB32" s="121">
        <v>-0.53484515846737513</v>
      </c>
      <c r="AC32" s="121">
        <v>2.6451988604960937</v>
      </c>
      <c r="AD32" s="121">
        <v>66.665302620966855</v>
      </c>
      <c r="AE32" s="123">
        <v>-14.028527589120625</v>
      </c>
      <c r="AF32" s="121">
        <v>91.256016687690177</v>
      </c>
      <c r="AG32" s="121">
        <v>-6.5431233894477892</v>
      </c>
      <c r="AH32" s="122">
        <v>35.658735419083094</v>
      </c>
    </row>
    <row r="33" spans="2:34" x14ac:dyDescent="0.25">
      <c r="B33" s="6" t="s">
        <v>38</v>
      </c>
      <c r="C33" s="96">
        <v>0.50221324952494106</v>
      </c>
      <c r="D33" s="96">
        <v>0.48420675970139238</v>
      </c>
      <c r="E33" s="96">
        <v>0.33252222933831793</v>
      </c>
      <c r="F33" s="96">
        <v>0.30329078142963217</v>
      </c>
      <c r="G33" s="96">
        <v>14.362216400342779</v>
      </c>
      <c r="H33" s="104">
        <v>15.710143261640708</v>
      </c>
      <c r="I33" s="96">
        <v>0.67113733782644158</v>
      </c>
      <c r="J33" s="96">
        <v>0.45957388131448002</v>
      </c>
      <c r="K33" s="96">
        <v>0.15902384601399711</v>
      </c>
      <c r="L33" s="96">
        <v>0.11018685728824226</v>
      </c>
      <c r="M33" s="96">
        <v>0.16199335087789643</v>
      </c>
      <c r="N33" s="103">
        <v>0.35716769257228553</v>
      </c>
      <c r="O33" s="96">
        <v>0.19211972779749101</v>
      </c>
      <c r="P33" s="96">
        <v>0.21918527289237225</v>
      </c>
      <c r="Q33" s="104">
        <v>0.33252864316845659</v>
      </c>
      <c r="S33" s="6" t="s">
        <v>38</v>
      </c>
      <c r="T33" s="96">
        <v>8.8567321067971037</v>
      </c>
      <c r="U33" s="96">
        <v>8.3251242608550537</v>
      </c>
      <c r="V33" s="96">
        <v>6.037636573386159</v>
      </c>
      <c r="W33" s="96">
        <v>5.396310647393701</v>
      </c>
      <c r="X33" s="96">
        <v>14.097616359691241</v>
      </c>
      <c r="Y33" s="104">
        <v>15.658147707740367</v>
      </c>
      <c r="Z33" s="96">
        <v>10.579647082386577</v>
      </c>
      <c r="AA33" s="96">
        <v>6.6916315307351786</v>
      </c>
      <c r="AB33" s="96">
        <v>3.3371686996376542</v>
      </c>
      <c r="AC33" s="96">
        <v>2.3698018888673702</v>
      </c>
      <c r="AD33" s="96">
        <v>3.1494424347319137</v>
      </c>
      <c r="AE33" s="103">
        <v>4.365833366540584</v>
      </c>
      <c r="AF33" s="96">
        <v>3.4319386044965907</v>
      </c>
      <c r="AG33" s="96">
        <v>3.3712896925054703</v>
      </c>
      <c r="AH33" s="104">
        <v>6.037688894055897</v>
      </c>
    </row>
    <row r="34" spans="2:34" x14ac:dyDescent="0.25">
      <c r="B34" s="6" t="s">
        <v>39</v>
      </c>
      <c r="C34" s="96">
        <v>0.64771890217256245</v>
      </c>
      <c r="D34" s="96">
        <v>0.5834373436582857</v>
      </c>
      <c r="E34" s="96">
        <v>0.46045984580707155</v>
      </c>
      <c r="F34" s="96">
        <v>0.43102125829759935</v>
      </c>
      <c r="G34" s="96">
        <v>13.372533896970454</v>
      </c>
      <c r="H34" s="104">
        <v>10.980549735391211</v>
      </c>
      <c r="I34" s="96">
        <v>0.85528022863904052</v>
      </c>
      <c r="J34" s="96">
        <v>0.51457381314985673</v>
      </c>
      <c r="K34" s="96">
        <v>0.13304239100838294</v>
      </c>
      <c r="L34" s="96">
        <v>0.12520845137003778</v>
      </c>
      <c r="M34" s="96">
        <v>0.31784158931966133</v>
      </c>
      <c r="N34" s="96">
        <v>0.31676724674770979</v>
      </c>
      <c r="O34" s="96">
        <v>0.37708613718822537</v>
      </c>
      <c r="P34" s="96">
        <v>0.1439095909165784</v>
      </c>
      <c r="Q34" s="104">
        <v>0.46046723395869837</v>
      </c>
      <c r="S34" s="6" t="s">
        <v>39</v>
      </c>
      <c r="T34" s="96">
        <v>13.333147103976621</v>
      </c>
      <c r="U34" s="96">
        <v>12.631393472529126</v>
      </c>
      <c r="V34" s="96">
        <v>9.4500737695233248</v>
      </c>
      <c r="W34" s="96">
        <v>8.9129790770096005</v>
      </c>
      <c r="X34" s="96">
        <v>13.075570836379956</v>
      </c>
      <c r="Y34" s="104">
        <v>10.797076382719801</v>
      </c>
      <c r="Z34" s="96">
        <v>13.934689974859648</v>
      </c>
      <c r="AA34" s="96">
        <v>6.6621780598011577</v>
      </c>
      <c r="AB34" s="96">
        <v>2.8559419890956086</v>
      </c>
      <c r="AC34" s="96">
        <v>2.9871056778529219</v>
      </c>
      <c r="AD34" s="96">
        <v>6.9810091042273879</v>
      </c>
      <c r="AE34" s="103">
        <v>4.6984463845489124</v>
      </c>
      <c r="AF34" s="96">
        <v>7.3284160395482179</v>
      </c>
      <c r="AG34" s="96">
        <v>2.6290055980303655</v>
      </c>
      <c r="AH34" s="104">
        <v>9.4501180875919868</v>
      </c>
    </row>
    <row r="35" spans="2:34" ht="15.75" thickBot="1" x14ac:dyDescent="0.3">
      <c r="B35" s="30" t="s">
        <v>40</v>
      </c>
      <c r="C35" s="105">
        <v>26.594846958389351</v>
      </c>
      <c r="D35" s="105">
        <v>17.862580714615568</v>
      </c>
      <c r="E35" s="105">
        <v>47.006677910182347</v>
      </c>
      <c r="F35" s="105">
        <v>45.241468885169532</v>
      </c>
      <c r="G35" s="105"/>
      <c r="H35" s="106"/>
      <c r="I35" s="105">
        <v>14.329828312252118</v>
      </c>
      <c r="J35" s="105">
        <v>25.718886249384958</v>
      </c>
      <c r="K35" s="105">
        <v>14.662887975382729</v>
      </c>
      <c r="L35" s="105">
        <v>16.748059465129984</v>
      </c>
      <c r="M35" s="105">
        <v>79.572745069680082</v>
      </c>
      <c r="N35" s="105">
        <v>50.231638115024019</v>
      </c>
      <c r="O35" s="105">
        <v>81.282697537177938</v>
      </c>
      <c r="P35" s="105">
        <v>30.446881433359223</v>
      </c>
      <c r="Q35" s="106">
        <v>47.006766999608594</v>
      </c>
      <c r="S35" s="30" t="s">
        <v>40</v>
      </c>
      <c r="T35" s="113">
        <v>19.972167594140327</v>
      </c>
      <c r="U35" s="105">
        <v>16.615029662718182</v>
      </c>
      <c r="V35" s="105">
        <v>22.539507749598812</v>
      </c>
      <c r="W35" s="105">
        <v>31.616048684196105</v>
      </c>
      <c r="X35" s="105"/>
      <c r="Y35" s="106"/>
      <c r="Z35" s="105">
        <v>15.431726094295676</v>
      </c>
      <c r="AA35" s="105">
        <v>28.525733513754655</v>
      </c>
      <c r="AB35" s="105">
        <v>16.535616393189969</v>
      </c>
      <c r="AC35" s="105">
        <v>16.362437980118671</v>
      </c>
      <c r="AD35" s="105">
        <v>49.148753353232799</v>
      </c>
      <c r="AE35" s="114">
        <v>22.677389578918458</v>
      </c>
      <c r="AF35" s="105">
        <v>51.052932177624811</v>
      </c>
      <c r="AG35" s="105">
        <v>36.921064081927781</v>
      </c>
      <c r="AH35" s="106">
        <v>22.537210913359559</v>
      </c>
    </row>
  </sheetData>
  <mergeCells count="3">
    <mergeCell ref="B5:B7"/>
    <mergeCell ref="B14:B16"/>
    <mergeCell ref="B17:B19"/>
  </mergeCells>
  <conditionalFormatting sqref="T16:AH16 T13:AH13 T10:AH10 T7:AH7 T4:AH4">
    <cfRule type="colorScale" priority="28">
      <colorScale>
        <cfvo type="num" val="-100"/>
        <cfvo type="num" val="0"/>
        <cfvo type="num" val="100"/>
        <color rgb="FFF8696B"/>
        <color theme="0"/>
        <color rgb="FF63BE7B"/>
      </colorScale>
    </cfRule>
    <cfRule type="colorScale" priority="29">
      <colorScale>
        <cfvo type="num" val="-100"/>
        <cfvo type="num" val="0"/>
        <cfvo type="num" val="100"/>
        <color rgb="FFF8696B"/>
        <color rgb="FFFFEB84"/>
        <color rgb="FF63BE7B"/>
      </colorScale>
    </cfRule>
    <cfRule type="colorScale" priority="30">
      <colorScale>
        <cfvo type="num" val="-50"/>
        <cfvo type="num" val="0"/>
        <cfvo type="num" val="50"/>
        <color rgb="FFFF0000"/>
        <color rgb="FFFFEB84"/>
        <color rgb="FF00B050"/>
      </colorScale>
    </cfRule>
  </conditionalFormatting>
  <conditionalFormatting sqref="AI27 AI24 AI30 AI33:AU33 AH36:AU36 AH39:AU39 AJ51:AU51 AH42:AU42 AJ54:AU54 AH45:AU45 AJ57:AU57 AH48:AU48">
    <cfRule type="colorScale" priority="25">
      <colorScale>
        <cfvo type="num" val="-100"/>
        <cfvo type="num" val="0"/>
        <cfvo type="num" val="100"/>
        <color rgb="FFF8696B"/>
        <color theme="0"/>
        <color rgb="FF63BE7B"/>
      </colorScale>
    </cfRule>
  </conditionalFormatting>
  <conditionalFormatting sqref="T19:AH19">
    <cfRule type="colorScale" priority="21">
      <colorScale>
        <cfvo type="num" val="-100"/>
        <cfvo type="num" val="0"/>
        <cfvo type="num" val="100"/>
        <color rgb="FFF8696B"/>
        <color theme="0"/>
        <color rgb="FF63BE7B"/>
      </colorScale>
    </cfRule>
    <cfRule type="colorScale" priority="22">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19">
      <colorScale>
        <cfvo type="num" val="-100"/>
        <cfvo type="num" val="0"/>
        <cfvo type="num" val="100"/>
        <color rgb="FFF8696B"/>
        <color theme="0"/>
        <color rgb="FF63BE7B"/>
      </colorScale>
    </cfRule>
  </conditionalFormatting>
  <conditionalFormatting sqref="C4:F4 C7:F7 C10:F10 C13:F13 C16:F16 C19:F19 I19:Q19 I16:Q16 I13:Q13 I10:Q10 I7:Q7 I4:Q4">
    <cfRule type="colorScale" priority="17">
      <colorScale>
        <cfvo type="num" val="-100"/>
        <cfvo type="num" val="0"/>
        <cfvo type="num" val="100"/>
        <color rgb="FFF8696B"/>
        <color theme="0"/>
        <color rgb="FF63BE7B"/>
      </colorScale>
    </cfRule>
  </conditionalFormatting>
  <conditionalFormatting sqref="T25:AH25">
    <cfRule type="colorScale" priority="14">
      <colorScale>
        <cfvo type="num" val="-100"/>
        <cfvo type="num" val="0"/>
        <cfvo type="num" val="100"/>
        <color rgb="FFF8696B"/>
        <color theme="0"/>
        <color rgb="FF63BE7B"/>
      </colorScale>
    </cfRule>
  </conditionalFormatting>
  <conditionalFormatting sqref="T32:AH32">
    <cfRule type="colorScale" priority="15">
      <colorScale>
        <cfvo type="num" val="-100"/>
        <cfvo type="num" val="0"/>
        <cfvo type="num" val="100"/>
        <color rgb="FFF8696B"/>
        <color theme="0"/>
        <color rgb="FF63BE7B"/>
      </colorScale>
    </cfRule>
  </conditionalFormatting>
  <conditionalFormatting sqref="C32:Q32">
    <cfRule type="colorScale" priority="9">
      <colorScale>
        <cfvo type="num" val="-100"/>
        <cfvo type="num" val="0"/>
        <cfvo type="num" val="100"/>
        <color rgb="FFF8696B"/>
        <color theme="0"/>
        <color rgb="FF63BE7B"/>
      </colorScale>
    </cfRule>
  </conditionalFormatting>
  <conditionalFormatting sqref="G16:H16 G13:H13 G10:H10 G7:H7 G4:H4">
    <cfRule type="colorScale" priority="6">
      <colorScale>
        <cfvo type="num" val="-100"/>
        <cfvo type="num" val="0"/>
        <cfvo type="num" val="100"/>
        <color rgb="FFF8696B"/>
        <color theme="0"/>
        <color rgb="FF63BE7B"/>
      </colorScale>
    </cfRule>
    <cfRule type="colorScale" priority="7">
      <colorScale>
        <cfvo type="num" val="-100"/>
        <cfvo type="num" val="0"/>
        <cfvo type="num" val="100"/>
        <color rgb="FFF8696B"/>
        <color rgb="FFFFEB84"/>
        <color rgb="FF63BE7B"/>
      </colorScale>
    </cfRule>
    <cfRule type="colorScale" priority="8">
      <colorScale>
        <cfvo type="num" val="-50"/>
        <cfvo type="num" val="0"/>
        <cfvo type="num" val="50"/>
        <color rgb="FFFF0000"/>
        <color rgb="FFFFEB84"/>
        <color rgb="FF00B050"/>
      </colorScale>
    </cfRule>
  </conditionalFormatting>
  <conditionalFormatting sqref="G19:H19">
    <cfRule type="colorScale" priority="4">
      <colorScale>
        <cfvo type="num" val="-100"/>
        <cfvo type="num" val="0"/>
        <cfvo type="num" val="100"/>
        <color rgb="FFF8696B"/>
        <color theme="0"/>
        <color rgb="FF63BE7B"/>
      </colorScale>
    </cfRule>
    <cfRule type="colorScale" priority="5">
      <colorScale>
        <cfvo type="min"/>
        <cfvo type="percentile" val="50"/>
        <cfvo type="max"/>
        <color rgb="FFF8696B"/>
        <color rgb="FFFCFCFF"/>
        <color rgb="FF63BE7B"/>
      </colorScale>
    </cfRule>
  </conditionalFormatting>
  <conditionalFormatting sqref="I29:Q29">
    <cfRule type="colorScale" priority="2">
      <colorScale>
        <cfvo type="num" val="-100"/>
        <cfvo type="num" val="0"/>
        <cfvo type="num" val="100"/>
        <color rgb="FFF8696B"/>
        <color theme="0"/>
        <color rgb="FF63BE7B"/>
      </colorScale>
    </cfRule>
  </conditionalFormatting>
  <conditionalFormatting sqref="C25:Q25">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4"/>
  <sheetViews>
    <sheetView workbookViewId="0">
      <selection activeCell="A17" sqref="A17:A2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2.85546875" customWidth="1"/>
    <col min="19" max="19" width="19.28515625" customWidth="1"/>
    <col min="20" max="25" width="13.42578125" bestFit="1"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s>
  <sheetData>
    <row r="1" spans="1:34" ht="30.75" thickBot="1" x14ac:dyDescent="0.3">
      <c r="A1" s="1" t="s">
        <v>0</v>
      </c>
      <c r="B1" s="37" t="s">
        <v>1</v>
      </c>
      <c r="C1" s="3" t="s">
        <v>347</v>
      </c>
      <c r="D1" s="3" t="s">
        <v>3</v>
      </c>
      <c r="E1" s="3" t="s">
        <v>4</v>
      </c>
      <c r="F1" s="3" t="s">
        <v>5</v>
      </c>
      <c r="G1" s="3" t="s">
        <v>6</v>
      </c>
      <c r="H1" s="4" t="s">
        <v>7</v>
      </c>
      <c r="I1" s="3" t="s">
        <v>8</v>
      </c>
      <c r="J1" s="3" t="s">
        <v>9</v>
      </c>
      <c r="K1" s="3" t="s">
        <v>10</v>
      </c>
      <c r="L1" s="3" t="s">
        <v>11</v>
      </c>
      <c r="M1" s="3" t="s">
        <v>12</v>
      </c>
      <c r="N1" s="24" t="s">
        <v>13</v>
      </c>
      <c r="O1" s="3" t="s">
        <v>14</v>
      </c>
      <c r="P1" s="3" t="s">
        <v>15</v>
      </c>
      <c r="Q1" s="4" t="s">
        <v>16</v>
      </c>
      <c r="R1" s="5" t="s">
        <v>17</v>
      </c>
      <c r="S1" s="71" t="s">
        <v>346</v>
      </c>
      <c r="T1" s="3" t="s">
        <v>2</v>
      </c>
      <c r="U1" s="3" t="s">
        <v>3</v>
      </c>
      <c r="V1" s="3" t="s">
        <v>4</v>
      </c>
      <c r="W1" s="3" t="s">
        <v>5</v>
      </c>
      <c r="X1" s="3" t="s">
        <v>6</v>
      </c>
      <c r="Y1" s="4" t="s">
        <v>7</v>
      </c>
      <c r="Z1" s="3" t="s">
        <v>8</v>
      </c>
      <c r="AA1" s="3" t="s">
        <v>9</v>
      </c>
      <c r="AB1" s="3" t="s">
        <v>10</v>
      </c>
      <c r="AC1" s="3" t="s">
        <v>11</v>
      </c>
      <c r="AD1" s="3" t="s">
        <v>12</v>
      </c>
      <c r="AE1" s="24" t="s">
        <v>13</v>
      </c>
      <c r="AF1" s="3" t="s">
        <v>14</v>
      </c>
      <c r="AG1" s="3" t="s">
        <v>15</v>
      </c>
      <c r="AH1" s="4" t="s">
        <v>16</v>
      </c>
    </row>
    <row r="2" spans="1:34" ht="15.75" thickTop="1" x14ac:dyDescent="0.25">
      <c r="A2" s="8" t="s">
        <v>54</v>
      </c>
      <c r="B2" s="8"/>
      <c r="C2" s="96">
        <v>0.79144670245937387</v>
      </c>
      <c r="D2" s="96">
        <v>0.76883939036067894</v>
      </c>
      <c r="E2" s="96">
        <v>0.66467405360213538</v>
      </c>
      <c r="F2" s="96">
        <v>0.61011125815718392</v>
      </c>
      <c r="G2" s="97">
        <v>2.8584999999999998</v>
      </c>
      <c r="H2" s="102">
        <v>8.2036999999999995</v>
      </c>
      <c r="I2" s="96">
        <v>2.7801175121740633</v>
      </c>
      <c r="J2" s="96">
        <v>1.9886231149634266</v>
      </c>
      <c r="K2" s="96">
        <v>0.21740221520732303</v>
      </c>
      <c r="L2" s="96">
        <v>0.16413671699672708</v>
      </c>
      <c r="M2" s="96">
        <v>0.17328457028898378</v>
      </c>
      <c r="N2" s="99">
        <v>0.21404450471840292</v>
      </c>
      <c r="O2" s="96">
        <v>0.47377104219657373</v>
      </c>
      <c r="P2" s="96">
        <v>0.13634975491086282</v>
      </c>
      <c r="Q2" s="100">
        <v>0.66465497570163012</v>
      </c>
      <c r="S2">
        <v>95.389502526138827</v>
      </c>
      <c r="T2" s="97">
        <v>8.2970000000000006</v>
      </c>
      <c r="U2" s="97">
        <v>8.06</v>
      </c>
      <c r="V2" s="97">
        <v>6.968</v>
      </c>
      <c r="W2" s="97">
        <v>6.395999999999999</v>
      </c>
      <c r="X2" s="97">
        <v>2.8584999999999998</v>
      </c>
      <c r="Y2" s="102">
        <v>8.2036999999999995</v>
      </c>
      <c r="Z2" s="96">
        <v>29.1449</v>
      </c>
      <c r="AA2" s="96">
        <v>20.8474</v>
      </c>
      <c r="AB2" s="96">
        <v>2.2791000000000001</v>
      </c>
      <c r="AC2" s="96">
        <v>1.7206999999999999</v>
      </c>
      <c r="AD2" s="96">
        <v>1.8166</v>
      </c>
      <c r="AE2" s="103">
        <v>2.2439</v>
      </c>
      <c r="AF2" s="96">
        <v>4.9667000000000003</v>
      </c>
      <c r="AG2" s="96">
        <v>1.4294</v>
      </c>
      <c r="AH2" s="104">
        <v>6.9678000000000004</v>
      </c>
    </row>
    <row r="3" spans="1:34" x14ac:dyDescent="0.25">
      <c r="A3" s="8" t="s">
        <v>55</v>
      </c>
      <c r="B3" s="8"/>
      <c r="C3" s="96">
        <v>1.0064705631412858</v>
      </c>
      <c r="D3" s="96">
        <v>0.80254899959814585</v>
      </c>
      <c r="E3" s="96">
        <v>0.45715685134695272</v>
      </c>
      <c r="F3" s="96">
        <v>0.46970587064191516</v>
      </c>
      <c r="G3" s="167">
        <v>20.262599999999999</v>
      </c>
      <c r="H3" s="102">
        <v>-2.7498</v>
      </c>
      <c r="I3" s="96">
        <v>2.6742450313631205</v>
      </c>
      <c r="J3" s="96">
        <v>1.6677548603791863</v>
      </c>
      <c r="K3" s="96">
        <v>0.20076470087675097</v>
      </c>
      <c r="L3" s="96">
        <v>0.17103921142180864</v>
      </c>
      <c r="M3" s="96">
        <v>0.19450979907191812</v>
      </c>
      <c r="N3" s="103">
        <v>0.23623528822766829</v>
      </c>
      <c r="O3" s="96">
        <v>0.33928430526622327</v>
      </c>
      <c r="P3" s="96">
        <v>0.1304607810609886</v>
      </c>
      <c r="Q3" s="104">
        <v>0.45717645918960104</v>
      </c>
      <c r="S3">
        <v>98.039213241894203</v>
      </c>
      <c r="T3" s="97">
        <v>10.266</v>
      </c>
      <c r="U3" s="97">
        <v>8.1859999999999999</v>
      </c>
      <c r="V3" s="97">
        <v>4.6630000000000003</v>
      </c>
      <c r="W3" s="97">
        <v>4.7910000000000004</v>
      </c>
      <c r="X3" s="167">
        <v>20.262599999999999</v>
      </c>
      <c r="Y3" s="102">
        <v>-2.7498</v>
      </c>
      <c r="Z3" s="96">
        <v>27.2773</v>
      </c>
      <c r="AA3" s="96">
        <v>17.011099999999999</v>
      </c>
      <c r="AB3" s="96">
        <v>2.0478000000000001</v>
      </c>
      <c r="AC3" s="96">
        <v>1.7445999999999999</v>
      </c>
      <c r="AD3" s="96">
        <v>1.984</v>
      </c>
      <c r="AE3" s="103">
        <v>2.4096000000000002</v>
      </c>
      <c r="AF3" s="96">
        <v>3.4607000000000001</v>
      </c>
      <c r="AG3" s="96">
        <v>1.3307</v>
      </c>
      <c r="AH3" s="104">
        <v>4.6631999999999998</v>
      </c>
    </row>
    <row r="4" spans="1:34" ht="15.75" thickBot="1" x14ac:dyDescent="0.3">
      <c r="A4" s="29" t="s">
        <v>20</v>
      </c>
      <c r="B4" s="12"/>
      <c r="C4" s="96">
        <v>27.168457460715672</v>
      </c>
      <c r="D4" s="96">
        <v>4.3844799915432286</v>
      </c>
      <c r="E4" s="96">
        <v>-31.220897089417537</v>
      </c>
      <c r="F4" s="96">
        <v>-23.013079276615464</v>
      </c>
      <c r="G4" s="105"/>
      <c r="H4" s="106"/>
      <c r="I4" s="96">
        <v>-3.8082016442589177</v>
      </c>
      <c r="J4" s="96">
        <v>-16.135196869123263</v>
      </c>
      <c r="K4" s="96">
        <v>-7.652872494747073</v>
      </c>
      <c r="L4" s="96">
        <v>4.2053323298888685</v>
      </c>
      <c r="M4" s="96">
        <v>12.248770186253388</v>
      </c>
      <c r="N4" s="103">
        <v>10.367368944350886</v>
      </c>
      <c r="O4" s="96">
        <v>-28.386440907578763</v>
      </c>
      <c r="P4" s="96">
        <v>-4.3190204879532574</v>
      </c>
      <c r="Q4" s="104">
        <v>-31.215972812512</v>
      </c>
      <c r="T4" s="105">
        <f>(T3-T2)/T3*100</f>
        <v>19.179816871225398</v>
      </c>
      <c r="U4" s="105">
        <f>(U3-U2)/U3*100</f>
        <v>1.539213290984601</v>
      </c>
      <c r="V4" s="105">
        <f>(V3-V2)/V3*100</f>
        <v>-49.431696332832928</v>
      </c>
      <c r="W4" s="105">
        <f>(W3-W2)/W3*100</f>
        <v>-33.500313087038165</v>
      </c>
      <c r="X4" s="105"/>
      <c r="Y4" s="106"/>
      <c r="Z4" s="105">
        <f t="shared" ref="Z4:AH4" si="0">(Z3-Z2)/Z2*100</f>
        <v>-6.4079821855624806</v>
      </c>
      <c r="AA4" s="105">
        <f t="shared" si="0"/>
        <v>-18.401815094448235</v>
      </c>
      <c r="AB4" s="105">
        <f t="shared" si="0"/>
        <v>-10.148742924838754</v>
      </c>
      <c r="AC4" s="105">
        <f t="shared" si="0"/>
        <v>1.3889696053931559</v>
      </c>
      <c r="AD4" s="105">
        <f t="shared" si="0"/>
        <v>9.2150170648464158</v>
      </c>
      <c r="AE4" s="114">
        <f t="shared" si="0"/>
        <v>7.3844645483310396</v>
      </c>
      <c r="AF4" s="105">
        <f t="shared" si="0"/>
        <v>-30.321944148025853</v>
      </c>
      <c r="AG4" s="105">
        <f t="shared" si="0"/>
        <v>-6.9049951028403527</v>
      </c>
      <c r="AH4" s="106">
        <f t="shared" si="0"/>
        <v>-33.075002152759851</v>
      </c>
    </row>
    <row r="5" spans="1:34" x14ac:dyDescent="0.25">
      <c r="A5" s="8" t="s">
        <v>56</v>
      </c>
      <c r="B5" s="205" t="s">
        <v>71</v>
      </c>
      <c r="C5" s="109">
        <v>2.6996080448047897</v>
      </c>
      <c r="D5" s="110">
        <v>2.4793836731401888</v>
      </c>
      <c r="E5" s="110">
        <v>0.8463365560268461</v>
      </c>
      <c r="F5" s="110">
        <v>0.84052470892193476</v>
      </c>
      <c r="G5" s="96">
        <v>8.1576424432579078</v>
      </c>
      <c r="H5" s="104">
        <v>0.68670637744813379</v>
      </c>
      <c r="I5" s="110"/>
      <c r="J5" s="110">
        <v>0.94504849051945394</v>
      </c>
      <c r="K5" s="110">
        <v>1.0838798980723405</v>
      </c>
      <c r="L5" s="110">
        <v>0.7948267828359683</v>
      </c>
      <c r="M5" s="110">
        <v>0.27353348488811041</v>
      </c>
      <c r="N5" s="112">
        <v>0.32714549365366763</v>
      </c>
      <c r="O5" s="110">
        <v>0.53668821698082092</v>
      </c>
      <c r="P5" s="110">
        <v>0.30383833450565334</v>
      </c>
      <c r="Q5" s="111">
        <v>0.84633948446066698</v>
      </c>
      <c r="S5">
        <v>69.284064054739218</v>
      </c>
      <c r="T5" s="96">
        <v>38.964343123288955</v>
      </c>
      <c r="U5" s="96">
        <v>35.785771330926892</v>
      </c>
      <c r="V5" s="96">
        <v>12.215457732938146</v>
      </c>
      <c r="W5" s="96">
        <v>12.131573405651579</v>
      </c>
      <c r="X5" s="96">
        <v>8.1576424432579078</v>
      </c>
      <c r="Y5" s="104">
        <v>0.68670637744813379</v>
      </c>
      <c r="Z5" s="117">
        <v>52.604500000000002</v>
      </c>
      <c r="AA5" s="96">
        <v>13.6402</v>
      </c>
      <c r="AB5" s="96">
        <v>15.644</v>
      </c>
      <c r="AC5" s="96">
        <v>11.472</v>
      </c>
      <c r="AD5" s="96">
        <v>3.948</v>
      </c>
      <c r="AE5" s="103">
        <v>4.7218</v>
      </c>
      <c r="AF5" s="96">
        <v>7.7462</v>
      </c>
      <c r="AG5" s="96">
        <v>4.3853999999999997</v>
      </c>
      <c r="AH5" s="104">
        <v>12.2155</v>
      </c>
    </row>
    <row r="6" spans="1:34" x14ac:dyDescent="0.25">
      <c r="A6" s="8" t="s">
        <v>57</v>
      </c>
      <c r="B6" s="197"/>
      <c r="C6" s="107">
        <v>1.8551538098622808</v>
      </c>
      <c r="D6" s="108">
        <v>2.305076877983709</v>
      </c>
      <c r="E6" s="108">
        <v>1.1704615155643103</v>
      </c>
      <c r="F6" s="108">
        <v>1.2946153592893888</v>
      </c>
      <c r="G6" s="167">
        <v>-24.255700000000001</v>
      </c>
      <c r="H6" s="104">
        <v>-10.6069</v>
      </c>
      <c r="I6" s="108"/>
      <c r="J6" s="108">
        <v>1.3689384347585156</v>
      </c>
      <c r="K6" s="108">
        <v>1.1462692083452659</v>
      </c>
      <c r="L6" s="108">
        <v>0.50795383621696666</v>
      </c>
      <c r="M6" s="108">
        <v>0.32342307059609243</v>
      </c>
      <c r="N6" s="103">
        <v>0.32744614744046757</v>
      </c>
      <c r="O6" s="108">
        <v>1.0824999788235248</v>
      </c>
      <c r="P6" s="108">
        <v>0.21212307277340575</v>
      </c>
      <c r="Q6" s="104">
        <v>1.1704769001793938</v>
      </c>
      <c r="S6">
        <v>76.923075418264332</v>
      </c>
      <c r="T6" s="97">
        <v>24.117000000000001</v>
      </c>
      <c r="U6" s="97">
        <v>29.966000000000001</v>
      </c>
      <c r="V6" s="97">
        <v>15.216000000000001</v>
      </c>
      <c r="W6" s="97">
        <v>16.830000000000002</v>
      </c>
      <c r="X6" s="167">
        <v>-24.255700000000001</v>
      </c>
      <c r="Y6" s="104">
        <v>-10.6069</v>
      </c>
      <c r="Z6" s="117"/>
      <c r="AA6" s="96">
        <v>17.796199999999999</v>
      </c>
      <c r="AB6" s="96">
        <v>14.9015</v>
      </c>
      <c r="AC6" s="96">
        <v>6.6033999999999997</v>
      </c>
      <c r="AD6" s="96">
        <v>4.2045000000000003</v>
      </c>
      <c r="AE6" s="96">
        <v>4.2568000000000001</v>
      </c>
      <c r="AF6" s="96">
        <v>14.0725</v>
      </c>
      <c r="AG6" s="96">
        <v>2.7576000000000001</v>
      </c>
      <c r="AH6" s="104">
        <v>15.216200000000001</v>
      </c>
    </row>
    <row r="7" spans="1:34" ht="15.75" thickBot="1" x14ac:dyDescent="0.3">
      <c r="A7" s="29" t="s">
        <v>20</v>
      </c>
      <c r="B7" s="206"/>
      <c r="C7" s="113">
        <v>-31.280623739716695</v>
      </c>
      <c r="D7" s="105">
        <v>-7.0302469539019281</v>
      </c>
      <c r="E7" s="105">
        <v>38.29740748279611</v>
      </c>
      <c r="F7" s="105">
        <v>54.024664063698388</v>
      </c>
      <c r="G7" s="105"/>
      <c r="H7" s="106"/>
      <c r="I7" s="105"/>
      <c r="J7" s="105">
        <v>44.853777186191465</v>
      </c>
      <c r="K7" s="105">
        <v>5.7561091762919085</v>
      </c>
      <c r="L7" s="105">
        <v>-36.092511326232554</v>
      </c>
      <c r="M7" s="105">
        <v>18.238931781382995</v>
      </c>
      <c r="N7" s="114">
        <v>9.1902163603766324E-2</v>
      </c>
      <c r="O7" s="105">
        <v>101.69997115144582</v>
      </c>
      <c r="P7" s="105">
        <v>-30.185546495134929</v>
      </c>
      <c r="Q7" s="106">
        <v>38.298746740533389</v>
      </c>
      <c r="T7" s="105">
        <f>(T6-T5)/T6*100</f>
        <v>-61.563806125508791</v>
      </c>
      <c r="U7" s="105">
        <f>(U6-U5)/U6*100</f>
        <v>-19.421248518076791</v>
      </c>
      <c r="V7" s="105">
        <f>(V6-V5)/V6*100</f>
        <v>19.719652123172018</v>
      </c>
      <c r="W7" s="105">
        <f>(W6-W5)/W6*100</f>
        <v>27.916973228451702</v>
      </c>
      <c r="X7" s="105"/>
      <c r="Y7" s="106"/>
      <c r="Z7" s="117"/>
      <c r="AA7" s="105">
        <f t="shared" ref="AA7:AH7" si="1">(AA6-AA5)/AA5*100</f>
        <v>30.46876145511062</v>
      </c>
      <c r="AB7" s="105">
        <f t="shared" si="1"/>
        <v>-4.7462285860393738</v>
      </c>
      <c r="AC7" s="105">
        <f t="shared" si="1"/>
        <v>-42.438981868898182</v>
      </c>
      <c r="AD7" s="105">
        <f t="shared" si="1"/>
        <v>6.4969604863221981</v>
      </c>
      <c r="AE7" s="114">
        <f t="shared" si="1"/>
        <v>-9.8479393451649759</v>
      </c>
      <c r="AF7" s="105">
        <f t="shared" si="1"/>
        <v>81.669721928171242</v>
      </c>
      <c r="AG7" s="105">
        <f t="shared" si="1"/>
        <v>-37.118620878369128</v>
      </c>
      <c r="AH7" s="106">
        <f t="shared" si="1"/>
        <v>24.56469239900127</v>
      </c>
    </row>
    <row r="8" spans="1:34" x14ac:dyDescent="0.25">
      <c r="A8" s="8" t="s">
        <v>58</v>
      </c>
      <c r="B8" s="8"/>
      <c r="C8" s="96">
        <v>1.0978785686666668</v>
      </c>
      <c r="D8" s="96">
        <v>1.27502187</v>
      </c>
      <c r="E8" s="96">
        <v>1.0158945873333334</v>
      </c>
      <c r="F8" s="96">
        <v>0.79652662733333346</v>
      </c>
      <c r="G8" s="167">
        <v>-16.13505412</v>
      </c>
      <c r="H8" s="168">
        <v>21.59357507</v>
      </c>
      <c r="I8" s="96">
        <v>1.9276000000000002</v>
      </c>
      <c r="J8" s="96">
        <v>0.82972000000000001</v>
      </c>
      <c r="K8" s="96">
        <v>0.14709333333333333</v>
      </c>
      <c r="L8" s="96">
        <v>0.17254</v>
      </c>
      <c r="M8" s="96">
        <v>0.53300666666666663</v>
      </c>
      <c r="N8" s="103">
        <v>0.42238000000000003</v>
      </c>
      <c r="O8" s="96">
        <v>0.57267999999999997</v>
      </c>
      <c r="P8" s="96">
        <v>0.22384666666666667</v>
      </c>
      <c r="Q8" s="104">
        <v>1.0158933333333335</v>
      </c>
      <c r="S8">
        <v>66.666666666666671</v>
      </c>
      <c r="T8" s="96">
        <v>16.468178529999999</v>
      </c>
      <c r="U8" s="96">
        <v>19.12532805</v>
      </c>
      <c r="V8" s="96">
        <v>15.238418810000001</v>
      </c>
      <c r="W8" s="96">
        <v>11.94789941</v>
      </c>
      <c r="X8" s="167">
        <v>-16.13505412</v>
      </c>
      <c r="Y8" s="168">
        <v>21.59357507</v>
      </c>
      <c r="Z8" s="96">
        <v>28.914000000000001</v>
      </c>
      <c r="AA8" s="96">
        <v>12.4458</v>
      </c>
      <c r="AB8" s="96">
        <v>2.2063999999999999</v>
      </c>
      <c r="AC8" s="96">
        <v>2.5880999999999998</v>
      </c>
      <c r="AD8" s="96">
        <v>7.9950999999999999</v>
      </c>
      <c r="AE8" s="103">
        <v>6.3357000000000001</v>
      </c>
      <c r="AF8" s="96">
        <v>8.5901999999999994</v>
      </c>
      <c r="AG8" s="96">
        <v>3.3576999999999999</v>
      </c>
      <c r="AH8" s="104">
        <v>15.2384</v>
      </c>
    </row>
    <row r="9" spans="1:34" x14ac:dyDescent="0.25">
      <c r="A9" s="8" t="s">
        <v>59</v>
      </c>
      <c r="B9" s="8"/>
      <c r="C9" s="96">
        <v>1.0718934745490982</v>
      </c>
      <c r="D9" s="96">
        <v>1.1712737440881762</v>
      </c>
      <c r="E9" s="96">
        <v>0.80064742785571152</v>
      </c>
      <c r="F9" s="96">
        <v>0.77720927134268536</v>
      </c>
      <c r="G9" s="96">
        <v>-9.2714688540000001</v>
      </c>
      <c r="H9" s="104">
        <v>2.9274004699999998</v>
      </c>
      <c r="I9" s="96">
        <v>1.7324729458917836</v>
      </c>
      <c r="J9" s="96">
        <v>0.66058316633266534</v>
      </c>
      <c r="K9" s="96">
        <v>0.12976953907815633</v>
      </c>
      <c r="L9" s="96">
        <v>0.15742484969939879</v>
      </c>
      <c r="M9" s="96">
        <v>0.49080961923847694</v>
      </c>
      <c r="N9" s="103">
        <v>0.39327054108216436</v>
      </c>
      <c r="O9" s="96">
        <v>0.56323647294589174</v>
      </c>
      <c r="P9" s="96">
        <v>0.21397394789579158</v>
      </c>
      <c r="Q9" s="104">
        <v>0.80064529058116229</v>
      </c>
      <c r="S9">
        <v>60.120240480961925</v>
      </c>
      <c r="T9" s="96">
        <v>17.829161460000002</v>
      </c>
      <c r="U9" s="96">
        <v>19.482186609999999</v>
      </c>
      <c r="V9" s="96">
        <v>13.317435550000001</v>
      </c>
      <c r="W9" s="96">
        <v>12.927580880000001</v>
      </c>
      <c r="X9" s="96">
        <v>-9.2714688540000001</v>
      </c>
      <c r="Y9" s="104">
        <v>2.9274004699999998</v>
      </c>
      <c r="Z9" s="96">
        <v>28.816800000000001</v>
      </c>
      <c r="AA9" s="96">
        <v>10.9877</v>
      </c>
      <c r="AB9" s="96">
        <v>2.1585000000000001</v>
      </c>
      <c r="AC9" s="96">
        <v>2.6185</v>
      </c>
      <c r="AD9" s="96">
        <v>8.1638000000000002</v>
      </c>
      <c r="AE9" s="103">
        <v>6.5414000000000003</v>
      </c>
      <c r="AF9" s="96">
        <v>9.3684999999999992</v>
      </c>
      <c r="AG9" s="96">
        <v>3.5590999999999999</v>
      </c>
      <c r="AH9" s="104">
        <v>13.317399999999999</v>
      </c>
    </row>
    <row r="10" spans="1:34" ht="15.75" thickBot="1" x14ac:dyDescent="0.3">
      <c r="A10" s="29" t="s">
        <v>20</v>
      </c>
      <c r="B10" s="14"/>
      <c r="C10" s="96">
        <v>-2.3668459207766936</v>
      </c>
      <c r="D10" s="96">
        <v>-8.1369683417135263</v>
      </c>
      <c r="E10" s="96">
        <v>-21.187942347702986</v>
      </c>
      <c r="F10" s="96">
        <v>-2.4251990238317669</v>
      </c>
      <c r="G10" s="105"/>
      <c r="H10" s="106"/>
      <c r="I10" s="96">
        <v>-10.122797992748319</v>
      </c>
      <c r="J10" s="96">
        <v>-20.384808570039851</v>
      </c>
      <c r="K10" s="96">
        <v>-11.777416326489073</v>
      </c>
      <c r="L10" s="96">
        <v>-8.7603745801560251</v>
      </c>
      <c r="M10" s="96">
        <v>-7.9167954299864354</v>
      </c>
      <c r="N10" s="103">
        <v>-6.8917701874699731</v>
      </c>
      <c r="O10" s="96">
        <v>-1.6490059115227047</v>
      </c>
      <c r="P10" s="96">
        <v>-4.4104828174978801</v>
      </c>
      <c r="Q10" s="106">
        <v>-21.188055447307907</v>
      </c>
      <c r="T10" s="105">
        <f>(T9-T8)/T9*100</f>
        <v>7.6334657300254332</v>
      </c>
      <c r="U10" s="105">
        <f>(U9-U8)/U9*100</f>
        <v>1.8317171842344815</v>
      </c>
      <c r="V10" s="105">
        <f>(V9-V8)/V9*100</f>
        <v>-14.424573355641279</v>
      </c>
      <c r="W10" s="105">
        <f>(W9-W8)/W9*100</f>
        <v>7.5782273504522903</v>
      </c>
      <c r="X10" s="105"/>
      <c r="Y10" s="106"/>
      <c r="Z10" s="105">
        <f t="shared" ref="Z10:AH10" si="2">(Z9-Z8)/Z8*100</f>
        <v>-0.33616932973646274</v>
      </c>
      <c r="AA10" s="105">
        <f t="shared" si="2"/>
        <v>-11.715598836555303</v>
      </c>
      <c r="AB10" s="105">
        <f t="shared" si="2"/>
        <v>-2.1709572153734515</v>
      </c>
      <c r="AC10" s="105">
        <f t="shared" si="2"/>
        <v>1.1746068544492179</v>
      </c>
      <c r="AD10" s="105">
        <f t="shared" si="2"/>
        <v>2.110042400970598</v>
      </c>
      <c r="AE10" s="114">
        <f t="shared" si="2"/>
        <v>3.246681503227745</v>
      </c>
      <c r="AF10" s="105">
        <f t="shared" si="2"/>
        <v>9.0603245558892667</v>
      </c>
      <c r="AG10" s="105">
        <f t="shared" si="2"/>
        <v>5.9981534979301321</v>
      </c>
      <c r="AH10" s="106">
        <f t="shared" si="2"/>
        <v>-12.606310373792532</v>
      </c>
    </row>
    <row r="11" spans="1:34" x14ac:dyDescent="0.25">
      <c r="A11" s="8" t="s">
        <v>60</v>
      </c>
      <c r="B11" s="8"/>
      <c r="C11" s="109">
        <v>1.5875575136131383</v>
      </c>
      <c r="D11" s="110">
        <v>1.1438672056427925</v>
      </c>
      <c r="E11" s="110">
        <v>1.2150746012831437</v>
      </c>
      <c r="F11" s="110">
        <v>1.0126496461089758</v>
      </c>
      <c r="G11" s="101">
        <v>27.950500000000002</v>
      </c>
      <c r="H11" s="168">
        <v>16.662400000000002</v>
      </c>
      <c r="I11" s="110">
        <v>2.3256387903162534</v>
      </c>
      <c r="J11" s="110">
        <v>0.73807252886581287</v>
      </c>
      <c r="K11" s="110">
        <v>0.13080641118061087</v>
      </c>
      <c r="L11" s="110">
        <v>0.21875716741747714</v>
      </c>
      <c r="M11" s="110">
        <v>0.3620292467538006</v>
      </c>
      <c r="N11" s="112">
        <v>0.43223938894169484</v>
      </c>
      <c r="O11" s="110">
        <v>0.7236385973170929</v>
      </c>
      <c r="P11" s="110">
        <v>0.28898480527997589</v>
      </c>
      <c r="Q11" s="111">
        <v>1.2150920969577483</v>
      </c>
      <c r="S11">
        <v>87.478373022544545</v>
      </c>
      <c r="T11" s="97">
        <v>18.148</v>
      </c>
      <c r="U11" s="97">
        <v>13.076000000000001</v>
      </c>
      <c r="V11" s="97">
        <v>13.89</v>
      </c>
      <c r="W11" s="97">
        <v>11.576000000000001</v>
      </c>
      <c r="X11" s="101">
        <v>27.950500000000002</v>
      </c>
      <c r="Y11" s="168">
        <v>16.662400000000002</v>
      </c>
      <c r="Z11" s="96">
        <v>26.5853</v>
      </c>
      <c r="AA11" s="96">
        <v>8.4372000000000007</v>
      </c>
      <c r="AB11" s="96">
        <v>1.4953000000000001</v>
      </c>
      <c r="AC11" s="96">
        <v>2.5007000000000001</v>
      </c>
      <c r="AD11" s="96">
        <v>4.1384999999999996</v>
      </c>
      <c r="AE11" s="103">
        <v>4.9410999999999996</v>
      </c>
      <c r="AF11" s="96">
        <v>8.2721999999999998</v>
      </c>
      <c r="AG11" s="96">
        <v>3.3035000000000001</v>
      </c>
      <c r="AH11" s="104">
        <v>13.8902</v>
      </c>
    </row>
    <row r="12" spans="1:34" x14ac:dyDescent="0.25">
      <c r="A12" s="8" t="s">
        <v>61</v>
      </c>
      <c r="B12" s="6"/>
      <c r="C12" s="107">
        <v>1.8919381731332523</v>
      </c>
      <c r="D12" s="108">
        <v>1.287130790301876</v>
      </c>
      <c r="E12" s="108">
        <v>1.7368149285318997</v>
      </c>
      <c r="F12" s="108">
        <v>1.5933646852879679</v>
      </c>
      <c r="G12" s="101">
        <v>31.968499999999999</v>
      </c>
      <c r="H12" s="102">
        <v>8.2588000000000008</v>
      </c>
      <c r="I12" s="108">
        <v>2.5222346487724341</v>
      </c>
      <c r="J12" s="108">
        <v>0.63026911704225064</v>
      </c>
      <c r="K12" s="108">
        <v>4.561590061704679E-2</v>
      </c>
      <c r="L12" s="108">
        <v>0.11677561123576252</v>
      </c>
      <c r="M12" s="108">
        <v>0.62412255226498359</v>
      </c>
      <c r="N12" s="103">
        <v>0.50061672618408304</v>
      </c>
      <c r="O12" s="108">
        <v>1.3013754997708538</v>
      </c>
      <c r="P12" s="108">
        <v>0.29200742458173495</v>
      </c>
      <c r="Q12" s="104">
        <v>1.7368240480642101</v>
      </c>
      <c r="S12">
        <v>91.195323104851639</v>
      </c>
      <c r="T12" s="97">
        <v>20.746000000000002</v>
      </c>
      <c r="U12" s="97">
        <v>14.114000000000001</v>
      </c>
      <c r="V12" s="97">
        <v>19.045000000000002</v>
      </c>
      <c r="W12" s="97">
        <v>17.472000000000001</v>
      </c>
      <c r="X12" s="101">
        <v>31.968499999999999</v>
      </c>
      <c r="Y12" s="102">
        <v>8.2588000000000008</v>
      </c>
      <c r="Z12" s="96">
        <v>27.657499999999999</v>
      </c>
      <c r="AA12" s="96">
        <v>6.9112</v>
      </c>
      <c r="AB12" s="96">
        <v>0.50019999999999998</v>
      </c>
      <c r="AC12" s="96">
        <v>1.2805</v>
      </c>
      <c r="AD12" s="96">
        <v>6.8437999999999999</v>
      </c>
      <c r="AE12" s="103">
        <v>5.4894999999999996</v>
      </c>
      <c r="AF12" s="96">
        <v>14.270200000000001</v>
      </c>
      <c r="AG12" s="96">
        <v>3.202</v>
      </c>
      <c r="AH12" s="104">
        <v>19.045100000000001</v>
      </c>
    </row>
    <row r="13" spans="1:34" ht="15.75" thickBot="1" x14ac:dyDescent="0.3">
      <c r="A13" s="29" t="s">
        <v>20</v>
      </c>
      <c r="B13" s="12"/>
      <c r="C13" s="107">
        <v>19.172890236106845</v>
      </c>
      <c r="D13" s="108">
        <v>12.524494447638002</v>
      </c>
      <c r="E13" s="108">
        <v>42.93895425826426</v>
      </c>
      <c r="F13" s="108">
        <v>57.346096096546582</v>
      </c>
      <c r="G13" s="105"/>
      <c r="H13" s="106"/>
      <c r="I13" s="108">
        <v>8.4534132847623535</v>
      </c>
      <c r="J13" s="108">
        <v>-14.60607292744284</v>
      </c>
      <c r="K13" s="108">
        <v>-65.127167540692881</v>
      </c>
      <c r="L13" s="108">
        <v>-46.61861249423319</v>
      </c>
      <c r="M13" s="108">
        <v>72.395616614207015</v>
      </c>
      <c r="N13" s="103">
        <v>15.819321189076474</v>
      </c>
      <c r="O13" s="108">
        <v>79.837767719374568</v>
      </c>
      <c r="P13" s="108">
        <v>1.0459440242301583</v>
      </c>
      <c r="Q13" s="104">
        <v>42.937646653511536</v>
      </c>
      <c r="T13" s="105">
        <f>(T12-T11)/T12*100</f>
        <v>12.522895979947954</v>
      </c>
      <c r="U13" s="105">
        <f>(U12-U11)/U12*100</f>
        <v>7.354399886637383</v>
      </c>
      <c r="V13" s="105">
        <f>(V12-V11)/V12*100</f>
        <v>27.067471777369391</v>
      </c>
      <c r="W13" s="105">
        <f>(W12-W11)/W12*100</f>
        <v>33.745421245421248</v>
      </c>
      <c r="X13" s="105"/>
      <c r="Y13" s="106"/>
      <c r="Z13" s="105">
        <f t="shared" ref="Z13:AH13" si="3">(Z12-Z11)/Z11*100</f>
        <v>4.033055861698001</v>
      </c>
      <c r="AA13" s="105">
        <f t="shared" si="3"/>
        <v>-18.086569003934962</v>
      </c>
      <c r="AB13" s="105">
        <f t="shared" si="3"/>
        <v>-66.548518691901293</v>
      </c>
      <c r="AC13" s="105">
        <f t="shared" si="3"/>
        <v>-48.794337585476072</v>
      </c>
      <c r="AD13" s="105">
        <f t="shared" si="3"/>
        <v>65.369095082759472</v>
      </c>
      <c r="AE13" s="114">
        <f t="shared" si="3"/>
        <v>11.098743194835158</v>
      </c>
      <c r="AF13" s="105">
        <f t="shared" si="3"/>
        <v>72.507918087086892</v>
      </c>
      <c r="AG13" s="105">
        <f t="shared" si="3"/>
        <v>-3.0724988648403251</v>
      </c>
      <c r="AH13" s="106">
        <f t="shared" si="3"/>
        <v>37.111776648284412</v>
      </c>
    </row>
    <row r="14" spans="1:34" x14ac:dyDescent="0.25">
      <c r="A14" s="8" t="s">
        <v>62</v>
      </c>
      <c r="B14" s="205" t="s">
        <v>63</v>
      </c>
      <c r="C14" s="109">
        <v>1.3903019077023142</v>
      </c>
      <c r="D14" s="110">
        <v>1.3573264874987014</v>
      </c>
      <c r="E14" s="110">
        <v>1.084891324698855</v>
      </c>
      <c r="F14" s="110">
        <v>0.91274023392999515</v>
      </c>
      <c r="G14" s="97">
        <v>2.3717999999999999</v>
      </c>
      <c r="H14" s="102">
        <v>15.869199999999999</v>
      </c>
      <c r="I14" s="110">
        <v>1.3903019077023142</v>
      </c>
      <c r="J14" s="110"/>
      <c r="K14" s="110">
        <v>0.10120059473958701</v>
      </c>
      <c r="L14" s="110">
        <v>0.17686463612737638</v>
      </c>
      <c r="M14" s="110">
        <v>0.67031270351543593</v>
      </c>
      <c r="N14" s="112">
        <v>0.40894855311630218</v>
      </c>
      <c r="O14" s="110">
        <v>0.45790250413916539</v>
      </c>
      <c r="P14" s="110">
        <v>0.45481833248482745</v>
      </c>
      <c r="Q14" s="111">
        <v>1.0848864753723544</v>
      </c>
      <c r="S14">
        <v>48.493265005312665</v>
      </c>
      <c r="T14" s="97">
        <v>28.67</v>
      </c>
      <c r="U14" s="97">
        <v>27.99</v>
      </c>
      <c r="V14" s="97">
        <v>22.372</v>
      </c>
      <c r="W14" s="97">
        <v>18.822000000000003</v>
      </c>
      <c r="X14" s="97">
        <v>2.3717999999999999</v>
      </c>
      <c r="Y14" s="102">
        <v>15.869199999999999</v>
      </c>
      <c r="Z14" s="96">
        <v>28.67</v>
      </c>
      <c r="AA14" s="117"/>
      <c r="AB14" s="96">
        <v>2.0869</v>
      </c>
      <c r="AC14" s="96">
        <v>3.6472000000000002</v>
      </c>
      <c r="AD14" s="96">
        <v>13.822800000000001</v>
      </c>
      <c r="AE14" s="103">
        <v>8.4330999999999996</v>
      </c>
      <c r="AF14" s="96">
        <v>9.4426000000000005</v>
      </c>
      <c r="AG14" s="96">
        <v>9.3789999999999996</v>
      </c>
      <c r="AH14" s="111">
        <v>22.3719</v>
      </c>
    </row>
    <row r="15" spans="1:34" x14ac:dyDescent="0.25">
      <c r="A15" s="8" t="s">
        <v>64</v>
      </c>
      <c r="B15" s="197"/>
      <c r="C15" s="107">
        <v>1.5328889644727839</v>
      </c>
      <c r="D15" s="108">
        <v>1.5109554921974577</v>
      </c>
      <c r="E15" s="108">
        <v>1.2882975160691486</v>
      </c>
      <c r="F15" s="108">
        <v>1.1280144494417661</v>
      </c>
      <c r="G15" s="97">
        <v>1.4316</v>
      </c>
      <c r="H15" s="102">
        <v>12.4419</v>
      </c>
      <c r="I15" s="108">
        <v>1.5360128226453302</v>
      </c>
      <c r="J15" s="108"/>
      <c r="K15" s="108">
        <v>6.4977272528465774E-2</v>
      </c>
      <c r="L15" s="108">
        <v>1.5808460670234968E-2</v>
      </c>
      <c r="M15" s="108">
        <v>1.02601102161775</v>
      </c>
      <c r="N15" s="103">
        <v>0.40415873738100722</v>
      </c>
      <c r="O15" s="108">
        <v>0.85900987047526778</v>
      </c>
      <c r="P15" s="108">
        <v>0.2689943535714982</v>
      </c>
      <c r="Q15" s="104">
        <v>1.2882924033716483</v>
      </c>
      <c r="S15">
        <v>51.12697500075992</v>
      </c>
      <c r="T15" s="97">
        <v>29.982000000000003</v>
      </c>
      <c r="U15" s="97">
        <v>29.552999999999997</v>
      </c>
      <c r="V15" s="97">
        <v>25.198</v>
      </c>
      <c r="W15" s="97">
        <v>22.063000000000002</v>
      </c>
      <c r="X15" s="97">
        <v>1.4316</v>
      </c>
      <c r="Y15" s="102">
        <v>12.4419</v>
      </c>
      <c r="Z15" s="96">
        <v>30.043099999999999</v>
      </c>
      <c r="AA15" s="117"/>
      <c r="AB15" s="96">
        <v>1.2708999999999999</v>
      </c>
      <c r="AC15" s="96">
        <v>0.30919999999999997</v>
      </c>
      <c r="AD15" s="96">
        <v>20.067900000000002</v>
      </c>
      <c r="AE15" s="103">
        <v>7.9050000000000002</v>
      </c>
      <c r="AF15" s="96">
        <v>16.801500000000001</v>
      </c>
      <c r="AG15" s="96">
        <v>5.2613000000000003</v>
      </c>
      <c r="AH15" s="104">
        <v>25.197900000000001</v>
      </c>
    </row>
    <row r="16" spans="1:34" ht="15.75" thickBot="1" x14ac:dyDescent="0.3">
      <c r="A16" s="29" t="s">
        <v>20</v>
      </c>
      <c r="B16" s="206"/>
      <c r="C16" s="113">
        <v>10.255834073199003</v>
      </c>
      <c r="D16" s="105">
        <v>11.318500457606612</v>
      </c>
      <c r="E16" s="105">
        <v>18.748992340477535</v>
      </c>
      <c r="F16" s="105">
        <v>23.585485498416404</v>
      </c>
      <c r="G16" s="105"/>
      <c r="H16" s="106"/>
      <c r="I16" s="105">
        <v>10.480523268778759</v>
      </c>
      <c r="J16" s="105"/>
      <c r="K16" s="105">
        <v>-35.793586296930748</v>
      </c>
      <c r="L16" s="105">
        <v>-91.061830665317473</v>
      </c>
      <c r="M16" s="105">
        <v>53.064534841256084</v>
      </c>
      <c r="N16" s="114">
        <v>-1.1712514199635218</v>
      </c>
      <c r="O16" s="105">
        <v>87.596674556337035</v>
      </c>
      <c r="P16" s="105">
        <v>-40.856747769622558</v>
      </c>
      <c r="Q16" s="106">
        <v>18.749051870102907</v>
      </c>
      <c r="T16" s="105">
        <f>(T15-T14)/T15*100</f>
        <v>4.3759589086785438</v>
      </c>
      <c r="U16" s="105">
        <f>(U15-U14)/U15*100</f>
        <v>5.2888031671911442</v>
      </c>
      <c r="V16" s="105">
        <f>(V15-V14)/V15*100</f>
        <v>11.21517580760378</v>
      </c>
      <c r="W16" s="105">
        <f>(W15-W14)/W15*100</f>
        <v>14.689752073607393</v>
      </c>
      <c r="X16" s="105"/>
      <c r="Y16" s="106"/>
      <c r="Z16" s="105">
        <f>(Z15-Z14)/Z14*100</f>
        <v>4.7893268224624945</v>
      </c>
      <c r="AA16" s="124"/>
      <c r="AB16" s="105">
        <f t="shared" ref="AB16:AH16" si="4">(AB15-AB14)/AB14*100</f>
        <v>-39.101058987014234</v>
      </c>
      <c r="AC16" s="105">
        <f t="shared" si="4"/>
        <v>-91.522263654310152</v>
      </c>
      <c r="AD16" s="105">
        <f t="shared" si="4"/>
        <v>45.179703099227368</v>
      </c>
      <c r="AE16" s="114">
        <f t="shared" si="4"/>
        <v>-6.2622285992102471</v>
      </c>
      <c r="AF16" s="105">
        <f t="shared" si="4"/>
        <v>77.93298455933747</v>
      </c>
      <c r="AG16" s="105">
        <f t="shared" si="4"/>
        <v>-43.903401215481388</v>
      </c>
      <c r="AH16" s="106">
        <f t="shared" si="4"/>
        <v>12.631917718209005</v>
      </c>
    </row>
    <row r="17" spans="1:35" x14ac:dyDescent="0.25">
      <c r="A17" s="25" t="s">
        <v>65</v>
      </c>
      <c r="B17" s="196" t="s">
        <v>187</v>
      </c>
      <c r="C17" s="107">
        <v>1.3601151359496191</v>
      </c>
      <c r="D17" s="108">
        <v>1.8910129096705961</v>
      </c>
      <c r="E17" s="108">
        <v>1.5411980668926062</v>
      </c>
      <c r="F17" s="108">
        <v>1.5770748366824654</v>
      </c>
      <c r="G17" s="101">
        <v>-39.030999999999999</v>
      </c>
      <c r="H17" s="102">
        <v>-2.3298000000000001</v>
      </c>
      <c r="I17" s="108">
        <v>2.4886323262976693</v>
      </c>
      <c r="J17" s="108">
        <v>1.1284845156943255</v>
      </c>
      <c r="K17" s="108">
        <v>0.36244686390800801</v>
      </c>
      <c r="L17" s="108"/>
      <c r="M17" s="108">
        <v>0.20293573935415107</v>
      </c>
      <c r="N17" s="103">
        <v>1.3256368413391821</v>
      </c>
      <c r="O17" s="108">
        <v>0.47837653532369173</v>
      </c>
      <c r="P17" s="108">
        <v>1.0987048362895186</v>
      </c>
      <c r="Q17" s="104">
        <v>1.5411719271696263</v>
      </c>
      <c r="S17">
        <v>65.349307449652571</v>
      </c>
      <c r="T17" s="97">
        <v>20.813000000000002</v>
      </c>
      <c r="U17" s="97">
        <v>28.936999999999998</v>
      </c>
      <c r="V17" s="97">
        <v>23.584</v>
      </c>
      <c r="W17" s="97">
        <v>24.132999999999999</v>
      </c>
      <c r="X17" s="101">
        <v>-39.030999999999999</v>
      </c>
      <c r="Y17" s="102">
        <v>-2.3298000000000001</v>
      </c>
      <c r="Z17" s="96">
        <v>38.082000000000001</v>
      </c>
      <c r="AA17" s="96">
        <v>17.2685</v>
      </c>
      <c r="AB17" s="96">
        <v>5.5462999999999996</v>
      </c>
      <c r="AC17" s="117"/>
      <c r="AD17" s="96">
        <v>3.1053999999999999</v>
      </c>
      <c r="AE17" s="103">
        <v>20.285399999999999</v>
      </c>
      <c r="AF17" s="96">
        <v>7.3202999999999996</v>
      </c>
      <c r="AG17" s="96">
        <v>16.812799999999999</v>
      </c>
      <c r="AH17" s="104">
        <v>23.583600000000001</v>
      </c>
    </row>
    <row r="18" spans="1:35" x14ac:dyDescent="0.25">
      <c r="A18" s="25" t="s">
        <v>66</v>
      </c>
      <c r="B18" s="197"/>
      <c r="C18" s="107">
        <v>1.409624922823941</v>
      </c>
      <c r="D18" s="108">
        <v>2.3071455189137686</v>
      </c>
      <c r="E18" s="108">
        <v>1.9980945391679077</v>
      </c>
      <c r="F18" s="108">
        <v>1.9745322575019613</v>
      </c>
      <c r="G18" s="101">
        <v>-63.6678</v>
      </c>
      <c r="H18" s="102">
        <v>1.1794</v>
      </c>
      <c r="I18" s="108">
        <v>2.732930960597427</v>
      </c>
      <c r="J18" s="108">
        <v>1.3232864569299971</v>
      </c>
      <c r="K18" s="108">
        <v>0.35351907531098353</v>
      </c>
      <c r="L18" s="108"/>
      <c r="M18" s="108">
        <v>0.61028267599149932</v>
      </c>
      <c r="N18" s="103">
        <v>1.3433241867677961</v>
      </c>
      <c r="O18" s="108">
        <v>0.8238835706728731</v>
      </c>
      <c r="P18" s="108">
        <v>1.1506552137769184</v>
      </c>
      <c r="Q18" s="104">
        <v>1.9981010661157377</v>
      </c>
      <c r="S18">
        <v>65.269478299020278</v>
      </c>
      <c r="T18" s="97">
        <v>21.597000000000001</v>
      </c>
      <c r="U18" s="97">
        <v>35.347999999999999</v>
      </c>
      <c r="V18" s="97">
        <v>30.613</v>
      </c>
      <c r="W18" s="97">
        <v>30.251999999999999</v>
      </c>
      <c r="X18" s="101">
        <v>-63.6678</v>
      </c>
      <c r="Y18" s="102">
        <v>1.1794</v>
      </c>
      <c r="Z18" s="96">
        <v>41.871499999999997</v>
      </c>
      <c r="AA18" s="96">
        <v>20.2742</v>
      </c>
      <c r="AB18" s="96">
        <v>5.4162999999999997</v>
      </c>
      <c r="AC18" s="117"/>
      <c r="AD18" s="96">
        <v>9.3501999999999992</v>
      </c>
      <c r="AE18" s="103">
        <v>20.581199999999999</v>
      </c>
      <c r="AF18" s="96">
        <v>12.6228</v>
      </c>
      <c r="AG18" s="96">
        <v>17.629300000000001</v>
      </c>
      <c r="AH18" s="104">
        <v>30.613099999999999</v>
      </c>
    </row>
    <row r="19" spans="1:35" ht="15.75" thickBot="1" x14ac:dyDescent="0.3">
      <c r="A19" s="27" t="s">
        <v>20</v>
      </c>
      <c r="B19" s="206"/>
      <c r="C19" s="113">
        <v>3.6401173375483911</v>
      </c>
      <c r="D19" s="105">
        <v>22.005804778755344</v>
      </c>
      <c r="E19" s="105">
        <v>29.645538888879162</v>
      </c>
      <c r="F19" s="105">
        <v>25.202191524124963</v>
      </c>
      <c r="G19" s="105"/>
      <c r="H19" s="106"/>
      <c r="I19" s="105">
        <v>9.8165820526489771</v>
      </c>
      <c r="J19" s="105">
        <v>17.262260892947683</v>
      </c>
      <c r="K19" s="105">
        <v>-2.4631992951359689</v>
      </c>
      <c r="L19" s="105"/>
      <c r="M19" s="105">
        <v>200.72705671940378</v>
      </c>
      <c r="N19" s="114">
        <v>1.3342527060990452</v>
      </c>
      <c r="O19" s="105">
        <v>72.224912769894814</v>
      </c>
      <c r="P19" s="105">
        <v>4.728328826042441</v>
      </c>
      <c r="Q19" s="106">
        <v>29.648161304447402</v>
      </c>
      <c r="R19" s="23"/>
      <c r="T19" s="105">
        <f>(T18-T17)/T17*100</f>
        <v>3.7668764714361163</v>
      </c>
      <c r="U19" s="105">
        <f>(U18-U17)/U17*100</f>
        <v>22.155026436741895</v>
      </c>
      <c r="V19" s="105">
        <f>(V18-V17)/V17*100</f>
        <v>29.804104477611943</v>
      </c>
      <c r="W19" s="105">
        <f>(W18-W17)/W17*100</f>
        <v>25.355322587328555</v>
      </c>
      <c r="X19" s="105"/>
      <c r="Y19" s="106"/>
      <c r="Z19" s="105">
        <f>(Z18-Z17)/Z17*100</f>
        <v>9.9508954361640587</v>
      </c>
      <c r="AA19" s="105">
        <f>(AA18-AA17)/AA17*100</f>
        <v>17.405680864000932</v>
      </c>
      <c r="AB19" s="105">
        <f>(AB18-AB17)/AB17*100</f>
        <v>-2.3439049456394336</v>
      </c>
      <c r="AC19" s="124"/>
      <c r="AD19" s="105">
        <f>(AD18-AD17)/AD17*100</f>
        <v>201.09486700586078</v>
      </c>
      <c r="AE19" s="114">
        <f>(AE18-AE17)/AE17*100</f>
        <v>1.4581916057854412</v>
      </c>
      <c r="AF19" s="105">
        <f>(AF18-AF17)/AF17*100</f>
        <v>72.435555919839359</v>
      </c>
      <c r="AG19" s="105">
        <f>(AG18-AG17)/AG17*100</f>
        <v>4.8564189189189273</v>
      </c>
      <c r="AH19" s="106">
        <f>(AH18-AH17)/AH17*100</f>
        <v>29.80673010057836</v>
      </c>
    </row>
    <row r="20" spans="1:35" x14ac:dyDescent="0.25">
      <c r="A20" s="8" t="s">
        <v>67</v>
      </c>
      <c r="B20" s="36"/>
      <c r="C20" s="107">
        <v>1.7626587095489692</v>
      </c>
      <c r="D20" s="108">
        <v>1.9187105390831782</v>
      </c>
      <c r="E20" s="108">
        <v>0.75894756074962721</v>
      </c>
      <c r="F20" s="108">
        <v>0.80989591804034755</v>
      </c>
      <c r="G20" s="96">
        <v>-8.8532072970000009</v>
      </c>
      <c r="H20" s="104">
        <f>(E20-F20)/E20*100</f>
        <v>-6.7130273454463252</v>
      </c>
      <c r="I20" s="108">
        <v>3.1852657554816965</v>
      </c>
      <c r="J20" s="108">
        <v>1.4226068736783999</v>
      </c>
      <c r="K20" s="108">
        <v>0.54959535148507066</v>
      </c>
      <c r="L20" s="108">
        <v>0.46655489271945733</v>
      </c>
      <c r="M20" s="108">
        <v>0.65415026016893651</v>
      </c>
      <c r="N20" s="103">
        <v>0.24841039366923554</v>
      </c>
      <c r="O20" s="108">
        <v>0.24199999999999999</v>
      </c>
      <c r="P20" s="108">
        <v>0.59556066737704882</v>
      </c>
      <c r="Q20" s="104">
        <v>0.75894794340856975</v>
      </c>
      <c r="R20" s="42"/>
      <c r="S20">
        <v>57.803465658926243</v>
      </c>
      <c r="T20" s="96">
        <v>30.493997020000002</v>
      </c>
      <c r="U20" s="96">
        <v>33.193693789999998</v>
      </c>
      <c r="V20" s="96">
        <v>13.129793380000001</v>
      </c>
      <c r="W20" s="96">
        <v>14.011200000000002</v>
      </c>
      <c r="X20" s="96">
        <v>-8.8532072970000009</v>
      </c>
      <c r="Y20" s="111">
        <f>(V20-W20)/V20*100</f>
        <v>-6.7130273454463278</v>
      </c>
      <c r="Z20" s="96">
        <v>55.1051</v>
      </c>
      <c r="AA20" s="96">
        <v>24.6111</v>
      </c>
      <c r="AB20" s="96">
        <v>9.5079999999999991</v>
      </c>
      <c r="AC20" s="96">
        <v>8.0714000000000006</v>
      </c>
      <c r="AD20" s="96">
        <v>11.316800000000001</v>
      </c>
      <c r="AE20" s="103">
        <v>4.2975000000000003</v>
      </c>
      <c r="AF20" s="96">
        <v>3.7080000000000002</v>
      </c>
      <c r="AG20" s="96">
        <v>10.3032</v>
      </c>
      <c r="AH20" s="104">
        <v>13.129799999999999</v>
      </c>
    </row>
    <row r="21" spans="1:35" x14ac:dyDescent="0.25">
      <c r="A21" s="8" t="s">
        <v>68</v>
      </c>
      <c r="B21" s="36"/>
      <c r="C21" s="107">
        <v>2.1870732521271057</v>
      </c>
      <c r="D21" s="108">
        <v>1.8340976292344611</v>
      </c>
      <c r="E21" s="108">
        <v>1.3862927345199112</v>
      </c>
      <c r="F21" s="108">
        <v>1.464292737422805</v>
      </c>
      <c r="G21" s="97">
        <v>16.1374</v>
      </c>
      <c r="H21" s="102">
        <v>-5.6269999999999998</v>
      </c>
      <c r="I21" s="108">
        <v>3.9103099016259431</v>
      </c>
      <c r="J21" s="108">
        <v>1.7232439665722805</v>
      </c>
      <c r="K21" s="108">
        <v>0.34947806178686797</v>
      </c>
      <c r="L21" s="108">
        <v>0.32184879246591797</v>
      </c>
      <c r="M21" s="108">
        <v>0.98230979265577723</v>
      </c>
      <c r="N21" s="103">
        <v>0.18049025061966983</v>
      </c>
      <c r="O21" s="108">
        <v>0.96899999999999997</v>
      </c>
      <c r="P21" s="108">
        <v>0.44599757757411668</v>
      </c>
      <c r="Q21" s="104">
        <v>1.3863000515933543</v>
      </c>
      <c r="S21">
        <v>73.170734430481957</v>
      </c>
      <c r="T21" s="97">
        <v>29.89</v>
      </c>
      <c r="U21" s="97">
        <v>25.066000000000003</v>
      </c>
      <c r="V21" s="97">
        <v>18.946000000000002</v>
      </c>
      <c r="W21" s="97">
        <v>20.012</v>
      </c>
      <c r="X21" s="97">
        <v>16.1374</v>
      </c>
      <c r="Y21" s="102">
        <v>-5.6269999999999998</v>
      </c>
      <c r="Z21" s="97">
        <v>53.440899999999999</v>
      </c>
      <c r="AA21" s="97">
        <v>23.550999999999998</v>
      </c>
      <c r="AB21" s="97">
        <v>4.7762000000000002</v>
      </c>
      <c r="AC21" s="97">
        <v>4.3986000000000001</v>
      </c>
      <c r="AD21" s="97">
        <v>13.424899999999999</v>
      </c>
      <c r="AE21" s="97">
        <v>2.4666999999999999</v>
      </c>
      <c r="AF21" s="97">
        <v>13.9168</v>
      </c>
      <c r="AG21" s="97">
        <v>6.0952999999999999</v>
      </c>
      <c r="AH21" s="102">
        <v>18.946100000000001</v>
      </c>
    </row>
    <row r="22" spans="1:35" ht="15.75" thickBot="1" x14ac:dyDescent="0.3">
      <c r="A22" s="35" t="s">
        <v>20</v>
      </c>
      <c r="B22" s="34"/>
      <c r="C22" s="107">
        <v>24.078089551818916</v>
      </c>
      <c r="D22" s="108">
        <v>-4.4098840406196942</v>
      </c>
      <c r="E22" s="108">
        <v>82.659884057159758</v>
      </c>
      <c r="F22" s="108">
        <v>80.80011329923218</v>
      </c>
      <c r="G22" s="105"/>
      <c r="H22" s="106"/>
      <c r="I22" s="108">
        <f>(I21-I20)/I20*100</f>
        <v>22.762438107290695</v>
      </c>
      <c r="J22" s="108">
        <v>21.132830049986374</v>
      </c>
      <c r="K22" s="108">
        <v>-36.411750783092046</v>
      </c>
      <c r="L22" s="108">
        <v>-31.015878841196109</v>
      </c>
      <c r="M22" s="108">
        <v>50.165772677686071</v>
      </c>
      <c r="N22" s="103">
        <v>-27.341908704513795</v>
      </c>
      <c r="O22" s="108">
        <f>(O21-O20)/O20*100</f>
        <v>300.41322314049586</v>
      </c>
      <c r="P22" s="108">
        <v>-25.112989825475481</v>
      </c>
      <c r="Q22" s="104">
        <v>82.660756068095409</v>
      </c>
      <c r="T22" s="105">
        <f>(T21-T20)/T20*100</f>
        <v>-1.9807079393490454</v>
      </c>
      <c r="U22" s="105">
        <f>(U21-U20)/U20*100</f>
        <v>-24.485656346111625</v>
      </c>
      <c r="V22" s="105">
        <f>(V21-V20)/V20*100</f>
        <v>44.297777213002881</v>
      </c>
      <c r="W22" s="105">
        <f>(W21-W20)/W20*100</f>
        <v>42.828594267443165</v>
      </c>
      <c r="X22" s="105"/>
      <c r="Y22" s="106"/>
      <c r="Z22" s="105">
        <f t="shared" ref="Z22:AH22" si="5">(Z21-Z20)/Z20*100</f>
        <v>-3.0200471462713994</v>
      </c>
      <c r="AA22" s="105">
        <f t="shared" si="5"/>
        <v>-4.3074060078582512</v>
      </c>
      <c r="AB22" s="105">
        <f t="shared" si="5"/>
        <v>-49.766512410601592</v>
      </c>
      <c r="AC22" s="105">
        <f t="shared" si="5"/>
        <v>-45.503877889833241</v>
      </c>
      <c r="AD22" s="105">
        <f t="shared" si="5"/>
        <v>18.628057401385536</v>
      </c>
      <c r="AE22" s="105">
        <f t="shared" si="5"/>
        <v>-42.601512507271678</v>
      </c>
      <c r="AF22" s="105">
        <f t="shared" si="5"/>
        <v>275.31823085221146</v>
      </c>
      <c r="AG22" s="105">
        <f t="shared" si="5"/>
        <v>-40.840709682428759</v>
      </c>
      <c r="AH22" s="106">
        <f t="shared" si="5"/>
        <v>44.298466084784252</v>
      </c>
    </row>
    <row r="23" spans="1:35" x14ac:dyDescent="0.25">
      <c r="A23" t="s">
        <v>69</v>
      </c>
      <c r="B23" s="6"/>
      <c r="C23" s="109">
        <v>2.5185791970089926</v>
      </c>
      <c r="D23" s="110">
        <v>2.4942717701640618</v>
      </c>
      <c r="E23" s="110">
        <v>0.86546225881386352</v>
      </c>
      <c r="F23" s="110">
        <v>1.1660508101429148</v>
      </c>
      <c r="G23" s="96">
        <v>0.96512458000000001</v>
      </c>
      <c r="H23" s="119">
        <v>-34.731560889999997</v>
      </c>
      <c r="I23" s="110">
        <v>3.6081959884693777</v>
      </c>
      <c r="J23" s="110">
        <v>1.0896176198917364</v>
      </c>
      <c r="K23" s="110">
        <v>0.52133332033509661</v>
      </c>
      <c r="L23" s="110">
        <v>0.61230390630225018</v>
      </c>
      <c r="M23" s="110">
        <v>1.1590587946309698</v>
      </c>
      <c r="N23" s="40"/>
      <c r="O23" s="110">
        <v>0.72746076617617916</v>
      </c>
      <c r="P23" s="110">
        <v>0.43858822435893791</v>
      </c>
      <c r="Q23" s="111">
        <v>0.86546076273546946</v>
      </c>
      <c r="S23">
        <v>98.039213241894203</v>
      </c>
      <c r="T23" s="96">
        <v>25.689508449999998</v>
      </c>
      <c r="U23" s="96">
        <v>25.441572689999997</v>
      </c>
      <c r="V23" s="96">
        <v>8.8277152599999997</v>
      </c>
      <c r="W23" s="96">
        <v>11.89371856</v>
      </c>
      <c r="X23" s="96">
        <v>0.96512458000000001</v>
      </c>
      <c r="Y23" s="119">
        <v>-34.731560889999997</v>
      </c>
      <c r="Z23" s="96">
        <v>36.803600000000003</v>
      </c>
      <c r="AA23" s="96">
        <v>11.114100000000001</v>
      </c>
      <c r="AB23" s="96">
        <v>5.3175999999999997</v>
      </c>
      <c r="AC23" s="96">
        <v>6.2454999999999998</v>
      </c>
      <c r="AD23" s="96">
        <v>11.8224</v>
      </c>
      <c r="AE23" s="103">
        <v>2.056</v>
      </c>
      <c r="AF23" s="96">
        <v>7.4200999999999997</v>
      </c>
      <c r="AG23" s="96">
        <v>4.4736000000000002</v>
      </c>
      <c r="AH23" s="104">
        <v>8.8277000000000001</v>
      </c>
      <c r="AI23">
        <f>S23*AE23/1000</f>
        <v>0.20156862242533449</v>
      </c>
    </row>
    <row r="24" spans="1:35" x14ac:dyDescent="0.25">
      <c r="A24" t="s">
        <v>70</v>
      </c>
      <c r="B24" s="6"/>
      <c r="C24" s="107">
        <v>3.9127005906955357</v>
      </c>
      <c r="D24" s="108">
        <v>2.3790281006287533</v>
      </c>
      <c r="E24" s="108">
        <v>1.4905205925716003</v>
      </c>
      <c r="F24" s="108">
        <v>1.7908984621111153</v>
      </c>
      <c r="G24" s="101">
        <v>39.197287250000002</v>
      </c>
      <c r="H24" s="168">
        <v>-20.152547439999999</v>
      </c>
      <c r="I24" s="108">
        <v>5.2352922024793953</v>
      </c>
      <c r="J24" s="108">
        <v>1.3225992233358925</v>
      </c>
      <c r="K24" s="108">
        <v>0.58357037300202996</v>
      </c>
      <c r="L24" s="108">
        <v>0.75927072675389851</v>
      </c>
      <c r="M24" s="108">
        <v>1.0361912929304089</v>
      </c>
      <c r="N24" s="9"/>
      <c r="O24" s="108">
        <v>1.4704439825707294</v>
      </c>
      <c r="P24" s="108">
        <v>0.32044764019048794</v>
      </c>
      <c r="Q24" s="104">
        <v>1.4905234041238307</v>
      </c>
      <c r="S24">
        <v>108.30324462298498</v>
      </c>
      <c r="T24" s="96">
        <v>36.127270280000005</v>
      </c>
      <c r="U24" s="96">
        <v>21.966360370000004</v>
      </c>
      <c r="V24" s="96">
        <v>13.762474039999999</v>
      </c>
      <c r="W24" s="96">
        <v>16.535963150000001</v>
      </c>
      <c r="X24" s="101">
        <v>39.197287250000002</v>
      </c>
      <c r="Y24" s="168">
        <v>-20.152547439999999</v>
      </c>
      <c r="Z24" s="96">
        <v>48.339199999999998</v>
      </c>
      <c r="AA24" s="96">
        <v>12.212</v>
      </c>
      <c r="AB24" s="96">
        <v>5.3883000000000001</v>
      </c>
      <c r="AC24" s="96">
        <v>7.0106000000000002</v>
      </c>
      <c r="AD24" s="96">
        <v>9.5675000000000008</v>
      </c>
      <c r="AE24" s="103">
        <v>3.3563000000000001</v>
      </c>
      <c r="AF24" s="96">
        <v>13.5771</v>
      </c>
      <c r="AG24" s="96">
        <v>2.9588000000000001</v>
      </c>
      <c r="AH24" s="104">
        <v>13.762499999999999</v>
      </c>
      <c r="AI24">
        <f>S24*AE24/1000</f>
        <v>0.3634981799281245</v>
      </c>
    </row>
    <row r="25" spans="1:35" ht="15.75" thickBot="1" x14ac:dyDescent="0.3">
      <c r="A25" s="29" t="s">
        <v>20</v>
      </c>
      <c r="B25" s="12"/>
      <c r="C25" s="113">
        <v>55.353486415760521</v>
      </c>
      <c r="D25" s="105">
        <v>-4.6203333138685325</v>
      </c>
      <c r="E25" s="105">
        <v>72.222483117218076</v>
      </c>
      <c r="F25" s="105">
        <v>53.586657333707201</v>
      </c>
      <c r="G25" s="105"/>
      <c r="H25" s="106"/>
      <c r="I25" s="105">
        <v>45.094452164175351</v>
      </c>
      <c r="J25" s="105">
        <v>21.381959982191269</v>
      </c>
      <c r="K25" s="105">
        <v>11.938053878261483</v>
      </c>
      <c r="L25" s="105">
        <v>24.002267328195263</v>
      </c>
      <c r="M25" s="105">
        <v>-10.600627187310238</v>
      </c>
      <c r="N25" s="114"/>
      <c r="O25" s="105">
        <v>102.13378520740895</v>
      </c>
      <c r="P25" s="105">
        <v>-26.936560903140993</v>
      </c>
      <c r="Q25" s="106">
        <v>72.223105691437723</v>
      </c>
      <c r="T25" s="105">
        <f>(T24-T23)/T23*100</f>
        <v>40.630445889282896</v>
      </c>
      <c r="U25" s="105">
        <f>(U24-U23)/U23*100</f>
        <v>-13.659581356642908</v>
      </c>
      <c r="V25" s="105">
        <f>(V24-V23)/V23*100</f>
        <v>55.90074707507047</v>
      </c>
      <c r="W25" s="105">
        <f>(W24-W23)/W23*100</f>
        <v>39.031061367236532</v>
      </c>
      <c r="X25" s="105"/>
      <c r="Y25" s="106"/>
      <c r="Z25" s="105">
        <f t="shared" ref="Z25:AH25" si="6">(Z24-Z23)/Z23*100</f>
        <v>31.343672901563963</v>
      </c>
      <c r="AA25" s="105">
        <f t="shared" si="6"/>
        <v>9.8784426989139842</v>
      </c>
      <c r="AB25" s="105">
        <f t="shared" si="6"/>
        <v>1.329547164134204</v>
      </c>
      <c r="AC25" s="105">
        <f t="shared" si="6"/>
        <v>12.250420302617892</v>
      </c>
      <c r="AD25" s="105">
        <f t="shared" si="6"/>
        <v>-19.07311544187305</v>
      </c>
      <c r="AE25" s="114">
        <f t="shared" si="6"/>
        <v>63.244163424124508</v>
      </c>
      <c r="AF25" s="105">
        <f t="shared" si="6"/>
        <v>82.977318364981613</v>
      </c>
      <c r="AG25" s="105">
        <f t="shared" si="6"/>
        <v>-33.860872675250356</v>
      </c>
      <c r="AH25" s="106">
        <f t="shared" si="6"/>
        <v>55.901310647167421</v>
      </c>
    </row>
    <row r="26" spans="1:35" x14ac:dyDescent="0.25">
      <c r="A26" t="s">
        <v>184</v>
      </c>
      <c r="B26" s="207" t="s">
        <v>185</v>
      </c>
      <c r="C26" s="107">
        <v>2.0285176210775138</v>
      </c>
      <c r="D26" s="108">
        <v>3.0474308868025943</v>
      </c>
      <c r="E26" s="108">
        <v>1.6642328563048658</v>
      </c>
      <c r="F26" s="108">
        <v>1.7595608118931148</v>
      </c>
      <c r="G26" s="101">
        <v>-50.229500000000002</v>
      </c>
      <c r="H26" s="116">
        <v>-5.7302</v>
      </c>
      <c r="I26" s="108">
        <v>3.6701086150013142</v>
      </c>
      <c r="J26" s="108">
        <v>1.6415909939238003</v>
      </c>
      <c r="K26" s="108">
        <v>0.62303712283968904</v>
      </c>
      <c r="L26" s="108"/>
      <c r="M26" s="108">
        <v>0.87218598476279652</v>
      </c>
      <c r="N26" s="103">
        <v>1.2592540130867274</v>
      </c>
      <c r="O26" s="108">
        <v>1.2286053094420999</v>
      </c>
      <c r="P26" s="108">
        <v>0.53097906931271788</v>
      </c>
      <c r="Q26" s="104">
        <v>1.6642151811585886</v>
      </c>
      <c r="S26">
        <v>58.917154257261508</v>
      </c>
      <c r="T26" s="97">
        <v>34.43</v>
      </c>
      <c r="U26" s="97">
        <v>51.723999999999997</v>
      </c>
      <c r="V26" s="97">
        <v>28.247</v>
      </c>
      <c r="W26" s="97">
        <v>29.864999999999998</v>
      </c>
      <c r="X26" s="101">
        <v>-50.229500000000002</v>
      </c>
      <c r="Y26" s="116">
        <v>-5.7302</v>
      </c>
      <c r="Z26" s="96">
        <v>62.292700000000004</v>
      </c>
      <c r="AA26" s="96">
        <v>27.8627</v>
      </c>
      <c r="AB26" s="96">
        <v>10.5748</v>
      </c>
      <c r="AC26" s="117"/>
      <c r="AD26" s="96">
        <v>14.803599999999999</v>
      </c>
      <c r="AE26" s="96">
        <v>21.3733</v>
      </c>
      <c r="AF26" s="96">
        <v>20.853100000000001</v>
      </c>
      <c r="AG26" s="96">
        <v>9.0122999999999998</v>
      </c>
      <c r="AH26" s="104">
        <v>28.246700000000001</v>
      </c>
    </row>
    <row r="27" spans="1:35" x14ac:dyDescent="0.25">
      <c r="A27" t="s">
        <v>186</v>
      </c>
      <c r="B27" s="208"/>
      <c r="C27" s="107">
        <v>1.5293657232854485</v>
      </c>
      <c r="D27" s="108">
        <v>3.0282378020649388</v>
      </c>
      <c r="E27" s="108">
        <v>2.0477067722999092</v>
      </c>
      <c r="F27" s="108">
        <v>1.841785583607757</v>
      </c>
      <c r="G27" s="101">
        <v>-98.005700000000004</v>
      </c>
      <c r="H27" s="102">
        <v>10.057</v>
      </c>
      <c r="I27" s="108">
        <v>3.0143451216214068</v>
      </c>
      <c r="J27" s="108">
        <v>1.4849793983359583</v>
      </c>
      <c r="K27" s="108">
        <v>0.59367409599261844</v>
      </c>
      <c r="L27" s="108"/>
      <c r="M27" s="108">
        <v>0.81000588618972624</v>
      </c>
      <c r="N27" s="103">
        <v>1.3714249351723697</v>
      </c>
      <c r="O27" s="108">
        <v>1.2645902734691929</v>
      </c>
      <c r="P27" s="108">
        <v>0.57719531013856407</v>
      </c>
      <c r="Q27" s="104">
        <v>2.0477271353346378</v>
      </c>
      <c r="S27">
        <v>50.907586821298459</v>
      </c>
      <c r="T27" s="97">
        <v>30.042000000000002</v>
      </c>
      <c r="U27" s="97">
        <v>59.484999999999999</v>
      </c>
      <c r="V27" s="97">
        <v>40.223999999999997</v>
      </c>
      <c r="W27" s="97">
        <v>36.179000000000002</v>
      </c>
      <c r="X27" s="101">
        <v>-98.005700000000004</v>
      </c>
      <c r="Y27" s="102">
        <v>10.057</v>
      </c>
      <c r="Z27" s="96">
        <v>59.2121</v>
      </c>
      <c r="AA27" s="96">
        <v>29.170100000000001</v>
      </c>
      <c r="AB27" s="96">
        <v>11.661799999999999</v>
      </c>
      <c r="AC27" s="117"/>
      <c r="AD27" s="96">
        <v>15.911300000000001</v>
      </c>
      <c r="AE27" s="96">
        <v>26.939499999999999</v>
      </c>
      <c r="AF27" s="96">
        <v>24.840900000000001</v>
      </c>
      <c r="AG27" s="96">
        <v>11.338100000000001</v>
      </c>
      <c r="AH27" s="104">
        <v>40.224400000000003</v>
      </c>
    </row>
    <row r="28" spans="1:35" ht="15.75" thickBot="1" x14ac:dyDescent="0.3">
      <c r="A28" s="28" t="s">
        <v>20</v>
      </c>
      <c r="B28" s="209"/>
      <c r="C28" s="113">
        <v>-24.606732157787437</v>
      </c>
      <c r="D28" s="105">
        <v>-0.62981197771455355</v>
      </c>
      <c r="E28" s="105">
        <v>23.04208299591436</v>
      </c>
      <c r="F28" s="105">
        <v>4.673028130592229</v>
      </c>
      <c r="G28" s="105"/>
      <c r="H28" s="106"/>
      <c r="I28" s="105">
        <v>-17.867686277717223</v>
      </c>
      <c r="J28" s="105">
        <v>-9.5402323823367432</v>
      </c>
      <c r="K28" s="105">
        <v>-4.7128856003377937</v>
      </c>
      <c r="L28" s="105"/>
      <c r="M28" s="105">
        <v>-7.1292246905321512</v>
      </c>
      <c r="N28" s="114">
        <v>8.9077279817981374</v>
      </c>
      <c r="O28" s="105">
        <v>2.9289279275077811</v>
      </c>
      <c r="P28" s="105">
        <v>8.7039665962100905</v>
      </c>
      <c r="Q28" s="106">
        <v>23.044613371995379</v>
      </c>
      <c r="T28" s="105">
        <f>(T27-T26)/T26*100</f>
        <v>-12.744699390066797</v>
      </c>
      <c r="U28" s="105">
        <f>(U27-U26)/U26*100</f>
        <v>15.004640012373372</v>
      </c>
      <c r="V28" s="105">
        <f>(V27-V26)/V26*100</f>
        <v>42.40096293411689</v>
      </c>
      <c r="W28" s="105">
        <f>(W27-W26)/W26*100</f>
        <v>21.141804788213641</v>
      </c>
      <c r="X28" s="105"/>
      <c r="Y28" s="106"/>
      <c r="Z28" s="105">
        <f>(Z27-Z26)/Z26*100</f>
        <v>-4.9453627792662758</v>
      </c>
      <c r="AA28" s="105">
        <f>(AA27-AA26)/AA26*100</f>
        <v>4.6922947165924374</v>
      </c>
      <c r="AB28" s="105">
        <f>(AB27-AB26)/AB26*100</f>
        <v>10.279154215682563</v>
      </c>
      <c r="AC28" s="124"/>
      <c r="AD28" s="105">
        <f>(AD27-AD26)/AD26*100</f>
        <v>7.4826393579940103</v>
      </c>
      <c r="AE28" s="105">
        <f>(AE27-AE26)/AE26*100</f>
        <v>26.042772992471907</v>
      </c>
      <c r="AF28" s="105">
        <f>(AF27-AF26)/AF26*100</f>
        <v>19.123295816928898</v>
      </c>
      <c r="AG28" s="105">
        <f>(AG27-AG26)/AG26*100</f>
        <v>25.806952720171335</v>
      </c>
      <c r="AH28" s="106">
        <f>(AH27-AH26)/AH26*100</f>
        <v>42.403891428025226</v>
      </c>
    </row>
    <row r="29" spans="1:35" x14ac:dyDescent="0.25">
      <c r="A29" s="41"/>
      <c r="T29" s="96"/>
      <c r="U29" s="96"/>
      <c r="V29" s="96"/>
      <c r="W29" s="96"/>
      <c r="X29" s="96"/>
      <c r="Y29" s="96"/>
      <c r="Z29" s="96"/>
      <c r="AA29" s="96"/>
      <c r="AB29" s="96"/>
      <c r="AC29" s="96"/>
      <c r="AD29" s="96"/>
      <c r="AE29" s="96"/>
      <c r="AF29" s="96"/>
      <c r="AG29" s="96"/>
      <c r="AH29" s="96"/>
    </row>
    <row r="30" spans="1:35" x14ac:dyDescent="0.25">
      <c r="T30" s="96"/>
      <c r="U30" s="96"/>
      <c r="V30" s="96"/>
      <c r="W30" s="96"/>
      <c r="X30" s="96"/>
      <c r="Y30" s="96"/>
      <c r="Z30" s="96"/>
      <c r="AA30" s="96"/>
      <c r="AB30" s="96"/>
      <c r="AC30" s="96"/>
      <c r="AD30" s="96"/>
      <c r="AE30" s="96"/>
      <c r="AF30" s="96"/>
      <c r="AG30" s="96"/>
      <c r="AH30" s="96"/>
    </row>
    <row r="31" spans="1:35" ht="15.75" thickBot="1" x14ac:dyDescent="0.3">
      <c r="T31" s="96"/>
      <c r="U31" s="96"/>
      <c r="V31" s="96"/>
      <c r="W31" s="96"/>
      <c r="X31" s="96"/>
      <c r="Y31" s="96"/>
      <c r="Z31" s="96"/>
      <c r="AA31" s="96"/>
      <c r="AB31" s="96"/>
      <c r="AC31" s="96"/>
      <c r="AD31" s="96"/>
      <c r="AE31" s="96"/>
      <c r="AF31" s="96"/>
      <c r="AG31" s="96"/>
      <c r="AH31" s="96"/>
    </row>
    <row r="32" spans="1:35" x14ac:dyDescent="0.25">
      <c r="B32" s="16" t="s">
        <v>35</v>
      </c>
      <c r="C32" s="109">
        <f>AVERAGE(C26,C23,C20,C14,C11,C8,C5,C2)</f>
        <v>1.7345685331102199</v>
      </c>
      <c r="D32" s="110">
        <f t="shared" ref="D32:Q32" si="7">AVERAGE(D26,D23,D20,D14,D11,D8,D5,D2)</f>
        <v>1.8106064778365243</v>
      </c>
      <c r="E32" s="110">
        <f t="shared" si="7"/>
        <v>1.0144392248515837</v>
      </c>
      <c r="F32" s="110">
        <f t="shared" si="7"/>
        <v>0.98850750181597502</v>
      </c>
      <c r="G32" s="110">
        <f t="shared" si="7"/>
        <v>-4.1142742992177617</v>
      </c>
      <c r="H32" s="112">
        <f t="shared" si="7"/>
        <v>1.9800991515002266</v>
      </c>
      <c r="I32" s="110">
        <f t="shared" si="7"/>
        <v>2.6981755098778599</v>
      </c>
      <c r="J32" s="110">
        <f t="shared" si="7"/>
        <v>1.2364685174060901</v>
      </c>
      <c r="K32" s="110">
        <f t="shared" si="7"/>
        <v>0.42179353089913141</v>
      </c>
      <c r="L32" s="110">
        <f t="shared" si="7"/>
        <v>0.37228344319989376</v>
      </c>
      <c r="M32" s="110">
        <f t="shared" si="7"/>
        <v>0.58719521395946261</v>
      </c>
      <c r="N32" s="110">
        <f t="shared" si="7"/>
        <v>0.47320319245514719</v>
      </c>
      <c r="O32" s="110">
        <f t="shared" si="7"/>
        <v>0.62034330453149145</v>
      </c>
      <c r="P32" s="110">
        <f t="shared" si="7"/>
        <v>0.37162073186208633</v>
      </c>
      <c r="Q32" s="111">
        <f t="shared" si="7"/>
        <v>1.0144362816410453</v>
      </c>
      <c r="S32" s="16" t="s">
        <v>35</v>
      </c>
      <c r="T32" s="110">
        <f>AVERAGE(T23,T20,T17,T14,T11,T8,T5,T2)</f>
        <v>23.443003390411118</v>
      </c>
      <c r="U32" s="110">
        <f t="shared" ref="U32:AH32" si="8">AVERAGE(U23,U20,U17,U14,U11,U8,U5,U2)</f>
        <v>23.951170732615864</v>
      </c>
      <c r="V32" s="110">
        <f t="shared" si="8"/>
        <v>14.528173147867269</v>
      </c>
      <c r="W32" s="110">
        <f t="shared" si="8"/>
        <v>13.863923921956449</v>
      </c>
      <c r="X32" s="110">
        <f t="shared" si="8"/>
        <v>-2.7144617992177622</v>
      </c>
      <c r="Y32" s="111">
        <f t="shared" si="8"/>
        <v>2.4051491515002263</v>
      </c>
      <c r="Z32" s="110">
        <f t="shared" si="8"/>
        <v>36.988675000000001</v>
      </c>
      <c r="AA32" s="110">
        <f t="shared" si="8"/>
        <v>15.480614285714287</v>
      </c>
      <c r="AB32" s="110">
        <f t="shared" si="8"/>
        <v>5.5104499999999996</v>
      </c>
      <c r="AC32" s="110">
        <f t="shared" si="8"/>
        <v>5.1779428571428578</v>
      </c>
      <c r="AD32" s="110">
        <f t="shared" si="8"/>
        <v>7.2457000000000011</v>
      </c>
      <c r="AE32" s="112">
        <f t="shared" si="8"/>
        <v>6.6643125000000012</v>
      </c>
      <c r="AF32" s="110">
        <f t="shared" si="8"/>
        <v>7.1832875000000005</v>
      </c>
      <c r="AG32" s="110">
        <f t="shared" si="8"/>
        <v>6.6805750000000002</v>
      </c>
      <c r="AH32" s="111">
        <f t="shared" si="8"/>
        <v>14.528112500000001</v>
      </c>
    </row>
    <row r="33" spans="2:34" x14ac:dyDescent="0.25">
      <c r="B33" s="6" t="s">
        <v>36</v>
      </c>
      <c r="C33" s="107">
        <f t="shared" ref="C33:Q34" si="9">AVERAGE(C27,C24,C21,C15,C12,C9,C6,C3)</f>
        <v>1.8734355689083486</v>
      </c>
      <c r="D33" s="108">
        <f t="shared" si="9"/>
        <v>1.7897936795121898</v>
      </c>
      <c r="E33" s="108">
        <f t="shared" si="9"/>
        <v>1.2972372923449305</v>
      </c>
      <c r="F33" s="108">
        <f t="shared" si="9"/>
        <v>1.2949858023931753</v>
      </c>
      <c r="G33" s="108">
        <f t="shared" si="9"/>
        <v>-2.8169352005000006</v>
      </c>
      <c r="H33" s="103">
        <f t="shared" si="9"/>
        <v>-0.68139337124999977</v>
      </c>
      <c r="I33" s="108">
        <f t="shared" si="9"/>
        <v>2.9464160963427735</v>
      </c>
      <c r="J33" s="108">
        <f t="shared" si="9"/>
        <v>1.2654811666795356</v>
      </c>
      <c r="K33" s="108">
        <f t="shared" si="9"/>
        <v>0.38926489402840025</v>
      </c>
      <c r="L33" s="108">
        <f t="shared" si="9"/>
        <v>0.29287449835199825</v>
      </c>
      <c r="M33" s="108">
        <f t="shared" si="9"/>
        <v>0.68592287932064178</v>
      </c>
      <c r="N33" s="108">
        <f t="shared" si="9"/>
        <v>0.4876632323010614</v>
      </c>
      <c r="O33" s="108">
        <f t="shared" si="9"/>
        <v>0.98118004791521041</v>
      </c>
      <c r="P33" s="108">
        <f t="shared" si="9"/>
        <v>0.30765001347332344</v>
      </c>
      <c r="Q33" s="104">
        <f t="shared" si="9"/>
        <v>1.2972457115547296</v>
      </c>
      <c r="S33" s="6" t="s">
        <v>36</v>
      </c>
      <c r="T33" s="108">
        <f t="shared" ref="T33:AH34" si="10">AVERAGE(T24,T21,T18,T15,T12,T9,T6,T3)</f>
        <v>23.819303967499998</v>
      </c>
      <c r="U33" s="108">
        <f t="shared" si="10"/>
        <v>22.960193372500004</v>
      </c>
      <c r="V33" s="108">
        <f t="shared" si="10"/>
        <v>17.595113698750001</v>
      </c>
      <c r="W33" s="108">
        <f t="shared" si="10"/>
        <v>17.610443003749999</v>
      </c>
      <c r="X33" s="108">
        <f t="shared" si="10"/>
        <v>1.4753022994999998</v>
      </c>
      <c r="Y33" s="104">
        <f t="shared" si="10"/>
        <v>-1.7910933712499995</v>
      </c>
      <c r="Z33" s="108">
        <f t="shared" si="10"/>
        <v>36.778042857142857</v>
      </c>
      <c r="AA33" s="108">
        <f t="shared" si="10"/>
        <v>15.534771428571428</v>
      </c>
      <c r="AB33" s="108">
        <f t="shared" si="10"/>
        <v>4.5574625000000006</v>
      </c>
      <c r="AC33" s="108">
        <f t="shared" si="10"/>
        <v>3.4236285714285715</v>
      </c>
      <c r="AD33" s="108">
        <f t="shared" si="10"/>
        <v>9.2008249999999983</v>
      </c>
      <c r="AE33" s="103">
        <f t="shared" si="10"/>
        <v>6.6258124999999994</v>
      </c>
      <c r="AF33" s="108">
        <f t="shared" si="10"/>
        <v>12.261262500000001</v>
      </c>
      <c r="AG33" s="108">
        <f t="shared" si="10"/>
        <v>5.3492624999999991</v>
      </c>
      <c r="AH33" s="104">
        <f t="shared" si="10"/>
        <v>17.595187499999998</v>
      </c>
    </row>
    <row r="34" spans="2:34" x14ac:dyDescent="0.25">
      <c r="B34" s="56" t="s">
        <v>37</v>
      </c>
      <c r="C34" s="130">
        <f t="shared" si="9"/>
        <v>9.721819489915017</v>
      </c>
      <c r="D34" s="121">
        <f t="shared" si="9"/>
        <v>0.425028783621201</v>
      </c>
      <c r="E34" s="121">
        <f t="shared" si="9"/>
        <v>28.187620601838699</v>
      </c>
      <c r="F34" s="121">
        <f t="shared" si="9"/>
        <v>31.072220765218216</v>
      </c>
      <c r="G34" s="121"/>
      <c r="H34" s="123"/>
      <c r="I34" s="121">
        <f t="shared" si="9"/>
        <v>7.8560201300403856</v>
      </c>
      <c r="J34" s="121">
        <f t="shared" si="9"/>
        <v>3.8146080670609166</v>
      </c>
      <c r="K34" s="121">
        <f t="shared" si="9"/>
        <v>-17.972689498467027</v>
      </c>
      <c r="L34" s="121">
        <f t="shared" si="9"/>
        <v>-26.477372607007318</v>
      </c>
      <c r="M34" s="121">
        <f t="shared" si="9"/>
        <v>22.55837234911959</v>
      </c>
      <c r="N34" s="121">
        <f t="shared" si="9"/>
        <v>-3.123000473114677E-2</v>
      </c>
      <c r="O34" s="121">
        <f>AVERAGE(O28,O25,O22,O16,O13,O10,O7,O4)</f>
        <v>80.571862860433569</v>
      </c>
      <c r="P34" s="121">
        <f t="shared" si="9"/>
        <v>-15.258929709798107</v>
      </c>
      <c r="Q34" s="122">
        <f t="shared" si="9"/>
        <v>28.188736516982054</v>
      </c>
      <c r="S34" s="56" t="s">
        <v>37</v>
      </c>
      <c r="T34" s="121">
        <f t="shared" si="10"/>
        <v>3.0706182232173127</v>
      </c>
      <c r="U34" s="121">
        <f t="shared" si="10"/>
        <v>-2.4246657818802273</v>
      </c>
      <c r="V34" s="121">
        <f t="shared" si="10"/>
        <v>15.518582348169534</v>
      </c>
      <c r="W34" s="121">
        <f t="shared" si="10"/>
        <v>19.705629879112841</v>
      </c>
      <c r="X34" s="121"/>
      <c r="Y34" s="122"/>
      <c r="Z34" s="121">
        <f t="shared" si="10"/>
        <v>5.7646789086168813</v>
      </c>
      <c r="AA34" s="121">
        <f t="shared" si="10"/>
        <v>0.74878515360411213</v>
      </c>
      <c r="AB34" s="121">
        <f t="shared" si="10"/>
        <v>-21.68704707465924</v>
      </c>
      <c r="AC34" s="121">
        <f t="shared" si="10"/>
        <v>-30.492209176579621</v>
      </c>
      <c r="AD34" s="121">
        <f t="shared" si="10"/>
        <v>41.127578387437417</v>
      </c>
      <c r="AE34" s="123">
        <f t="shared" si="10"/>
        <v>3.465070478082124</v>
      </c>
      <c r="AF34" s="121">
        <f t="shared" si="10"/>
        <v>80.197513764936431</v>
      </c>
      <c r="AG34" s="121">
        <f t="shared" si="10"/>
        <v>-19.355815750295157</v>
      </c>
      <c r="AH34" s="122">
        <f t="shared" si="10"/>
        <v>19.82919763393404</v>
      </c>
    </row>
    <row r="35" spans="2:34" x14ac:dyDescent="0.25">
      <c r="B35" s="6" t="s">
        <v>38</v>
      </c>
      <c r="C35" s="107">
        <f>_xlfn.STDEV.S(C26,C23,C20,C17,C14,C11,C8,C5,C2)</f>
        <v>0.63174259154233947</v>
      </c>
      <c r="D35" s="108">
        <f t="shared" ref="D35:Q35" si="11">_xlfn.STDEV.S(D26,D23,D20,D17,D14,D11,D8,D5,D2)</f>
        <v>0.7486623620121976</v>
      </c>
      <c r="E35" s="108">
        <f t="shared" si="11"/>
        <v>0.34499285844632116</v>
      </c>
      <c r="F35" s="108">
        <f t="shared" si="11"/>
        <v>0.3831010104582524</v>
      </c>
      <c r="G35" s="108">
        <f t="shared" si="11"/>
        <v>24.167444376517881</v>
      </c>
      <c r="H35" s="103">
        <f t="shared" si="11"/>
        <v>17.076475232960032</v>
      </c>
      <c r="I35" s="108">
        <f t="shared" si="11"/>
        <v>0.80163101745916099</v>
      </c>
      <c r="J35" s="108">
        <f t="shared" si="11"/>
        <v>0.43012372967491003</v>
      </c>
      <c r="K35" s="108">
        <f t="shared" si="11"/>
        <v>0.31877085216359075</v>
      </c>
      <c r="L35" s="108">
        <f t="shared" si="11"/>
        <v>0.25495788312873235</v>
      </c>
      <c r="M35" s="108">
        <f t="shared" si="11"/>
        <v>0.33057340274283226</v>
      </c>
      <c r="N35" s="108">
        <f t="shared" si="11"/>
        <v>0.4473902412256181</v>
      </c>
      <c r="O35" s="108">
        <f t="shared" si="11"/>
        <v>0.27620779415162733</v>
      </c>
      <c r="P35" s="108">
        <f t="shared" si="11"/>
        <v>0.28405010101009293</v>
      </c>
      <c r="Q35" s="104">
        <f t="shared" si="11"/>
        <v>0.34498819404830861</v>
      </c>
      <c r="S35" s="6" t="s">
        <v>38</v>
      </c>
      <c r="T35" s="108">
        <f>_xlfn.STDEV.S(T23,T20,T17,T14,T11,T8,T5,T2)</f>
        <v>9.5319039926907863</v>
      </c>
      <c r="U35" s="108">
        <f t="shared" ref="U35:AH35" si="12">_xlfn.STDEV.S(U23,U20,U17,U14,U11,U8,U5,U2)</f>
        <v>9.7318427298594372</v>
      </c>
      <c r="V35" s="108">
        <f t="shared" si="12"/>
        <v>5.8724646839781762</v>
      </c>
      <c r="W35" s="108">
        <f t="shared" si="12"/>
        <v>5.3667829299751588</v>
      </c>
      <c r="X35" s="108">
        <f t="shared" si="12"/>
        <v>19.514453590134693</v>
      </c>
      <c r="Y35" s="104">
        <f t="shared" si="12"/>
        <v>18.02386478514109</v>
      </c>
      <c r="Z35" s="108">
        <f t="shared" si="12"/>
        <v>11.195944452440919</v>
      </c>
      <c r="AA35" s="108">
        <f t="shared" si="12"/>
        <v>5.7247714351545813</v>
      </c>
      <c r="AB35" s="108">
        <f t="shared" si="12"/>
        <v>4.8976409962931573</v>
      </c>
      <c r="AC35" s="108">
        <f t="shared" si="12"/>
        <v>3.589279059856421</v>
      </c>
      <c r="AD35" s="108">
        <f t="shared" si="12"/>
        <v>4.6056891976895562</v>
      </c>
      <c r="AE35" s="103">
        <f t="shared" si="12"/>
        <v>5.8784330806863077</v>
      </c>
      <c r="AF35" s="108">
        <f t="shared" si="12"/>
        <v>1.9143157154432084</v>
      </c>
      <c r="AG35" s="108">
        <f t="shared" si="12"/>
        <v>5.1161708959365866</v>
      </c>
      <c r="AH35" s="104">
        <f t="shared" si="12"/>
        <v>5.8723903515731966</v>
      </c>
    </row>
    <row r="36" spans="2:34" x14ac:dyDescent="0.25">
      <c r="B36" s="6" t="s">
        <v>39</v>
      </c>
      <c r="C36" s="107">
        <f t="shared" ref="C36:Q37" si="13">_xlfn.STDEV.S(C27,C24,C21,C18,C15,C12,C9,C6,C3)</f>
        <v>0.87158757099923012</v>
      </c>
      <c r="D36" s="108">
        <f t="shared" si="13"/>
        <v>0.71361527252905532</v>
      </c>
      <c r="E36" s="108">
        <f t="shared" si="13"/>
        <v>0.5252182769296575</v>
      </c>
      <c r="F36" s="108">
        <f t="shared" si="13"/>
        <v>0.50622961123063681</v>
      </c>
      <c r="G36" s="108">
        <f t="shared" si="13"/>
        <v>45.742196378222509</v>
      </c>
      <c r="H36" s="103">
        <f t="shared" si="13"/>
        <v>10.547162231471946</v>
      </c>
      <c r="I36" s="108">
        <f t="shared" si="13"/>
        <v>1.1910044213019921</v>
      </c>
      <c r="J36" s="108">
        <f t="shared" si="13"/>
        <v>0.41504491443433505</v>
      </c>
      <c r="K36" s="108">
        <f t="shared" si="13"/>
        <v>0.3502569251524561</v>
      </c>
      <c r="L36" s="108">
        <f t="shared" si="13"/>
        <v>0.25999709129945858</v>
      </c>
      <c r="M36" s="108">
        <f t="shared" si="13"/>
        <v>0.30851596743663595</v>
      </c>
      <c r="N36" s="108">
        <f t="shared" si="13"/>
        <v>0.48121312440308683</v>
      </c>
      <c r="O36" s="108">
        <f t="shared" si="13"/>
        <v>0.3633636852470245</v>
      </c>
      <c r="P36" s="108">
        <f t="shared" si="13"/>
        <v>0.31118520703440844</v>
      </c>
      <c r="Q36" s="104">
        <f t="shared" si="13"/>
        <v>0.52521875092231263</v>
      </c>
      <c r="S36" s="6" t="s">
        <v>39</v>
      </c>
      <c r="T36" s="108">
        <f t="shared" ref="T36:AH37" si="14">_xlfn.STDEV.S(T24,T21,T18,T15,T12,T9,T6,T3)</f>
        <v>8.1096460930498662</v>
      </c>
      <c r="U36" s="108">
        <f t="shared" si="14"/>
        <v>8.944709229409824</v>
      </c>
      <c r="V36" s="108">
        <f t="shared" si="14"/>
        <v>7.9019320580887813</v>
      </c>
      <c r="W36" s="108">
        <f t="shared" si="14"/>
        <v>7.3041258829756215</v>
      </c>
      <c r="X36" s="108">
        <f t="shared" si="14"/>
        <v>33.683243343857036</v>
      </c>
      <c r="Y36" s="104">
        <f t="shared" si="14"/>
        <v>10.455082237682447</v>
      </c>
      <c r="Z36" s="108">
        <f t="shared" si="14"/>
        <v>10.950218630063521</v>
      </c>
      <c r="AA36" s="108">
        <f t="shared" si="14"/>
        <v>5.7749222455701483</v>
      </c>
      <c r="AB36" s="108">
        <f t="shared" si="14"/>
        <v>4.5948907914699895</v>
      </c>
      <c r="AC36" s="108">
        <f t="shared" si="14"/>
        <v>2.6359031979660448</v>
      </c>
      <c r="AD36" s="108">
        <f t="shared" si="14"/>
        <v>5.6031841253115076</v>
      </c>
      <c r="AE36" s="103">
        <f t="shared" si="14"/>
        <v>5.9649462858167119</v>
      </c>
      <c r="AF36" s="108">
        <f t="shared" si="14"/>
        <v>4.1118484723809301</v>
      </c>
      <c r="AG36" s="108">
        <f t="shared" si="14"/>
        <v>5.179063875957703</v>
      </c>
      <c r="AH36" s="104">
        <f t="shared" si="14"/>
        <v>7.9018925007037861</v>
      </c>
    </row>
    <row r="37" spans="2:34" ht="15.75" thickBot="1" x14ac:dyDescent="0.3">
      <c r="B37" s="12" t="s">
        <v>40</v>
      </c>
      <c r="C37" s="113">
        <f t="shared" si="13"/>
        <v>26.741839097292161</v>
      </c>
      <c r="D37" s="105">
        <f t="shared" si="13"/>
        <v>10.449628318084454</v>
      </c>
      <c r="E37" s="105">
        <f t="shared" si="13"/>
        <v>37.601326515643684</v>
      </c>
      <c r="F37" s="105">
        <f t="shared" si="13"/>
        <v>33.592760341189468</v>
      </c>
      <c r="G37" s="105"/>
      <c r="H37" s="114"/>
      <c r="I37" s="105">
        <f t="shared" si="13"/>
        <v>19.786400027347913</v>
      </c>
      <c r="J37" s="105">
        <f t="shared" si="13"/>
        <v>23.761494204929615</v>
      </c>
      <c r="K37" s="105">
        <f t="shared" si="13"/>
        <v>24.681359805048814</v>
      </c>
      <c r="L37" s="105">
        <f t="shared" si="13"/>
        <v>37.623984255666628</v>
      </c>
      <c r="M37" s="105">
        <f t="shared" si="13"/>
        <v>66.547031753896633</v>
      </c>
      <c r="N37" s="105">
        <f t="shared" si="13"/>
        <v>13.283514333243961</v>
      </c>
      <c r="O37" s="105">
        <f t="shared" si="13"/>
        <v>96.185993572550331</v>
      </c>
      <c r="P37" s="105">
        <f t="shared" si="13"/>
        <v>17.832779297437849</v>
      </c>
      <c r="Q37" s="106">
        <f t="shared" si="13"/>
        <v>37.600563869987703</v>
      </c>
      <c r="S37" s="12" t="s">
        <v>40</v>
      </c>
      <c r="T37" s="105">
        <f t="shared" si="14"/>
        <v>29.242155148961281</v>
      </c>
      <c r="U37" s="105">
        <f t="shared" si="14"/>
        <v>15.560538866696078</v>
      </c>
      <c r="V37" s="105">
        <f t="shared" si="14"/>
        <v>33.695514419594382</v>
      </c>
      <c r="W37" s="105">
        <f t="shared" si="14"/>
        <v>24.517369942794371</v>
      </c>
      <c r="X37" s="105"/>
      <c r="Y37" s="106"/>
      <c r="Z37" s="105">
        <f t="shared" si="14"/>
        <v>12.505496203509336</v>
      </c>
      <c r="AA37" s="105">
        <f t="shared" si="14"/>
        <v>18.914376394600829</v>
      </c>
      <c r="AB37" s="105">
        <f t="shared" si="14"/>
        <v>26.211170287796907</v>
      </c>
      <c r="AC37" s="105">
        <f t="shared" si="14"/>
        <v>37.134530655523299</v>
      </c>
      <c r="AD37" s="105">
        <f t="shared" si="14"/>
        <v>69.758784021663857</v>
      </c>
      <c r="AE37" s="114">
        <f t="shared" si="14"/>
        <v>29.387160619339088</v>
      </c>
      <c r="AF37" s="105">
        <f t="shared" si="14"/>
        <v>89.027720544046957</v>
      </c>
      <c r="AG37" s="105">
        <f t="shared" si="14"/>
        <v>21.511870310412494</v>
      </c>
      <c r="AH37" s="106">
        <f t="shared" si="14"/>
        <v>29.816877796966068</v>
      </c>
    </row>
    <row r="38" spans="2:34" ht="15.75" thickBot="1" x14ac:dyDescent="0.3">
      <c r="B38" s="58"/>
      <c r="C38" s="13"/>
      <c r="D38" s="13"/>
      <c r="E38" s="13"/>
      <c r="F38" s="13"/>
      <c r="G38" s="13"/>
      <c r="H38" s="13"/>
      <c r="I38" s="121">
        <f t="shared" ref="I38:Q38" si="15">(I33-I32)/I32*100</f>
        <v>9.200312787515843</v>
      </c>
      <c r="J38" s="121">
        <f t="shared" si="15"/>
        <v>2.346412291540533</v>
      </c>
      <c r="K38" s="121">
        <f t="shared" si="15"/>
        <v>-7.7119809783213871</v>
      </c>
      <c r="L38" s="121">
        <f t="shared" si="15"/>
        <v>-21.330238101740587</v>
      </c>
      <c r="M38" s="121">
        <f t="shared" si="15"/>
        <v>16.813431549528072</v>
      </c>
      <c r="N38" s="121">
        <f t="shared" si="15"/>
        <v>3.0557781681248506</v>
      </c>
      <c r="O38" s="121">
        <f t="shared" si="15"/>
        <v>58.167266535783369</v>
      </c>
      <c r="P38" s="121">
        <f t="shared" si="15"/>
        <v>-17.213979981209263</v>
      </c>
      <c r="Q38" s="121">
        <f t="shared" si="15"/>
        <v>27.878481382407362</v>
      </c>
      <c r="S38" s="13"/>
      <c r="T38" s="105"/>
      <c r="U38" s="105"/>
      <c r="V38" s="105"/>
      <c r="W38" s="105"/>
      <c r="X38" s="105"/>
      <c r="Y38" s="105"/>
      <c r="Z38" s="105"/>
      <c r="AA38" s="105"/>
      <c r="AB38" s="105"/>
      <c r="AC38" s="105"/>
      <c r="AD38" s="105"/>
      <c r="AE38" s="105"/>
      <c r="AF38" s="105"/>
      <c r="AG38" s="105"/>
      <c r="AH38" s="96"/>
    </row>
    <row r="39" spans="2:34" x14ac:dyDescent="0.25">
      <c r="B39" s="16" t="s">
        <v>35</v>
      </c>
      <c r="C39" s="96">
        <v>2.3505340283800362</v>
      </c>
      <c r="D39" s="96">
        <v>1.8805230229693206</v>
      </c>
      <c r="E39" s="96">
        <v>1.0160252812826149</v>
      </c>
      <c r="F39" s="96">
        <v>0.93064091431231954</v>
      </c>
      <c r="G39" s="96">
        <v>16.932252380952381</v>
      </c>
      <c r="H39" s="111">
        <v>6.7260809523809542</v>
      </c>
      <c r="I39" s="96">
        <v>3.4358630019485559</v>
      </c>
      <c r="J39" s="96">
        <v>1.0612955117796181</v>
      </c>
      <c r="K39" s="96">
        <v>0.35258478889367656</v>
      </c>
      <c r="L39" s="96">
        <v>0.35050024161249194</v>
      </c>
      <c r="M39" s="96">
        <v>0.42613551691128604</v>
      </c>
      <c r="N39" s="112">
        <v>0.79603776298904771</v>
      </c>
      <c r="O39" s="96">
        <v>0.48300783325726021</v>
      </c>
      <c r="P39" s="96">
        <v>0.46308976587638639</v>
      </c>
      <c r="Q39" s="111">
        <v>1.0160233290085481</v>
      </c>
      <c r="S39" s="6" t="s">
        <v>35</v>
      </c>
      <c r="T39" s="96">
        <v>38.509043478260871</v>
      </c>
      <c r="U39" s="96">
        <v>30.935217391304349</v>
      </c>
      <c r="V39" s="96">
        <v>16.656999999999996</v>
      </c>
      <c r="W39" s="96">
        <v>15.317272727272728</v>
      </c>
      <c r="X39" s="96">
        <v>16.79301818181818</v>
      </c>
      <c r="Y39" s="104">
        <v>6.0623045454545466</v>
      </c>
      <c r="Z39" s="96">
        <v>55.930869565217385</v>
      </c>
      <c r="AA39" s="96">
        <v>16.97650909090909</v>
      </c>
      <c r="AB39" s="96">
        <v>6.0907954545454546</v>
      </c>
      <c r="AC39" s="96">
        <v>5.9655826086956516</v>
      </c>
      <c r="AD39" s="96">
        <v>7.0906565217391293</v>
      </c>
      <c r="AE39" s="103">
        <v>12.485695454545453</v>
      </c>
      <c r="AF39" s="96">
        <v>8.0412681818181806</v>
      </c>
      <c r="AG39" s="96">
        <v>7.2758954545454539</v>
      </c>
      <c r="AH39" s="111">
        <v>16.656949999999998</v>
      </c>
    </row>
    <row r="40" spans="2:34" x14ac:dyDescent="0.25">
      <c r="B40" s="6" t="s">
        <v>36</v>
      </c>
      <c r="C40" s="96">
        <v>2.941865852956163</v>
      </c>
      <c r="D40" s="96">
        <v>2.1849707149652109</v>
      </c>
      <c r="E40" s="96">
        <v>1.4880043601529855</v>
      </c>
      <c r="F40" s="96">
        <v>1.4104592812467101</v>
      </c>
      <c r="G40" s="96">
        <v>23.960213636363633</v>
      </c>
      <c r="H40" s="104">
        <v>4.1328190476190469</v>
      </c>
      <c r="I40" s="96">
        <v>3.9288343417843903</v>
      </c>
      <c r="J40" s="96">
        <v>0.98698184742510164</v>
      </c>
      <c r="K40" s="96">
        <v>0.34681927385864758</v>
      </c>
      <c r="L40" s="96">
        <v>0.36936273150036186</v>
      </c>
      <c r="M40" s="96">
        <v>0.78145124558012324</v>
      </c>
      <c r="N40" s="103">
        <v>0.73523640942635982</v>
      </c>
      <c r="O40" s="96">
        <v>1.0270769835671483</v>
      </c>
      <c r="P40" s="96">
        <v>0.41345341529555324</v>
      </c>
      <c r="Q40" s="104">
        <v>1.4879967641036531</v>
      </c>
      <c r="S40" s="6" t="s">
        <v>36</v>
      </c>
      <c r="T40" s="96">
        <v>48.302043478260877</v>
      </c>
      <c r="U40" s="96">
        <v>36.448086956521735</v>
      </c>
      <c r="V40" s="96">
        <v>24.847318181818185</v>
      </c>
      <c r="W40" s="96">
        <v>23.667818181818181</v>
      </c>
      <c r="X40" s="96">
        <v>23.900504347826086</v>
      </c>
      <c r="Y40" s="104">
        <v>3.8601818181818177</v>
      </c>
      <c r="Z40" s="96">
        <v>64.177730434782617</v>
      </c>
      <c r="AA40" s="96">
        <v>15.832478260869564</v>
      </c>
      <c r="AB40" s="96">
        <v>6.0439590909090901</v>
      </c>
      <c r="AC40" s="96">
        <v>6.4575217391304349</v>
      </c>
      <c r="AD40" s="96">
        <v>13.219591304347828</v>
      </c>
      <c r="AE40" s="103">
        <v>11.11825</v>
      </c>
      <c r="AF40" s="96">
        <v>17.210290909090904</v>
      </c>
      <c r="AG40" s="96">
        <v>6.7832904761904773</v>
      </c>
      <c r="AH40" s="104">
        <v>24.847190909090909</v>
      </c>
    </row>
    <row r="41" spans="2:34" x14ac:dyDescent="0.25">
      <c r="B41" s="56" t="s">
        <v>128</v>
      </c>
      <c r="C41" s="121">
        <v>28.97307873420899</v>
      </c>
      <c r="D41" s="121">
        <v>18.759714392109931</v>
      </c>
      <c r="E41" s="121">
        <v>56.691686242311839</v>
      </c>
      <c r="F41" s="121">
        <v>62.446339948550353</v>
      </c>
      <c r="G41" s="121"/>
      <c r="H41" s="122"/>
      <c r="I41" s="121">
        <v>15.728720953037771</v>
      </c>
      <c r="J41" s="121">
        <v>-9.9917593795579975</v>
      </c>
      <c r="K41" s="121">
        <v>3.581496807289271</v>
      </c>
      <c r="L41" s="121">
        <v>6.9664152824614352</v>
      </c>
      <c r="M41" s="121">
        <v>98.786476887573627</v>
      </c>
      <c r="N41" s="121">
        <v>5.2541223991712069</v>
      </c>
      <c r="O41" s="121">
        <v>132.46498861738144</v>
      </c>
      <c r="P41" s="121">
        <v>-4.755190039117509</v>
      </c>
      <c r="Q41" s="122">
        <v>56.691126629985106</v>
      </c>
      <c r="S41" s="56" t="s">
        <v>128</v>
      </c>
      <c r="T41" s="121">
        <v>19.744967227717357</v>
      </c>
      <c r="U41" s="121">
        <v>12.929061252812712</v>
      </c>
      <c r="V41" s="121">
        <v>35.659543298503408</v>
      </c>
      <c r="W41" s="121">
        <v>43.300770037206192</v>
      </c>
      <c r="X41" s="121"/>
      <c r="Y41" s="122"/>
      <c r="Z41" s="121">
        <v>10.137425602022006</v>
      </c>
      <c r="AA41" s="121">
        <v>-11.349021305084666</v>
      </c>
      <c r="AB41" s="121">
        <v>-0.53484515846737513</v>
      </c>
      <c r="AC41" s="121">
        <v>2.6451988604960937</v>
      </c>
      <c r="AD41" s="121">
        <v>66.665302620966855</v>
      </c>
      <c r="AE41" s="123">
        <v>-14.028527589120625</v>
      </c>
      <c r="AF41" s="121">
        <v>91.256016687690177</v>
      </c>
      <c r="AG41" s="121">
        <v>-6.5431233894477892</v>
      </c>
      <c r="AH41" s="122">
        <v>35.658735419083094</v>
      </c>
    </row>
    <row r="42" spans="2:34" x14ac:dyDescent="0.25">
      <c r="B42" s="6" t="s">
        <v>38</v>
      </c>
      <c r="C42" s="96">
        <v>0.50221324952494106</v>
      </c>
      <c r="D42" s="96">
        <v>0.48420675970139238</v>
      </c>
      <c r="E42" s="96">
        <v>0.33252222933831793</v>
      </c>
      <c r="F42" s="96">
        <v>0.30329078142963217</v>
      </c>
      <c r="G42" s="96">
        <v>14.362216400342779</v>
      </c>
      <c r="H42" s="104">
        <v>15.710143261640708</v>
      </c>
      <c r="I42" s="96">
        <v>0.67113733782644158</v>
      </c>
      <c r="J42" s="96">
        <v>0.45957388131448002</v>
      </c>
      <c r="K42" s="96">
        <v>0.15902384601399711</v>
      </c>
      <c r="L42" s="96">
        <v>0.11018685728824226</v>
      </c>
      <c r="M42" s="96">
        <v>0.16199335087789643</v>
      </c>
      <c r="N42" s="103">
        <v>0.35716769257228553</v>
      </c>
      <c r="O42" s="96">
        <v>0.19211972779749101</v>
      </c>
      <c r="P42" s="96">
        <v>0.21918527289237225</v>
      </c>
      <c r="Q42" s="104">
        <v>0.33252864316845659</v>
      </c>
      <c r="S42" s="6" t="s">
        <v>38</v>
      </c>
      <c r="T42" s="96">
        <v>8.8567321067971037</v>
      </c>
      <c r="U42" s="96">
        <v>8.3251242608550537</v>
      </c>
      <c r="V42" s="96">
        <v>6.037636573386159</v>
      </c>
      <c r="W42" s="96">
        <v>5.396310647393701</v>
      </c>
      <c r="X42" s="96">
        <v>14.097616359691241</v>
      </c>
      <c r="Y42" s="104">
        <v>15.658147707740367</v>
      </c>
      <c r="Z42" s="96">
        <v>10.579647082386577</v>
      </c>
      <c r="AA42" s="96">
        <v>6.6916315307351786</v>
      </c>
      <c r="AB42" s="96">
        <v>3.3371686996376542</v>
      </c>
      <c r="AC42" s="96">
        <v>2.3698018888673702</v>
      </c>
      <c r="AD42" s="96">
        <v>3.1494424347319137</v>
      </c>
      <c r="AE42" s="103">
        <v>4.365833366540584</v>
      </c>
      <c r="AF42" s="96">
        <v>3.4319386044965907</v>
      </c>
      <c r="AG42" s="96">
        <v>3.3712896925054703</v>
      </c>
      <c r="AH42" s="104">
        <v>6.037688894055897</v>
      </c>
    </row>
    <row r="43" spans="2:34" x14ac:dyDescent="0.25">
      <c r="B43" s="6" t="s">
        <v>39</v>
      </c>
      <c r="C43" s="96">
        <v>0.64771890217256245</v>
      </c>
      <c r="D43" s="96">
        <v>0.5834373436582857</v>
      </c>
      <c r="E43" s="96">
        <v>0.46045984580707155</v>
      </c>
      <c r="F43" s="96">
        <v>0.43102125829759935</v>
      </c>
      <c r="G43" s="96">
        <v>13.372533896970454</v>
      </c>
      <c r="H43" s="104">
        <v>10.980549735391211</v>
      </c>
      <c r="I43" s="96">
        <v>0.85528022863904052</v>
      </c>
      <c r="J43" s="96">
        <v>0.51457381314985673</v>
      </c>
      <c r="K43" s="96">
        <v>0.13304239100838294</v>
      </c>
      <c r="L43" s="96">
        <v>0.12520845137003778</v>
      </c>
      <c r="M43" s="96">
        <v>0.31784158931966133</v>
      </c>
      <c r="N43" s="96">
        <v>0.31676724674770979</v>
      </c>
      <c r="O43" s="96">
        <v>0.37708613718822537</v>
      </c>
      <c r="P43" s="96">
        <v>0.1439095909165784</v>
      </c>
      <c r="Q43" s="104">
        <v>0.46046723395869837</v>
      </c>
      <c r="S43" s="6" t="s">
        <v>39</v>
      </c>
      <c r="T43" s="96">
        <v>13.333147103976621</v>
      </c>
      <c r="U43" s="96">
        <v>12.631393472529126</v>
      </c>
      <c r="V43" s="96">
        <v>9.4500737695233248</v>
      </c>
      <c r="W43" s="96">
        <v>8.9129790770096005</v>
      </c>
      <c r="X43" s="96">
        <v>13.075570836379956</v>
      </c>
      <c r="Y43" s="104">
        <v>10.797076382719801</v>
      </c>
      <c r="Z43" s="96">
        <v>13.934689974859648</v>
      </c>
      <c r="AA43" s="96">
        <v>6.6621780598011577</v>
      </c>
      <c r="AB43" s="96">
        <v>2.8559419890956086</v>
      </c>
      <c r="AC43" s="96">
        <v>2.9871056778529219</v>
      </c>
      <c r="AD43" s="96">
        <v>6.9810091042273879</v>
      </c>
      <c r="AE43" s="103">
        <v>4.6984463845489124</v>
      </c>
      <c r="AF43" s="96">
        <v>7.3284160395482179</v>
      </c>
      <c r="AG43" s="96">
        <v>2.6290055980303655</v>
      </c>
      <c r="AH43" s="104">
        <v>9.4501180875919868</v>
      </c>
    </row>
    <row r="44" spans="2:34" ht="15.75" thickBot="1" x14ac:dyDescent="0.3">
      <c r="B44" s="30" t="s">
        <v>40</v>
      </c>
      <c r="C44" s="105">
        <v>26.594846958389351</v>
      </c>
      <c r="D44" s="105">
        <v>17.862580714615568</v>
      </c>
      <c r="E44" s="105">
        <v>47.006677910182347</v>
      </c>
      <c r="F44" s="105">
        <v>45.241468885169532</v>
      </c>
      <c r="G44" s="105"/>
      <c r="H44" s="106"/>
      <c r="I44" s="105">
        <v>14.329828312252118</v>
      </c>
      <c r="J44" s="105">
        <v>25.718886249384958</v>
      </c>
      <c r="K44" s="105">
        <v>14.662887975382729</v>
      </c>
      <c r="L44" s="105">
        <v>16.748059465129984</v>
      </c>
      <c r="M44" s="105">
        <v>79.572745069680082</v>
      </c>
      <c r="N44" s="105">
        <v>50.231638115024019</v>
      </c>
      <c r="O44" s="105">
        <v>81.282697537177938</v>
      </c>
      <c r="P44" s="105">
        <v>30.446881433359223</v>
      </c>
      <c r="Q44" s="106">
        <v>47.006766999608594</v>
      </c>
      <c r="S44" s="30" t="s">
        <v>40</v>
      </c>
      <c r="T44" s="113">
        <v>19.972167594140327</v>
      </c>
      <c r="U44" s="105">
        <v>16.615029662718182</v>
      </c>
      <c r="V44" s="105">
        <v>22.539507749598812</v>
      </c>
      <c r="W44" s="105">
        <v>31.616048684196105</v>
      </c>
      <c r="X44" s="105"/>
      <c r="Y44" s="106"/>
      <c r="Z44" s="105">
        <v>15.431726094295676</v>
      </c>
      <c r="AA44" s="105">
        <v>28.525733513754655</v>
      </c>
      <c r="AB44" s="105">
        <v>16.535616393189969</v>
      </c>
      <c r="AC44" s="105">
        <v>16.362437980118671</v>
      </c>
      <c r="AD44" s="105">
        <v>49.148753353232799</v>
      </c>
      <c r="AE44" s="114">
        <v>22.677389578918458</v>
      </c>
      <c r="AF44" s="105">
        <v>51.052932177624811</v>
      </c>
      <c r="AG44" s="105">
        <v>36.921064081927781</v>
      </c>
      <c r="AH44" s="106">
        <v>22.537210913359559</v>
      </c>
    </row>
  </sheetData>
  <mergeCells count="4">
    <mergeCell ref="B5:B7"/>
    <mergeCell ref="B14:B16"/>
    <mergeCell ref="B17:B19"/>
    <mergeCell ref="B26:B28"/>
  </mergeCells>
  <conditionalFormatting sqref="I38:Q38">
    <cfRule type="colorScale" priority="1">
      <colorScale>
        <cfvo type="num" val="-100"/>
        <cfvo type="num" val="0"/>
        <cfvo type="num" val="100"/>
        <color rgb="FFF8696B"/>
        <color theme="0"/>
        <color rgb="FF63BE7B"/>
      </colorScale>
    </cfRule>
  </conditionalFormatting>
  <conditionalFormatting sqref="T19:AH19 T16:AH16 T13:AH13 T10:AH10 T7:AH7 T4:AH4 T22:AH22 T25:AH25">
    <cfRule type="colorScale" priority="15">
      <colorScale>
        <cfvo type="num" val="-100"/>
        <cfvo type="num" val="0"/>
        <cfvo type="num" val="100"/>
        <color rgb="FFF8696B"/>
        <color theme="0"/>
        <color rgb="FF63BE7B"/>
      </colorScale>
    </cfRule>
    <cfRule type="colorScale" priority="16">
      <colorScale>
        <cfvo type="num" val="-100"/>
        <cfvo type="num" val="0"/>
        <cfvo type="num" val="100"/>
        <color rgb="FFF8696B"/>
        <color rgb="FFFFEB84"/>
        <color rgb="FF63BE7B"/>
      </colorScale>
    </cfRule>
    <cfRule type="colorScale" priority="17">
      <colorScale>
        <cfvo type="num" val="-50"/>
        <cfvo type="num" val="0"/>
        <cfvo type="num" val="50"/>
        <color rgb="FFFF0000"/>
        <color rgb="FFFFEB84"/>
        <color rgb="FF00B050"/>
      </colorScale>
    </cfRule>
  </conditionalFormatting>
  <conditionalFormatting sqref="Z22:AH22">
    <cfRule type="colorScale" priority="18">
      <colorScale>
        <cfvo type="min"/>
        <cfvo type="percentile" val="50"/>
        <cfvo type="max"/>
        <color rgb="FFF8696B"/>
        <color rgb="FFFCFCFF"/>
        <color rgb="FF63BE7B"/>
      </colorScale>
    </cfRule>
  </conditionalFormatting>
  <conditionalFormatting sqref="AI33 AI36 AI39 AI42 AH45:AI45">
    <cfRule type="colorScale" priority="14">
      <colorScale>
        <cfvo type="num" val="-100"/>
        <cfvo type="num" val="0"/>
        <cfvo type="num" val="100"/>
        <color rgb="FFF8696B"/>
        <color theme="0"/>
        <color rgb="FF63BE7B"/>
      </colorScale>
    </cfRule>
  </conditionalFormatting>
  <conditionalFormatting sqref="T28:AH28">
    <cfRule type="colorScale" priority="12">
      <colorScale>
        <cfvo type="num" val="-100"/>
        <cfvo type="num" val="0"/>
        <cfvo type="num" val="100"/>
        <color rgb="FFF8696B"/>
        <color theme="0"/>
        <color rgb="FF63BE7B"/>
      </colorScale>
    </cfRule>
    <cfRule type="colorScale" priority="13">
      <colorScale>
        <cfvo type="min"/>
        <cfvo type="percentile" val="50"/>
        <cfvo type="max"/>
        <color rgb="FFF8696B"/>
        <color rgb="FFFCFCFF"/>
        <color rgb="FF63BE7B"/>
      </colorScale>
    </cfRule>
  </conditionalFormatting>
  <conditionalFormatting sqref="C4:F4 C7:F7 C10:F10 C13:F13 C16:F16 C19:F19 C22:F22 C25:F25 C28:F28 I28:Q28 I25:Q25 I19:Q19 I16:Q16 I13:Q13 I10:Q10 I7:Q7 I4:Q4 I22:Q22">
    <cfRule type="colorScale" priority="11">
      <colorScale>
        <cfvo type="num" val="-100"/>
        <cfvo type="num" val="0"/>
        <cfvo type="num" val="100"/>
        <color rgb="FFF8696B"/>
        <color theme="0"/>
        <color rgb="FF63BE7B"/>
      </colorScale>
    </cfRule>
  </conditionalFormatting>
  <conditionalFormatting sqref="T34:AH34">
    <cfRule type="colorScale" priority="9">
      <colorScale>
        <cfvo type="num" val="-100"/>
        <cfvo type="num" val="0"/>
        <cfvo type="num" val="100"/>
        <color rgb="FFF8696B"/>
        <color theme="0"/>
        <color rgb="FF63BE7B"/>
      </colorScale>
    </cfRule>
  </conditionalFormatting>
  <conditionalFormatting sqref="T41:AH41">
    <cfRule type="colorScale" priority="10">
      <colorScale>
        <cfvo type="num" val="-100"/>
        <cfvo type="num" val="0"/>
        <cfvo type="num" val="100"/>
        <color rgb="FFF8696B"/>
        <color theme="0"/>
        <color rgb="FF63BE7B"/>
      </colorScale>
    </cfRule>
  </conditionalFormatting>
  <conditionalFormatting sqref="C41:Q41">
    <cfRule type="colorScale" priority="8">
      <colorScale>
        <cfvo type="num" val="-100"/>
        <cfvo type="num" val="0"/>
        <cfvo type="num" val="100"/>
        <color rgb="FFF8696B"/>
        <color theme="0"/>
        <color rgb="FF63BE7B"/>
      </colorScale>
    </cfRule>
  </conditionalFormatting>
  <conditionalFormatting sqref="G19:H19 G16:H16 G13:H13 G10:H10 G7:H7 G4:H4 G22:H22 G25:H25">
    <cfRule type="colorScale" priority="5">
      <colorScale>
        <cfvo type="num" val="-100"/>
        <cfvo type="num" val="0"/>
        <cfvo type="num" val="100"/>
        <color rgb="FFF8696B"/>
        <color theme="0"/>
        <color rgb="FF63BE7B"/>
      </colorScale>
    </cfRule>
    <cfRule type="colorScale" priority="6">
      <colorScale>
        <cfvo type="num" val="-100"/>
        <cfvo type="num" val="0"/>
        <cfvo type="num" val="100"/>
        <color rgb="FFF8696B"/>
        <color rgb="FFFFEB84"/>
        <color rgb="FF63BE7B"/>
      </colorScale>
    </cfRule>
    <cfRule type="colorScale" priority="7">
      <colorScale>
        <cfvo type="num" val="-50"/>
        <cfvo type="num" val="0"/>
        <cfvo type="num" val="50"/>
        <color rgb="FFFF0000"/>
        <color rgb="FFFFEB84"/>
        <color rgb="FF00B050"/>
      </colorScale>
    </cfRule>
  </conditionalFormatting>
  <conditionalFormatting sqref="G28:H28">
    <cfRule type="colorScale" priority="3">
      <colorScale>
        <cfvo type="num" val="-100"/>
        <cfvo type="num" val="0"/>
        <cfvo type="num" val="100"/>
        <color rgb="FFF8696B"/>
        <color theme="0"/>
        <color rgb="FF63BE7B"/>
      </colorScale>
    </cfRule>
    <cfRule type="colorScale" priority="4">
      <colorScale>
        <cfvo type="min"/>
        <cfvo type="percentile" val="50"/>
        <cfvo type="max"/>
        <color rgb="FFF8696B"/>
        <color rgb="FFFCFCFF"/>
        <color rgb="FF63BE7B"/>
      </colorScale>
    </cfRule>
  </conditionalFormatting>
  <conditionalFormatting sqref="C34:Q34">
    <cfRule type="colorScale" priority="2">
      <colorScale>
        <cfvo type="num" val="-100"/>
        <cfvo type="num" val="0"/>
        <cfvo type="num" val="100"/>
        <color rgb="FFF8696B"/>
        <color theme="0"/>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
  <sheetViews>
    <sheetView workbookViewId="0">
      <selection activeCell="I14" sqref="I14:Q19"/>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347</v>
      </c>
      <c r="D1" s="3" t="s">
        <v>3</v>
      </c>
      <c r="E1" s="3" t="s">
        <v>4</v>
      </c>
      <c r="F1" s="3" t="s">
        <v>5</v>
      </c>
      <c r="G1" s="3" t="s">
        <v>6</v>
      </c>
      <c r="H1" s="4" t="s">
        <v>7</v>
      </c>
      <c r="I1" s="3" t="s">
        <v>8</v>
      </c>
      <c r="J1" s="3" t="s">
        <v>9</v>
      </c>
      <c r="K1" s="3" t="s">
        <v>10</v>
      </c>
      <c r="L1" s="3" t="s">
        <v>11</v>
      </c>
      <c r="M1" s="3" t="s">
        <v>12</v>
      </c>
      <c r="N1" s="24" t="s">
        <v>13</v>
      </c>
      <c r="O1" s="3" t="s">
        <v>14</v>
      </c>
      <c r="P1" s="3" t="s">
        <v>15</v>
      </c>
      <c r="Q1" s="4" t="s">
        <v>16</v>
      </c>
      <c r="R1" s="5" t="s">
        <v>349</v>
      </c>
      <c r="S1" s="71" t="s">
        <v>348</v>
      </c>
      <c r="T1" s="3" t="s">
        <v>2</v>
      </c>
      <c r="U1" s="3" t="s">
        <v>3</v>
      </c>
      <c r="V1" s="3" t="s">
        <v>4</v>
      </c>
      <c r="W1" s="3" t="s">
        <v>5</v>
      </c>
      <c r="X1" s="3" t="s">
        <v>6</v>
      </c>
      <c r="Y1" s="4" t="s">
        <v>7</v>
      </c>
      <c r="Z1" s="3" t="s">
        <v>8</v>
      </c>
      <c r="AA1" s="3" t="s">
        <v>9</v>
      </c>
      <c r="AB1" s="3" t="s">
        <v>10</v>
      </c>
      <c r="AC1" s="3" t="s">
        <v>11</v>
      </c>
      <c r="AD1" s="3" t="s">
        <v>12</v>
      </c>
      <c r="AE1" s="24" t="s">
        <v>13</v>
      </c>
      <c r="AF1" s="3" t="s">
        <v>14</v>
      </c>
      <c r="AG1" s="3" t="s">
        <v>15</v>
      </c>
      <c r="AH1" s="4" t="s">
        <v>16</v>
      </c>
    </row>
    <row r="2" spans="1:34" ht="15.75" thickTop="1" x14ac:dyDescent="0.25">
      <c r="A2" s="57" t="s">
        <v>72</v>
      </c>
      <c r="B2" s="32"/>
      <c r="C2" s="96">
        <v>0.13146202320047184</v>
      </c>
      <c r="D2" s="96">
        <v>0.14079746608818527</v>
      </c>
      <c r="E2" s="96">
        <v>8.1322783501172891E-2</v>
      </c>
      <c r="F2" s="96">
        <v>5.7550631985070065E-2</v>
      </c>
      <c r="G2" s="97">
        <v>-7.1021999999999998</v>
      </c>
      <c r="H2" s="192">
        <v>29.229199999999999</v>
      </c>
      <c r="I2" s="96">
        <v>1.7861835155537795</v>
      </c>
      <c r="J2" s="96">
        <v>0.47155695443523915</v>
      </c>
      <c r="K2" s="96">
        <v>0.21594303449891186</v>
      </c>
      <c r="L2" s="96">
        <v>0.28048733725748931</v>
      </c>
      <c r="M2" s="96">
        <v>0.31282910888882198</v>
      </c>
      <c r="N2" s="99">
        <v>0.59872783846427391</v>
      </c>
      <c r="O2" s="96">
        <v>0.31833543791411734</v>
      </c>
      <c r="P2" s="96">
        <v>0.25719619839187197</v>
      </c>
      <c r="Q2" s="104">
        <v>0.81323416412555116</v>
      </c>
      <c r="S2" s="96">
        <v>63.291138221786056</v>
      </c>
      <c r="T2" s="7">
        <v>2.0771000000000002</v>
      </c>
      <c r="U2" s="7">
        <v>2.2246000000000001</v>
      </c>
      <c r="V2" s="7">
        <v>1.2848999999999999</v>
      </c>
      <c r="W2" s="7">
        <v>0.9093</v>
      </c>
      <c r="X2" s="7">
        <v>-7.1021999999999998</v>
      </c>
      <c r="Y2" s="190">
        <v>29.229199999999999</v>
      </c>
      <c r="Z2" s="7">
        <v>28.221699999999998</v>
      </c>
      <c r="AA2" s="7">
        <v>7.4505999999999997</v>
      </c>
      <c r="AB2" s="7">
        <v>3.4119000000000002</v>
      </c>
      <c r="AC2" s="7">
        <v>4.4317000000000002</v>
      </c>
      <c r="AD2" s="7">
        <v>4.9427000000000003</v>
      </c>
      <c r="AE2" s="7">
        <v>9.4598999999999993</v>
      </c>
      <c r="AF2" s="7">
        <v>5.0297000000000001</v>
      </c>
      <c r="AG2" s="7">
        <v>4.0636999999999999</v>
      </c>
      <c r="AH2" s="7">
        <v>12.8491</v>
      </c>
    </row>
    <row r="3" spans="1:34" x14ac:dyDescent="0.25">
      <c r="A3" s="57" t="s">
        <v>73</v>
      </c>
      <c r="B3" s="33"/>
      <c r="C3" s="96">
        <v>0.18796363473403438</v>
      </c>
      <c r="D3" s="96">
        <v>0.17602499847390329</v>
      </c>
      <c r="E3" s="96">
        <v>0.16197272586846054</v>
      </c>
      <c r="F3" s="96">
        <v>0.15620454410028756</v>
      </c>
      <c r="G3" s="97">
        <v>6.3514999999999997</v>
      </c>
      <c r="H3" s="102">
        <v>3.5602999999999998</v>
      </c>
      <c r="I3" s="96">
        <v>3.3604499708656626</v>
      </c>
      <c r="J3" s="96">
        <v>1.4807931689800415</v>
      </c>
      <c r="K3" s="96">
        <v>0.23623636158824807</v>
      </c>
      <c r="L3" s="96">
        <v>0.25930908866094005</v>
      </c>
      <c r="M3" s="96">
        <v>0.76570226608880809</v>
      </c>
      <c r="N3" s="103">
        <v>0.49902272294631372</v>
      </c>
      <c r="O3" s="96">
        <v>0.97866817333335121</v>
      </c>
      <c r="P3" s="96">
        <v>0.58337726766952447</v>
      </c>
      <c r="Q3" s="104">
        <v>1.6197068041393283</v>
      </c>
      <c r="S3" s="104">
        <v>68.181817590697321</v>
      </c>
      <c r="T3" s="7">
        <v>2.7568000000000001</v>
      </c>
      <c r="U3" s="7">
        <v>2.5817000000000001</v>
      </c>
      <c r="V3" s="7">
        <v>2.3755999999999999</v>
      </c>
      <c r="W3" s="7">
        <v>2.2909999999999999</v>
      </c>
      <c r="X3" s="7">
        <v>6.3514999999999997</v>
      </c>
      <c r="Y3" s="7">
        <v>3.5602999999999998</v>
      </c>
      <c r="Z3" s="7">
        <v>49.2866</v>
      </c>
      <c r="AA3" s="7">
        <v>21.718299999999999</v>
      </c>
      <c r="AB3" s="7">
        <v>3.4647999999999999</v>
      </c>
      <c r="AC3" s="7">
        <v>3.8031999999999999</v>
      </c>
      <c r="AD3" s="7">
        <v>11.2303</v>
      </c>
      <c r="AE3" s="7">
        <v>7.319</v>
      </c>
      <c r="AF3" s="7">
        <v>14.3538</v>
      </c>
      <c r="AG3" s="7">
        <v>8.5562000000000005</v>
      </c>
      <c r="AH3" s="7">
        <v>23.755700000000001</v>
      </c>
    </row>
    <row r="4" spans="1:34" ht="15.75" thickBot="1" x14ac:dyDescent="0.3">
      <c r="A4" s="59" t="s">
        <v>20</v>
      </c>
      <c r="B4" s="34"/>
      <c r="C4" s="105">
        <f>(C3-C2)/C2*100</f>
        <v>42.979417293312835</v>
      </c>
      <c r="D4" s="105">
        <f>(D3-D2)/D2*100</f>
        <v>25.020004524551641</v>
      </c>
      <c r="E4" s="105">
        <f>(E3-E2)/E2*100</f>
        <v>99.172628991633644</v>
      </c>
      <c r="F4" s="105">
        <f>(F3-F2)/F2*100</f>
        <v>171.42107516874972</v>
      </c>
      <c r="G4" s="105"/>
      <c r="H4" s="106"/>
      <c r="I4" s="105">
        <f t="shared" ref="I4:Q4" si="0">(I3-I2)/I2*100</f>
        <v>88.13576217692308</v>
      </c>
      <c r="J4" s="105">
        <f t="shared" si="0"/>
        <v>214.02212501637595</v>
      </c>
      <c r="K4" s="105">
        <f t="shared" si="0"/>
        <v>9.3975372423686405</v>
      </c>
      <c r="L4" s="105">
        <f t="shared" si="0"/>
        <v>-7.5505186093686243</v>
      </c>
      <c r="M4" s="105">
        <f t="shared" si="0"/>
        <v>144.76694921665208</v>
      </c>
      <c r="N4" s="114">
        <f t="shared" si="0"/>
        <v>-16.652827731161125</v>
      </c>
      <c r="O4" s="105">
        <f t="shared" si="0"/>
        <v>207.43299575631377</v>
      </c>
      <c r="P4" s="105">
        <f t="shared" si="0"/>
        <v>126.82188590543359</v>
      </c>
      <c r="Q4" s="106">
        <f t="shared" si="0"/>
        <v>99.168563691732686</v>
      </c>
      <c r="S4" s="8"/>
      <c r="T4" s="105">
        <f>(T3-T2)/T2*100</f>
        <v>32.723508738144524</v>
      </c>
      <c r="U4" s="105">
        <f>(U3-U2)/U2*100</f>
        <v>16.052324013305761</v>
      </c>
      <c r="V4" s="105">
        <f>(V3-V2)/V2*100</f>
        <v>84.885983345007403</v>
      </c>
      <c r="W4" s="105">
        <f>(W3-W2)/W2*100</f>
        <v>151.9520510282635</v>
      </c>
      <c r="X4" s="105"/>
      <c r="Y4" s="106"/>
      <c r="Z4" s="105">
        <f t="shared" ref="Z4:AH4" si="1">(Z3-Z2)/Z2*100</f>
        <v>74.640790597306335</v>
      </c>
      <c r="AA4" s="105">
        <f t="shared" si="1"/>
        <v>191.49732907416853</v>
      </c>
      <c r="AB4" s="105">
        <f t="shared" si="1"/>
        <v>1.5504557577889071</v>
      </c>
      <c r="AC4" s="105">
        <f t="shared" si="1"/>
        <v>-14.181916645982358</v>
      </c>
      <c r="AD4" s="105">
        <f t="shared" si="1"/>
        <v>127.20982458979908</v>
      </c>
      <c r="AE4" s="114">
        <f t="shared" si="1"/>
        <v>-22.631317455787052</v>
      </c>
      <c r="AF4" s="105">
        <f t="shared" si="1"/>
        <v>185.38083782332941</v>
      </c>
      <c r="AG4" s="105">
        <f t="shared" si="1"/>
        <v>110.55196003642003</v>
      </c>
      <c r="AH4" s="106">
        <f t="shared" si="1"/>
        <v>84.882209648924828</v>
      </c>
    </row>
    <row r="5" spans="1:34" x14ac:dyDescent="0.25">
      <c r="A5" s="31" t="s">
        <v>74</v>
      </c>
      <c r="B5" s="208" t="s">
        <v>351</v>
      </c>
      <c r="C5" s="96">
        <v>2.8513640109799336</v>
      </c>
      <c r="D5" s="96">
        <v>2.7796464028381926</v>
      </c>
      <c r="E5" s="96">
        <v>0.12198639497740102</v>
      </c>
      <c r="F5" s="96">
        <v>0.2082650339212983</v>
      </c>
      <c r="G5" s="97">
        <v>2.5169999999999999</v>
      </c>
      <c r="H5" s="119">
        <v>-70.718599999999995</v>
      </c>
      <c r="I5" s="96">
        <v>4.0702068760213441</v>
      </c>
      <c r="J5" s="96">
        <v>1.218818697355432</v>
      </c>
      <c r="K5" s="96">
        <v>0.35157336985339216</v>
      </c>
      <c r="L5" s="96">
        <v>0.52301289226467262</v>
      </c>
      <c r="M5" s="96">
        <v>0.79293573503908521</v>
      </c>
      <c r="N5" s="112">
        <v>1.112100237995064</v>
      </c>
      <c r="O5" s="96">
        <v>0.64092099023317095</v>
      </c>
      <c r="P5" s="96">
        <v>-0.43266199823336726</v>
      </c>
      <c r="Q5" s="104">
        <v>0.12199243689889568</v>
      </c>
      <c r="R5" s="211" t="s">
        <v>350</v>
      </c>
      <c r="S5" s="104">
        <v>60.419214946706788</v>
      </c>
      <c r="T5" s="97">
        <v>47.192999999999998</v>
      </c>
      <c r="U5" s="97">
        <v>46.006</v>
      </c>
      <c r="V5" s="97">
        <v>2.0190000000000001</v>
      </c>
      <c r="W5" s="97">
        <v>3.4470000000000001</v>
      </c>
      <c r="X5" s="97">
        <v>2.5169999999999999</v>
      </c>
      <c r="Y5" s="104">
        <v>-70.718599999999995</v>
      </c>
      <c r="Z5" s="96">
        <v>67.366100000000003</v>
      </c>
      <c r="AA5" s="96">
        <v>20.172699999999999</v>
      </c>
      <c r="AB5" s="96">
        <v>5.8189000000000002</v>
      </c>
      <c r="AC5" s="96">
        <v>8.6563999999999997</v>
      </c>
      <c r="AD5" s="96">
        <v>13.123900000000001</v>
      </c>
      <c r="AE5" s="176">
        <v>18.406400000000001</v>
      </c>
      <c r="AF5" s="96">
        <v>10.607900000000001</v>
      </c>
      <c r="AG5" s="96">
        <v>-7.1609999999999996</v>
      </c>
      <c r="AH5" s="104">
        <v>2.0190999999999999</v>
      </c>
    </row>
    <row r="6" spans="1:34" x14ac:dyDescent="0.25">
      <c r="A6" t="s">
        <v>75</v>
      </c>
      <c r="B6" s="208"/>
      <c r="C6" s="96">
        <v>3.2169173679808036</v>
      </c>
      <c r="D6" s="96">
        <v>2.8264962914909724</v>
      </c>
      <c r="E6" s="96">
        <v>0.27836173375539047</v>
      </c>
      <c r="F6" s="96">
        <v>0.23149948901542575</v>
      </c>
      <c r="G6" s="97">
        <v>12.137</v>
      </c>
      <c r="H6" s="104">
        <v>16.843900000000001</v>
      </c>
      <c r="I6" s="96">
        <v>4.3402170899589425</v>
      </c>
      <c r="J6" s="96">
        <v>1.1232880064169544</v>
      </c>
      <c r="K6" s="96">
        <v>0.3864963634928591</v>
      </c>
      <c r="L6" s="96">
        <v>0.42883054383482477</v>
      </c>
      <c r="M6" s="96">
        <v>0.56716789030720061</v>
      </c>
      <c r="N6" s="103">
        <v>1.4439897782949032</v>
      </c>
      <c r="O6" s="96">
        <v>0.59454129901593256</v>
      </c>
      <c r="P6" s="96">
        <v>-0.3630652411228768</v>
      </c>
      <c r="Q6" s="104">
        <v>0.27836173375539047</v>
      </c>
      <c r="R6" s="211"/>
      <c r="S6" s="104">
        <v>58.577805924955911</v>
      </c>
      <c r="T6" s="97">
        <v>54.917000000000002</v>
      </c>
      <c r="U6" s="97">
        <v>48.251999999999995</v>
      </c>
      <c r="V6" s="97">
        <v>4.7519999999999998</v>
      </c>
      <c r="W6" s="97">
        <v>3.952</v>
      </c>
      <c r="X6" s="97">
        <v>12.137</v>
      </c>
      <c r="Y6" s="104">
        <v>16.843900000000001</v>
      </c>
      <c r="Z6" s="97">
        <v>74.093199999999996</v>
      </c>
      <c r="AA6" s="97">
        <v>19.175999999999998</v>
      </c>
      <c r="AB6" s="97">
        <v>6.5979999999999999</v>
      </c>
      <c r="AC6" s="97">
        <v>7.3207000000000004</v>
      </c>
      <c r="AD6" s="97">
        <v>9.6822999999999997</v>
      </c>
      <c r="AE6" s="177">
        <v>24.6508</v>
      </c>
      <c r="AF6" s="97">
        <v>10.1496</v>
      </c>
      <c r="AG6" s="97">
        <v>-6.1980000000000004</v>
      </c>
      <c r="AH6" s="102">
        <v>4.7519999999999998</v>
      </c>
    </row>
    <row r="7" spans="1:34" ht="15.75" thickBot="1" x14ac:dyDescent="0.3">
      <c r="A7" s="28" t="s">
        <v>20</v>
      </c>
      <c r="B7" s="208"/>
      <c r="C7" s="96">
        <v>12.820297780052279</v>
      </c>
      <c r="D7" s="96">
        <v>1.6854621726325716</v>
      </c>
      <c r="E7" s="96">
        <v>128.19080259479696</v>
      </c>
      <c r="F7" s="96">
        <v>11.156195860946855</v>
      </c>
      <c r="G7" s="105"/>
      <c r="H7" s="106"/>
      <c r="I7" s="96">
        <v>6.6338203969016751</v>
      </c>
      <c r="J7" s="96">
        <v>-7.8379738631970621</v>
      </c>
      <c r="K7" s="96">
        <v>9.9333443980782725</v>
      </c>
      <c r="L7" s="96">
        <v>-18.007653314631206</v>
      </c>
      <c r="M7" s="96">
        <v>-28.472401325279673</v>
      </c>
      <c r="N7" s="103">
        <v>29.843491527183026</v>
      </c>
      <c r="O7" s="96">
        <v>-7.23641321223778</v>
      </c>
      <c r="P7" s="96">
        <v>-16.085710645877356</v>
      </c>
      <c r="Q7" s="104">
        <v>128.17950098504042</v>
      </c>
      <c r="R7" s="211"/>
      <c r="S7" s="104"/>
      <c r="T7" s="105">
        <f>(T6-T5)/T5*100</f>
        <v>16.366834064373961</v>
      </c>
      <c r="U7" s="105">
        <f>(U6-U5)/U5*100</f>
        <v>4.8819719167065063</v>
      </c>
      <c r="V7" s="105">
        <f>(V6-V5)/V5*100</f>
        <v>135.36404160475479</v>
      </c>
      <c r="W7" s="105">
        <f>(W6-W5)/W5*100</f>
        <v>14.650420655642584</v>
      </c>
      <c r="X7" s="105"/>
      <c r="Y7" s="106"/>
      <c r="Z7" s="105">
        <f t="shared" ref="Z7:AH7" si="2">(Z6-Z5)/Z5*100</f>
        <v>9.9858831073789229</v>
      </c>
      <c r="AA7" s="105">
        <f t="shared" si="2"/>
        <v>-4.9408358821575726</v>
      </c>
      <c r="AB7" s="105">
        <f t="shared" si="2"/>
        <v>13.389128529447142</v>
      </c>
      <c r="AC7" s="105">
        <f t="shared" si="2"/>
        <v>-15.430201931518866</v>
      </c>
      <c r="AD7" s="105">
        <f t="shared" si="2"/>
        <v>-26.223912099299756</v>
      </c>
      <c r="AE7" s="114">
        <f t="shared" si="2"/>
        <v>33.925156467315709</v>
      </c>
      <c r="AF7" s="105">
        <f t="shared" si="2"/>
        <v>-4.3203650109823926</v>
      </c>
      <c r="AG7" s="105">
        <f t="shared" si="2"/>
        <v>-13.447842480100533</v>
      </c>
      <c r="AH7" s="106">
        <f t="shared" si="2"/>
        <v>135.35238472586798</v>
      </c>
    </row>
    <row r="8" spans="1:34" x14ac:dyDescent="0.25">
      <c r="A8" s="31" t="s">
        <v>76</v>
      </c>
      <c r="B8" s="32"/>
      <c r="C8" s="110">
        <v>2.5154068129722567</v>
      </c>
      <c r="D8" s="110">
        <v>1.8716106086604993</v>
      </c>
      <c r="E8" s="110">
        <v>0.94182611051619802</v>
      </c>
      <c r="F8" s="110">
        <v>0.79603658929930698</v>
      </c>
      <c r="G8" s="101">
        <v>-25.72</v>
      </c>
      <c r="H8" s="104">
        <v>-15.48</v>
      </c>
      <c r="I8" s="110">
        <v>2.7269951446498686</v>
      </c>
      <c r="J8" s="110">
        <v>0.21158833167761162</v>
      </c>
      <c r="K8" s="110">
        <v>0.23180103815900946</v>
      </c>
      <c r="L8" s="110">
        <v>0.26706576010527805</v>
      </c>
      <c r="M8" s="110">
        <v>0.23352126849785185</v>
      </c>
      <c r="N8" s="112">
        <v>1.1392225418983601</v>
      </c>
      <c r="O8" s="110">
        <v>0.24814322637801201</v>
      </c>
      <c r="P8" s="110">
        <v>0.5478933629212952</v>
      </c>
      <c r="Q8" s="111">
        <v>0.94182611051619802</v>
      </c>
      <c r="R8" s="210" t="s">
        <v>352</v>
      </c>
      <c r="S8" s="104">
        <v>43.005758471059274</v>
      </c>
      <c r="T8" s="96">
        <v>58.489999999999995</v>
      </c>
      <c r="U8" s="96">
        <v>43.519999999999996</v>
      </c>
      <c r="V8" s="96">
        <v>21.9</v>
      </c>
      <c r="W8" s="96">
        <v>18.509999999999998</v>
      </c>
      <c r="X8" s="101">
        <v>-25.72</v>
      </c>
      <c r="Y8" s="104">
        <v>-15.48</v>
      </c>
      <c r="Z8" s="96">
        <v>63.41</v>
      </c>
      <c r="AA8" s="97">
        <v>4.92</v>
      </c>
      <c r="AB8" s="97">
        <v>5.39</v>
      </c>
      <c r="AC8" s="97">
        <v>6.21</v>
      </c>
      <c r="AD8" s="178">
        <v>5.43</v>
      </c>
      <c r="AE8" s="103">
        <v>26.49</v>
      </c>
      <c r="AF8" s="178">
        <v>5.77</v>
      </c>
      <c r="AG8" s="178">
        <v>12.74</v>
      </c>
      <c r="AH8" s="104">
        <v>21.9</v>
      </c>
    </row>
    <row r="9" spans="1:34" x14ac:dyDescent="0.25">
      <c r="A9" t="s">
        <v>77</v>
      </c>
      <c r="B9" s="33"/>
      <c r="C9" s="108">
        <v>3.2969037826408432</v>
      </c>
      <c r="D9" s="108">
        <v>2.9297104241667529</v>
      </c>
      <c r="E9" s="108">
        <v>2.0889719722946736</v>
      </c>
      <c r="F9" s="108">
        <v>2.0425130565121283</v>
      </c>
      <c r="G9" s="96">
        <v>-11.14</v>
      </c>
      <c r="H9" s="104">
        <v>-2.2200000000000002</v>
      </c>
      <c r="I9" s="108">
        <v>3.5739780394162621</v>
      </c>
      <c r="J9" s="108">
        <v>0.27707425677541891</v>
      </c>
      <c r="K9" s="108">
        <v>0.23845178461884536</v>
      </c>
      <c r="L9" s="108">
        <v>0.33416834605035373</v>
      </c>
      <c r="M9" s="108">
        <v>1.258868693914984</v>
      </c>
      <c r="N9" s="103">
        <v>1.0982215995825695</v>
      </c>
      <c r="O9" s="108">
        <v>1.4866853050414397</v>
      </c>
      <c r="P9" s="108">
        <v>0.55582775147068886</v>
      </c>
      <c r="Q9" s="104">
        <v>2.0889719722946736</v>
      </c>
      <c r="R9" s="210"/>
      <c r="S9" s="104">
        <v>55.974597328367459</v>
      </c>
      <c r="T9" s="96">
        <v>58.9</v>
      </c>
      <c r="U9" s="96">
        <v>52.34</v>
      </c>
      <c r="V9" s="96">
        <v>37.32</v>
      </c>
      <c r="W9" s="96">
        <v>36.489999999999995</v>
      </c>
      <c r="X9" s="96">
        <v>-11.14</v>
      </c>
      <c r="Y9" s="104">
        <v>-2.2200000000000002</v>
      </c>
      <c r="Z9" s="96">
        <v>63.85</v>
      </c>
      <c r="AA9" s="97">
        <v>4.95</v>
      </c>
      <c r="AB9" s="97">
        <v>4.26</v>
      </c>
      <c r="AC9" s="97">
        <v>5.97</v>
      </c>
      <c r="AD9" s="178">
        <v>22.49</v>
      </c>
      <c r="AE9" s="103">
        <v>19.62</v>
      </c>
      <c r="AF9" s="178">
        <v>26.56</v>
      </c>
      <c r="AG9" s="178">
        <v>9.93</v>
      </c>
      <c r="AH9" s="104">
        <v>37.32</v>
      </c>
    </row>
    <row r="10" spans="1:34" ht="15.75" thickBot="1" x14ac:dyDescent="0.3">
      <c r="A10" s="29" t="s">
        <v>20</v>
      </c>
      <c r="B10" s="34"/>
      <c r="C10" s="105">
        <v>31.068412697234987</v>
      </c>
      <c r="D10" s="105">
        <v>56.53418561585999</v>
      </c>
      <c r="E10" s="105">
        <v>121.80017616518886</v>
      </c>
      <c r="F10" s="105">
        <v>156.58532333419544</v>
      </c>
      <c r="G10" s="105"/>
      <c r="H10" s="106"/>
      <c r="I10" s="105">
        <v>31.059200689377892</v>
      </c>
      <c r="J10" s="105">
        <v>30.94968639271918</v>
      </c>
      <c r="K10" s="105">
        <v>2.8691616364865746</v>
      </c>
      <c r="L10" s="105">
        <v>25.125866347907593</v>
      </c>
      <c r="M10" s="105">
        <v>439.08095909754979</v>
      </c>
      <c r="N10" s="114">
        <v>-3.599028355554494</v>
      </c>
      <c r="O10" s="105">
        <v>499.12387162109331</v>
      </c>
      <c r="P10" s="105">
        <v>1.4481629248232799</v>
      </c>
      <c r="Q10" s="106">
        <v>121.80017616518886</v>
      </c>
      <c r="R10" s="210"/>
      <c r="S10" s="104"/>
      <c r="T10" s="105">
        <f>(T9-T8)/T8*100</f>
        <v>0.70097452555993112</v>
      </c>
      <c r="U10" s="105">
        <f>(U9-U8)/U8*100</f>
        <v>20.266544117647079</v>
      </c>
      <c r="V10" s="105">
        <f>(V9-V8)/V8*100</f>
        <v>70.410958904109606</v>
      </c>
      <c r="W10" s="105">
        <f>(W9-W8)/W8*100</f>
        <v>97.136682874122087</v>
      </c>
      <c r="X10" s="105"/>
      <c r="Y10" s="106"/>
      <c r="Z10" s="105">
        <f t="shared" ref="Z10:AH10" si="3">(Z9-Z8)/Z8*100</f>
        <v>0.69389686169374687</v>
      </c>
      <c r="AA10" s="105">
        <f t="shared" si="3"/>
        <v>0.6097560975609807</v>
      </c>
      <c r="AB10" s="105">
        <f t="shared" si="3"/>
        <v>-20.964749536178108</v>
      </c>
      <c r="AC10" s="105">
        <f t="shared" si="3"/>
        <v>-3.8647342995169116</v>
      </c>
      <c r="AD10" s="105">
        <f t="shared" si="3"/>
        <v>314.18047882136278</v>
      </c>
      <c r="AE10" s="114">
        <f t="shared" si="3"/>
        <v>-25.934314835787081</v>
      </c>
      <c r="AF10" s="105">
        <f t="shared" si="3"/>
        <v>360.31195840554597</v>
      </c>
      <c r="AG10" s="105">
        <f t="shared" si="3"/>
        <v>-22.056514913657775</v>
      </c>
      <c r="AH10" s="106">
        <f t="shared" si="3"/>
        <v>70.410958904109606</v>
      </c>
    </row>
    <row r="11" spans="1:34" x14ac:dyDescent="0.25">
      <c r="A11" t="s">
        <v>78</v>
      </c>
      <c r="B11" s="33"/>
      <c r="C11" s="97">
        <v>0.2334075630252101</v>
      </c>
      <c r="D11" s="97">
        <v>0.16926050420168068</v>
      </c>
      <c r="E11" s="97">
        <v>6.0749999999999998E-2</v>
      </c>
      <c r="F11" s="97">
        <v>5.2468487394957991E-2</v>
      </c>
      <c r="G11" s="120">
        <v>27.483000000000001</v>
      </c>
      <c r="H11" s="102">
        <v>13.6318</v>
      </c>
      <c r="I11" s="97">
        <v>3.1238004201680676</v>
      </c>
      <c r="J11" s="97">
        <v>0.78969957983193273</v>
      </c>
      <c r="K11" s="97">
        <v>0.49667647058823539</v>
      </c>
      <c r="L11" s="97">
        <v>0.40639285714285717</v>
      </c>
      <c r="M11" s="97">
        <v>0.78955462184873959</v>
      </c>
      <c r="N11" s="129"/>
      <c r="O11" s="97">
        <v>0.28602731092436973</v>
      </c>
      <c r="P11" s="97">
        <v>0.23866386554621849</v>
      </c>
      <c r="Q11" s="97">
        <v>0.60750630252100835</v>
      </c>
      <c r="R11" s="210" t="s">
        <v>352</v>
      </c>
      <c r="S11" s="104">
        <v>63.025210084033617</v>
      </c>
      <c r="T11" s="97">
        <v>3.7033999999999998</v>
      </c>
      <c r="U11" s="97">
        <v>2.6856</v>
      </c>
      <c r="V11" s="97">
        <v>0.96389999999999998</v>
      </c>
      <c r="W11" s="97">
        <v>0.83250000000000002</v>
      </c>
      <c r="X11" s="97">
        <v>27.483000000000001</v>
      </c>
      <c r="Y11" s="102">
        <v>13.6318</v>
      </c>
      <c r="Z11" s="97">
        <v>49.564300000000003</v>
      </c>
      <c r="AA11" s="97">
        <v>12.5299</v>
      </c>
      <c r="AB11" s="97">
        <v>7.8806000000000003</v>
      </c>
      <c r="AC11" s="97">
        <v>6.4481000000000002</v>
      </c>
      <c r="AD11" s="97">
        <v>12.5276</v>
      </c>
      <c r="AE11" s="129"/>
      <c r="AF11" s="97">
        <v>4.5382999999999996</v>
      </c>
      <c r="AG11" s="97">
        <v>3.7867999999999999</v>
      </c>
      <c r="AH11" s="102">
        <v>9.6390999999999991</v>
      </c>
    </row>
    <row r="12" spans="1:34" x14ac:dyDescent="0.25">
      <c r="A12" t="s">
        <v>79</v>
      </c>
      <c r="B12" s="33"/>
      <c r="C12" s="17">
        <v>0.32333774834437085</v>
      </c>
      <c r="D12" s="17">
        <v>0.24610596026490067</v>
      </c>
      <c r="E12" s="17">
        <v>0.16568211920529799</v>
      </c>
      <c r="F12" s="17">
        <v>0.12663576158940396</v>
      </c>
      <c r="G12" s="97">
        <v>23.885100000000001</v>
      </c>
      <c r="H12" s="102">
        <v>23.566800000000001</v>
      </c>
      <c r="I12" s="17">
        <v>4.6802582781456952</v>
      </c>
      <c r="J12" s="17">
        <v>1.4468675496688741</v>
      </c>
      <c r="K12" s="17">
        <v>0.44610596026490068</v>
      </c>
      <c r="L12" s="17">
        <v>0.40618543046357608</v>
      </c>
      <c r="M12" s="17">
        <v>1.608801324503311</v>
      </c>
      <c r="N12" s="95"/>
      <c r="O12" s="17">
        <v>0.95982119205298</v>
      </c>
      <c r="P12" s="17">
        <v>0.30653642384105961</v>
      </c>
      <c r="Q12" s="19">
        <v>1.6568145695364238</v>
      </c>
      <c r="R12" s="210"/>
      <c r="S12" s="104">
        <v>66.225165562913901</v>
      </c>
      <c r="T12" s="97">
        <v>4.8823999999999996</v>
      </c>
      <c r="U12" s="97">
        <v>3.7162000000000002</v>
      </c>
      <c r="V12" s="97">
        <v>2.5017999999999998</v>
      </c>
      <c r="W12" s="97">
        <v>1.9121999999999999</v>
      </c>
      <c r="X12" s="97">
        <v>23.885100000000001</v>
      </c>
      <c r="Y12" s="102">
        <v>23.566800000000001</v>
      </c>
      <c r="Z12" s="97">
        <v>70.671899999999994</v>
      </c>
      <c r="AA12" s="97">
        <v>21.8477</v>
      </c>
      <c r="AB12" s="97">
        <v>6.7362000000000002</v>
      </c>
      <c r="AC12" s="97">
        <v>6.1334</v>
      </c>
      <c r="AD12" s="97">
        <v>24.292899999999999</v>
      </c>
      <c r="AE12" s="129"/>
      <c r="AF12" s="97">
        <v>14.4933</v>
      </c>
      <c r="AG12" s="97">
        <v>4.6287000000000003</v>
      </c>
      <c r="AH12" s="102">
        <v>25.017900000000001</v>
      </c>
    </row>
    <row r="13" spans="1:34" ht="15.75" thickBot="1" x14ac:dyDescent="0.3">
      <c r="A13" s="28" t="s">
        <v>20</v>
      </c>
      <c r="B13" s="34"/>
      <c r="C13" s="96">
        <f>(C12-C11)/C11*100</f>
        <v>38.529250789293187</v>
      </c>
      <c r="D13" s="96">
        <f t="shared" ref="D13:Q13" si="4">(D12-D11)/D11*100</f>
        <v>45.400701377833272</v>
      </c>
      <c r="E13" s="96">
        <f t="shared" si="4"/>
        <v>172.72776823917366</v>
      </c>
      <c r="F13" s="96">
        <f t="shared" si="4"/>
        <v>141.35584591213723</v>
      </c>
      <c r="G13" s="96"/>
      <c r="H13" s="104"/>
      <c r="I13" s="96">
        <f t="shared" si="4"/>
        <v>49.825777854716044</v>
      </c>
      <c r="J13" s="96">
        <f t="shared" si="4"/>
        <v>83.21746479551156</v>
      </c>
      <c r="K13" s="96">
        <f t="shared" si="4"/>
        <v>-10.1817809616473</v>
      </c>
      <c r="L13" s="96">
        <f t="shared" si="4"/>
        <v>-5.1040926442309675E-2</v>
      </c>
      <c r="M13" s="96">
        <f t="shared" si="4"/>
        <v>103.76061136040316</v>
      </c>
      <c r="N13" s="103"/>
      <c r="O13" s="96">
        <f t="shared" si="4"/>
        <v>235.56977092539682</v>
      </c>
      <c r="P13" s="96">
        <f t="shared" si="4"/>
        <v>28.438556519439786</v>
      </c>
      <c r="Q13" s="96">
        <f t="shared" si="4"/>
        <v>172.72384873391977</v>
      </c>
      <c r="R13" s="210"/>
      <c r="S13" s="104"/>
      <c r="T13" s="105">
        <f>(T12-T11)/T11*100</f>
        <v>31.835610520062641</v>
      </c>
      <c r="U13" s="105">
        <f t="shared" ref="U13:AH13" si="5">(U12-U11)/U11*100</f>
        <v>38.375037235627055</v>
      </c>
      <c r="V13" s="105">
        <f t="shared" si="5"/>
        <v>159.54974582425561</v>
      </c>
      <c r="W13" s="105">
        <f t="shared" si="5"/>
        <v>129.69369369369369</v>
      </c>
      <c r="X13" s="105"/>
      <c r="Y13" s="106"/>
      <c r="Z13" s="105">
        <f t="shared" si="5"/>
        <v>42.586296991988164</v>
      </c>
      <c r="AA13" s="105">
        <f t="shared" si="5"/>
        <v>74.364520067997347</v>
      </c>
      <c r="AB13" s="105">
        <f t="shared" si="5"/>
        <v>-14.5217369235845</v>
      </c>
      <c r="AC13" s="105">
        <f t="shared" si="5"/>
        <v>-4.8805074362990677</v>
      </c>
      <c r="AD13" s="105">
        <f t="shared" si="5"/>
        <v>93.915035601392134</v>
      </c>
      <c r="AE13" s="114"/>
      <c r="AF13" s="105">
        <f t="shared" si="5"/>
        <v>219.35526518740497</v>
      </c>
      <c r="AG13" s="105">
        <f t="shared" si="5"/>
        <v>22.232491813668542</v>
      </c>
      <c r="AH13" s="106">
        <f t="shared" si="5"/>
        <v>159.54601570686063</v>
      </c>
    </row>
    <row r="14" spans="1:34" x14ac:dyDescent="0.25">
      <c r="A14" s="31" t="s">
        <v>80</v>
      </c>
      <c r="B14" s="32"/>
      <c r="C14" s="109">
        <v>1.7448283906702342</v>
      </c>
      <c r="D14" s="110">
        <v>1.0818205151426799</v>
      </c>
      <c r="E14" s="110">
        <v>1.0219788301022272</v>
      </c>
      <c r="F14" s="110">
        <v>0.92825851913940194</v>
      </c>
      <c r="G14" s="120">
        <v>37.998800000000003</v>
      </c>
      <c r="H14" s="102">
        <v>9.1755999999999993</v>
      </c>
      <c r="I14" s="110">
        <v>2.4284246554557538</v>
      </c>
      <c r="J14" s="110">
        <v>0.68356460251830253</v>
      </c>
      <c r="K14" s="110">
        <v>0.3175250467873964</v>
      </c>
      <c r="L14" s="110">
        <v>0.30064905836064443</v>
      </c>
      <c r="M14" s="110">
        <v>0.29195776600953105</v>
      </c>
      <c r="N14" s="112">
        <v>0.1716965595519124</v>
      </c>
      <c r="O14" s="110">
        <v>0.76762000641308648</v>
      </c>
      <c r="P14" s="110">
        <v>0.16062268159270696</v>
      </c>
      <c r="Q14" s="111">
        <v>1.0220184079362489</v>
      </c>
      <c r="R14" s="210" t="s">
        <v>353</v>
      </c>
      <c r="S14" s="104">
        <v>79.155668042926749</v>
      </c>
      <c r="T14" s="97">
        <v>22.042999999999999</v>
      </c>
      <c r="U14" s="97">
        <v>13.667</v>
      </c>
      <c r="V14" s="97">
        <v>12.911</v>
      </c>
      <c r="W14" s="97">
        <v>11.727</v>
      </c>
      <c r="X14" s="120">
        <v>37.998800000000003</v>
      </c>
      <c r="Y14" s="102">
        <v>9.1755999999999993</v>
      </c>
      <c r="Z14" s="97">
        <v>30.679099999999998</v>
      </c>
      <c r="AA14" s="97">
        <v>8.6356999999999999</v>
      </c>
      <c r="AB14" s="97">
        <v>4.0114000000000001</v>
      </c>
      <c r="AC14" s="97">
        <v>3.7982</v>
      </c>
      <c r="AD14" s="97">
        <v>3.6884000000000001</v>
      </c>
      <c r="AE14" s="131">
        <v>2.1690999999999998</v>
      </c>
      <c r="AF14" s="97">
        <v>9.6975999999999996</v>
      </c>
      <c r="AG14" s="97">
        <v>2.0291999999999999</v>
      </c>
      <c r="AH14" s="116">
        <v>12.9115</v>
      </c>
    </row>
    <row r="15" spans="1:34" x14ac:dyDescent="0.25">
      <c r="A15" t="s">
        <v>81</v>
      </c>
      <c r="B15" s="33"/>
      <c r="C15" s="107">
        <v>2.2179249988986873</v>
      </c>
      <c r="D15" s="108">
        <v>1.7240921621594145</v>
      </c>
      <c r="E15" s="108">
        <v>1.4676656576480904</v>
      </c>
      <c r="F15" s="108">
        <v>1.2826512545279849</v>
      </c>
      <c r="G15" s="97">
        <v>22.264399999999998</v>
      </c>
      <c r="H15" s="102">
        <v>12.6081</v>
      </c>
      <c r="I15" s="108">
        <v>3.0871122901175161</v>
      </c>
      <c r="J15" s="108">
        <v>0.86919593675168516</v>
      </c>
      <c r="K15" s="108">
        <v>0.37222477158565553</v>
      </c>
      <c r="L15" s="108">
        <v>0.31654753999250229</v>
      </c>
      <c r="M15" s="108">
        <v>0.67350430055432109</v>
      </c>
      <c r="N15" s="103">
        <v>0.36183284109264779</v>
      </c>
      <c r="O15" s="108">
        <v>1.1971728711799248</v>
      </c>
      <c r="P15" s="108">
        <v>8.546973781520395E-2</v>
      </c>
      <c r="Q15" s="104">
        <v>1.4676915942466586</v>
      </c>
      <c r="R15" s="210"/>
      <c r="S15" s="104">
        <v>86.455328560797042</v>
      </c>
      <c r="T15" s="97">
        <v>25.654</v>
      </c>
      <c r="U15" s="97">
        <v>19.942</v>
      </c>
      <c r="V15" s="97">
        <v>16.975999999999999</v>
      </c>
      <c r="W15" s="97">
        <v>14.836</v>
      </c>
      <c r="X15" s="97">
        <v>22.264399999999998</v>
      </c>
      <c r="Y15" s="102">
        <v>12.6081</v>
      </c>
      <c r="Z15" s="97">
        <v>35.707599999999999</v>
      </c>
      <c r="AA15" s="97">
        <v>10.053699999999999</v>
      </c>
      <c r="AB15" s="97">
        <v>4.3053999999999997</v>
      </c>
      <c r="AC15" s="97">
        <v>3.6614</v>
      </c>
      <c r="AD15" s="97">
        <v>7.7901999999999996</v>
      </c>
      <c r="AE15" s="129">
        <v>4.1852</v>
      </c>
      <c r="AF15" s="97">
        <v>13.847300000000001</v>
      </c>
      <c r="AG15" s="97">
        <v>0.98860000000000003</v>
      </c>
      <c r="AH15" s="102">
        <v>16.976299999999998</v>
      </c>
    </row>
    <row r="16" spans="1:34" ht="15.75" thickBot="1" x14ac:dyDescent="0.3">
      <c r="A16" s="29" t="s">
        <v>20</v>
      </c>
      <c r="B16" s="34"/>
      <c r="C16" s="113">
        <v>27.11421998622594</v>
      </c>
      <c r="D16" s="105">
        <v>59.369519992142713</v>
      </c>
      <c r="E16" s="105">
        <v>43.610181974247133</v>
      </c>
      <c r="F16" s="105">
        <v>38.178236782264506</v>
      </c>
      <c r="G16" s="105"/>
      <c r="H16" s="106"/>
      <c r="I16" s="105">
        <v>27.124071285552947</v>
      </c>
      <c r="J16" s="105">
        <v>27.156370231797123</v>
      </c>
      <c r="K16" s="105">
        <v>17.226900791509571</v>
      </c>
      <c r="L16" s="105">
        <v>5.2880530271898589</v>
      </c>
      <c r="M16" s="105">
        <v>130.68552337543724</v>
      </c>
      <c r="N16" s="114">
        <v>110.73971548232902</v>
      </c>
      <c r="O16" s="105">
        <v>55.959050204285454</v>
      </c>
      <c r="P16" s="105">
        <v>-46.788500249341695</v>
      </c>
      <c r="Q16" s="106">
        <v>43.607158427836247</v>
      </c>
      <c r="R16" s="210"/>
      <c r="S16" s="104"/>
      <c r="T16" s="105">
        <f>(T15-T14)/T14*100</f>
        <v>16.381617747130612</v>
      </c>
      <c r="U16" s="105">
        <f>(U15-U14)/U14*100</f>
        <v>45.913514304529166</v>
      </c>
      <c r="V16" s="105">
        <f>(V15-V14)/V14*100</f>
        <v>31.484780419797069</v>
      </c>
      <c r="W16" s="105">
        <f>(W15-W14)/W14*100</f>
        <v>26.511469258975012</v>
      </c>
      <c r="X16" s="105"/>
      <c r="Y16" s="106"/>
      <c r="Z16" s="105">
        <f t="shared" ref="Z16:AH16" si="6">(Z15-Z14)/Z14*100</f>
        <v>16.390637274235559</v>
      </c>
      <c r="AA16" s="105">
        <f t="shared" si="6"/>
        <v>16.420209131859597</v>
      </c>
      <c r="AB16" s="105">
        <f t="shared" si="6"/>
        <v>7.3291120307124586</v>
      </c>
      <c r="AC16" s="105">
        <f t="shared" si="6"/>
        <v>-3.6017060712969311</v>
      </c>
      <c r="AD16" s="105">
        <f t="shared" si="6"/>
        <v>111.20811191844699</v>
      </c>
      <c r="AE16" s="114">
        <f t="shared" si="6"/>
        <v>92.946383292609852</v>
      </c>
      <c r="AF16" s="105">
        <f t="shared" si="6"/>
        <v>42.790999835010737</v>
      </c>
      <c r="AG16" s="105">
        <f t="shared" si="6"/>
        <v>-51.281293120441553</v>
      </c>
      <c r="AH16" s="106">
        <f t="shared" si="6"/>
        <v>31.482012159702577</v>
      </c>
    </row>
    <row r="17" spans="1:34" ht="15" customHeight="1" x14ac:dyDescent="0.25">
      <c r="A17" t="s">
        <v>45</v>
      </c>
      <c r="B17" s="6"/>
      <c r="C17" s="96">
        <v>1.5966375227528089</v>
      </c>
      <c r="D17" s="96">
        <v>1.7851099306179774</v>
      </c>
      <c r="E17" s="96">
        <v>1.1938053775280899</v>
      </c>
      <c r="F17" s="96">
        <v>1.1028046449438202</v>
      </c>
      <c r="G17" s="96">
        <v>-11.804332840000001</v>
      </c>
      <c r="H17" s="104">
        <v>7.622744419</v>
      </c>
      <c r="I17" s="96">
        <v>4.1026685393258431</v>
      </c>
      <c r="J17" s="96">
        <v>2.5060280898876401</v>
      </c>
      <c r="K17" s="96">
        <v>0.39976685393258427</v>
      </c>
      <c r="L17" s="96">
        <v>0.51550280898876411</v>
      </c>
      <c r="M17" s="96">
        <v>0.58700561797752815</v>
      </c>
      <c r="N17" s="103">
        <v>0.28283426966292136</v>
      </c>
      <c r="O17" s="96">
        <v>0.83579494382022479</v>
      </c>
      <c r="P17" s="96">
        <v>0.26701685393258429</v>
      </c>
      <c r="Q17" s="104">
        <v>1.1938061797752808</v>
      </c>
      <c r="R17" s="210" t="s">
        <v>381</v>
      </c>
      <c r="S17" s="104">
        <v>84.269662921348313</v>
      </c>
      <c r="T17" s="96">
        <v>18.94676527</v>
      </c>
      <c r="U17" s="96">
        <v>21.183304509999999</v>
      </c>
      <c r="V17" s="96">
        <v>14.16649048</v>
      </c>
      <c r="W17" s="96">
        <v>13.086615120000001</v>
      </c>
      <c r="X17" s="96">
        <v>-11.804332840000001</v>
      </c>
      <c r="Y17" s="104">
        <v>7.622744419</v>
      </c>
      <c r="Z17" s="96">
        <v>48.685000000000002</v>
      </c>
      <c r="AA17" s="96">
        <v>29.738199999999999</v>
      </c>
      <c r="AB17" s="96">
        <v>4.7439</v>
      </c>
      <c r="AC17" s="96">
        <v>6.1173000000000002</v>
      </c>
      <c r="AD17" s="96">
        <v>6.9657999999999998</v>
      </c>
      <c r="AE17" s="103">
        <v>3.3563000000000001</v>
      </c>
      <c r="AF17" s="96">
        <v>9.9181000000000008</v>
      </c>
      <c r="AG17" s="96">
        <v>3.1686000000000001</v>
      </c>
      <c r="AH17" s="104">
        <v>14.166499999999999</v>
      </c>
    </row>
    <row r="18" spans="1:34" x14ac:dyDescent="0.25">
      <c r="A18" t="s">
        <v>46</v>
      </c>
      <c r="B18" s="6"/>
      <c r="C18" s="96">
        <v>1.9125676034184513</v>
      </c>
      <c r="D18" s="96">
        <v>1.7704057976716798</v>
      </c>
      <c r="E18" s="96">
        <v>1.2166615470082114</v>
      </c>
      <c r="F18" s="96">
        <v>0.99102216864407133</v>
      </c>
      <c r="G18" s="96">
        <v>7.4330342881829496</v>
      </c>
      <c r="H18" s="104">
        <v>18.545780370801602</v>
      </c>
      <c r="I18" s="96">
        <v>4.3059771428571434</v>
      </c>
      <c r="J18" s="96">
        <v>2.3934085714285716</v>
      </c>
      <c r="K18" s="96">
        <v>0.40558285714285713</v>
      </c>
      <c r="L18" s="96">
        <v>0.49288285714285712</v>
      </c>
      <c r="M18" s="96">
        <v>0.60792857142857148</v>
      </c>
      <c r="N18" s="103">
        <v>0.26400857142857137</v>
      </c>
      <c r="O18" s="96">
        <v>0.79530857142857148</v>
      </c>
      <c r="P18" s="96">
        <v>0.19571142857142856</v>
      </c>
      <c r="Q18" s="104">
        <v>1.216662857142857</v>
      </c>
      <c r="R18" s="210"/>
      <c r="S18" s="104">
        <v>85.714285714285708</v>
      </c>
      <c r="T18" s="96">
        <v>22.313288706548601</v>
      </c>
      <c r="U18" s="96">
        <v>20.654734306169601</v>
      </c>
      <c r="V18" s="96">
        <v>14.194384715095801</v>
      </c>
      <c r="W18" s="96">
        <v>11.5619253008475</v>
      </c>
      <c r="X18" s="96">
        <v>7.4330342881829496</v>
      </c>
      <c r="Y18" s="104">
        <v>18.545780370801602</v>
      </c>
      <c r="Z18" s="96">
        <v>50.236400000000003</v>
      </c>
      <c r="AA18" s="96">
        <v>27.923100000000002</v>
      </c>
      <c r="AB18" s="96">
        <v>4.7317999999999998</v>
      </c>
      <c r="AC18" s="96">
        <v>5.7503000000000002</v>
      </c>
      <c r="AD18" s="96">
        <v>7.0925000000000002</v>
      </c>
      <c r="AE18" s="103">
        <v>3.0800999999999998</v>
      </c>
      <c r="AF18" s="96">
        <v>9.2786000000000008</v>
      </c>
      <c r="AG18" s="96">
        <v>2.2833000000000001</v>
      </c>
      <c r="AH18" s="104">
        <v>14.1944</v>
      </c>
    </row>
    <row r="19" spans="1:34" ht="15.75" thickBot="1" x14ac:dyDescent="0.3">
      <c r="A19" s="28" t="s">
        <v>20</v>
      </c>
      <c r="B19" s="12"/>
      <c r="C19" s="113">
        <v>19.787213826776302</v>
      </c>
      <c r="D19" s="105">
        <v>-0.823710220535675</v>
      </c>
      <c r="E19" s="105">
        <v>1.9145641249705025</v>
      </c>
      <c r="F19" s="105">
        <v>-10.136199263600618</v>
      </c>
      <c r="G19" s="105"/>
      <c r="H19" s="106"/>
      <c r="I19" s="105">
        <v>4.9555210610484339</v>
      </c>
      <c r="J19" s="105">
        <v>-4.4939447771360763</v>
      </c>
      <c r="K19" s="105">
        <v>1.4548487832494652</v>
      </c>
      <c r="L19" s="105">
        <v>-4.3879395905289833</v>
      </c>
      <c r="M19" s="105">
        <v>3.5643531867942548</v>
      </c>
      <c r="N19" s="114">
        <v>-6.656088124252495</v>
      </c>
      <c r="O19" s="105">
        <v>-4.8440556731055944</v>
      </c>
      <c r="P19" s="105">
        <v>-26.70446614548111</v>
      </c>
      <c r="Q19" s="106">
        <v>1.9146053819120559</v>
      </c>
      <c r="R19" s="210"/>
      <c r="S19" s="8"/>
      <c r="T19" s="105">
        <f>(T18-T17)/T17*100</f>
        <v>17.768328200482323</v>
      </c>
      <c r="U19" s="105">
        <f>(U18-U17)/U17*100</f>
        <v>-2.4952207224367475</v>
      </c>
      <c r="V19" s="105">
        <f>(V18-V17)/V17*100</f>
        <v>0.19690293185303059</v>
      </c>
      <c r="W19" s="105">
        <f>(W18-W17)/W17*100</f>
        <v>-11.65075770297813</v>
      </c>
      <c r="X19" s="105"/>
      <c r="Y19" s="106"/>
      <c r="Z19" s="105">
        <f t="shared" ref="Z19:AH19" si="7">(Z18-Z17)/Z17*100</f>
        <v>3.1866077847386278</v>
      </c>
      <c r="AA19" s="105">
        <f t="shared" si="7"/>
        <v>-6.1035973932517686</v>
      </c>
      <c r="AB19" s="105">
        <f t="shared" si="7"/>
        <v>-0.25506439849069795</v>
      </c>
      <c r="AC19" s="105">
        <f t="shared" si="7"/>
        <v>-5.9993788109133108</v>
      </c>
      <c r="AD19" s="105">
        <f t="shared" si="7"/>
        <v>1.8188865600505393</v>
      </c>
      <c r="AE19" s="114">
        <f t="shared" si="7"/>
        <v>-8.2293001221583353</v>
      </c>
      <c r="AF19" s="105">
        <f t="shared" si="7"/>
        <v>-6.4478075437835862</v>
      </c>
      <c r="AG19" s="105">
        <f t="shared" si="7"/>
        <v>-27.939784131793221</v>
      </c>
      <c r="AH19" s="106">
        <f t="shared" si="7"/>
        <v>0.19694349345286913</v>
      </c>
    </row>
    <row r="22" spans="1:34" ht="15.75" thickBot="1" x14ac:dyDescent="0.3">
      <c r="H22" s="23"/>
      <c r="I22" s="13"/>
    </row>
    <row r="23" spans="1:34" x14ac:dyDescent="0.25">
      <c r="B23" s="16" t="s">
        <v>35</v>
      </c>
      <c r="C23" s="110">
        <f t="shared" ref="C23:Q23" si="8">AVERAGE(C14,C11,C8,C5,C2)</f>
        <v>1.4952937601696212</v>
      </c>
      <c r="D23" s="110">
        <f t="shared" si="8"/>
        <v>1.2086270993862476</v>
      </c>
      <c r="E23" s="110">
        <f t="shared" si="8"/>
        <v>0.44557282381939983</v>
      </c>
      <c r="F23" s="110">
        <f t="shared" si="8"/>
        <v>0.40851585234800708</v>
      </c>
      <c r="G23" s="110">
        <f t="shared" si="8"/>
        <v>7.0353200000000014</v>
      </c>
      <c r="H23" s="111">
        <f t="shared" si="8"/>
        <v>-6.8323999999999998</v>
      </c>
      <c r="I23" s="110">
        <f t="shared" si="8"/>
        <v>2.8271221223697629</v>
      </c>
      <c r="J23" s="110">
        <f t="shared" si="8"/>
        <v>0.67504563316370358</v>
      </c>
      <c r="K23" s="110">
        <f t="shared" si="8"/>
        <v>0.32270379197738908</v>
      </c>
      <c r="L23" s="110">
        <f t="shared" si="8"/>
        <v>0.3555215810261883</v>
      </c>
      <c r="M23" s="110">
        <f t="shared" si="8"/>
        <v>0.48415970005680597</v>
      </c>
      <c r="N23" s="112">
        <f t="shared" si="8"/>
        <v>0.75543679447740264</v>
      </c>
      <c r="O23" s="110">
        <f t="shared" si="8"/>
        <v>0.45220939437255125</v>
      </c>
      <c r="P23" s="110">
        <f t="shared" si="8"/>
        <v>0.15434282204374505</v>
      </c>
      <c r="Q23" s="111">
        <f t="shared" si="8"/>
        <v>0.70131548439958047</v>
      </c>
      <c r="S23" s="16" t="s">
        <v>35</v>
      </c>
      <c r="T23" s="110">
        <f t="shared" ref="T23:AH23" si="9">AVERAGE(T14,T11,T8,T5,T2)</f>
        <v>26.701299999999996</v>
      </c>
      <c r="U23" s="110">
        <f t="shared" si="9"/>
        <v>21.620639999999998</v>
      </c>
      <c r="V23" s="110">
        <f t="shared" si="9"/>
        <v>7.81576</v>
      </c>
      <c r="W23" s="110">
        <f t="shared" si="9"/>
        <v>7.0851600000000001</v>
      </c>
      <c r="X23" s="110">
        <f t="shared" si="9"/>
        <v>7.0353200000000014</v>
      </c>
      <c r="Y23" s="111">
        <f t="shared" si="9"/>
        <v>-6.8323999999999998</v>
      </c>
      <c r="Z23" s="110">
        <f t="shared" si="9"/>
        <v>47.848239999999997</v>
      </c>
      <c r="AA23" s="110">
        <f t="shared" si="9"/>
        <v>10.74178</v>
      </c>
      <c r="AB23" s="110">
        <f t="shared" si="9"/>
        <v>5.3025599999999997</v>
      </c>
      <c r="AC23" s="110">
        <f t="shared" si="9"/>
        <v>5.908879999999999</v>
      </c>
      <c r="AD23" s="110">
        <f t="shared" si="9"/>
        <v>7.94252</v>
      </c>
      <c r="AE23" s="112">
        <f t="shared" si="9"/>
        <v>14.131349999999999</v>
      </c>
      <c r="AF23" s="110">
        <f t="shared" si="9"/>
        <v>7.1286999999999994</v>
      </c>
      <c r="AG23" s="110">
        <f t="shared" si="9"/>
        <v>3.0917400000000002</v>
      </c>
      <c r="AH23" s="111">
        <f t="shared" si="9"/>
        <v>11.863759999999999</v>
      </c>
    </row>
    <row r="24" spans="1:34" x14ac:dyDescent="0.25">
      <c r="B24" s="6" t="s">
        <v>36</v>
      </c>
      <c r="C24" s="108">
        <f t="shared" ref="C24:Q24" si="10">AVERAGE(C15,C12,C9,C6,C3)</f>
        <v>1.8486095065197479</v>
      </c>
      <c r="D24" s="108">
        <f t="shared" si="10"/>
        <v>1.5804859673111888</v>
      </c>
      <c r="E24" s="108">
        <f t="shared" si="10"/>
        <v>0.83253084175438263</v>
      </c>
      <c r="F24" s="108">
        <f t="shared" si="10"/>
        <v>0.76790082114904612</v>
      </c>
      <c r="G24" s="108">
        <f t="shared" si="10"/>
        <v>10.6996</v>
      </c>
      <c r="H24" s="104">
        <f t="shared" si="10"/>
        <v>10.87182</v>
      </c>
      <c r="I24" s="108">
        <f t="shared" si="10"/>
        <v>3.8084031337008155</v>
      </c>
      <c r="J24" s="108">
        <f t="shared" si="10"/>
        <v>1.0394437837185948</v>
      </c>
      <c r="K24" s="108">
        <f t="shared" si="10"/>
        <v>0.33590304831010176</v>
      </c>
      <c r="L24" s="108">
        <f t="shared" si="10"/>
        <v>0.34900818980043935</v>
      </c>
      <c r="M24" s="108">
        <f t="shared" si="10"/>
        <v>0.97480889507372503</v>
      </c>
      <c r="N24" s="103">
        <f t="shared" si="10"/>
        <v>0.85076673547910842</v>
      </c>
      <c r="O24" s="108">
        <f t="shared" si="10"/>
        <v>1.0433777681247256</v>
      </c>
      <c r="P24" s="108">
        <f t="shared" si="10"/>
        <v>0.23362918793472004</v>
      </c>
      <c r="Q24" s="104">
        <f t="shared" si="10"/>
        <v>1.4223093347944948</v>
      </c>
      <c r="S24" s="6" t="s">
        <v>36</v>
      </c>
      <c r="T24" s="108">
        <f t="shared" ref="T24:AH24" si="11">AVERAGE(T15,T12,T9,T6,T3)</f>
        <v>29.422039999999999</v>
      </c>
      <c r="U24" s="108">
        <f t="shared" si="11"/>
        <v>25.366379999999999</v>
      </c>
      <c r="V24" s="108">
        <f t="shared" si="11"/>
        <v>12.785079999999999</v>
      </c>
      <c r="W24" s="108">
        <f t="shared" si="11"/>
        <v>11.896239999999997</v>
      </c>
      <c r="X24" s="108">
        <f t="shared" si="11"/>
        <v>10.6996</v>
      </c>
      <c r="Y24" s="104">
        <f t="shared" si="11"/>
        <v>10.87182</v>
      </c>
      <c r="Z24" s="108">
        <f t="shared" si="11"/>
        <v>58.721860000000007</v>
      </c>
      <c r="AA24" s="108">
        <f t="shared" si="11"/>
        <v>15.54914</v>
      </c>
      <c r="AB24" s="108">
        <f t="shared" si="11"/>
        <v>5.0728799999999996</v>
      </c>
      <c r="AC24" s="108">
        <f t="shared" si="11"/>
        <v>5.3777400000000011</v>
      </c>
      <c r="AD24" s="108">
        <f t="shared" si="11"/>
        <v>15.09714</v>
      </c>
      <c r="AE24" s="103">
        <f t="shared" si="11"/>
        <v>13.943750000000001</v>
      </c>
      <c r="AF24" s="108">
        <f t="shared" si="11"/>
        <v>15.880799999999999</v>
      </c>
      <c r="AG24" s="108">
        <f t="shared" si="11"/>
        <v>3.5811000000000002</v>
      </c>
      <c r="AH24" s="104">
        <f t="shared" si="11"/>
        <v>21.56438</v>
      </c>
    </row>
    <row r="25" spans="1:34" x14ac:dyDescent="0.25">
      <c r="B25" s="43" t="s">
        <v>37</v>
      </c>
      <c r="C25" s="121">
        <f>AVERAGE(C16,C13,C10,C7,C4,C1)</f>
        <v>30.502319709223844</v>
      </c>
      <c r="D25" s="121">
        <f>AVERAGE(D16,D13,D10,D7,D4,D1)</f>
        <v>37.601974736604042</v>
      </c>
      <c r="E25" s="121">
        <f>AVERAGE(E16,E13,E10,E7,E4,E1)</f>
        <v>113.10031159300806</v>
      </c>
      <c r="F25" s="121">
        <f>AVERAGE(F16,F13,F10,F7,F4,F1)</f>
        <v>103.73933541165874</v>
      </c>
      <c r="G25" s="121"/>
      <c r="H25" s="122"/>
      <c r="I25" s="121">
        <f t="shared" ref="I25:Q25" si="12">AVERAGE(I16,I13,I10,I7,I4,I1)</f>
        <v>40.555726480694332</v>
      </c>
      <c r="J25" s="121">
        <f t="shared" si="12"/>
        <v>69.501534514641349</v>
      </c>
      <c r="K25" s="121">
        <f t="shared" si="12"/>
        <v>5.8490326213591519</v>
      </c>
      <c r="L25" s="121">
        <f t="shared" si="12"/>
        <v>0.96094130493106233</v>
      </c>
      <c r="M25" s="121">
        <f t="shared" si="12"/>
        <v>157.96432834495252</v>
      </c>
      <c r="N25" s="123">
        <f t="shared" si="12"/>
        <v>30.082837730699104</v>
      </c>
      <c r="O25" s="121">
        <f t="shared" si="12"/>
        <v>198.16985505897031</v>
      </c>
      <c r="P25" s="121">
        <f t="shared" si="12"/>
        <v>18.766878890895519</v>
      </c>
      <c r="Q25" s="122">
        <f t="shared" si="12"/>
        <v>113.09584960074361</v>
      </c>
      <c r="S25" s="43" t="s">
        <v>37</v>
      </c>
      <c r="T25" s="121">
        <f>AVERAGE(T16,T13,T10,T7,T4,T1)</f>
        <v>19.601709119054334</v>
      </c>
      <c r="U25" s="121">
        <f>AVERAGE(U16,U13,U10,U7,U4,U1)</f>
        <v>25.097878317563111</v>
      </c>
      <c r="V25" s="121">
        <f>AVERAGE(V16,V13,V10,V7,V4,V1)</f>
        <v>96.339102019584885</v>
      </c>
      <c r="W25" s="121">
        <f>AVERAGE(W16,W13,W10,W7,W4,W1)</f>
        <v>83.988863502139367</v>
      </c>
      <c r="X25" s="121"/>
      <c r="Y25" s="122"/>
      <c r="Z25" s="121">
        <f t="shared" ref="Z25:AH25" si="13">AVERAGE(Z16,Z13,Z10,Z7,Z4,Z1)</f>
        <v>28.859500966520546</v>
      </c>
      <c r="AA25" s="121">
        <f t="shared" si="13"/>
        <v>55.590195697885768</v>
      </c>
      <c r="AB25" s="121">
        <f t="shared" si="13"/>
        <v>-2.6435580283628206</v>
      </c>
      <c r="AC25" s="121">
        <f t="shared" si="13"/>
        <v>-8.3918132769228269</v>
      </c>
      <c r="AD25" s="121">
        <f t="shared" si="13"/>
        <v>124.05790776634024</v>
      </c>
      <c r="AE25" s="123">
        <f t="shared" si="13"/>
        <v>19.576476867087859</v>
      </c>
      <c r="AF25" s="121">
        <f t="shared" si="13"/>
        <v>160.70373924806174</v>
      </c>
      <c r="AG25" s="121">
        <f t="shared" si="13"/>
        <v>9.1997602671777408</v>
      </c>
      <c r="AH25" s="122">
        <f t="shared" si="13"/>
        <v>96.334716229093118</v>
      </c>
    </row>
    <row r="26" spans="1:34" x14ac:dyDescent="0.25">
      <c r="B26" s="6" t="s">
        <v>38</v>
      </c>
      <c r="C26" s="108">
        <f t="shared" ref="C26:Q26" si="14">_xlfn.STDEV.S(C14,C11,C8,C5,C2)</f>
        <v>1.2643395982446728</v>
      </c>
      <c r="D26" s="108">
        <f t="shared" si="14"/>
        <v>1.1340493529969045</v>
      </c>
      <c r="E26" s="108">
        <f t="shared" si="14"/>
        <v>0.49091396475634558</v>
      </c>
      <c r="F26" s="108">
        <f t="shared" si="14"/>
        <v>0.42141175337361281</v>
      </c>
      <c r="G26" s="108">
        <f t="shared" si="14"/>
        <v>25.836216764302005</v>
      </c>
      <c r="H26" s="104">
        <f t="shared" si="14"/>
        <v>39.152605521216593</v>
      </c>
      <c r="I26" s="108">
        <f t="shared" si="14"/>
        <v>0.84938448038807302</v>
      </c>
      <c r="J26" s="108">
        <f t="shared" si="14"/>
        <v>0.37586818112782355</v>
      </c>
      <c r="K26" s="108">
        <f t="shared" si="14"/>
        <v>0.11268089325686192</v>
      </c>
      <c r="L26" s="108">
        <f t="shared" si="14"/>
        <v>0.1085204932380729</v>
      </c>
      <c r="M26" s="108">
        <f t="shared" si="14"/>
        <v>0.28183509200039986</v>
      </c>
      <c r="N26" s="103">
        <f t="shared" si="14"/>
        <v>0.46181189194697375</v>
      </c>
      <c r="O26" s="108">
        <f t="shared" si="14"/>
        <v>0.23573164965540552</v>
      </c>
      <c r="P26" s="108">
        <f t="shared" si="14"/>
        <v>0.35957787031917277</v>
      </c>
      <c r="Q26" s="104">
        <f t="shared" si="14"/>
        <v>0.35973492785722988</v>
      </c>
      <c r="S26" s="6" t="s">
        <v>38</v>
      </c>
      <c r="T26" s="108">
        <f t="shared" ref="T26:AH26" si="15">_xlfn.STDEV.S(T14,T11,T8,T5,T2)</f>
        <v>25.433175212308822</v>
      </c>
      <c r="U26" s="108">
        <f t="shared" si="15"/>
        <v>21.634638011022975</v>
      </c>
      <c r="V26" s="108">
        <f t="shared" si="15"/>
        <v>9.3210760018894803</v>
      </c>
      <c r="W26" s="108">
        <f t="shared" si="15"/>
        <v>7.7869580005930414</v>
      </c>
      <c r="X26" s="108">
        <f t="shared" si="15"/>
        <v>25.836216764302005</v>
      </c>
      <c r="Y26" s="104">
        <f t="shared" si="15"/>
        <v>39.152605521216593</v>
      </c>
      <c r="Z26" s="108">
        <f t="shared" si="15"/>
        <v>18.069591417018824</v>
      </c>
      <c r="AA26" s="108">
        <f t="shared" si="15"/>
        <v>5.9434877451711801</v>
      </c>
      <c r="AB26" s="108">
        <f t="shared" si="15"/>
        <v>1.7437196142155449</v>
      </c>
      <c r="AC26" s="108">
        <f t="shared" si="15"/>
        <v>1.9083584849288684</v>
      </c>
      <c r="AD26" s="108">
        <f t="shared" si="15"/>
        <v>4.5077397625639382</v>
      </c>
      <c r="AE26" s="103">
        <f t="shared" si="15"/>
        <v>10.581905192197985</v>
      </c>
      <c r="AF26" s="108">
        <f t="shared" si="15"/>
        <v>2.8136328251923715</v>
      </c>
      <c r="AG26" s="108">
        <f t="shared" si="15"/>
        <v>7.0845678137766459</v>
      </c>
      <c r="AH26" s="104">
        <f t="shared" si="15"/>
        <v>7.1529925554274145</v>
      </c>
    </row>
    <row r="27" spans="1:34" x14ac:dyDescent="0.25">
      <c r="B27" s="6" t="s">
        <v>39</v>
      </c>
      <c r="C27" s="108">
        <f t="shared" ref="C27:Q27" si="16">_xlfn.STDEV.S(C15,C12,C9,C6,C3)</f>
        <v>1.5157848870023323</v>
      </c>
      <c r="D27" s="108">
        <f t="shared" si="16"/>
        <v>1.3366611124674426</v>
      </c>
      <c r="E27" s="108">
        <f t="shared" si="16"/>
        <v>0.89211537295911447</v>
      </c>
      <c r="F27" s="108">
        <f t="shared" si="16"/>
        <v>0.86062825312139624</v>
      </c>
      <c r="G27" s="108">
        <f t="shared" si="16"/>
        <v>14.19103792733287</v>
      </c>
      <c r="H27" s="104">
        <f t="shared" si="16"/>
        <v>10.304089001313995</v>
      </c>
      <c r="I27" s="108">
        <f t="shared" si="16"/>
        <v>0.67432097678467773</v>
      </c>
      <c r="J27" s="108">
        <f t="shared" si="16"/>
        <v>0.49447064716221678</v>
      </c>
      <c r="K27" s="108">
        <f t="shared" si="16"/>
        <v>9.4145937463253948E-2</v>
      </c>
      <c r="L27" s="108">
        <f t="shared" si="16"/>
        <v>6.8848908029023437E-2</v>
      </c>
      <c r="M27" s="108">
        <f t="shared" si="16"/>
        <v>0.44252615731241335</v>
      </c>
      <c r="N27" s="103">
        <f t="shared" si="16"/>
        <v>0.50856913385454117</v>
      </c>
      <c r="O27" s="108">
        <f t="shared" si="16"/>
        <v>0.32893681577009121</v>
      </c>
      <c r="P27" s="108">
        <f t="shared" si="16"/>
        <v>0.39033529272870532</v>
      </c>
      <c r="Q27" s="104">
        <f t="shared" si="16"/>
        <v>0.6799031551735718</v>
      </c>
      <c r="S27" s="6" t="s">
        <v>39</v>
      </c>
      <c r="T27" s="108">
        <f t="shared" ref="T27:AH27" si="17">_xlfn.STDEV.S(T15,T12,T9,T6,T3)</f>
        <v>26.675692081893583</v>
      </c>
      <c r="U27" s="108">
        <f t="shared" si="17"/>
        <v>23.815035239360874</v>
      </c>
      <c r="V27" s="108">
        <f t="shared" si="17"/>
        <v>14.984655531309354</v>
      </c>
      <c r="W27" s="108">
        <f t="shared" si="17"/>
        <v>14.73556801714817</v>
      </c>
      <c r="X27" s="108">
        <f t="shared" si="17"/>
        <v>14.19103792733287</v>
      </c>
      <c r="Y27" s="104">
        <f t="shared" si="17"/>
        <v>10.304089001313995</v>
      </c>
      <c r="Z27" s="108">
        <f t="shared" si="17"/>
        <v>16.000466117210419</v>
      </c>
      <c r="AA27" s="108">
        <f t="shared" si="17"/>
        <v>7.6391448502433841</v>
      </c>
      <c r="AB27" s="108">
        <f t="shared" si="17"/>
        <v>1.4940168312304936</v>
      </c>
      <c r="AC27" s="108">
        <f t="shared" si="17"/>
        <v>1.5907456358575993</v>
      </c>
      <c r="AD27" s="108">
        <f t="shared" si="17"/>
        <v>7.695464523535926</v>
      </c>
      <c r="AE27" s="103">
        <f t="shared" si="17"/>
        <v>9.763492278722131</v>
      </c>
      <c r="AF27" s="108">
        <f t="shared" si="17"/>
        <v>6.2306495163024547</v>
      </c>
      <c r="AG27" s="108">
        <f t="shared" si="17"/>
        <v>6.4905598764667447</v>
      </c>
      <c r="AH27" s="104">
        <f t="shared" si="17"/>
        <v>11.923452149734157</v>
      </c>
    </row>
    <row r="28" spans="1:34" ht="15.75" thickBot="1" x14ac:dyDescent="0.3">
      <c r="B28" s="30" t="s">
        <v>40</v>
      </c>
      <c r="C28" s="105">
        <f>_xlfn.STDEV.S(C16,C13,C10,C7,C4,C1)</f>
        <v>11.667938626797165</v>
      </c>
      <c r="D28" s="105">
        <f>_xlfn.STDEV.S(D16,D13,D10,D7,D4,D1)</f>
        <v>24.193886736260737</v>
      </c>
      <c r="E28" s="105">
        <f>_xlfn.STDEV.S(E16,E13,E10,E7,E4,E1)</f>
        <v>47.121392714499954</v>
      </c>
      <c r="F28" s="105">
        <f>_xlfn.STDEV.S(F16,F13,F10,F7,F4,F1)</f>
        <v>73.583988715018435</v>
      </c>
      <c r="G28" s="105"/>
      <c r="H28" s="106"/>
      <c r="I28" s="105">
        <f t="shared" ref="I28:Q28" si="18">_xlfn.STDEV.S(I16,I13,I10,I7,I4,I1)</f>
        <v>30.704571015873839</v>
      </c>
      <c r="J28" s="105">
        <f t="shared" si="18"/>
        <v>87.084851309401557</v>
      </c>
      <c r="K28" s="105">
        <f t="shared" si="18"/>
        <v>10.302863522483493</v>
      </c>
      <c r="L28" s="105">
        <f t="shared" si="18"/>
        <v>16.09304304614432</v>
      </c>
      <c r="M28" s="105">
        <f t="shared" si="18"/>
        <v>171.49457805364099</v>
      </c>
      <c r="N28" s="114">
        <f t="shared" si="18"/>
        <v>57.225518038900987</v>
      </c>
      <c r="O28" s="105">
        <f t="shared" si="18"/>
        <v>196.51560219852135</v>
      </c>
      <c r="P28" s="105">
        <f t="shared" si="18"/>
        <v>66.297764938598903</v>
      </c>
      <c r="Q28" s="106">
        <f t="shared" si="18"/>
        <v>47.120663233778281</v>
      </c>
      <c r="S28" s="30" t="s">
        <v>40</v>
      </c>
      <c r="T28" s="105">
        <f>_xlfn.STDEV.S(T16,T13,T10,T7,T4,T1)</f>
        <v>13.228011395990281</v>
      </c>
      <c r="U28" s="105">
        <f>_xlfn.STDEV.S(U16,U13,U10,U7,U4,U1)</f>
        <v>16.758731790533432</v>
      </c>
      <c r="V28" s="105">
        <f>_xlfn.STDEV.S(V16,V13,V10,V7,V4,V1)</f>
        <v>51.303160143373098</v>
      </c>
      <c r="W28" s="105">
        <f>_xlfn.STDEV.S(W16,W13,W10,W7,W4,W1)</f>
        <v>61.221446448832907</v>
      </c>
      <c r="X28" s="105"/>
      <c r="Y28" s="106"/>
      <c r="Z28" s="105">
        <f t="shared" ref="Z28:AH28" si="19">_xlfn.STDEV.S(Z16,Z13,Z10,Z7,Z4,Z1)</f>
        <v>29.955544882551447</v>
      </c>
      <c r="AA28" s="105">
        <f t="shared" si="19"/>
        <v>82.225857442298405</v>
      </c>
      <c r="AB28" s="105">
        <f t="shared" si="19"/>
        <v>14.584650579800671</v>
      </c>
      <c r="AC28" s="105">
        <f t="shared" si="19"/>
        <v>5.8913719050192181</v>
      </c>
      <c r="AD28" s="105">
        <f t="shared" si="19"/>
        <v>122.28538545350351</v>
      </c>
      <c r="AE28" s="114">
        <f t="shared" si="19"/>
        <v>56.100379791300377</v>
      </c>
      <c r="AF28" s="105">
        <f t="shared" si="19"/>
        <v>145.79846616710267</v>
      </c>
      <c r="AG28" s="105">
        <f t="shared" si="19"/>
        <v>62.429854550691509</v>
      </c>
      <c r="AH28" s="106">
        <f t="shared" si="19"/>
        <v>51.300880018079631</v>
      </c>
    </row>
    <row r="29" spans="1:34" ht="15" customHeight="1" thickBot="1" x14ac:dyDescent="0.3">
      <c r="A29" t="s">
        <v>134</v>
      </c>
      <c r="B29" s="58"/>
      <c r="C29" s="58"/>
      <c r="D29" s="58"/>
      <c r="E29" s="58"/>
      <c r="F29" s="58"/>
      <c r="G29" s="58"/>
      <c r="H29" s="58"/>
      <c r="I29" s="58"/>
      <c r="J29" s="58"/>
      <c r="K29" s="58"/>
      <c r="L29" s="58"/>
      <c r="M29" s="58"/>
      <c r="N29" s="58"/>
      <c r="O29" s="58"/>
      <c r="P29" s="58"/>
      <c r="S29" s="58"/>
      <c r="T29" s="169"/>
      <c r="U29" s="169"/>
      <c r="V29" s="169"/>
      <c r="W29" s="169"/>
      <c r="X29" s="169"/>
      <c r="Y29" s="169"/>
      <c r="Z29" s="169"/>
      <c r="AA29" s="169"/>
      <c r="AB29" s="169"/>
      <c r="AC29" s="169"/>
      <c r="AD29" s="169"/>
      <c r="AE29" s="169"/>
      <c r="AF29" s="169"/>
      <c r="AG29" s="169"/>
      <c r="AH29" s="96"/>
    </row>
    <row r="30" spans="1:34" x14ac:dyDescent="0.25">
      <c r="B30" s="16" t="s">
        <v>35</v>
      </c>
      <c r="C30" s="96">
        <v>2.3505340283800362</v>
      </c>
      <c r="D30" s="96">
        <v>1.8805230229693206</v>
      </c>
      <c r="E30" s="96">
        <v>1.0160252812826149</v>
      </c>
      <c r="F30" s="96">
        <v>0.93064091431231954</v>
      </c>
      <c r="G30" s="96">
        <v>16.932252380952381</v>
      </c>
      <c r="H30" s="111">
        <v>6.7260809523809542</v>
      </c>
      <c r="I30" s="96">
        <v>3.4358630019485559</v>
      </c>
      <c r="J30" s="96">
        <v>1.0612955117796181</v>
      </c>
      <c r="K30" s="96">
        <v>0.35258478889367656</v>
      </c>
      <c r="L30" s="96">
        <v>0.35050024161249194</v>
      </c>
      <c r="M30" s="96">
        <v>0.42613551691128604</v>
      </c>
      <c r="N30" s="112">
        <v>0.79603776298904771</v>
      </c>
      <c r="O30" s="96">
        <v>0.48300783325726021</v>
      </c>
      <c r="P30" s="96">
        <v>0.46308976587638639</v>
      </c>
      <c r="Q30" s="111">
        <v>1.0160233290085481</v>
      </c>
      <c r="S30" s="6" t="s">
        <v>35</v>
      </c>
      <c r="T30" s="96">
        <v>38.509043478260871</v>
      </c>
      <c r="U30" s="96">
        <v>30.935217391304349</v>
      </c>
      <c r="V30" s="96">
        <v>16.656999999999996</v>
      </c>
      <c r="W30" s="96">
        <v>15.317272727272728</v>
      </c>
      <c r="X30" s="96">
        <v>16.79301818181818</v>
      </c>
      <c r="Y30" s="104">
        <v>6.0623045454545466</v>
      </c>
      <c r="Z30" s="96">
        <v>55.930869565217385</v>
      </c>
      <c r="AA30" s="96">
        <v>16.97650909090909</v>
      </c>
      <c r="AB30" s="96">
        <v>6.0907954545454546</v>
      </c>
      <c r="AC30" s="96">
        <v>5.9655826086956516</v>
      </c>
      <c r="AD30" s="96">
        <v>7.0906565217391293</v>
      </c>
      <c r="AE30" s="103">
        <v>12.485695454545453</v>
      </c>
      <c r="AF30" s="96">
        <v>8.0412681818181806</v>
      </c>
      <c r="AG30" s="96">
        <v>7.2758954545454539</v>
      </c>
      <c r="AH30" s="111">
        <v>16.656949999999998</v>
      </c>
    </row>
    <row r="31" spans="1:34" x14ac:dyDescent="0.25">
      <c r="B31" s="6" t="s">
        <v>36</v>
      </c>
      <c r="C31" s="96">
        <v>2.941865852956163</v>
      </c>
      <c r="D31" s="96">
        <v>2.1849707149652109</v>
      </c>
      <c r="E31" s="96">
        <v>1.4880043601529855</v>
      </c>
      <c r="F31" s="96">
        <v>1.4104592812467101</v>
      </c>
      <c r="G31" s="96">
        <v>23.960213636363633</v>
      </c>
      <c r="H31" s="104">
        <v>4.1328190476190469</v>
      </c>
      <c r="I31" s="96">
        <v>3.9288343417843903</v>
      </c>
      <c r="J31" s="96">
        <v>0.98698184742510164</v>
      </c>
      <c r="K31" s="96">
        <v>0.34681927385864758</v>
      </c>
      <c r="L31" s="96">
        <v>0.36936273150036186</v>
      </c>
      <c r="M31" s="96">
        <v>0.78145124558012324</v>
      </c>
      <c r="N31" s="103">
        <v>0.73523640942635982</v>
      </c>
      <c r="O31" s="96">
        <v>1.0270769835671483</v>
      </c>
      <c r="P31" s="96">
        <v>0.41345341529555324</v>
      </c>
      <c r="Q31" s="104">
        <v>1.4879967641036531</v>
      </c>
      <c r="S31" s="6" t="s">
        <v>36</v>
      </c>
      <c r="T31" s="96">
        <v>48.302043478260877</v>
      </c>
      <c r="U31" s="96">
        <v>36.448086956521735</v>
      </c>
      <c r="V31" s="96">
        <v>24.847318181818185</v>
      </c>
      <c r="W31" s="96">
        <v>23.667818181818181</v>
      </c>
      <c r="X31" s="96">
        <v>23.900504347826086</v>
      </c>
      <c r="Y31" s="104">
        <v>3.8601818181818177</v>
      </c>
      <c r="Z31" s="96">
        <v>64.177730434782617</v>
      </c>
      <c r="AA31" s="96">
        <v>15.832478260869564</v>
      </c>
      <c r="AB31" s="96">
        <v>6.0439590909090901</v>
      </c>
      <c r="AC31" s="96">
        <v>6.4575217391304349</v>
      </c>
      <c r="AD31" s="96">
        <v>13.219591304347828</v>
      </c>
      <c r="AE31" s="103">
        <v>11.11825</v>
      </c>
      <c r="AF31" s="96">
        <v>17.210290909090904</v>
      </c>
      <c r="AG31" s="96">
        <v>6.7832904761904773</v>
      </c>
      <c r="AH31" s="104">
        <v>24.847190909090909</v>
      </c>
    </row>
    <row r="32" spans="1:34" x14ac:dyDescent="0.25">
      <c r="B32" s="56" t="s">
        <v>128</v>
      </c>
      <c r="C32" s="121">
        <v>28.97307873420899</v>
      </c>
      <c r="D32" s="121">
        <v>18.759714392109931</v>
      </c>
      <c r="E32" s="121">
        <v>56.691686242311839</v>
      </c>
      <c r="F32" s="121">
        <v>62.446339948550353</v>
      </c>
      <c r="G32" s="121"/>
      <c r="H32" s="122"/>
      <c r="I32" s="121">
        <v>15.728720953037771</v>
      </c>
      <c r="J32" s="121">
        <v>-9.9917593795579975</v>
      </c>
      <c r="K32" s="121">
        <v>3.581496807289271</v>
      </c>
      <c r="L32" s="121">
        <v>6.9664152824614352</v>
      </c>
      <c r="M32" s="121">
        <v>98.786476887573627</v>
      </c>
      <c r="N32" s="123">
        <v>5.2541223991712069</v>
      </c>
      <c r="O32" s="121">
        <v>132.46498861738144</v>
      </c>
      <c r="P32" s="121">
        <v>-4.755190039117509</v>
      </c>
      <c r="Q32" s="122">
        <v>56.691126629985106</v>
      </c>
      <c r="S32" s="56" t="s">
        <v>128</v>
      </c>
      <c r="T32" s="121">
        <v>19.744967227717357</v>
      </c>
      <c r="U32" s="121">
        <v>12.929061252812712</v>
      </c>
      <c r="V32" s="121">
        <v>35.659543298503408</v>
      </c>
      <c r="W32" s="121">
        <v>43.300770037206192</v>
      </c>
      <c r="X32" s="121"/>
      <c r="Y32" s="122"/>
      <c r="Z32" s="121">
        <v>10.137425602022006</v>
      </c>
      <c r="AA32" s="121">
        <v>-11.349021305084666</v>
      </c>
      <c r="AB32" s="121">
        <v>-0.53484515846737513</v>
      </c>
      <c r="AC32" s="121">
        <v>2.6451988604960937</v>
      </c>
      <c r="AD32" s="121">
        <v>66.665302620966855</v>
      </c>
      <c r="AE32" s="123">
        <v>-14.028527589120625</v>
      </c>
      <c r="AF32" s="121">
        <v>91.256016687690177</v>
      </c>
      <c r="AG32" s="121">
        <v>-6.5431233894477892</v>
      </c>
      <c r="AH32" s="122">
        <v>35.658735419083094</v>
      </c>
    </row>
    <row r="33" spans="2:34" x14ac:dyDescent="0.25">
      <c r="B33" s="6" t="s">
        <v>38</v>
      </c>
      <c r="C33" s="96">
        <v>0.50221324952494106</v>
      </c>
      <c r="D33" s="96">
        <v>0.48420675970139238</v>
      </c>
      <c r="E33" s="96">
        <v>0.33252222933831793</v>
      </c>
      <c r="F33" s="96">
        <v>0.30329078142963217</v>
      </c>
      <c r="G33" s="96">
        <v>14.362216400342779</v>
      </c>
      <c r="H33" s="104">
        <v>15.710143261640708</v>
      </c>
      <c r="I33" s="96">
        <v>0.67113733782644158</v>
      </c>
      <c r="J33" s="96">
        <v>0.45957388131448002</v>
      </c>
      <c r="K33" s="96">
        <v>0.15902384601399711</v>
      </c>
      <c r="L33" s="96">
        <v>0.11018685728824226</v>
      </c>
      <c r="M33" s="96">
        <v>0.16199335087789643</v>
      </c>
      <c r="N33" s="103">
        <v>0.35716769257228553</v>
      </c>
      <c r="O33" s="96">
        <v>0.19211972779749101</v>
      </c>
      <c r="P33" s="96">
        <v>0.21918527289237225</v>
      </c>
      <c r="Q33" s="104">
        <v>0.33252864316845659</v>
      </c>
      <c r="S33" s="6" t="s">
        <v>38</v>
      </c>
      <c r="T33" s="96">
        <v>8.8567321067971037</v>
      </c>
      <c r="U33" s="96">
        <v>8.3251242608550537</v>
      </c>
      <c r="V33" s="96">
        <v>6.037636573386159</v>
      </c>
      <c r="W33" s="96">
        <v>5.396310647393701</v>
      </c>
      <c r="X33" s="96">
        <v>14.097616359691241</v>
      </c>
      <c r="Y33" s="104">
        <v>15.658147707740367</v>
      </c>
      <c r="Z33" s="96">
        <v>10.579647082386577</v>
      </c>
      <c r="AA33" s="96">
        <v>6.6916315307351786</v>
      </c>
      <c r="AB33" s="96">
        <v>3.3371686996376542</v>
      </c>
      <c r="AC33" s="96">
        <v>2.3698018888673702</v>
      </c>
      <c r="AD33" s="96">
        <v>3.1494424347319137</v>
      </c>
      <c r="AE33" s="103">
        <v>4.365833366540584</v>
      </c>
      <c r="AF33" s="96">
        <v>3.4319386044965907</v>
      </c>
      <c r="AG33" s="96">
        <v>3.3712896925054703</v>
      </c>
      <c r="AH33" s="104">
        <v>6.037688894055897</v>
      </c>
    </row>
    <row r="34" spans="2:34" x14ac:dyDescent="0.25">
      <c r="B34" s="6" t="s">
        <v>39</v>
      </c>
      <c r="C34" s="96">
        <v>0.64771890217256245</v>
      </c>
      <c r="D34" s="96">
        <v>0.5834373436582857</v>
      </c>
      <c r="E34" s="96">
        <v>0.46045984580707155</v>
      </c>
      <c r="F34" s="96">
        <v>0.43102125829759935</v>
      </c>
      <c r="G34" s="96">
        <v>13.372533896970454</v>
      </c>
      <c r="H34" s="104">
        <v>10.980549735391211</v>
      </c>
      <c r="I34" s="96">
        <v>0.85528022863904052</v>
      </c>
      <c r="J34" s="96">
        <v>0.51457381314985673</v>
      </c>
      <c r="K34" s="96">
        <v>0.13304239100838294</v>
      </c>
      <c r="L34" s="96">
        <v>0.12520845137003778</v>
      </c>
      <c r="M34" s="96">
        <v>0.31784158931966133</v>
      </c>
      <c r="N34" s="103">
        <v>0.31676724674770979</v>
      </c>
      <c r="O34" s="96">
        <v>0.37708613718822537</v>
      </c>
      <c r="P34" s="96">
        <v>0.1439095909165784</v>
      </c>
      <c r="Q34" s="104">
        <v>0.46046723395869837</v>
      </c>
      <c r="S34" s="6" t="s">
        <v>39</v>
      </c>
      <c r="T34" s="96">
        <v>13.333147103976621</v>
      </c>
      <c r="U34" s="96">
        <v>12.631393472529126</v>
      </c>
      <c r="V34" s="96">
        <v>9.4500737695233248</v>
      </c>
      <c r="W34" s="96">
        <v>8.9129790770096005</v>
      </c>
      <c r="X34" s="96">
        <v>13.075570836379956</v>
      </c>
      <c r="Y34" s="104">
        <v>10.797076382719801</v>
      </c>
      <c r="Z34" s="96">
        <v>13.934689974859648</v>
      </c>
      <c r="AA34" s="96">
        <v>6.6621780598011577</v>
      </c>
      <c r="AB34" s="96">
        <v>2.8559419890956086</v>
      </c>
      <c r="AC34" s="96">
        <v>2.9871056778529219</v>
      </c>
      <c r="AD34" s="96">
        <v>6.9810091042273879</v>
      </c>
      <c r="AE34" s="103">
        <v>4.6984463845489124</v>
      </c>
      <c r="AF34" s="96">
        <v>7.3284160395482179</v>
      </c>
      <c r="AG34" s="96">
        <v>2.6290055980303655</v>
      </c>
      <c r="AH34" s="104">
        <v>9.4501180875919868</v>
      </c>
    </row>
    <row r="35" spans="2:34" ht="15.75" thickBot="1" x14ac:dyDescent="0.3">
      <c r="B35" s="30" t="s">
        <v>40</v>
      </c>
      <c r="C35" s="105">
        <v>26.594846958389351</v>
      </c>
      <c r="D35" s="105">
        <v>17.862580714615568</v>
      </c>
      <c r="E35" s="105">
        <v>47.006677910182347</v>
      </c>
      <c r="F35" s="105">
        <v>45.241468885169532</v>
      </c>
      <c r="G35" s="105"/>
      <c r="H35" s="106"/>
      <c r="I35" s="105">
        <v>14.329828312252118</v>
      </c>
      <c r="J35" s="105">
        <v>25.718886249384958</v>
      </c>
      <c r="K35" s="105">
        <v>14.662887975382729</v>
      </c>
      <c r="L35" s="105">
        <v>16.748059465129984</v>
      </c>
      <c r="M35" s="105">
        <v>79.572745069680082</v>
      </c>
      <c r="N35" s="114">
        <v>50.231638115024019</v>
      </c>
      <c r="O35" s="105">
        <v>81.282697537177938</v>
      </c>
      <c r="P35" s="105">
        <v>30.446881433359223</v>
      </c>
      <c r="Q35" s="106">
        <v>47.006766999608594</v>
      </c>
      <c r="S35" s="30" t="s">
        <v>40</v>
      </c>
      <c r="T35" s="113">
        <v>19.972167594140327</v>
      </c>
      <c r="U35" s="105">
        <v>16.615029662718182</v>
      </c>
      <c r="V35" s="105">
        <v>22.539507749598812</v>
      </c>
      <c r="W35" s="105">
        <v>31.616048684196105</v>
      </c>
      <c r="X35" s="105"/>
      <c r="Y35" s="106"/>
      <c r="Z35" s="105">
        <v>15.431726094295676</v>
      </c>
      <c r="AA35" s="105">
        <v>28.525733513754655</v>
      </c>
      <c r="AB35" s="105">
        <v>16.535616393189969</v>
      </c>
      <c r="AC35" s="105">
        <v>16.362437980118671</v>
      </c>
      <c r="AD35" s="105">
        <v>49.148753353232799</v>
      </c>
      <c r="AE35" s="114">
        <v>22.677389578918458</v>
      </c>
      <c r="AF35" s="105">
        <v>51.052932177624811</v>
      </c>
      <c r="AG35" s="105">
        <v>36.921064081927781</v>
      </c>
      <c r="AH35" s="106">
        <v>22.537210913359559</v>
      </c>
    </row>
    <row r="41" spans="2:34" x14ac:dyDescent="0.25">
      <c r="AB41" s="7"/>
    </row>
  </sheetData>
  <mergeCells count="6">
    <mergeCell ref="R17:R19"/>
    <mergeCell ref="B5:B7"/>
    <mergeCell ref="R5:R7"/>
    <mergeCell ref="R8:R10"/>
    <mergeCell ref="R11:R13"/>
    <mergeCell ref="R14:R16"/>
  </mergeCells>
  <conditionalFormatting sqref="T25:AH25 AH39 AK39:AV39 AI20:AJ20 AH36 AK36:AV36 AI17:AJ17 AK33:AV33 AI14:AJ14 AK30:AV30 AK27:AV27 AI8:AJ8 AI11:AW11">
    <cfRule type="colorScale" priority="20">
      <colorScale>
        <cfvo type="num" val="-100"/>
        <cfvo type="num" val="0"/>
        <cfvo type="num" val="100"/>
        <color rgb="FFF8696B"/>
        <color theme="0"/>
        <color rgb="FF63BE7B"/>
      </colorScale>
    </cfRule>
  </conditionalFormatting>
  <conditionalFormatting sqref="T32:AH32">
    <cfRule type="colorScale" priority="18">
      <colorScale>
        <cfvo type="num" val="-100"/>
        <cfvo type="num" val="0"/>
        <cfvo type="num" val="100"/>
        <color rgb="FFF8696B"/>
        <color theme="0"/>
        <color rgb="FF63BE7B"/>
      </colorScale>
    </cfRule>
  </conditionalFormatting>
  <conditionalFormatting sqref="T16:AH16">
    <cfRule type="colorScale" priority="21">
      <colorScale>
        <cfvo type="num" val="-100"/>
        <cfvo type="num" val="0"/>
        <cfvo type="num" val="100"/>
        <color rgb="FFF8696B"/>
        <color theme="0"/>
        <color rgb="FF63BE7B"/>
      </colorScale>
    </cfRule>
    <cfRule type="colorScale" priority="22">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3">
      <colorScale>
        <cfvo type="num" val="-100"/>
        <cfvo type="num" val="0"/>
        <cfvo type="num" val="100"/>
        <color rgb="FFF8696B"/>
        <color theme="0"/>
        <color rgb="FF63BE7B"/>
      </colorScale>
    </cfRule>
  </conditionalFormatting>
  <conditionalFormatting sqref="T19:AH19">
    <cfRule type="colorScale" priority="17">
      <colorScale>
        <cfvo type="num" val="-100"/>
        <cfvo type="num" val="0"/>
        <cfvo type="num" val="100"/>
        <color rgb="FFF8696B"/>
        <color theme="0"/>
        <color rgb="FF63BE7B"/>
      </colorScale>
    </cfRule>
  </conditionalFormatting>
  <conditionalFormatting sqref="AY19:BM19 AY16:BM16 AY13:BM13 AY10:BM10 AY7:BM7">
    <cfRule type="colorScale" priority="16">
      <colorScale>
        <cfvo type="num" val="-100"/>
        <cfvo type="num" val="0"/>
        <cfvo type="num" val="100"/>
        <color rgb="FFF8696B"/>
        <color theme="0"/>
        <color rgb="FF63BE7B"/>
      </colorScale>
    </cfRule>
  </conditionalFormatting>
  <conditionalFormatting sqref="C19:F19 C16:F16 C10:F10 C7:F7 I7:Q7 I10:Q10 I16:Q16 I19:Q19 C13:Q13">
    <cfRule type="colorScale" priority="14">
      <colorScale>
        <cfvo type="num" val="-100"/>
        <cfvo type="num" val="0"/>
        <cfvo type="num" val="100"/>
        <color rgb="FFF8696B"/>
        <color theme="0"/>
        <color rgb="FF63BE7B"/>
      </colorScale>
    </cfRule>
  </conditionalFormatting>
  <conditionalFormatting sqref="C25:Q25">
    <cfRule type="colorScale" priority="13">
      <colorScale>
        <cfvo type="num" val="-100"/>
        <cfvo type="num" val="0"/>
        <cfvo type="num" val="100"/>
        <color rgb="FFF8696B"/>
        <color theme="0"/>
        <color rgb="FF63BE7B"/>
      </colorScale>
    </cfRule>
  </conditionalFormatting>
  <conditionalFormatting sqref="C32:Q32">
    <cfRule type="colorScale" priority="10">
      <colorScale>
        <cfvo type="num" val="-100"/>
        <cfvo type="num" val="0"/>
        <cfvo type="num" val="100"/>
        <color rgb="FFF8696B"/>
        <color theme="0"/>
        <color rgb="FF63BE7B"/>
      </colorScale>
    </cfRule>
  </conditionalFormatting>
  <conditionalFormatting sqref="G16:H16">
    <cfRule type="colorScale" priority="5">
      <colorScale>
        <cfvo type="num" val="-100"/>
        <cfvo type="num" val="0"/>
        <cfvo type="num" val="100"/>
        <color rgb="FFF8696B"/>
        <color theme="0"/>
        <color rgb="FF63BE7B"/>
      </colorScale>
    </cfRule>
    <cfRule type="colorScale" priority="6">
      <colorScale>
        <cfvo type="num" val="-100"/>
        <cfvo type="num" val="0"/>
        <cfvo type="num" val="100"/>
        <color rgb="FFF8696B"/>
        <color theme="0"/>
        <color rgb="FF63BE7B"/>
      </colorScale>
    </cfRule>
  </conditionalFormatting>
  <conditionalFormatting sqref="G7:H7">
    <cfRule type="colorScale" priority="9">
      <colorScale>
        <cfvo type="num" val="-100"/>
        <cfvo type="num" val="0"/>
        <cfvo type="num" val="100"/>
        <color rgb="FFF8696B"/>
        <color theme="0"/>
        <color rgb="FF63BE7B"/>
      </colorScale>
    </cfRule>
  </conditionalFormatting>
  <conditionalFormatting sqref="G10:H10">
    <cfRule type="colorScale" priority="8">
      <colorScale>
        <cfvo type="num" val="-100"/>
        <cfvo type="num" val="0"/>
        <cfvo type="num" val="100"/>
        <color rgb="FFF8696B"/>
        <color theme="0"/>
        <color rgb="FF63BE7B"/>
      </colorScale>
    </cfRule>
  </conditionalFormatting>
  <conditionalFormatting sqref="G19:H19">
    <cfRule type="colorScale" priority="4">
      <colorScale>
        <cfvo type="num" val="-100"/>
        <cfvo type="num" val="0"/>
        <cfvo type="num" val="100"/>
        <color rgb="FFF8696B"/>
        <color theme="0"/>
        <color rgb="FF63BE7B"/>
      </colorScale>
    </cfRule>
  </conditionalFormatting>
  <conditionalFormatting sqref="T4:AH4">
    <cfRule type="colorScale" priority="3">
      <colorScale>
        <cfvo type="num" val="-100"/>
        <cfvo type="num" val="0"/>
        <cfvo type="num" val="100"/>
        <color rgb="FFF8696B"/>
        <color theme="0"/>
        <color rgb="FF63BE7B"/>
      </colorScale>
    </cfRule>
  </conditionalFormatting>
  <conditionalFormatting sqref="C4:Q4">
    <cfRule type="colorScale" priority="2">
      <colorScale>
        <cfvo type="num" val="-100"/>
        <cfvo type="num" val="0"/>
        <cfvo type="num" val="100"/>
        <color rgb="FFF8696B"/>
        <color theme="0"/>
        <color rgb="FF63BE7B"/>
      </colorScale>
    </cfRule>
  </conditionalFormatting>
  <conditionalFormatting sqref="AB42:AJ4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8"/>
  <sheetViews>
    <sheetView tabSelected="1" topLeftCell="M34" zoomScale="85" zoomScaleNormal="85" workbookViewId="0">
      <selection activeCell="V72" sqref="V72"/>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5.42578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82</v>
      </c>
      <c r="B1" s="2" t="s">
        <v>83</v>
      </c>
      <c r="C1" s="3" t="s">
        <v>347</v>
      </c>
      <c r="D1" s="48" t="s">
        <v>3</v>
      </c>
      <c r="E1" s="48" t="s">
        <v>4</v>
      </c>
      <c r="F1" s="48" t="s">
        <v>5</v>
      </c>
      <c r="G1" s="48" t="s">
        <v>6</v>
      </c>
      <c r="H1" s="37" t="s">
        <v>7</v>
      </c>
      <c r="I1" s="48" t="s">
        <v>8</v>
      </c>
      <c r="J1" s="48" t="s">
        <v>9</v>
      </c>
      <c r="K1" s="48" t="s">
        <v>10</v>
      </c>
      <c r="L1" s="48" t="s">
        <v>11</v>
      </c>
      <c r="M1" s="48" t="s">
        <v>12</v>
      </c>
      <c r="N1" s="49" t="s">
        <v>13</v>
      </c>
      <c r="O1" s="48" t="s">
        <v>14</v>
      </c>
      <c r="P1" s="48" t="s">
        <v>15</v>
      </c>
      <c r="Q1" s="37" t="s">
        <v>16</v>
      </c>
      <c r="R1" s="23"/>
      <c r="S1" s="71" t="s">
        <v>348</v>
      </c>
      <c r="T1" s="48" t="s">
        <v>2</v>
      </c>
      <c r="U1" s="48" t="s">
        <v>3</v>
      </c>
      <c r="V1" s="48" t="s">
        <v>4</v>
      </c>
      <c r="W1" s="48" t="s">
        <v>5</v>
      </c>
      <c r="X1" s="48" t="s">
        <v>6</v>
      </c>
      <c r="Y1" s="37" t="s">
        <v>7</v>
      </c>
      <c r="Z1" s="48" t="s">
        <v>8</v>
      </c>
      <c r="AA1" s="48" t="s">
        <v>9</v>
      </c>
      <c r="AB1" s="48" t="s">
        <v>10</v>
      </c>
      <c r="AC1" s="48" t="s">
        <v>11</v>
      </c>
      <c r="AD1" s="48" t="s">
        <v>12</v>
      </c>
      <c r="AE1" s="49" t="s">
        <v>13</v>
      </c>
      <c r="AF1" s="48" t="s">
        <v>14</v>
      </c>
      <c r="AG1" s="48" t="s">
        <v>15</v>
      </c>
      <c r="AH1" s="37" t="s">
        <v>16</v>
      </c>
    </row>
    <row r="2" spans="1:34" ht="15.75" thickTop="1" x14ac:dyDescent="0.25">
      <c r="A2" s="22" t="s">
        <v>153</v>
      </c>
      <c r="B2" s="8"/>
      <c r="C2" s="96">
        <v>2.4151702711942193</v>
      </c>
      <c r="D2" s="96">
        <v>2.1376944251326702</v>
      </c>
      <c r="E2" s="96">
        <v>0.98110382825972964</v>
      </c>
      <c r="F2" s="96">
        <v>0.94021574735440061</v>
      </c>
      <c r="G2" s="97">
        <v>11.488099999999999</v>
      </c>
      <c r="H2" s="98">
        <v>4.1651999999999996</v>
      </c>
      <c r="I2" s="96">
        <v>3.2390756071100077</v>
      </c>
      <c r="J2" s="96">
        <v>0.82391374045451504</v>
      </c>
      <c r="K2" s="96">
        <v>0.51669002956985932</v>
      </c>
      <c r="L2" s="96">
        <v>0.46531308433362573</v>
      </c>
      <c r="M2" s="96">
        <v>0.487786820888785</v>
      </c>
      <c r="N2" s="99">
        <v>0.6679170971484899</v>
      </c>
      <c r="O2" s="96">
        <v>0.63588740006108824</v>
      </c>
      <c r="P2" s="96">
        <v>0.30433675183203901</v>
      </c>
      <c r="Q2" s="100">
        <v>0.98108701918227614</v>
      </c>
      <c r="S2" s="8">
        <v>42.022693633431686</v>
      </c>
      <c r="T2" s="97">
        <v>57.472999999999999</v>
      </c>
      <c r="U2" s="97">
        <v>50.87</v>
      </c>
      <c r="V2" s="97">
        <v>23.347000000000001</v>
      </c>
      <c r="W2" s="97">
        <v>22.374000000000002</v>
      </c>
      <c r="X2" s="97">
        <v>11.488099999999999</v>
      </c>
      <c r="Y2" s="98">
        <v>4.1651999999999996</v>
      </c>
      <c r="Z2" s="108">
        <v>77.0792</v>
      </c>
      <c r="AA2" s="108">
        <v>19.606400000000001</v>
      </c>
      <c r="AB2" s="108">
        <v>12.295500000000001</v>
      </c>
      <c r="AC2" s="108">
        <v>11.072900000000001</v>
      </c>
      <c r="AD2" s="108">
        <v>11.607699999999999</v>
      </c>
      <c r="AE2" s="103">
        <v>15.8942</v>
      </c>
      <c r="AF2" s="108">
        <v>15.132</v>
      </c>
      <c r="AG2" s="108">
        <v>7.2422000000000004</v>
      </c>
      <c r="AH2" s="104">
        <v>23.346599999999999</v>
      </c>
    </row>
    <row r="3" spans="1:34" x14ac:dyDescent="0.25">
      <c r="A3" s="8" t="s">
        <v>84</v>
      </c>
      <c r="B3" s="6"/>
      <c r="C3" s="96">
        <v>3.8797989965102291</v>
      </c>
      <c r="D3" s="96">
        <v>2.776755539836115</v>
      </c>
      <c r="E3" s="96">
        <v>2.175221825966168</v>
      </c>
      <c r="F3" s="96">
        <v>1.9137312719964108</v>
      </c>
      <c r="G3" s="101">
        <v>28.430399999999999</v>
      </c>
      <c r="H3" s="102">
        <v>12.0229</v>
      </c>
      <c r="I3" s="96">
        <v>4.8048937219097265</v>
      </c>
      <c r="J3" s="96">
        <v>0.92510431083036115</v>
      </c>
      <c r="K3" s="96">
        <v>0.45264321625952675</v>
      </c>
      <c r="L3" s="96">
        <v>0.50067581031900088</v>
      </c>
      <c r="M3" s="96">
        <v>1.1703283886239209</v>
      </c>
      <c r="N3" s="103">
        <v>0.65310333191823422</v>
      </c>
      <c r="O3" s="96">
        <v>1.5987252575129747</v>
      </c>
      <c r="P3" s="96">
        <v>0.31498205090627629</v>
      </c>
      <c r="Q3" s="104">
        <v>2.1752362041124642</v>
      </c>
      <c r="S3" s="8">
        <v>47.927154319970221</v>
      </c>
      <c r="T3" s="179">
        <v>80.951999999999998</v>
      </c>
      <c r="U3" s="97">
        <v>57.937000000000005</v>
      </c>
      <c r="V3" s="97">
        <v>45.385999999999996</v>
      </c>
      <c r="W3" s="97">
        <v>39.93</v>
      </c>
      <c r="X3" s="101">
        <v>28.430399999999999</v>
      </c>
      <c r="Y3" s="102">
        <v>12.0229</v>
      </c>
      <c r="Z3" s="108">
        <v>100.25409999999999</v>
      </c>
      <c r="AA3" s="108">
        <v>19.302299999999999</v>
      </c>
      <c r="AB3" s="108">
        <v>9.4443999999999999</v>
      </c>
      <c r="AC3" s="108">
        <v>10.4466</v>
      </c>
      <c r="AD3" s="108">
        <v>24.418900000000001</v>
      </c>
      <c r="AE3" s="103">
        <v>13.627000000000001</v>
      </c>
      <c r="AF3" s="108">
        <v>33.357399999999998</v>
      </c>
      <c r="AG3" s="108">
        <v>6.5720999999999998</v>
      </c>
      <c r="AH3" s="104">
        <v>45.386299999999999</v>
      </c>
    </row>
    <row r="4" spans="1:34" ht="15.75" thickBot="1" x14ac:dyDescent="0.3">
      <c r="A4" s="29" t="s">
        <v>20</v>
      </c>
      <c r="B4" s="6"/>
      <c r="C4" s="96">
        <v>60.642876520329182</v>
      </c>
      <c r="D4" s="96">
        <v>29.894876797640674</v>
      </c>
      <c r="E4" s="96">
        <v>121.71168466690733</v>
      </c>
      <c r="F4" s="96">
        <v>103.5417166093324</v>
      </c>
      <c r="G4" s="108"/>
      <c r="H4" s="104"/>
      <c r="I4" s="96">
        <v>48.341511737565909</v>
      </c>
      <c r="J4" s="96">
        <v>12.281694722074178</v>
      </c>
      <c r="K4" s="96">
        <v>-12.395596904327935</v>
      </c>
      <c r="L4" s="96">
        <v>7.5997703860010883</v>
      </c>
      <c r="M4" s="96">
        <v>139.926201058793</v>
      </c>
      <c r="N4" s="103">
        <v>-2.217904780922582</v>
      </c>
      <c r="O4" s="96">
        <v>151.41640758401391</v>
      </c>
      <c r="P4" s="96">
        <v>3.4978684007616452</v>
      </c>
      <c r="Q4" s="104">
        <v>121.71694881107453</v>
      </c>
      <c r="S4" s="8"/>
      <c r="T4" s="105">
        <f>(T3-T2)/T3*100</f>
        <v>29.003607075798005</v>
      </c>
      <c r="U4" s="105">
        <f>(U3-U2)/U3*100</f>
        <v>12.197732019262315</v>
      </c>
      <c r="V4" s="105">
        <f>(V3-V2)/V3*100</f>
        <v>48.559027012735193</v>
      </c>
      <c r="W4" s="105">
        <f>(W3-W2)/W3*100</f>
        <v>43.966942148760324</v>
      </c>
      <c r="X4" s="105"/>
      <c r="Y4" s="106"/>
      <c r="Z4" s="105">
        <f t="shared" ref="Z4:AH4" si="0">(Z3-Z2)/Z3*100</f>
        <v>23.116161832782893</v>
      </c>
      <c r="AA4" s="105">
        <f t="shared" si="0"/>
        <v>-1.57545991928424</v>
      </c>
      <c r="AB4" s="105">
        <f t="shared" si="0"/>
        <v>-30.188259709457466</v>
      </c>
      <c r="AC4" s="105">
        <f t="shared" si="0"/>
        <v>-5.9952520437271506</v>
      </c>
      <c r="AD4" s="105">
        <f t="shared" si="0"/>
        <v>52.464279717759609</v>
      </c>
      <c r="AE4" s="114">
        <f t="shared" si="0"/>
        <v>-16.637557789682241</v>
      </c>
      <c r="AF4" s="105">
        <f t="shared" si="0"/>
        <v>54.636752264864775</v>
      </c>
      <c r="AG4" s="105">
        <f t="shared" si="0"/>
        <v>-10.196132134325415</v>
      </c>
      <c r="AH4" s="106">
        <f t="shared" si="0"/>
        <v>48.560248356883022</v>
      </c>
    </row>
    <row r="5" spans="1:34" x14ac:dyDescent="0.25">
      <c r="A5" s="54" t="s">
        <v>156</v>
      </c>
      <c r="B5" s="212" t="s">
        <v>133</v>
      </c>
      <c r="C5" s="109">
        <v>2.2958668687627668</v>
      </c>
      <c r="D5" s="110">
        <v>1.8888966466602359</v>
      </c>
      <c r="E5" s="110">
        <v>1.0909807206247162</v>
      </c>
      <c r="F5" s="110">
        <v>1.1087390391207992</v>
      </c>
      <c r="G5" s="110">
        <v>17.724799999999998</v>
      </c>
      <c r="H5" s="116">
        <v>-1.6248</v>
      </c>
      <c r="I5" s="110">
        <v>3.4025200935513338</v>
      </c>
      <c r="J5" s="110">
        <v>1.1066742405501007</v>
      </c>
      <c r="K5" s="110">
        <v>0.33353064342257766</v>
      </c>
      <c r="L5" s="110">
        <v>0.39352013472088254</v>
      </c>
      <c r="M5" s="110">
        <v>0.58297722494831938</v>
      </c>
      <c r="N5" s="112">
        <v>0.57887915144922353</v>
      </c>
      <c r="O5" s="110">
        <v>0.7938651379998749</v>
      </c>
      <c r="P5" s="110">
        <v>0.31485288535939027</v>
      </c>
      <c r="Q5" s="111">
        <v>1.0909912285054835</v>
      </c>
      <c r="S5" s="8">
        <v>52.539403834563757</v>
      </c>
      <c r="T5" s="179">
        <v>43.697999999999993</v>
      </c>
      <c r="U5" s="97">
        <v>35.951999999999998</v>
      </c>
      <c r="V5" s="97">
        <v>20.764999999999997</v>
      </c>
      <c r="W5" s="97">
        <v>21.103000000000002</v>
      </c>
      <c r="X5" s="96">
        <v>17.724799999999998</v>
      </c>
      <c r="Y5" s="102">
        <v>-1.6248</v>
      </c>
      <c r="Z5" s="108">
        <v>64.761300000000006</v>
      </c>
      <c r="AA5" s="108">
        <v>21.063700000000001</v>
      </c>
      <c r="AB5" s="108">
        <v>6.3482000000000003</v>
      </c>
      <c r="AC5" s="108">
        <v>7.49</v>
      </c>
      <c r="AD5" s="108">
        <v>11.096</v>
      </c>
      <c r="AE5" s="103">
        <v>11.018000000000001</v>
      </c>
      <c r="AF5" s="108">
        <v>15.1099</v>
      </c>
      <c r="AG5" s="108">
        <v>5.9927000000000001</v>
      </c>
      <c r="AH5" s="104">
        <v>20.7652</v>
      </c>
    </row>
    <row r="6" spans="1:34" x14ac:dyDescent="0.25">
      <c r="A6" s="54" t="s">
        <v>86</v>
      </c>
      <c r="B6" s="213"/>
      <c r="C6" s="108">
        <v>2.4644945152632198</v>
      </c>
      <c r="D6" s="108">
        <v>1.9078158306176201</v>
      </c>
      <c r="E6" s="108">
        <v>1.1285198237367999</v>
      </c>
      <c r="F6" s="108">
        <v>1.14958480509158</v>
      </c>
      <c r="G6" s="108">
        <v>22.5869</v>
      </c>
      <c r="H6" s="102">
        <v>-1.8652</v>
      </c>
      <c r="I6" s="108">
        <v>3.6130612698420239</v>
      </c>
      <c r="J6" s="108">
        <v>1.0944205467211061</v>
      </c>
      <c r="K6" s="108">
        <v>0.40322923049382603</v>
      </c>
      <c r="L6" s="108">
        <v>0.41670215430120205</v>
      </c>
      <c r="M6" s="108">
        <v>0.5714241715939461</v>
      </c>
      <c r="N6" s="108">
        <v>0.51648193487785399</v>
      </c>
      <c r="O6" s="108">
        <v>0.85319131165391193</v>
      </c>
      <c r="P6" s="108">
        <v>0.29638266311306405</v>
      </c>
      <c r="Q6" s="104">
        <v>1.1285252388991021</v>
      </c>
      <c r="S6" s="8">
        <v>54.151623021445644</v>
      </c>
      <c r="T6" s="179">
        <v>45.510999999999996</v>
      </c>
      <c r="U6" s="97">
        <v>35.231000000000002</v>
      </c>
      <c r="V6" s="97">
        <v>20.84</v>
      </c>
      <c r="W6" s="97">
        <v>21.228999999999999</v>
      </c>
      <c r="X6" s="96">
        <v>22.5869</v>
      </c>
      <c r="Y6" s="102">
        <v>-1.8652</v>
      </c>
      <c r="Z6" s="108">
        <v>66.721199999999996</v>
      </c>
      <c r="AA6" s="108">
        <v>20.2103</v>
      </c>
      <c r="AB6" s="108">
        <v>7.4462999999999999</v>
      </c>
      <c r="AC6" s="108">
        <v>7.6951000000000001</v>
      </c>
      <c r="AD6" s="108">
        <v>10.552300000000001</v>
      </c>
      <c r="AE6" s="103">
        <v>9.5376999999999992</v>
      </c>
      <c r="AF6" s="108">
        <v>15.755599999999999</v>
      </c>
      <c r="AG6" s="108">
        <v>5.4732000000000003</v>
      </c>
      <c r="AH6" s="104">
        <v>20.8401</v>
      </c>
    </row>
    <row r="7" spans="1:34" ht="15.75" thickBot="1" x14ac:dyDescent="0.3">
      <c r="A7" s="55" t="s">
        <v>264</v>
      </c>
      <c r="B7" s="214"/>
      <c r="C7" s="105">
        <f>(C6-C5)/C5*100</f>
        <v>7.3448355736465576</v>
      </c>
      <c r="D7" s="105">
        <f t="shared" ref="D7:Q7" si="1">(D6-D5)/D5*100</f>
        <v>1.0015997429417427</v>
      </c>
      <c r="E7" s="105">
        <f t="shared" si="1"/>
        <v>3.4408585231999473</v>
      </c>
      <c r="F7" s="105">
        <f t="shared" si="1"/>
        <v>3.6839837445581822</v>
      </c>
      <c r="G7" s="105"/>
      <c r="H7" s="106"/>
      <c r="I7" s="105">
        <f t="shared" si="1"/>
        <v>6.1878011151123191</v>
      </c>
      <c r="J7" s="105">
        <f t="shared" si="1"/>
        <v>-1.107253912669327</v>
      </c>
      <c r="K7" s="105">
        <f t="shared" si="1"/>
        <v>20.897206432376127</v>
      </c>
      <c r="L7" s="105">
        <f t="shared" si="1"/>
        <v>5.8909360754214379</v>
      </c>
      <c r="M7" s="105">
        <f t="shared" si="1"/>
        <v>-1.9817332238660712</v>
      </c>
      <c r="N7" s="105">
        <f t="shared" si="1"/>
        <v>-10.778971122929224</v>
      </c>
      <c r="O7" s="105">
        <f t="shared" si="1"/>
        <v>7.473079596807584</v>
      </c>
      <c r="P7" s="105">
        <f t="shared" si="1"/>
        <v>-5.8663023606225799</v>
      </c>
      <c r="Q7" s="106">
        <f t="shared" si="1"/>
        <v>3.4403585851955305</v>
      </c>
      <c r="S7" s="8"/>
      <c r="T7" s="105">
        <f>(T6-T5)/T6*100</f>
        <v>3.9836523038386384</v>
      </c>
      <c r="U7" s="105">
        <f>(U6-U5)/U6*100</f>
        <v>-2.0464931452413966</v>
      </c>
      <c r="V7" s="105">
        <f>(V6-V5)/V6*100</f>
        <v>0.35988483685222095</v>
      </c>
      <c r="W7" s="105">
        <f>(W6-W5)/W6*100</f>
        <v>0.5935277215130137</v>
      </c>
      <c r="X7" s="105"/>
      <c r="Y7" s="106"/>
      <c r="Z7" s="105">
        <f t="shared" ref="Z7:AH7" si="2">(Z6-Z5)/Z6*100</f>
        <v>2.937447168216385</v>
      </c>
      <c r="AA7" s="105">
        <f t="shared" si="2"/>
        <v>-4.2225993676491722</v>
      </c>
      <c r="AB7" s="105">
        <f t="shared" si="2"/>
        <v>14.746921289768068</v>
      </c>
      <c r="AC7" s="105">
        <f t="shared" si="2"/>
        <v>2.6653324843081938</v>
      </c>
      <c r="AD7" s="105">
        <f t="shared" si="2"/>
        <v>-5.1524312235247232</v>
      </c>
      <c r="AE7" s="114">
        <f t="shared" si="2"/>
        <v>-15.520513331306308</v>
      </c>
      <c r="AF7" s="105">
        <f t="shared" si="2"/>
        <v>4.0982253928761825</v>
      </c>
      <c r="AG7" s="105">
        <f t="shared" si="2"/>
        <v>-9.49170503544544</v>
      </c>
      <c r="AH7" s="106">
        <f t="shared" si="2"/>
        <v>0.35940326581925963</v>
      </c>
    </row>
    <row r="8" spans="1:34" x14ac:dyDescent="0.25">
      <c r="A8" s="8" t="s">
        <v>157</v>
      </c>
      <c r="B8" s="6"/>
      <c r="C8" s="109">
        <v>2.3515153087760092</v>
      </c>
      <c r="D8" s="110">
        <v>1.5632769407045122</v>
      </c>
      <c r="E8" s="110">
        <v>0.42336931439456238</v>
      </c>
      <c r="F8" s="110">
        <v>0.50225992059498059</v>
      </c>
      <c r="G8" s="101">
        <v>33.520800000000001</v>
      </c>
      <c r="H8" s="111">
        <v>-18.633800000000001</v>
      </c>
      <c r="I8" s="110">
        <v>3.3160711000411363</v>
      </c>
      <c r="J8" s="110">
        <v>0.96456606347947593</v>
      </c>
      <c r="K8" s="110">
        <v>0.2823626280256637</v>
      </c>
      <c r="L8" s="110">
        <v>0.27795584806993723</v>
      </c>
      <c r="M8" s="110">
        <v>0.43308682916872848</v>
      </c>
      <c r="N8" s="112">
        <v>0.56985622711865924</v>
      </c>
      <c r="O8" s="110">
        <v>0.30720084232157668</v>
      </c>
      <c r="P8" s="110">
        <v>0.19504880605905495</v>
      </c>
      <c r="Q8" s="111">
        <v>0.42336417828738787</v>
      </c>
      <c r="S8" s="8">
        <v>51.361071745063974</v>
      </c>
      <c r="T8" s="179">
        <v>45.784000000000006</v>
      </c>
      <c r="U8" s="97">
        <v>30.436999999999998</v>
      </c>
      <c r="V8" s="97">
        <v>8.2430000000000003</v>
      </c>
      <c r="W8" s="97">
        <v>9.7789999999999999</v>
      </c>
      <c r="X8" s="101">
        <v>33.520800000000001</v>
      </c>
      <c r="Y8" s="111">
        <v>-18.633800000000001</v>
      </c>
      <c r="Z8" s="96">
        <v>64.563900000000004</v>
      </c>
      <c r="AA8" s="96">
        <v>18.780100000000001</v>
      </c>
      <c r="AB8" s="96">
        <v>5.4976000000000003</v>
      </c>
      <c r="AC8" s="96">
        <v>5.4118000000000004</v>
      </c>
      <c r="AD8" s="96">
        <v>8.4321999999999999</v>
      </c>
      <c r="AE8" s="103">
        <v>11.0951</v>
      </c>
      <c r="AF8" s="96">
        <v>5.9812000000000003</v>
      </c>
      <c r="AG8" s="96">
        <v>3.7976000000000001</v>
      </c>
      <c r="AH8" s="104">
        <v>8.2429000000000006</v>
      </c>
    </row>
    <row r="9" spans="1:34" x14ac:dyDescent="0.25">
      <c r="A9" s="8" t="s">
        <v>85</v>
      </c>
      <c r="B9" s="6"/>
      <c r="C9" s="107">
        <v>2.2958668687627668</v>
      </c>
      <c r="D9" s="108">
        <v>1.8888966466602359</v>
      </c>
      <c r="E9" s="108">
        <v>1.0909807206247162</v>
      </c>
      <c r="F9" s="108">
        <v>1.1087390391207992</v>
      </c>
      <c r="G9" s="96">
        <v>17.724799999999998</v>
      </c>
      <c r="H9" s="102">
        <v>-1.6248</v>
      </c>
      <c r="I9" s="108">
        <v>3.4025200935513338</v>
      </c>
      <c r="J9" s="108">
        <v>1.1066742405501007</v>
      </c>
      <c r="K9" s="108">
        <v>0.33353064342257766</v>
      </c>
      <c r="L9" s="108">
        <v>0.39352013472088254</v>
      </c>
      <c r="M9" s="108">
        <v>0.58297722494831938</v>
      </c>
      <c r="N9" s="103">
        <v>0.57887915144922353</v>
      </c>
      <c r="O9" s="108">
        <v>0.7938651379998749</v>
      </c>
      <c r="P9" s="108">
        <v>0.31485288535939027</v>
      </c>
      <c r="Q9" s="104">
        <v>1.0909912285054835</v>
      </c>
      <c r="S9" s="8">
        <v>52.539403834563799</v>
      </c>
      <c r="T9" s="179">
        <v>43.698</v>
      </c>
      <c r="U9" s="97">
        <v>35.951999999999998</v>
      </c>
      <c r="V9" s="97">
        <v>20.764999999999997</v>
      </c>
      <c r="W9" s="97">
        <v>21.103000000000002</v>
      </c>
      <c r="X9" s="96">
        <v>17.724799999999998</v>
      </c>
      <c r="Y9" s="102">
        <v>-1.6248</v>
      </c>
      <c r="Z9" s="108">
        <v>64.761300000000006</v>
      </c>
      <c r="AA9" s="108">
        <v>21.063700000000001</v>
      </c>
      <c r="AB9" s="108">
        <v>6.3482000000000003</v>
      </c>
      <c r="AC9" s="108">
        <v>7.49</v>
      </c>
      <c r="AD9" s="108">
        <v>11.096</v>
      </c>
      <c r="AE9" s="103">
        <v>11.018000000000001</v>
      </c>
      <c r="AF9" s="108">
        <v>15.1099</v>
      </c>
      <c r="AG9" s="108">
        <v>5.9927000000000001</v>
      </c>
      <c r="AH9" s="104">
        <v>20.7652</v>
      </c>
    </row>
    <row r="10" spans="1:34" ht="15.75" thickBot="1" x14ac:dyDescent="0.3">
      <c r="A10" s="29" t="s">
        <v>20</v>
      </c>
      <c r="B10" s="12"/>
      <c r="C10" s="113">
        <v>-2.3664927804449669</v>
      </c>
      <c r="D10" s="105">
        <v>20.829303975339059</v>
      </c>
      <c r="E10" s="105">
        <v>157.69007897628785</v>
      </c>
      <c r="F10" s="105">
        <v>120.75005264353548</v>
      </c>
      <c r="G10" s="105"/>
      <c r="H10" s="106"/>
      <c r="I10" s="105">
        <v>2.6069704449076836</v>
      </c>
      <c r="J10" s="105">
        <v>14.732860967345085</v>
      </c>
      <c r="K10" s="105">
        <v>18.121383752053529</v>
      </c>
      <c r="L10" s="105">
        <v>41.576490458249999</v>
      </c>
      <c r="M10" s="105">
        <v>34.60977930621722</v>
      </c>
      <c r="N10" s="114">
        <v>1.5833685588006172</v>
      </c>
      <c r="O10" s="105">
        <v>158.41893270880419</v>
      </c>
      <c r="P10" s="105">
        <v>61.422616072852151</v>
      </c>
      <c r="Q10" s="106">
        <v>157.69568717854474</v>
      </c>
      <c r="S10" s="8"/>
      <c r="T10" s="105">
        <f>(T9-T8)/T9*100</f>
        <v>-4.7736738523502344</v>
      </c>
      <c r="U10" s="105">
        <f>(U9-U8)/U9*100</f>
        <v>15.339897641299514</v>
      </c>
      <c r="V10" s="105">
        <f>(V9-V8)/V9*100</f>
        <v>60.30339513604622</v>
      </c>
      <c r="W10" s="105">
        <f>(W9-W8)/W9*100</f>
        <v>53.660616973889972</v>
      </c>
      <c r="X10" s="105"/>
      <c r="Y10" s="106"/>
      <c r="Z10" s="105">
        <f t="shared" ref="Z10:AH10" si="3">(Z9-Z8)/Z9*100</f>
        <v>0.30481166993250874</v>
      </c>
      <c r="AA10" s="105">
        <f t="shared" si="3"/>
        <v>10.841400133879612</v>
      </c>
      <c r="AB10" s="105">
        <f t="shared" si="3"/>
        <v>13.39907375318988</v>
      </c>
      <c r="AC10" s="105">
        <f t="shared" si="3"/>
        <v>27.746328437917221</v>
      </c>
      <c r="AD10" s="105">
        <f t="shared" si="3"/>
        <v>24.006849315068497</v>
      </c>
      <c r="AE10" s="114">
        <f t="shared" si="3"/>
        <v>-0.69976402250861969</v>
      </c>
      <c r="AF10" s="105">
        <f t="shared" si="3"/>
        <v>60.415356819039168</v>
      </c>
      <c r="AG10" s="105">
        <f t="shared" si="3"/>
        <v>36.629565971932522</v>
      </c>
      <c r="AH10" s="106">
        <f t="shared" si="3"/>
        <v>60.30425904879317</v>
      </c>
    </row>
    <row r="11" spans="1:34" x14ac:dyDescent="0.25">
      <c r="A11" s="8" t="s">
        <v>158</v>
      </c>
      <c r="B11" s="6"/>
      <c r="C11" s="96">
        <v>2.5455779345906175</v>
      </c>
      <c r="D11" s="96">
        <v>1.9895224378622129</v>
      </c>
      <c r="E11" s="96">
        <v>1.1248690834393817</v>
      </c>
      <c r="F11" s="96">
        <v>1.1235131511707024</v>
      </c>
      <c r="G11" s="96">
        <v>21.843499999999999</v>
      </c>
      <c r="H11" s="102">
        <v>0.11849999999999999</v>
      </c>
      <c r="I11" s="96">
        <v>4.0853438022603905</v>
      </c>
      <c r="J11" s="96">
        <v>1.5397473776842918</v>
      </c>
      <c r="K11" s="96">
        <v>0.45741758751047706</v>
      </c>
      <c r="L11" s="96">
        <v>0.39777505767406862</v>
      </c>
      <c r="M11" s="96">
        <v>0.39136519604031184</v>
      </c>
      <c r="N11" s="103">
        <v>0.74299541327982532</v>
      </c>
      <c r="O11" s="96">
        <v>0.62171343517495359</v>
      </c>
      <c r="P11" s="96">
        <v>0.50179971599574902</v>
      </c>
      <c r="Q11" s="104">
        <v>1.1248444301254057</v>
      </c>
      <c r="S11" s="8">
        <v>61.633284939969421</v>
      </c>
      <c r="T11" s="179">
        <v>41.302000000000007</v>
      </c>
      <c r="U11" s="97">
        <v>32.28</v>
      </c>
      <c r="V11" s="97">
        <v>18.250999999999998</v>
      </c>
      <c r="W11" s="97">
        <v>18.228999999999999</v>
      </c>
      <c r="X11" s="96">
        <v>21.843499999999999</v>
      </c>
      <c r="Y11" s="102">
        <v>0.11849999999999999</v>
      </c>
      <c r="Z11" s="108">
        <v>66.284700000000001</v>
      </c>
      <c r="AA11" s="108">
        <v>24.982399999999998</v>
      </c>
      <c r="AB11" s="108">
        <v>7.4215999999999998</v>
      </c>
      <c r="AC11" s="108">
        <v>6.4539</v>
      </c>
      <c r="AD11" s="108">
        <v>6.3498999999999999</v>
      </c>
      <c r="AE11" s="103">
        <v>12.055099999999999</v>
      </c>
      <c r="AF11" s="108">
        <v>10.087300000000001</v>
      </c>
      <c r="AG11" s="108">
        <v>8.1417000000000002</v>
      </c>
      <c r="AH11" s="104">
        <v>18.250599999999999</v>
      </c>
    </row>
    <row r="12" spans="1:34" x14ac:dyDescent="0.25">
      <c r="A12" s="8" t="s">
        <v>87</v>
      </c>
      <c r="B12" s="6"/>
      <c r="C12" s="96">
        <v>3.8705686845511642</v>
      </c>
      <c r="D12" s="96">
        <v>2.517654005131313</v>
      </c>
      <c r="E12" s="96">
        <v>2.3575592198833752</v>
      </c>
      <c r="F12" s="96">
        <v>2.0759004547180426</v>
      </c>
      <c r="G12" s="101">
        <v>34.953499999999998</v>
      </c>
      <c r="H12" s="102">
        <v>11.9476</v>
      </c>
      <c r="I12" s="96">
        <v>5.640853028354071</v>
      </c>
      <c r="J12" s="96">
        <v>1.7702701257935602</v>
      </c>
      <c r="K12" s="96">
        <v>0.40050710529743866</v>
      </c>
      <c r="L12" s="96">
        <v>0.38682227130088986</v>
      </c>
      <c r="M12" s="96">
        <v>0.98256397194753442</v>
      </c>
      <c r="N12" s="103">
        <v>0.74778909260414428</v>
      </c>
      <c r="O12" s="96">
        <v>1.7643483249005081</v>
      </c>
      <c r="P12" s="96">
        <v>0.31154502081286078</v>
      </c>
      <c r="Q12" s="104">
        <v>2.3575663288880486</v>
      </c>
      <c r="S12" s="8">
        <v>71.090046735318737</v>
      </c>
      <c r="T12" s="179">
        <v>54.446000000000005</v>
      </c>
      <c r="U12" s="97">
        <v>35.414999999999999</v>
      </c>
      <c r="V12" s="97">
        <v>33.162999999999997</v>
      </c>
      <c r="W12" s="97">
        <v>29.201000000000001</v>
      </c>
      <c r="X12" s="101">
        <v>34.953499999999998</v>
      </c>
      <c r="Y12" s="102">
        <v>11.9476</v>
      </c>
      <c r="Z12" s="108">
        <v>79.347999999999999</v>
      </c>
      <c r="AA12" s="108">
        <v>24.901800000000001</v>
      </c>
      <c r="AB12" s="108">
        <v>5.6337999999999999</v>
      </c>
      <c r="AC12" s="108">
        <v>5.4413</v>
      </c>
      <c r="AD12" s="108">
        <v>13.821400000000001</v>
      </c>
      <c r="AE12" s="103">
        <v>10.5189</v>
      </c>
      <c r="AF12" s="108">
        <v>24.8185</v>
      </c>
      <c r="AG12" s="108">
        <v>4.3823999999999996</v>
      </c>
      <c r="AH12" s="104">
        <v>33.1631</v>
      </c>
    </row>
    <row r="13" spans="1:34" ht="15.75" thickBot="1" x14ac:dyDescent="0.3">
      <c r="A13" s="29" t="s">
        <v>20</v>
      </c>
      <c r="B13" s="12"/>
      <c r="C13" s="96">
        <v>52.0506849134687</v>
      </c>
      <c r="D13" s="96">
        <v>26.545645186921814</v>
      </c>
      <c r="E13" s="96">
        <v>109.58520903383173</v>
      </c>
      <c r="F13" s="96">
        <v>84.768683175177003</v>
      </c>
      <c r="G13" s="105"/>
      <c r="H13" s="106"/>
      <c r="I13" s="96">
        <v>38.075356723540104</v>
      </c>
      <c r="J13" s="96">
        <v>14.971465543650666</v>
      </c>
      <c r="K13" s="96">
        <v>-12.441690867807937</v>
      </c>
      <c r="L13" s="96">
        <v>-2.7535126101730891</v>
      </c>
      <c r="M13" s="96">
        <v>151.06064154113673</v>
      </c>
      <c r="N13" s="103">
        <v>0.64518289596944933</v>
      </c>
      <c r="O13" s="96">
        <v>183.78803240821244</v>
      </c>
      <c r="P13" s="96">
        <v>-37.914468485769326</v>
      </c>
      <c r="Q13" s="104">
        <v>109.5904345301519</v>
      </c>
      <c r="S13" s="8"/>
      <c r="T13" s="105">
        <f>(T12-T11)/T12*100</f>
        <v>24.141351063438997</v>
      </c>
      <c r="U13" s="105">
        <f>(U12-U11)/U12*100</f>
        <v>8.8521812791190122</v>
      </c>
      <c r="V13" s="105">
        <f>(V12-V11)/V12*100</f>
        <v>44.965775110816274</v>
      </c>
      <c r="W13" s="105">
        <f>(W12-W11)/W12*100</f>
        <v>37.574055683024561</v>
      </c>
      <c r="X13" s="105"/>
      <c r="Y13" s="106"/>
      <c r="Z13" s="105">
        <f t="shared" ref="Z13:AH13" si="4">(Z12-Z11)/Z12*100</f>
        <v>16.463300902354185</v>
      </c>
      <c r="AA13" s="105">
        <f t="shared" si="4"/>
        <v>-0.32367138118528338</v>
      </c>
      <c r="AB13" s="105">
        <f t="shared" si="4"/>
        <v>-31.733465866732928</v>
      </c>
      <c r="AC13" s="105">
        <f t="shared" si="4"/>
        <v>-18.609523459467407</v>
      </c>
      <c r="AD13" s="105">
        <f t="shared" si="4"/>
        <v>54.057476087805867</v>
      </c>
      <c r="AE13" s="114">
        <f t="shared" si="4"/>
        <v>-14.604188650904554</v>
      </c>
      <c r="AF13" s="105">
        <f t="shared" si="4"/>
        <v>59.355722545681644</v>
      </c>
      <c r="AG13" s="105">
        <f t="shared" si="4"/>
        <v>-85.781763417305598</v>
      </c>
      <c r="AH13" s="106">
        <f t="shared" si="4"/>
        <v>44.967147220856916</v>
      </c>
    </row>
    <row r="14" spans="1:34" x14ac:dyDescent="0.25">
      <c r="A14" s="8" t="s">
        <v>159</v>
      </c>
      <c r="B14" s="6"/>
      <c r="C14" s="109">
        <v>1.8304091559094162</v>
      </c>
      <c r="D14" s="110">
        <v>1.8118182461583183</v>
      </c>
      <c r="E14" s="110">
        <v>0.80218184666838943</v>
      </c>
      <c r="F14" s="110">
        <v>0.75213639034575253</v>
      </c>
      <c r="G14" s="97">
        <v>1.0147999999999999</v>
      </c>
      <c r="H14" s="102">
        <v>6.2404999999999999</v>
      </c>
      <c r="I14" s="110">
        <v>2.6188773657271791</v>
      </c>
      <c r="J14" s="110">
        <v>0.78847730072717681</v>
      </c>
      <c r="K14" s="110">
        <v>0.35870455819263342</v>
      </c>
      <c r="L14" s="110">
        <v>0.33391819367607217</v>
      </c>
      <c r="M14" s="110">
        <v>0.32946364806333972</v>
      </c>
      <c r="N14" s="112">
        <v>0.7897318462262729</v>
      </c>
      <c r="O14" s="110">
        <v>0.33046819355355794</v>
      </c>
      <c r="P14" s="110">
        <v>0.42166365133748762</v>
      </c>
      <c r="Q14" s="111">
        <v>0.80219093757780313</v>
      </c>
      <c r="S14" s="8">
        <v>45.454547068698403</v>
      </c>
      <c r="T14" s="179">
        <v>40.269000000000005</v>
      </c>
      <c r="U14" s="97">
        <v>39.86</v>
      </c>
      <c r="V14" s="97">
        <v>17.648</v>
      </c>
      <c r="W14" s="97">
        <v>16.547000000000001</v>
      </c>
      <c r="X14" s="97">
        <v>1.0147999999999999</v>
      </c>
      <c r="Y14" s="102">
        <v>6.2404999999999999</v>
      </c>
      <c r="Z14" s="108">
        <v>57.615299999999998</v>
      </c>
      <c r="AA14" s="108">
        <v>17.346499999999999</v>
      </c>
      <c r="AB14" s="108">
        <v>7.8914999999999997</v>
      </c>
      <c r="AC14" s="108">
        <v>7.3461999999999996</v>
      </c>
      <c r="AD14" s="108">
        <v>7.2481999999999998</v>
      </c>
      <c r="AE14" s="103">
        <v>17.374099999999999</v>
      </c>
      <c r="AF14" s="108">
        <v>7.2702999999999998</v>
      </c>
      <c r="AG14" s="108">
        <v>9.2766000000000002</v>
      </c>
      <c r="AH14" s="104">
        <v>17.648199999999999</v>
      </c>
    </row>
    <row r="15" spans="1:34" x14ac:dyDescent="0.25">
      <c r="A15" s="8" t="s">
        <v>88</v>
      </c>
      <c r="B15" s="6"/>
      <c r="C15" s="107">
        <v>3.1223888245411162</v>
      </c>
      <c r="D15" s="108">
        <v>2.9232311005344993</v>
      </c>
      <c r="E15" s="108">
        <v>2.065681371282476</v>
      </c>
      <c r="F15" s="108">
        <v>2.0289738692106685</v>
      </c>
      <c r="G15" s="97">
        <v>6.3785999999999996</v>
      </c>
      <c r="H15" s="102">
        <v>1.776</v>
      </c>
      <c r="I15" s="108">
        <v>3.9402218635039303</v>
      </c>
      <c r="J15" s="108">
        <v>0.81782844478232941</v>
      </c>
      <c r="K15" s="108">
        <v>0.39449308985006271</v>
      </c>
      <c r="L15" s="108">
        <v>0.40238129774208942</v>
      </c>
      <c r="M15" s="108">
        <v>1.4592908949420511</v>
      </c>
      <c r="N15" s="103">
        <v>0.66705662963932666</v>
      </c>
      <c r="O15" s="108">
        <v>1.629087211471707</v>
      </c>
      <c r="P15" s="108">
        <v>0.39988665773896159</v>
      </c>
      <c r="Q15" s="104">
        <v>2.065662994560538</v>
      </c>
      <c r="S15" s="8">
        <v>45.941804845817146</v>
      </c>
      <c r="T15" s="179">
        <v>67.963999999999999</v>
      </c>
      <c r="U15" s="97">
        <v>63.628999999999998</v>
      </c>
      <c r="V15" s="97">
        <v>44.962999999999994</v>
      </c>
      <c r="W15" s="97">
        <v>44.164000000000001</v>
      </c>
      <c r="X15" s="97">
        <v>6.3785999999999996</v>
      </c>
      <c r="Y15" s="102">
        <v>1.776</v>
      </c>
      <c r="Z15" s="108">
        <v>85.765500000000003</v>
      </c>
      <c r="AA15" s="108">
        <v>17.801400000000001</v>
      </c>
      <c r="AB15" s="108">
        <v>8.5868000000000002</v>
      </c>
      <c r="AC15" s="108">
        <v>8.7584999999999997</v>
      </c>
      <c r="AD15" s="108">
        <v>31.7639</v>
      </c>
      <c r="AE15" s="103">
        <v>14.519600000000001</v>
      </c>
      <c r="AF15" s="108">
        <v>35.459800000000001</v>
      </c>
      <c r="AG15" s="108">
        <v>8.7042000000000002</v>
      </c>
      <c r="AH15" s="104">
        <v>44.962600000000002</v>
      </c>
    </row>
    <row r="16" spans="1:34" ht="15.75" thickBot="1" x14ac:dyDescent="0.3">
      <c r="A16" s="29" t="s">
        <v>20</v>
      </c>
      <c r="B16" s="12"/>
      <c r="C16" s="113">
        <v>70.584200502963284</v>
      </c>
      <c r="D16" s="105">
        <v>61.34240323127117</v>
      </c>
      <c r="E16" s="105">
        <v>157.50786805530882</v>
      </c>
      <c r="F16" s="105">
        <v>169.76142828004393</v>
      </c>
      <c r="G16" s="105"/>
      <c r="H16" s="106"/>
      <c r="I16" s="105">
        <v>50.454615212952362</v>
      </c>
      <c r="J16" s="105">
        <v>3.7225097067579966</v>
      </c>
      <c r="K16" s="105">
        <v>9.9771611037654964</v>
      </c>
      <c r="L16" s="105">
        <v>20.502957120219701</v>
      </c>
      <c r="M16" s="105">
        <v>342.92925896986998</v>
      </c>
      <c r="N16" s="114">
        <v>-15.533781140161532</v>
      </c>
      <c r="O16" s="105">
        <v>392.9633905018112</v>
      </c>
      <c r="P16" s="105">
        <v>-5.1645413422406525</v>
      </c>
      <c r="Q16" s="106">
        <v>157.50265900506921</v>
      </c>
      <c r="S16" s="8"/>
      <c r="T16" s="105">
        <f>(T15-T14)/T15*100</f>
        <v>40.749514448825842</v>
      </c>
      <c r="U16" s="105">
        <f>(U15-U14)/U15*100</f>
        <v>37.355608291816623</v>
      </c>
      <c r="V16" s="105">
        <f>(V15-V14)/V15*100</f>
        <v>60.749949958855055</v>
      </c>
      <c r="W16" s="105">
        <f>(W15-W14)/W15*100</f>
        <v>62.532832170999008</v>
      </c>
      <c r="X16" s="105"/>
      <c r="Y16" s="106"/>
      <c r="Z16" s="105">
        <f t="shared" ref="Z16:AH16" si="5">(Z15-Z14)/Z15*100</f>
        <v>32.822288682512202</v>
      </c>
      <c r="AA16" s="105">
        <f t="shared" si="5"/>
        <v>2.5554169896749808</v>
      </c>
      <c r="AB16" s="105">
        <f t="shared" si="5"/>
        <v>8.0973121535379953</v>
      </c>
      <c r="AC16" s="105">
        <f t="shared" si="5"/>
        <v>16.124907232973683</v>
      </c>
      <c r="AD16" s="105">
        <f t="shared" si="5"/>
        <v>77.181013666457829</v>
      </c>
      <c r="AE16" s="114">
        <f t="shared" si="5"/>
        <v>-19.659632496762981</v>
      </c>
      <c r="AF16" s="105">
        <f t="shared" si="5"/>
        <v>79.49706428124243</v>
      </c>
      <c r="AG16" s="105">
        <f t="shared" si="5"/>
        <v>-6.5761356586475497</v>
      </c>
      <c r="AH16" s="106">
        <f t="shared" si="5"/>
        <v>60.749155965179959</v>
      </c>
    </row>
    <row r="17" spans="1:52" x14ac:dyDescent="0.25">
      <c r="A17" s="8" t="s">
        <v>160</v>
      </c>
      <c r="B17" s="6"/>
      <c r="C17" s="109">
        <v>3.1639299087179169</v>
      </c>
      <c r="D17" s="110">
        <v>2.7703228345237196</v>
      </c>
      <c r="E17" s="110">
        <v>1.3914957286927907</v>
      </c>
      <c r="F17" s="110">
        <v>1.1913784083008072</v>
      </c>
      <c r="G17" s="97">
        <v>12.440200000000001</v>
      </c>
      <c r="H17" s="102">
        <v>14.382300000000001</v>
      </c>
      <c r="I17" s="110">
        <v>4.0230971428791369</v>
      </c>
      <c r="J17" s="110">
        <v>0.85917896436757368</v>
      </c>
      <c r="K17" s="110">
        <v>0.53097952080090915</v>
      </c>
      <c r="L17" s="110">
        <v>0.45913787198844136</v>
      </c>
      <c r="M17" s="110">
        <v>0.5788974137552616</v>
      </c>
      <c r="N17" s="112">
        <v>1.2013021628759313</v>
      </c>
      <c r="O17" s="110">
        <v>0.65767747962586875</v>
      </c>
      <c r="P17" s="110">
        <v>0.53370679377811525</v>
      </c>
      <c r="Q17" s="111">
        <v>1.3915133240023208</v>
      </c>
      <c r="S17" s="8">
        <v>58.65103176787315</v>
      </c>
      <c r="T17" s="179">
        <v>53.945</v>
      </c>
      <c r="U17" s="97">
        <v>47.233999999999995</v>
      </c>
      <c r="V17" s="97">
        <v>23.725000000000001</v>
      </c>
      <c r="W17" s="97">
        <v>20.312999999999999</v>
      </c>
      <c r="X17" s="97">
        <v>12.440200000000001</v>
      </c>
      <c r="Y17" s="102">
        <v>14.382300000000001</v>
      </c>
      <c r="Z17" s="108">
        <v>68.593800000000002</v>
      </c>
      <c r="AA17" s="108">
        <v>14.648999999999999</v>
      </c>
      <c r="AB17" s="108">
        <v>9.0532000000000004</v>
      </c>
      <c r="AC17" s="108">
        <v>7.8282999999999996</v>
      </c>
      <c r="AD17" s="108">
        <v>9.8702000000000005</v>
      </c>
      <c r="AE17" s="103">
        <v>20.482199999999999</v>
      </c>
      <c r="AF17" s="108">
        <v>11.2134</v>
      </c>
      <c r="AG17" s="108">
        <v>9.0997000000000003</v>
      </c>
      <c r="AH17" s="104">
        <v>23.725300000000001</v>
      </c>
    </row>
    <row r="18" spans="1:52" x14ac:dyDescent="0.25">
      <c r="A18" s="8" t="s">
        <v>89</v>
      </c>
      <c r="B18" s="6"/>
      <c r="C18" s="107">
        <v>3.7966589861751143</v>
      </c>
      <c r="D18" s="108">
        <v>3.2153801843317971</v>
      </c>
      <c r="E18" s="108">
        <v>2.0084677419354833</v>
      </c>
      <c r="F18" s="108">
        <v>1.8530529953917045</v>
      </c>
      <c r="G18" s="96">
        <v>15.3103</v>
      </c>
      <c r="H18" s="102">
        <v>7.7374999999999998</v>
      </c>
      <c r="I18" s="108">
        <v>4.7112730414746542</v>
      </c>
      <c r="J18" s="108">
        <v>0.91463133640552985</v>
      </c>
      <c r="K18" s="108">
        <v>0.50218894009216586</v>
      </c>
      <c r="L18" s="108">
        <v>0.44724078341013818</v>
      </c>
      <c r="M18" s="108">
        <v>0.99294930875576015</v>
      </c>
      <c r="N18" s="103">
        <v>1.2729838709677417</v>
      </c>
      <c r="O18" s="108">
        <v>1.1737154377880181</v>
      </c>
      <c r="P18" s="108">
        <v>0.67933179723502291</v>
      </c>
      <c r="Q18" s="104">
        <v>2.0084504608294926</v>
      </c>
      <c r="S18" s="8">
        <v>57.60368663594469</v>
      </c>
      <c r="T18" s="179">
        <v>65.91</v>
      </c>
      <c r="U18" s="97">
        <v>55.819000000000003</v>
      </c>
      <c r="V18" s="97">
        <v>34.866999999999997</v>
      </c>
      <c r="W18" s="97">
        <v>32.168999999999997</v>
      </c>
      <c r="X18" s="96">
        <v>15.3103</v>
      </c>
      <c r="Y18" s="102">
        <v>7.7374999999999998</v>
      </c>
      <c r="Z18" s="108">
        <v>81.787700000000001</v>
      </c>
      <c r="AA18" s="108">
        <v>15.878</v>
      </c>
      <c r="AB18" s="108">
        <v>8.718</v>
      </c>
      <c r="AC18" s="108">
        <v>7.7641</v>
      </c>
      <c r="AD18" s="108">
        <v>17.2376</v>
      </c>
      <c r="AE18" s="103">
        <v>22.099</v>
      </c>
      <c r="AF18" s="108">
        <v>20.375699999999998</v>
      </c>
      <c r="AG18" s="108">
        <v>11.793200000000001</v>
      </c>
      <c r="AH18" s="104">
        <v>34.866700000000002</v>
      </c>
    </row>
    <row r="19" spans="1:52" ht="15.75" thickBot="1" x14ac:dyDescent="0.3">
      <c r="A19" s="29" t="s">
        <v>20</v>
      </c>
      <c r="B19" s="12"/>
      <c r="C19" s="113">
        <v>19.9982014681732</v>
      </c>
      <c r="D19" s="105">
        <v>16.065179994973139</v>
      </c>
      <c r="E19" s="105">
        <v>44.338764433168116</v>
      </c>
      <c r="F19" s="105">
        <v>55.53857468632529</v>
      </c>
      <c r="G19" s="105"/>
      <c r="H19" s="106"/>
      <c r="I19" s="105">
        <v>17.105624700452125</v>
      </c>
      <c r="J19" s="105">
        <v>6.4541119298438216</v>
      </c>
      <c r="K19" s="105">
        <v>-5.4221640535809534</v>
      </c>
      <c r="L19" s="105">
        <v>-2.5911799710137369</v>
      </c>
      <c r="M19" s="105">
        <v>71.524226082575964</v>
      </c>
      <c r="N19" s="114">
        <v>5.9670006686913446</v>
      </c>
      <c r="O19" s="105">
        <v>78.463680777956171</v>
      </c>
      <c r="P19" s="105">
        <v>27.285581737872761</v>
      </c>
      <c r="Q19" s="106">
        <v>44.335697415581699</v>
      </c>
      <c r="S19" s="8"/>
      <c r="T19" s="105">
        <f>(T18-T17)/T18*100</f>
        <v>18.153542709755722</v>
      </c>
      <c r="U19" s="105">
        <f>(U18-U17)/U18*100</f>
        <v>15.3800677188771</v>
      </c>
      <c r="V19" s="105">
        <f>(V18-V17)/V18*100</f>
        <v>31.955717440559834</v>
      </c>
      <c r="W19" s="105">
        <f>(W18-W17)/W18*100</f>
        <v>36.855357642450805</v>
      </c>
      <c r="X19" s="105"/>
      <c r="Y19" s="106"/>
      <c r="Z19" s="105">
        <f t="shared" ref="Z19:AH19" si="6">(Z18-Z17)/Z18*100</f>
        <v>16.131887802200083</v>
      </c>
      <c r="AA19" s="105">
        <f t="shared" si="6"/>
        <v>7.7402695553596228</v>
      </c>
      <c r="AB19" s="105">
        <f t="shared" si="6"/>
        <v>-3.8449185593025965</v>
      </c>
      <c r="AC19" s="105">
        <f t="shared" si="6"/>
        <v>-0.82688270372611883</v>
      </c>
      <c r="AD19" s="105">
        <f t="shared" si="6"/>
        <v>42.740288671276744</v>
      </c>
      <c r="AE19" s="114">
        <f t="shared" si="6"/>
        <v>7.3161681524050923</v>
      </c>
      <c r="AF19" s="105">
        <f t="shared" si="6"/>
        <v>44.966798686670884</v>
      </c>
      <c r="AG19" s="105">
        <f t="shared" si="6"/>
        <v>22.839432893531868</v>
      </c>
      <c r="AH19" s="106">
        <f t="shared" si="6"/>
        <v>31.954271554233699</v>
      </c>
    </row>
    <row r="20" spans="1:52" x14ac:dyDescent="0.25">
      <c r="A20" s="54" t="s">
        <v>161</v>
      </c>
      <c r="B20" s="213" t="s">
        <v>132</v>
      </c>
      <c r="C20" s="96">
        <v>2.3221340766248453</v>
      </c>
      <c r="D20" s="96">
        <v>2.3080629322626591</v>
      </c>
      <c r="E20" s="96">
        <v>0.99905124971522707</v>
      </c>
      <c r="F20" s="96">
        <v>0.99826073598701426</v>
      </c>
      <c r="G20" s="97">
        <v>0.60529999999999995</v>
      </c>
      <c r="H20" s="102">
        <v>7.9600000000000004E-2</v>
      </c>
      <c r="I20" s="96">
        <v>3.529888855725511</v>
      </c>
      <c r="J20" s="96">
        <v>1.207786399649794</v>
      </c>
      <c r="K20" s="96">
        <v>0.46007108468251701</v>
      </c>
      <c r="L20" s="96">
        <v>0.48874301760479211</v>
      </c>
      <c r="M20" s="96">
        <v>0.45786555138080354</v>
      </c>
      <c r="N20" s="103">
        <v>0.90136746831998205</v>
      </c>
      <c r="O20" s="96">
        <v>0.51833985158907614</v>
      </c>
      <c r="P20" s="96">
        <v>0.4799366946725025</v>
      </c>
      <c r="Q20" s="104">
        <v>0.99906705998979128</v>
      </c>
      <c r="S20" s="8">
        <v>79.051372821271329</v>
      </c>
      <c r="T20" s="179">
        <v>29.375</v>
      </c>
      <c r="U20" s="97">
        <v>29.197000000000003</v>
      </c>
      <c r="V20" s="97">
        <v>12.638</v>
      </c>
      <c r="W20" s="97">
        <v>12.628</v>
      </c>
      <c r="X20" s="97">
        <v>0.60529999999999995</v>
      </c>
      <c r="Y20" s="102">
        <v>7.9600000000000004E-2</v>
      </c>
      <c r="Z20" s="97">
        <v>44.653100000000002</v>
      </c>
      <c r="AA20" s="97">
        <v>15.278499999999999</v>
      </c>
      <c r="AB20" s="97">
        <v>5.8198999999999996</v>
      </c>
      <c r="AC20" s="97">
        <v>6.1825999999999999</v>
      </c>
      <c r="AD20" s="97">
        <v>5.7919999999999998</v>
      </c>
      <c r="AE20" s="129">
        <v>11.4023</v>
      </c>
      <c r="AF20" s="97">
        <v>6.5570000000000004</v>
      </c>
      <c r="AG20" s="97">
        <v>6.0712000000000002</v>
      </c>
      <c r="AH20" s="102">
        <v>12.638199999999999</v>
      </c>
      <c r="AX20" s="71"/>
    </row>
    <row r="21" spans="1:52" x14ac:dyDescent="0.25">
      <c r="A21" s="54" t="s">
        <v>91</v>
      </c>
      <c r="B21" s="213"/>
      <c r="C21" s="96">
        <v>1.7514591707848006</v>
      </c>
      <c r="D21" s="96">
        <v>1.5882026537956684</v>
      </c>
      <c r="E21" s="96">
        <v>0.71809518782536286</v>
      </c>
      <c r="F21" s="96">
        <v>0.77468504561497165</v>
      </c>
      <c r="G21" s="97">
        <v>9.3209999999999997</v>
      </c>
      <c r="H21" s="102">
        <v>-7.8769999999999998</v>
      </c>
      <c r="I21" s="96">
        <v>2.5781012020098628</v>
      </c>
      <c r="J21" s="96">
        <v>0.82662359804662899</v>
      </c>
      <c r="K21" s="96">
        <v>0.30633484798683397</v>
      </c>
      <c r="L21" s="96">
        <v>0.315809501701446</v>
      </c>
      <c r="M21" s="96">
        <v>0.29426111611315525</v>
      </c>
      <c r="N21" s="103">
        <v>0.67182176556547735</v>
      </c>
      <c r="O21" s="96">
        <v>0.44873115138251107</v>
      </c>
      <c r="P21" s="96">
        <v>0.32592931666121644</v>
      </c>
      <c r="Q21" s="104">
        <v>0.71808904343255175</v>
      </c>
      <c r="S21" s="8">
        <v>61.443928110324499</v>
      </c>
      <c r="T21" s="179">
        <v>28.504999999999999</v>
      </c>
      <c r="U21" s="97">
        <v>25.847999999999999</v>
      </c>
      <c r="V21" s="97">
        <v>11.687000000000001</v>
      </c>
      <c r="W21" s="97">
        <v>12.607999999999999</v>
      </c>
      <c r="X21" s="97">
        <v>9.3209999999999997</v>
      </c>
      <c r="Y21" s="102">
        <v>-7.8769999999999998</v>
      </c>
      <c r="Z21" s="97">
        <v>41.958599999999997</v>
      </c>
      <c r="AA21" s="97">
        <v>13.4533</v>
      </c>
      <c r="AB21" s="97">
        <v>4.9855999999999998</v>
      </c>
      <c r="AC21" s="97">
        <v>5.1398000000000001</v>
      </c>
      <c r="AD21" s="97">
        <v>4.7891000000000004</v>
      </c>
      <c r="AE21" s="129">
        <v>10.9339</v>
      </c>
      <c r="AF21" s="97">
        <v>7.3030999999999997</v>
      </c>
      <c r="AG21" s="97">
        <v>5.3045</v>
      </c>
      <c r="AH21" s="102">
        <v>11.6869</v>
      </c>
      <c r="AJ21" s="71"/>
      <c r="AK21" s="71"/>
      <c r="AL21" s="71"/>
      <c r="AM21" s="71"/>
      <c r="AN21" s="71"/>
      <c r="AO21" s="71"/>
      <c r="AP21" s="71"/>
      <c r="AQ21" s="71"/>
      <c r="AR21" s="71"/>
      <c r="AS21" s="71"/>
      <c r="AT21" s="71"/>
      <c r="AU21" s="71"/>
      <c r="AV21" s="71"/>
      <c r="AW21" s="71"/>
      <c r="AX21" s="71"/>
      <c r="AY21" s="71"/>
      <c r="AZ21" s="71"/>
    </row>
    <row r="22" spans="1:52" ht="15.75" thickBot="1" x14ac:dyDescent="0.3">
      <c r="A22" s="55" t="s">
        <v>263</v>
      </c>
      <c r="B22" s="220"/>
      <c r="C22" s="96">
        <f>(C21-C20)/C20*100</f>
        <v>-24.575450297405055</v>
      </c>
      <c r="D22" s="96">
        <f t="shared" ref="D22:Q22" si="7">(D21-D20)/D20*100</f>
        <v>-31.188936332914086</v>
      </c>
      <c r="E22" s="96">
        <f t="shared" si="7"/>
        <v>-28.12228721699201</v>
      </c>
      <c r="F22" s="96">
        <f t="shared" si="7"/>
        <v>-22.396522502809425</v>
      </c>
      <c r="G22" s="105"/>
      <c r="H22" s="106"/>
      <c r="I22" s="96">
        <f t="shared" si="7"/>
        <v>-26.963672019639944</v>
      </c>
      <c r="J22" s="96">
        <f t="shared" si="7"/>
        <v>-31.558792325669984</v>
      </c>
      <c r="K22" s="96">
        <f t="shared" si="7"/>
        <v>-33.41575721972886</v>
      </c>
      <c r="L22" s="96">
        <f t="shared" si="7"/>
        <v>-35.383322047412612</v>
      </c>
      <c r="M22" s="96">
        <f t="shared" si="7"/>
        <v>-35.731981751905082</v>
      </c>
      <c r="N22" s="103">
        <f t="shared" si="7"/>
        <v>-25.466384224221507</v>
      </c>
      <c r="O22" s="96">
        <f t="shared" si="7"/>
        <v>-13.42916235229945</v>
      </c>
      <c r="P22" s="96">
        <f t="shared" si="7"/>
        <v>-32.089102525568933</v>
      </c>
      <c r="Q22" s="96">
        <f t="shared" si="7"/>
        <v>-28.124039697606552</v>
      </c>
      <c r="S22" s="8"/>
      <c r="T22" s="105">
        <f>(T21-T20)/T20*100</f>
        <v>-2.9617021276595779</v>
      </c>
      <c r="U22" s="105">
        <f>(U21-U20)/U20*100</f>
        <v>-11.470356543480506</v>
      </c>
      <c r="V22" s="105">
        <f>(V21-V20)/V20*100</f>
        <v>-7.5249248298781355</v>
      </c>
      <c r="W22" s="105">
        <f>(W21-W20)/W20*100</f>
        <v>-0.15837820715870565</v>
      </c>
      <c r="X22" s="105"/>
      <c r="Y22" s="106"/>
      <c r="Z22" s="105">
        <f t="shared" ref="Z22:AH22" si="8">(Z21-Z20)/Z21*100</f>
        <v>-6.4218062566434657</v>
      </c>
      <c r="AA22" s="105">
        <f t="shared" si="8"/>
        <v>-13.566931533527079</v>
      </c>
      <c r="AB22" s="105">
        <f t="shared" si="8"/>
        <v>-16.734194480102694</v>
      </c>
      <c r="AC22" s="105">
        <f t="shared" si="8"/>
        <v>-20.288727187828314</v>
      </c>
      <c r="AD22" s="105">
        <f t="shared" si="8"/>
        <v>-20.941304211647267</v>
      </c>
      <c r="AE22" s="114">
        <f t="shared" si="8"/>
        <v>-4.2839243088010761</v>
      </c>
      <c r="AF22" s="105">
        <f t="shared" si="8"/>
        <v>10.216209554846563</v>
      </c>
      <c r="AG22" s="105">
        <f t="shared" si="8"/>
        <v>-14.453765670656992</v>
      </c>
      <c r="AH22" s="106">
        <f t="shared" si="8"/>
        <v>-8.1398831169942394</v>
      </c>
      <c r="AJ22" s="71"/>
    </row>
    <row r="23" spans="1:52" x14ac:dyDescent="0.25">
      <c r="A23" s="8" t="s">
        <v>262</v>
      </c>
      <c r="B23" s="205" t="s">
        <v>92</v>
      </c>
      <c r="C23" s="110">
        <v>1.8980796252927401</v>
      </c>
      <c r="D23" s="110">
        <v>2.1252224824355976</v>
      </c>
      <c r="E23" s="110">
        <v>1.5170725995316161</v>
      </c>
      <c r="F23" s="110">
        <v>1.4764637002341923</v>
      </c>
      <c r="G23" s="97">
        <v>-11.97</v>
      </c>
      <c r="H23" s="102">
        <v>2.6764999999999999</v>
      </c>
      <c r="I23" s="110">
        <v>4.3470210772833724</v>
      </c>
      <c r="J23" s="110">
        <v>1.7073793911007027</v>
      </c>
      <c r="K23" s="110">
        <v>0.37079859484777522</v>
      </c>
      <c r="L23" s="110">
        <v>0.38648711943793918</v>
      </c>
      <c r="M23" s="110">
        <v>0.67413583138173305</v>
      </c>
      <c r="N23" s="112">
        <v>0.69382201405152244</v>
      </c>
      <c r="O23" s="110">
        <v>0.92385245901639346</v>
      </c>
      <c r="P23" s="110">
        <v>0.55264637002341921</v>
      </c>
      <c r="Q23" s="111">
        <v>1.5171007025761123</v>
      </c>
      <c r="S23" s="8">
        <v>70.257611241217802</v>
      </c>
      <c r="T23" s="179">
        <v>27.015999999999998</v>
      </c>
      <c r="U23" s="97">
        <v>30.249000000000002</v>
      </c>
      <c r="V23" s="97">
        <v>21.593</v>
      </c>
      <c r="W23" s="97">
        <v>21.015000000000001</v>
      </c>
      <c r="X23" s="97">
        <v>-11.97</v>
      </c>
      <c r="Y23" s="102">
        <v>2.6764999999999999</v>
      </c>
      <c r="Z23" s="108">
        <v>61.872599999999998</v>
      </c>
      <c r="AA23" s="108">
        <v>24.3017</v>
      </c>
      <c r="AB23" s="108">
        <v>5.2777000000000003</v>
      </c>
      <c r="AC23" s="108">
        <v>5.5010000000000003</v>
      </c>
      <c r="AD23" s="108">
        <v>9.5952000000000002</v>
      </c>
      <c r="AE23" s="103">
        <v>9.8754000000000008</v>
      </c>
      <c r="AF23" s="108">
        <v>13.1495</v>
      </c>
      <c r="AG23" s="108">
        <v>7.8659999999999997</v>
      </c>
      <c r="AH23" s="104">
        <v>21.593399999999999</v>
      </c>
    </row>
    <row r="24" spans="1:52" x14ac:dyDescent="0.25">
      <c r="A24" s="8" t="s">
        <v>93</v>
      </c>
      <c r="B24" s="197"/>
      <c r="C24" s="108">
        <v>3.6978110599078335</v>
      </c>
      <c r="D24" s="108">
        <v>3.0067050691244241</v>
      </c>
      <c r="E24" s="108">
        <v>2.3837557603686634</v>
      </c>
      <c r="F24" s="108">
        <v>2.5641705069124425</v>
      </c>
      <c r="G24" s="96">
        <v>18.689599999999999</v>
      </c>
      <c r="H24" s="102">
        <v>-7.5692000000000004</v>
      </c>
      <c r="I24" s="108">
        <v>5.4424838709677417</v>
      </c>
      <c r="J24" s="108">
        <v>1.7446797235023039</v>
      </c>
      <c r="K24" s="108">
        <v>0.41153917050691241</v>
      </c>
      <c r="L24" s="108">
        <v>0.34370737327188938</v>
      </c>
      <c r="M24" s="108">
        <v>1.6283433179723501</v>
      </c>
      <c r="N24" s="103">
        <v>0.62310829493087561</v>
      </c>
      <c r="O24" s="108">
        <v>1.9822672811059907</v>
      </c>
      <c r="P24" s="108">
        <v>0.58192396313364059</v>
      </c>
      <c r="Q24" s="104">
        <v>2.3837626728110601</v>
      </c>
      <c r="S24" s="8">
        <v>69.124423963133637</v>
      </c>
      <c r="T24" s="179">
        <v>53.494999999999997</v>
      </c>
      <c r="U24" s="97">
        <v>43.497</v>
      </c>
      <c r="V24" s="97">
        <v>34.484999999999999</v>
      </c>
      <c r="W24" s="97">
        <v>37.094999999999999</v>
      </c>
      <c r="X24" s="96">
        <v>18.689599999999999</v>
      </c>
      <c r="Y24" s="102">
        <v>-7.5692000000000004</v>
      </c>
      <c r="Z24" s="108">
        <v>78.7346</v>
      </c>
      <c r="AA24" s="108">
        <v>25.239699999999999</v>
      </c>
      <c r="AB24" s="108">
        <v>5.9535999999999998</v>
      </c>
      <c r="AC24" s="108">
        <v>4.9722999999999997</v>
      </c>
      <c r="AD24" s="108">
        <v>23.556699999999999</v>
      </c>
      <c r="AE24" s="103">
        <v>9.0143000000000004</v>
      </c>
      <c r="AF24" s="108">
        <v>28.6768</v>
      </c>
      <c r="AG24" s="108">
        <v>8.4184999999999999</v>
      </c>
      <c r="AH24" s="104">
        <v>34.485100000000003</v>
      </c>
    </row>
    <row r="25" spans="1:52" ht="15.75" thickBot="1" x14ac:dyDescent="0.3">
      <c r="A25" s="38" t="s">
        <v>20</v>
      </c>
      <c r="B25" s="206"/>
      <c r="C25" s="105">
        <v>94.818542416918973</v>
      </c>
      <c r="D25" s="105">
        <v>41.477190928199157</v>
      </c>
      <c r="E25" s="105">
        <v>57.128654298062521</v>
      </c>
      <c r="F25" s="105">
        <v>73.669728995417998</v>
      </c>
      <c r="G25" s="108"/>
      <c r="H25" s="104"/>
      <c r="I25" s="105">
        <v>25.200310148230702</v>
      </c>
      <c r="J25" s="105">
        <v>2.1846540139830726</v>
      </c>
      <c r="K25" s="105">
        <v>10.987251900418476</v>
      </c>
      <c r="L25" s="105">
        <v>-11.06886724407881</v>
      </c>
      <c r="M25" s="105">
        <v>141.54528541152294</v>
      </c>
      <c r="N25" s="114">
        <v>-10.191910560421583</v>
      </c>
      <c r="O25" s="105">
        <v>114.56535204944625</v>
      </c>
      <c r="P25" s="105">
        <v>5.2977083897213868</v>
      </c>
      <c r="Q25" s="106">
        <v>57.126199253834152</v>
      </c>
      <c r="S25" s="8"/>
      <c r="T25" s="108">
        <f>(T24-T23)/T24*100</f>
        <v>49.498083933077858</v>
      </c>
      <c r="U25" s="108">
        <f>(U24-U23)/U24*100</f>
        <v>30.457272915373469</v>
      </c>
      <c r="V25" s="105">
        <f>(V24-V23)/V24*100</f>
        <v>37.384370015948967</v>
      </c>
      <c r="W25" s="105">
        <f>(W24-W23)/W24*100</f>
        <v>43.348160129397492</v>
      </c>
      <c r="X25" s="108"/>
      <c r="Y25" s="104"/>
      <c r="Z25" s="108">
        <f t="shared" ref="Z25:AH25" si="9">(Z24-Z23)/Z24*100</f>
        <v>21.41625155903504</v>
      </c>
      <c r="AA25" s="108">
        <f t="shared" si="9"/>
        <v>3.7163674687100037</v>
      </c>
      <c r="AB25" s="108">
        <f t="shared" si="9"/>
        <v>11.352794947594724</v>
      </c>
      <c r="AC25" s="108">
        <f t="shared" si="9"/>
        <v>-10.632906300907038</v>
      </c>
      <c r="AD25" s="108">
        <f t="shared" si="9"/>
        <v>59.267639355257742</v>
      </c>
      <c r="AE25" s="103">
        <f t="shared" si="9"/>
        <v>-9.5525997581620352</v>
      </c>
      <c r="AF25" s="108">
        <f t="shared" si="9"/>
        <v>54.145860068068963</v>
      </c>
      <c r="AG25" s="108">
        <f t="shared" si="9"/>
        <v>6.5629268872126891</v>
      </c>
      <c r="AH25" s="104">
        <f t="shared" si="9"/>
        <v>37.383391667705773</v>
      </c>
    </row>
    <row r="26" spans="1:52" x14ac:dyDescent="0.25">
      <c r="A26" s="52" t="s">
        <v>94</v>
      </c>
      <c r="B26" s="196" t="s">
        <v>95</v>
      </c>
      <c r="C26" s="96">
        <v>2.7797609271848267</v>
      </c>
      <c r="D26" s="96">
        <v>1.5236087272339329</v>
      </c>
      <c r="E26" s="96"/>
      <c r="F26" s="96"/>
      <c r="G26" s="115">
        <v>45.188200000000002</v>
      </c>
      <c r="H26" s="116"/>
      <c r="I26" s="96">
        <v>3.9940957349645716</v>
      </c>
      <c r="J26" s="96">
        <v>1.21434132951901</v>
      </c>
      <c r="K26" s="96">
        <v>0.21439565661796212</v>
      </c>
      <c r="L26" s="96">
        <v>0.20505652598959559</v>
      </c>
      <c r="M26" s="96">
        <v>0.23687609186655115</v>
      </c>
      <c r="N26" s="103">
        <v>0.86730653971688665</v>
      </c>
      <c r="O26" s="117"/>
      <c r="P26" s="117"/>
      <c r="Q26" s="125"/>
      <c r="S26" s="8">
        <v>65.217392656190952</v>
      </c>
      <c r="T26" s="180">
        <v>42.622999999999998</v>
      </c>
      <c r="U26" s="180">
        <v>23.361999999999998</v>
      </c>
      <c r="V26" s="96"/>
      <c r="W26" s="96"/>
      <c r="X26" s="115">
        <v>45.188200000000002</v>
      </c>
      <c r="Y26" s="116"/>
      <c r="Z26" s="180">
        <v>61.242800000000003</v>
      </c>
      <c r="AA26" s="180">
        <v>18.619900000000001</v>
      </c>
      <c r="AB26" s="180">
        <v>3.2873999999999999</v>
      </c>
      <c r="AC26" s="180">
        <v>3.1442000000000001</v>
      </c>
      <c r="AD26" s="180">
        <v>3.6320999999999999</v>
      </c>
      <c r="AE26" s="131">
        <v>13.2987</v>
      </c>
      <c r="AF26" s="181"/>
      <c r="AG26" s="181"/>
      <c r="AH26" s="182"/>
    </row>
    <row r="27" spans="1:52" x14ac:dyDescent="0.25">
      <c r="A27" s="6" t="s">
        <v>96</v>
      </c>
      <c r="B27" s="197"/>
      <c r="C27" s="96">
        <v>3.1236429103563457</v>
      </c>
      <c r="D27" s="96">
        <v>1.3956428809186305</v>
      </c>
      <c r="E27" s="96"/>
      <c r="F27" s="96"/>
      <c r="G27" s="118">
        <v>55.320900000000002</v>
      </c>
      <c r="H27" s="102"/>
      <c r="I27" s="96">
        <v>3.8439000654835831</v>
      </c>
      <c r="J27" s="96">
        <v>0.72025715512723798</v>
      </c>
      <c r="K27" s="96">
        <v>0.29682857648525823</v>
      </c>
      <c r="L27" s="96">
        <v>0.21690714655231105</v>
      </c>
      <c r="M27" s="96">
        <v>0.40183572113127281</v>
      </c>
      <c r="N27" s="103">
        <v>0.48004286532073026</v>
      </c>
      <c r="O27" s="117"/>
      <c r="P27" s="117"/>
      <c r="Q27" s="126"/>
      <c r="S27" s="8">
        <v>71.428572645408181</v>
      </c>
      <c r="T27" s="179">
        <v>43.731000000000002</v>
      </c>
      <c r="U27" s="179">
        <v>19.539000000000001</v>
      </c>
      <c r="V27" s="96"/>
      <c r="W27" s="96"/>
      <c r="X27" s="118">
        <v>55.320900000000002</v>
      </c>
      <c r="Y27" s="102"/>
      <c r="Z27" s="179">
        <v>53.814599999999999</v>
      </c>
      <c r="AA27" s="179">
        <v>10.083600000000001</v>
      </c>
      <c r="AB27" s="179">
        <v>4.1555999999999997</v>
      </c>
      <c r="AC27" s="179">
        <v>3.0367000000000002</v>
      </c>
      <c r="AD27" s="179">
        <v>5.6257000000000001</v>
      </c>
      <c r="AE27" s="129">
        <v>6.7206000000000001</v>
      </c>
      <c r="AF27" s="183"/>
      <c r="AG27" s="183"/>
      <c r="AH27" s="184"/>
    </row>
    <row r="28" spans="1:52" ht="15.75" thickBot="1" x14ac:dyDescent="0.3">
      <c r="A28" s="51" t="s">
        <v>20</v>
      </c>
      <c r="B28" s="206"/>
      <c r="C28" s="96">
        <v>12.370919376861009</v>
      </c>
      <c r="D28" s="96">
        <v>-8.3988654060560961</v>
      </c>
      <c r="E28" s="96"/>
      <c r="F28" s="96"/>
      <c r="G28" s="105"/>
      <c r="H28" s="106"/>
      <c r="I28" s="96">
        <v>-3.7604423991685012</v>
      </c>
      <c r="J28" s="96">
        <v>-40.687421434258063</v>
      </c>
      <c r="K28" s="96">
        <v>38.44896914781522</v>
      </c>
      <c r="L28" s="96">
        <v>5.7791969826489478</v>
      </c>
      <c r="M28" s="96">
        <v>69.639628028672035</v>
      </c>
      <c r="N28" s="103">
        <v>-44.651303392981468</v>
      </c>
      <c r="O28" s="117"/>
      <c r="P28" s="117"/>
      <c r="Q28" s="127"/>
      <c r="S28" s="8"/>
      <c r="T28" s="105">
        <f>(T27-T26)/T26*100</f>
        <v>2.5995354620744768</v>
      </c>
      <c r="U28" s="105">
        <f>(U27-U26)/U26*100</f>
        <v>-16.364181148874227</v>
      </c>
      <c r="V28" s="96"/>
      <c r="W28" s="96"/>
      <c r="X28" s="105"/>
      <c r="Y28" s="106"/>
      <c r="Z28" s="105">
        <f t="shared" ref="Z28:AE28" si="10">(Z27-Z26)/Z26*100</f>
        <v>-12.129099257382098</v>
      </c>
      <c r="AA28" s="105">
        <f t="shared" si="10"/>
        <v>-45.845036761744154</v>
      </c>
      <c r="AB28" s="105">
        <f t="shared" si="10"/>
        <v>26.409928819127575</v>
      </c>
      <c r="AC28" s="105">
        <f t="shared" si="10"/>
        <v>-3.418993702690666</v>
      </c>
      <c r="AD28" s="105">
        <f t="shared" si="10"/>
        <v>54.888356598111301</v>
      </c>
      <c r="AE28" s="114">
        <f t="shared" si="10"/>
        <v>-49.464233346116536</v>
      </c>
      <c r="AF28" s="117"/>
      <c r="AG28" s="117"/>
      <c r="AH28" s="127"/>
    </row>
    <row r="29" spans="1:52" x14ac:dyDescent="0.25">
      <c r="A29" s="25" t="s">
        <v>97</v>
      </c>
      <c r="B29" s="207" t="s">
        <v>98</v>
      </c>
      <c r="C29" s="109"/>
      <c r="D29" s="110"/>
      <c r="E29" s="110"/>
      <c r="F29" s="110"/>
      <c r="G29" s="110"/>
      <c r="H29" s="111"/>
      <c r="I29" s="110"/>
      <c r="J29" s="110"/>
      <c r="K29" s="110"/>
      <c r="L29" s="110"/>
      <c r="M29" s="110"/>
      <c r="N29" s="112"/>
      <c r="O29" s="110"/>
      <c r="P29" s="110"/>
      <c r="Q29" s="111"/>
      <c r="S29" s="8">
        <v>52.438460803356669</v>
      </c>
      <c r="T29" s="110"/>
      <c r="U29" s="110"/>
      <c r="V29" s="110"/>
      <c r="W29" s="110"/>
      <c r="X29" s="110"/>
      <c r="Y29" s="111"/>
      <c r="Z29" s="110"/>
      <c r="AA29" s="110"/>
      <c r="AB29" s="110"/>
      <c r="AC29" s="110"/>
      <c r="AD29" s="110"/>
      <c r="AE29" s="112"/>
      <c r="AF29" s="110"/>
      <c r="AG29" s="110"/>
      <c r="AH29" s="111"/>
    </row>
    <row r="30" spans="1:52" x14ac:dyDescent="0.25">
      <c r="A30" s="25" t="s">
        <v>99</v>
      </c>
      <c r="B30" s="208"/>
      <c r="C30" s="107"/>
      <c r="D30" s="108"/>
      <c r="E30" s="108"/>
      <c r="F30" s="108"/>
      <c r="G30" s="108"/>
      <c r="H30" s="104"/>
      <c r="I30" s="108"/>
      <c r="J30" s="108"/>
      <c r="K30" s="108"/>
      <c r="L30" s="108"/>
      <c r="M30" s="108"/>
      <c r="N30" s="103"/>
      <c r="O30" s="108"/>
      <c r="P30" s="108"/>
      <c r="Q30" s="104"/>
      <c r="S30" s="8">
        <v>56.684088019229016</v>
      </c>
      <c r="T30" s="108"/>
      <c r="U30" s="108"/>
      <c r="V30" s="108"/>
      <c r="W30" s="108"/>
      <c r="X30" s="108"/>
      <c r="Y30" s="104"/>
      <c r="Z30" s="108"/>
      <c r="AA30" s="108"/>
      <c r="AB30" s="108"/>
      <c r="AC30" s="108"/>
      <c r="AD30" s="108"/>
      <c r="AE30" s="103"/>
      <c r="AF30" s="108"/>
      <c r="AG30" s="108"/>
      <c r="AH30" s="104"/>
    </row>
    <row r="31" spans="1:52" ht="15.75" thickBot="1" x14ac:dyDescent="0.3">
      <c r="A31" s="27" t="s">
        <v>20</v>
      </c>
      <c r="B31" s="209"/>
      <c r="C31" s="113"/>
      <c r="D31" s="105"/>
      <c r="E31" s="105"/>
      <c r="F31" s="105"/>
      <c r="G31" s="105"/>
      <c r="H31" s="106"/>
      <c r="I31" s="105"/>
      <c r="J31" s="105"/>
      <c r="K31" s="105"/>
      <c r="L31" s="105"/>
      <c r="M31" s="105"/>
      <c r="N31" s="114"/>
      <c r="O31" s="105"/>
      <c r="P31" s="105"/>
      <c r="Q31" s="106"/>
      <c r="S31" s="8"/>
      <c r="T31" s="105"/>
      <c r="U31" s="105"/>
      <c r="V31" s="105"/>
      <c r="W31" s="105"/>
      <c r="X31" s="105"/>
      <c r="Y31" s="106"/>
      <c r="Z31" s="105"/>
      <c r="AA31" s="105"/>
      <c r="AB31" s="105"/>
      <c r="AC31" s="105"/>
      <c r="AD31" s="105"/>
      <c r="AE31" s="114"/>
      <c r="AF31" s="105"/>
      <c r="AG31" s="105"/>
      <c r="AH31" s="106"/>
    </row>
    <row r="32" spans="1:52" x14ac:dyDescent="0.25">
      <c r="A32" s="16" t="s">
        <v>100</v>
      </c>
      <c r="B32" s="32"/>
      <c r="C32" s="96">
        <v>1.9497279877547482</v>
      </c>
      <c r="D32" s="96">
        <v>1.5431859931692624</v>
      </c>
      <c r="E32" s="96">
        <v>1.1285442702314334</v>
      </c>
      <c r="F32" s="96">
        <v>0.94498618796839995</v>
      </c>
      <c r="G32" s="97">
        <v>20.850999999999999</v>
      </c>
      <c r="H32" s="102">
        <v>16.2638</v>
      </c>
      <c r="I32" s="96">
        <v>2.9996834367344078</v>
      </c>
      <c r="J32" s="96">
        <v>1.0499286286871021</v>
      </c>
      <c r="K32" s="96">
        <v>0.30902877490519093</v>
      </c>
      <c r="L32" s="96">
        <v>0.35924172663120663</v>
      </c>
      <c r="M32" s="96">
        <v>0.25297972751867898</v>
      </c>
      <c r="N32" s="103">
        <v>0.62195722034823187</v>
      </c>
      <c r="O32" s="96">
        <v>0.47789470090526581</v>
      </c>
      <c r="P32" s="96">
        <v>0.46710221518015704</v>
      </c>
      <c r="Q32" s="104">
        <v>1.1285442702314337</v>
      </c>
      <c r="S32" s="8">
        <v>53.640585114854964</v>
      </c>
      <c r="T32" s="97">
        <v>36.347999999999999</v>
      </c>
      <c r="U32" s="97">
        <v>28.768999999999998</v>
      </c>
      <c r="V32" s="97">
        <v>21.038999999999998</v>
      </c>
      <c r="W32" s="97">
        <v>17.617000000000001</v>
      </c>
      <c r="X32" s="97">
        <v>20.850999999999999</v>
      </c>
      <c r="Y32" s="102">
        <v>16.2638</v>
      </c>
      <c r="Z32" s="97">
        <v>55.921900000000001</v>
      </c>
      <c r="AA32" s="97">
        <v>19.573399999999999</v>
      </c>
      <c r="AB32" s="97">
        <v>5.7610999999999999</v>
      </c>
      <c r="AC32" s="97">
        <v>6.6971999999999996</v>
      </c>
      <c r="AD32" s="97">
        <v>4.7161999999999997</v>
      </c>
      <c r="AE32" s="129">
        <v>11.594900000000001</v>
      </c>
      <c r="AF32" s="97">
        <v>8.9092000000000002</v>
      </c>
      <c r="AG32" s="97">
        <v>8.7080000000000002</v>
      </c>
      <c r="AH32" s="102">
        <v>21.039000000000001</v>
      </c>
    </row>
    <row r="33" spans="1:34" x14ac:dyDescent="0.25">
      <c r="A33" s="6" t="s">
        <v>101</v>
      </c>
      <c r="B33" s="33"/>
      <c r="C33" s="96">
        <v>2.199182144447676</v>
      </c>
      <c r="D33" s="96">
        <v>1.5604846432878594</v>
      </c>
      <c r="E33" s="96">
        <v>1.5849259690261031</v>
      </c>
      <c r="F33" s="96">
        <v>1.537386247535234</v>
      </c>
      <c r="G33" s="97">
        <v>29.0426</v>
      </c>
      <c r="H33" s="102">
        <v>2.9992999999999999</v>
      </c>
      <c r="I33" s="96">
        <v>3.1427032654629574</v>
      </c>
      <c r="J33" s="96">
        <v>0.9435318644551669</v>
      </c>
      <c r="K33" s="96">
        <v>0.24832386950055482</v>
      </c>
      <c r="L33" s="96">
        <v>0.3442413007933191</v>
      </c>
      <c r="M33" s="96">
        <v>0.38993315062397849</v>
      </c>
      <c r="N33" s="103">
        <v>0.57797557893012241</v>
      </c>
      <c r="O33" s="96">
        <v>1.0581375094277883</v>
      </c>
      <c r="P33" s="96">
        <v>0.47924873810744567</v>
      </c>
      <c r="Q33" s="104">
        <v>1.5849259690261031</v>
      </c>
      <c r="S33" s="8">
        <v>53.717199424711175</v>
      </c>
      <c r="T33" s="97">
        <v>40.940000000000005</v>
      </c>
      <c r="U33" s="97">
        <v>29.049999999999997</v>
      </c>
      <c r="V33" s="97">
        <v>29.504999999999999</v>
      </c>
      <c r="W33" s="97">
        <v>28.62</v>
      </c>
      <c r="X33" s="97">
        <v>29.0426</v>
      </c>
      <c r="Y33" s="102">
        <v>2.9992999999999999</v>
      </c>
      <c r="Z33" s="97">
        <v>58.504600000000003</v>
      </c>
      <c r="AA33" s="97">
        <v>17.564800000000002</v>
      </c>
      <c r="AB33" s="97">
        <v>4.6227999999999998</v>
      </c>
      <c r="AC33" s="97">
        <v>6.4084000000000003</v>
      </c>
      <c r="AD33" s="97">
        <v>7.2590000000000003</v>
      </c>
      <c r="AE33" s="129">
        <v>10.759600000000001</v>
      </c>
      <c r="AF33" s="97">
        <v>19.6983</v>
      </c>
      <c r="AG33" s="97">
        <v>8.9216999999999995</v>
      </c>
      <c r="AH33" s="102">
        <v>29.504999999999999</v>
      </c>
    </row>
    <row r="34" spans="1:34" ht="15.75" thickBot="1" x14ac:dyDescent="0.3">
      <c r="A34" s="51" t="s">
        <v>20</v>
      </c>
      <c r="B34" s="34"/>
      <c r="C34" s="105">
        <v>12.794305577989482</v>
      </c>
      <c r="D34" s="105">
        <v>1.1209698762927802</v>
      </c>
      <c r="E34" s="105">
        <v>40.439857862295312</v>
      </c>
      <c r="F34" s="105">
        <v>62.688753244152572</v>
      </c>
      <c r="G34" s="105"/>
      <c r="H34" s="106"/>
      <c r="I34" s="105">
        <v>4.7678307309736478</v>
      </c>
      <c r="J34" s="105">
        <v>-10.133713980633193</v>
      </c>
      <c r="K34" s="105">
        <v>-19.643771174143957</v>
      </c>
      <c r="L34" s="105">
        <v>-4.1755800414818696</v>
      </c>
      <c r="M34" s="105">
        <v>54.136125628954765</v>
      </c>
      <c r="N34" s="114">
        <v>-7.0714898033476112</v>
      </c>
      <c r="O34" s="105">
        <v>121.41645584757077</v>
      </c>
      <c r="P34" s="105">
        <v>2.6003993414169155</v>
      </c>
      <c r="Q34" s="106">
        <v>40.439857862295284</v>
      </c>
      <c r="S34" s="8"/>
      <c r="T34" s="105">
        <f>(T33-T32)/T32*100</f>
        <v>12.633432375921663</v>
      </c>
      <c r="U34" s="105">
        <f>(U33-U32)/U32*100</f>
        <v>0.97674580277381495</v>
      </c>
      <c r="V34" s="105">
        <f>(V33-V32)/V32*100</f>
        <v>40.23955511193499</v>
      </c>
      <c r="W34" s="105">
        <f>(W33-W32)/W32*100</f>
        <v>62.45671794289607</v>
      </c>
      <c r="X34" s="105"/>
      <c r="Y34" s="106"/>
      <c r="Z34" s="105">
        <f t="shared" ref="Z34:AH34" si="11">(Z33-Z32)/Z32*100</f>
        <v>4.6184053116936346</v>
      </c>
      <c r="AA34" s="105">
        <f t="shared" si="11"/>
        <v>-10.261886028998529</v>
      </c>
      <c r="AB34" s="105">
        <f t="shared" si="11"/>
        <v>-19.758379476141709</v>
      </c>
      <c r="AC34" s="105">
        <f t="shared" si="11"/>
        <v>-4.312249895478697</v>
      </c>
      <c r="AD34" s="105">
        <f t="shared" si="11"/>
        <v>53.91628853738181</v>
      </c>
      <c r="AE34" s="114">
        <f t="shared" si="11"/>
        <v>-7.2040293577348677</v>
      </c>
      <c r="AF34" s="105">
        <f t="shared" si="11"/>
        <v>121.10065999191846</v>
      </c>
      <c r="AG34" s="105">
        <f t="shared" si="11"/>
        <v>2.4540652273771171</v>
      </c>
      <c r="AH34" s="106">
        <f t="shared" si="11"/>
        <v>40.239555111934969</v>
      </c>
    </row>
    <row r="35" spans="1:34" ht="21.75" customHeight="1" x14ac:dyDescent="0.25">
      <c r="A35" s="16" t="s">
        <v>102</v>
      </c>
      <c r="B35" s="215" t="s">
        <v>129</v>
      </c>
      <c r="C35" s="96">
        <v>2.5035517514269663</v>
      </c>
      <c r="D35" s="96">
        <v>1.4027996003866927</v>
      </c>
      <c r="E35" s="96">
        <v>1.6603953600366486</v>
      </c>
      <c r="F35" s="96">
        <v>1.4481169014518165</v>
      </c>
      <c r="G35" s="96"/>
      <c r="H35" s="102">
        <v>12.786099999999999</v>
      </c>
      <c r="I35" s="96">
        <v>3.3521309434503572</v>
      </c>
      <c r="J35" s="117"/>
      <c r="K35" s="96">
        <v>0.38872569833873422</v>
      </c>
      <c r="L35" s="96">
        <v>0.27223986727504507</v>
      </c>
      <c r="M35" s="96">
        <v>0.28608964917359969</v>
      </c>
      <c r="N35" s="103">
        <v>0.45575966109405475</v>
      </c>
      <c r="O35" s="96">
        <v>0.71799917114529055</v>
      </c>
      <c r="P35" s="96">
        <v>0.7301075466433653</v>
      </c>
      <c r="Q35" s="104">
        <v>1.6604106355313895</v>
      </c>
      <c r="S35" s="8">
        <v>50.918315803509721</v>
      </c>
      <c r="T35" s="180">
        <v>49.168000000000006</v>
      </c>
      <c r="U35" s="97">
        <v>27.549999999999997</v>
      </c>
      <c r="V35" s="97">
        <v>32.609000000000002</v>
      </c>
      <c r="W35" s="97">
        <v>28.439999999999998</v>
      </c>
      <c r="X35" s="96"/>
      <c r="Y35" s="102">
        <v>12.786099999999999</v>
      </c>
      <c r="Z35" s="97">
        <v>65.833500000000001</v>
      </c>
      <c r="AA35" s="185"/>
      <c r="AB35" s="97">
        <v>7.6342999999999996</v>
      </c>
      <c r="AC35" s="97">
        <v>5.3465999999999996</v>
      </c>
      <c r="AD35" s="97">
        <v>5.6185999999999998</v>
      </c>
      <c r="AE35" s="129">
        <v>8.9507999999999992</v>
      </c>
      <c r="AF35" s="97">
        <v>14.101000000000001</v>
      </c>
      <c r="AG35" s="97">
        <v>14.338800000000001</v>
      </c>
      <c r="AH35" s="102">
        <v>32.609299999999998</v>
      </c>
    </row>
    <row r="36" spans="1:34" ht="19.5" customHeight="1" x14ac:dyDescent="0.25">
      <c r="A36" s="6" t="s">
        <v>103</v>
      </c>
      <c r="B36" s="215"/>
      <c r="C36" s="96">
        <v>1.8565197098080672</v>
      </c>
      <c r="D36" s="96">
        <v>1.7706502060382789</v>
      </c>
      <c r="E36" s="96">
        <v>2.1113600230590897</v>
      </c>
      <c r="F36" s="96">
        <v>1.7967819957090332</v>
      </c>
      <c r="G36" s="97">
        <v>4.6246</v>
      </c>
      <c r="H36" s="102">
        <v>14.8994</v>
      </c>
      <c r="I36" s="96">
        <v>3.4639901767031649</v>
      </c>
      <c r="J36" s="96">
        <v>1.6074593941028643</v>
      </c>
      <c r="K36" s="96">
        <v>0.42025675642534444</v>
      </c>
      <c r="L36" s="96">
        <v>0.37916008805118978</v>
      </c>
      <c r="M36" s="96">
        <v>0.52320050581899025</v>
      </c>
      <c r="N36" s="103">
        <v>0.44806053772333787</v>
      </c>
      <c r="O36" s="96">
        <v>1.2504891816873489</v>
      </c>
      <c r="P36" s="96">
        <v>0.54628174122945095</v>
      </c>
      <c r="Q36" s="104">
        <v>2.1113434138707392</v>
      </c>
      <c r="S36" s="8">
        <v>55.363961166852569</v>
      </c>
      <c r="T36" s="179">
        <v>33.533000000000001</v>
      </c>
      <c r="U36" s="97">
        <v>31.981999999999999</v>
      </c>
      <c r="V36" s="97">
        <v>38.136000000000003</v>
      </c>
      <c r="W36" s="97">
        <v>32.454000000000001</v>
      </c>
      <c r="X36" s="97">
        <v>4.6246</v>
      </c>
      <c r="Y36" s="102">
        <v>14.8994</v>
      </c>
      <c r="Z36" s="97">
        <v>62.567599999999999</v>
      </c>
      <c r="AA36" s="97">
        <v>29.034400000000002</v>
      </c>
      <c r="AB36" s="97">
        <v>7.5907999999999998</v>
      </c>
      <c r="AC36" s="97">
        <v>6.8484999999999996</v>
      </c>
      <c r="AD36" s="97">
        <v>9.4502000000000006</v>
      </c>
      <c r="AE36" s="129">
        <v>8.093</v>
      </c>
      <c r="AF36" s="97">
        <v>22.5867</v>
      </c>
      <c r="AG36" s="97">
        <v>9.8671000000000006</v>
      </c>
      <c r="AH36" s="102">
        <v>38.1357</v>
      </c>
    </row>
    <row r="37" spans="1:34" ht="18.75" customHeight="1" thickBot="1" x14ac:dyDescent="0.3">
      <c r="A37" s="51" t="s">
        <v>20</v>
      </c>
      <c r="B37" s="216"/>
      <c r="C37" s="96">
        <v>-25.844564277535138</v>
      </c>
      <c r="D37" s="96">
        <v>26.222605534688299</v>
      </c>
      <c r="E37" s="96">
        <v>27.160077284995985</v>
      </c>
      <c r="F37" s="96">
        <v>24.077137274460426</v>
      </c>
      <c r="G37" s="105"/>
      <c r="H37" s="106"/>
      <c r="I37" s="96">
        <v>3.3369589416358139</v>
      </c>
      <c r="J37" s="96"/>
      <c r="K37" s="96">
        <v>8.1113901708484857</v>
      </c>
      <c r="L37" s="96">
        <v>39.274270093631351</v>
      </c>
      <c r="M37" s="96">
        <v>82.879914505928625</v>
      </c>
      <c r="N37" s="103">
        <v>-1.689294605897123</v>
      </c>
      <c r="O37" s="96">
        <v>74.163039727842033</v>
      </c>
      <c r="P37" s="96">
        <v>-25.177907865634968</v>
      </c>
      <c r="Q37" s="104">
        <v>27.157907127897641</v>
      </c>
      <c r="S37" s="8"/>
      <c r="T37" s="105">
        <f>(T36-T35)/T35*100</f>
        <v>-31.799137650504399</v>
      </c>
      <c r="U37" s="105">
        <f>(U36-U35)/U35*100</f>
        <v>16.087114337568067</v>
      </c>
      <c r="V37" s="105">
        <f>(V36-V35)/V35*100</f>
        <v>16.949308473120919</v>
      </c>
      <c r="W37" s="105">
        <f>(W36-W35)/W35*100</f>
        <v>14.113924050632923</v>
      </c>
      <c r="X37" s="105"/>
      <c r="Y37" s="106"/>
      <c r="Z37" s="105">
        <f>(Z36-Z35)/Z35*100</f>
        <v>-4.960848200384306</v>
      </c>
      <c r="AA37" s="105"/>
      <c r="AB37" s="105">
        <f t="shared" ref="AB37:AH37" si="12">(AB36-AB35)/AB35*100</f>
        <v>-0.56979683795501712</v>
      </c>
      <c r="AC37" s="105">
        <f t="shared" si="12"/>
        <v>28.090749261212739</v>
      </c>
      <c r="AD37" s="105">
        <f t="shared" si="12"/>
        <v>68.194924002420549</v>
      </c>
      <c r="AE37" s="114">
        <f t="shared" si="12"/>
        <v>-9.5835009161192222</v>
      </c>
      <c r="AF37" s="105">
        <f t="shared" si="12"/>
        <v>60.17800156017303</v>
      </c>
      <c r="AG37" s="105">
        <f t="shared" si="12"/>
        <v>-31.186012776522443</v>
      </c>
      <c r="AH37" s="106">
        <f t="shared" si="12"/>
        <v>16.947312576473593</v>
      </c>
    </row>
    <row r="38" spans="1:34" x14ac:dyDescent="0.25">
      <c r="A38" s="16" t="s">
        <v>104</v>
      </c>
      <c r="B38" s="32"/>
      <c r="C38" s="109">
        <v>3.6820528513932294</v>
      </c>
      <c r="D38" s="110">
        <v>3.3751605583801707</v>
      </c>
      <c r="E38" s="110">
        <v>1.0763416116886073</v>
      </c>
      <c r="F38" s="110">
        <v>0.83346098443793082</v>
      </c>
      <c r="G38" s="97">
        <v>8.3351000000000006</v>
      </c>
      <c r="H38" s="102">
        <v>22.5626</v>
      </c>
      <c r="I38" s="110">
        <v>4.5138044333931875</v>
      </c>
      <c r="J38" s="110">
        <v>0.83178067821166835</v>
      </c>
      <c r="K38" s="110">
        <v>0.74413561448769716</v>
      </c>
      <c r="L38" s="110">
        <v>0.63058764828874359</v>
      </c>
      <c r="M38" s="110">
        <v>0.66871823373492634</v>
      </c>
      <c r="N38" s="112">
        <v>1.3316899656570935</v>
      </c>
      <c r="O38" s="110">
        <v>0.59877821483659588</v>
      </c>
      <c r="P38" s="110">
        <v>0.23469004365426255</v>
      </c>
      <c r="Q38" s="111">
        <v>1.0763197895298247</v>
      </c>
      <c r="S38" s="8">
        <v>72.74052927543471</v>
      </c>
      <c r="T38" s="179">
        <v>50.619</v>
      </c>
      <c r="U38" s="97">
        <v>46.4</v>
      </c>
      <c r="V38" s="97">
        <v>14.797000000000001</v>
      </c>
      <c r="W38" s="97">
        <v>11.457999999999998</v>
      </c>
      <c r="X38" s="97">
        <v>8.3351000000000006</v>
      </c>
      <c r="Y38" s="102">
        <v>22.5626</v>
      </c>
      <c r="Z38" s="97">
        <v>62.0535</v>
      </c>
      <c r="AA38" s="97">
        <v>11.434900000000001</v>
      </c>
      <c r="AB38" s="97">
        <v>10.23</v>
      </c>
      <c r="AC38" s="97">
        <v>8.6690000000000005</v>
      </c>
      <c r="AD38" s="97">
        <v>9.1931999999999992</v>
      </c>
      <c r="AE38" s="129">
        <v>18.307400000000001</v>
      </c>
      <c r="AF38" s="97">
        <v>8.2317</v>
      </c>
      <c r="AG38" s="97">
        <v>3.2263999999999999</v>
      </c>
      <c r="AH38" s="102">
        <v>14.7967</v>
      </c>
    </row>
    <row r="39" spans="1:34" x14ac:dyDescent="0.25">
      <c r="A39" s="6" t="s">
        <v>105</v>
      </c>
      <c r="B39" s="33"/>
      <c r="C39" s="107">
        <v>4.4475362310441167</v>
      </c>
      <c r="D39" s="108">
        <v>3.4349306403638615</v>
      </c>
      <c r="E39" s="108">
        <v>1.2117189015399787</v>
      </c>
      <c r="F39" s="108">
        <v>1.06991239059238</v>
      </c>
      <c r="G39" s="97">
        <v>22.767600000000002</v>
      </c>
      <c r="H39" s="102">
        <v>11.7028</v>
      </c>
      <c r="I39" s="108">
        <v>5.3304365039621011</v>
      </c>
      <c r="J39" s="108">
        <v>0.88292113704416542</v>
      </c>
      <c r="K39" s="108">
        <v>0.69492840543923418</v>
      </c>
      <c r="L39" s="108">
        <v>0.60315406907510882</v>
      </c>
      <c r="M39" s="108">
        <v>0.86480412080981062</v>
      </c>
      <c r="N39" s="103">
        <v>1.2720370903309806</v>
      </c>
      <c r="O39" s="108">
        <v>0.93389219730581097</v>
      </c>
      <c r="P39" s="108">
        <v>0.13602714799529617</v>
      </c>
      <c r="Q39" s="104">
        <v>1.2117189015399787</v>
      </c>
      <c r="S39" s="8">
        <v>69.547087271995579</v>
      </c>
      <c r="T39" s="97">
        <v>63.949999999999996</v>
      </c>
      <c r="U39" s="97">
        <v>49.39</v>
      </c>
      <c r="V39" s="97">
        <v>17.422999999999998</v>
      </c>
      <c r="W39" s="97">
        <v>15.384</v>
      </c>
      <c r="X39" s="97">
        <v>22.767600000000002</v>
      </c>
      <c r="Y39" s="102">
        <v>11.7028</v>
      </c>
      <c r="Z39" s="97">
        <v>76.644999999999996</v>
      </c>
      <c r="AA39" s="97">
        <v>12.6953</v>
      </c>
      <c r="AB39" s="97">
        <v>9.9922000000000004</v>
      </c>
      <c r="AC39" s="97">
        <v>8.6725999999999992</v>
      </c>
      <c r="AD39" s="97">
        <v>12.434799999999999</v>
      </c>
      <c r="AE39" s="129">
        <v>18.290299999999998</v>
      </c>
      <c r="AF39" s="97">
        <v>13.4282</v>
      </c>
      <c r="AG39" s="97">
        <v>1.9559</v>
      </c>
      <c r="AH39" s="102">
        <v>17.422999999999998</v>
      </c>
    </row>
    <row r="40" spans="1:34" ht="15.75" thickBot="1" x14ac:dyDescent="0.3">
      <c r="A40" s="51" t="s">
        <v>20</v>
      </c>
      <c r="B40" s="34"/>
      <c r="C40" s="113">
        <v>20.789581533606739</v>
      </c>
      <c r="D40" s="105">
        <v>1.7708811462402274</v>
      </c>
      <c r="E40" s="105">
        <v>12.577539359366233</v>
      </c>
      <c r="F40" s="105">
        <v>28.369823011440324</v>
      </c>
      <c r="G40" s="105"/>
      <c r="H40" s="106"/>
      <c r="I40" s="105">
        <v>18.091879757294276</v>
      </c>
      <c r="J40" s="105">
        <v>6.1483105068573192</v>
      </c>
      <c r="K40" s="105">
        <v>-6.6126668433064948</v>
      </c>
      <c r="L40" s="105">
        <v>-4.3504783653918055</v>
      </c>
      <c r="M40" s="105">
        <v>29.322646995836347</v>
      </c>
      <c r="N40" s="114">
        <v>-4.4794867322348972</v>
      </c>
      <c r="O40" s="105">
        <v>55.966295059793772</v>
      </c>
      <c r="P40" s="105">
        <v>-42.039659681649397</v>
      </c>
      <c r="Q40" s="106">
        <v>12.579821845448119</v>
      </c>
      <c r="S40" s="8"/>
      <c r="T40" s="105">
        <f>(T39-T38)/T38*100</f>
        <v>26.335960805231228</v>
      </c>
      <c r="U40" s="105">
        <f>(U39-U38)/U38*100</f>
        <v>6.4439655172413834</v>
      </c>
      <c r="V40" s="105">
        <f>(V39-V38)/V38*100</f>
        <v>17.746840575792376</v>
      </c>
      <c r="W40" s="105">
        <f>(W39-W38)/W38*100</f>
        <v>34.264269506022018</v>
      </c>
      <c r="X40" s="105"/>
      <c r="Y40" s="106"/>
      <c r="Z40" s="105">
        <f t="shared" ref="Z40:AH40" si="13">(Z39-Z38)/Z38*100</f>
        <v>23.514386779150243</v>
      </c>
      <c r="AA40" s="105">
        <f t="shared" si="13"/>
        <v>11.022396348022271</v>
      </c>
      <c r="AB40" s="105">
        <f t="shared" si="13"/>
        <v>-2.3245356793743892</v>
      </c>
      <c r="AC40" s="105">
        <f t="shared" si="13"/>
        <v>4.1527281116607626E-2</v>
      </c>
      <c r="AD40" s="105">
        <f t="shared" si="13"/>
        <v>35.260844972370883</v>
      </c>
      <c r="AE40" s="114">
        <f t="shared" si="13"/>
        <v>-9.3404852682536996E-2</v>
      </c>
      <c r="AF40" s="105">
        <f t="shared" si="13"/>
        <v>63.127907965547827</v>
      </c>
      <c r="AG40" s="105">
        <f t="shared" si="13"/>
        <v>-39.378254401190183</v>
      </c>
      <c r="AH40" s="106">
        <f t="shared" si="13"/>
        <v>17.74922786837605</v>
      </c>
    </row>
    <row r="41" spans="1:34" x14ac:dyDescent="0.25">
      <c r="A41" s="16" t="s">
        <v>106</v>
      </c>
      <c r="B41" s="32"/>
      <c r="C41" s="96">
        <v>2.8379647204213714</v>
      </c>
      <c r="D41" s="96">
        <v>2.2459886623325627</v>
      </c>
      <c r="E41" s="96">
        <v>1.5470122369366219</v>
      </c>
      <c r="F41" s="96">
        <v>1.3423682443985661</v>
      </c>
      <c r="G41" s="97">
        <v>20.858699999999999</v>
      </c>
      <c r="H41" s="102">
        <v>13.228400000000001</v>
      </c>
      <c r="I41" s="96">
        <v>3.5776476058993505</v>
      </c>
      <c r="J41" s="96">
        <v>0.73969214957904417</v>
      </c>
      <c r="K41" s="96">
        <v>0.14217615905303516</v>
      </c>
      <c r="L41" s="96">
        <v>0.29106879137859593</v>
      </c>
      <c r="M41" s="96">
        <v>0.21802135447671397</v>
      </c>
      <c r="N41" s="103">
        <v>1.5947316215252831</v>
      </c>
      <c r="O41" s="96">
        <v>0.27823801140280563</v>
      </c>
      <c r="P41" s="96">
        <v>1.0641580252989571</v>
      </c>
      <c r="Q41" s="104">
        <v>1.5470492933408844</v>
      </c>
      <c r="S41" s="8">
        <v>92.641010655525605</v>
      </c>
      <c r="T41" s="97">
        <v>30.634</v>
      </c>
      <c r="U41" s="97">
        <v>24.244</v>
      </c>
      <c r="V41" s="97">
        <v>16.698999999999998</v>
      </c>
      <c r="W41" s="97">
        <v>14.49</v>
      </c>
      <c r="X41" s="97">
        <v>20.858699999999999</v>
      </c>
      <c r="Y41" s="102">
        <v>13.228400000000001</v>
      </c>
      <c r="Z41" s="97">
        <v>38.618400000000001</v>
      </c>
      <c r="AA41" s="97">
        <v>7.9844999999999997</v>
      </c>
      <c r="AB41" s="97">
        <v>1.5347</v>
      </c>
      <c r="AC41" s="97">
        <v>3.1419000000000001</v>
      </c>
      <c r="AD41" s="97">
        <v>2.3534000000000002</v>
      </c>
      <c r="AE41" s="129">
        <v>17.214099999999998</v>
      </c>
      <c r="AF41" s="97">
        <v>3.0034000000000001</v>
      </c>
      <c r="AG41" s="97">
        <v>11.4869</v>
      </c>
      <c r="AH41" s="102">
        <v>16.699400000000001</v>
      </c>
    </row>
    <row r="42" spans="1:34" ht="15" customHeight="1" x14ac:dyDescent="0.25">
      <c r="A42" s="6" t="s">
        <v>107</v>
      </c>
      <c r="B42" s="33"/>
      <c r="C42" s="96">
        <v>3.0556183682874267</v>
      </c>
      <c r="D42" s="96">
        <v>2.3250606661023796</v>
      </c>
      <c r="E42" s="96">
        <v>1.5431785607675221</v>
      </c>
      <c r="F42" s="96">
        <v>1.4065308304212942</v>
      </c>
      <c r="G42" s="97">
        <v>23.9085</v>
      </c>
      <c r="H42" s="102">
        <v>8.8500999999999994</v>
      </c>
      <c r="I42" s="96">
        <v>3.9228517451398357</v>
      </c>
      <c r="J42" s="96">
        <v>0.86724269162612044</v>
      </c>
      <c r="K42" s="96">
        <v>0.17369258539646276</v>
      </c>
      <c r="L42" s="96">
        <v>0.28180916386467442</v>
      </c>
      <c r="M42" s="96">
        <v>0.69872912041319568</v>
      </c>
      <c r="N42" s="103">
        <v>1.1708204816543351</v>
      </c>
      <c r="O42" s="96">
        <v>0.71088490010657179</v>
      </c>
      <c r="P42" s="96">
        <v>0.69569250418327955</v>
      </c>
      <c r="Q42" s="104">
        <v>1.543150616446388</v>
      </c>
      <c r="S42" s="8">
        <v>93.147737113993003</v>
      </c>
      <c r="T42" s="97">
        <v>32.804000000000002</v>
      </c>
      <c r="U42" s="97">
        <v>24.961000000000002</v>
      </c>
      <c r="V42" s="97">
        <v>16.567</v>
      </c>
      <c r="W42" s="97">
        <v>15.1</v>
      </c>
      <c r="X42" s="97">
        <v>23.9085</v>
      </c>
      <c r="Y42" s="102">
        <v>8.8500999999999994</v>
      </c>
      <c r="Z42" s="97">
        <v>42.1143</v>
      </c>
      <c r="AA42" s="97">
        <v>9.3103999999999996</v>
      </c>
      <c r="AB42" s="97">
        <v>1.8647</v>
      </c>
      <c r="AC42" s="97">
        <v>3.0253999999999999</v>
      </c>
      <c r="AD42" s="97">
        <v>7.5012999999999996</v>
      </c>
      <c r="AE42" s="129">
        <v>12.5695</v>
      </c>
      <c r="AF42" s="97">
        <v>7.6318000000000001</v>
      </c>
      <c r="AG42" s="97">
        <v>7.4687000000000001</v>
      </c>
      <c r="AH42" s="102">
        <v>16.566700000000001</v>
      </c>
    </row>
    <row r="43" spans="1:34" ht="15.75" thickBot="1" x14ac:dyDescent="0.3">
      <c r="A43" s="51" t="s">
        <v>20</v>
      </c>
      <c r="B43" s="34"/>
      <c r="C43" s="96">
        <v>7.6693570677558967</v>
      </c>
      <c r="D43" s="96">
        <v>3.520587841600991</v>
      </c>
      <c r="E43" s="96">
        <v>-0.24781162537480667</v>
      </c>
      <c r="F43" s="96">
        <v>4.7798051161047503</v>
      </c>
      <c r="G43" s="105"/>
      <c r="H43" s="106"/>
      <c r="I43" s="96">
        <v>9.6489139587493735</v>
      </c>
      <c r="J43" s="96">
        <v>17.243733372006826</v>
      </c>
      <c r="K43" s="96">
        <v>22.167166811470278</v>
      </c>
      <c r="L43" s="96">
        <v>-3.1812505456407467</v>
      </c>
      <c r="M43" s="96">
        <v>220.4865514620148</v>
      </c>
      <c r="N43" s="103">
        <v>-26.581973678147659</v>
      </c>
      <c r="O43" s="96">
        <v>155.49524902168113</v>
      </c>
      <c r="P43" s="96">
        <v>-34.625075633119756</v>
      </c>
      <c r="Q43" s="104">
        <v>-0.25200728323770077</v>
      </c>
      <c r="S43" s="8"/>
      <c r="T43" s="105">
        <f>(T42-T41)/T41*100</f>
        <v>7.0836325651237235</v>
      </c>
      <c r="U43" s="105">
        <f>(U42-U41)/U41*100</f>
        <v>2.9574327668701628</v>
      </c>
      <c r="V43" s="105">
        <f>(V42-V41)/V41*100</f>
        <v>-0.79046649499968802</v>
      </c>
      <c r="W43" s="105">
        <f>(W42-W41)/W41*100</f>
        <v>4.2097998619737709</v>
      </c>
      <c r="X43" s="105"/>
      <c r="Y43" s="106"/>
      <c r="Z43" s="105">
        <f t="shared" ref="Z43:AH43" si="14">(Z42-Z41)/Z41*100</f>
        <v>9.0524206077931719</v>
      </c>
      <c r="AA43" s="105">
        <f t="shared" si="14"/>
        <v>16.605923977706805</v>
      </c>
      <c r="AB43" s="105">
        <f t="shared" si="14"/>
        <v>21.502573792923705</v>
      </c>
      <c r="AC43" s="105">
        <f t="shared" si="14"/>
        <v>-3.7079474203507519</v>
      </c>
      <c r="AD43" s="105">
        <f t="shared" si="14"/>
        <v>218.74309509645619</v>
      </c>
      <c r="AE43" s="114">
        <f t="shared" si="14"/>
        <v>-26.981369923492949</v>
      </c>
      <c r="AF43" s="105">
        <f t="shared" si="14"/>
        <v>154.1053472730905</v>
      </c>
      <c r="AG43" s="105">
        <f t="shared" si="14"/>
        <v>-34.980717164770304</v>
      </c>
      <c r="AH43" s="106">
        <f t="shared" si="14"/>
        <v>-0.79463932835910167</v>
      </c>
    </row>
    <row r="44" spans="1:34" x14ac:dyDescent="0.25">
      <c r="A44" s="16" t="s">
        <v>108</v>
      </c>
      <c r="B44" s="32"/>
      <c r="C44" s="109">
        <v>1.7201291850442073</v>
      </c>
      <c r="D44" s="110">
        <v>1.5371409875917035</v>
      </c>
      <c r="E44" s="110">
        <v>0.80525507943280283</v>
      </c>
      <c r="F44" s="110">
        <v>0.72941128706762037</v>
      </c>
      <c r="G44" s="97">
        <v>10.6378</v>
      </c>
      <c r="H44" s="102">
        <v>9.4221000000000004</v>
      </c>
      <c r="I44" s="110">
        <v>3.5476167964593066</v>
      </c>
      <c r="J44" s="110">
        <v>1.8274541705895413</v>
      </c>
      <c r="K44" s="110">
        <v>0.2490204515990162</v>
      </c>
      <c r="L44" s="110">
        <v>0.30586985504734532</v>
      </c>
      <c r="M44" s="110">
        <v>0.34617273800965487</v>
      </c>
      <c r="N44" s="112">
        <v>0.63611138376124488</v>
      </c>
      <c r="O44" s="110">
        <v>0.46131618857041184</v>
      </c>
      <c r="P44" s="110">
        <v>0.26808172216698539</v>
      </c>
      <c r="Q44" s="111">
        <v>0.80526845576302619</v>
      </c>
      <c r="S44" s="8">
        <v>66.881651115681308</v>
      </c>
      <c r="T44" s="97">
        <v>25.718999999999998</v>
      </c>
      <c r="U44" s="97">
        <v>22.982999999999997</v>
      </c>
      <c r="V44" s="97">
        <v>12.04</v>
      </c>
      <c r="W44" s="97">
        <v>10.906000000000001</v>
      </c>
      <c r="X44" s="97">
        <v>10.6378</v>
      </c>
      <c r="Y44" s="102">
        <v>9.4221000000000004</v>
      </c>
      <c r="Z44" s="97">
        <v>53.043199999999999</v>
      </c>
      <c r="AA44" s="97">
        <v>27.323699999999999</v>
      </c>
      <c r="AB44" s="97">
        <v>3.7233000000000001</v>
      </c>
      <c r="AC44" s="97">
        <v>4.5732999999999997</v>
      </c>
      <c r="AD44" s="97">
        <v>5.1759000000000004</v>
      </c>
      <c r="AE44" s="129">
        <v>9.5109999999999992</v>
      </c>
      <c r="AF44" s="97">
        <v>6.8975</v>
      </c>
      <c r="AG44" s="97">
        <v>4.0083000000000002</v>
      </c>
      <c r="AH44" s="102">
        <v>12.0402</v>
      </c>
    </row>
    <row r="45" spans="1:34" x14ac:dyDescent="0.25">
      <c r="A45" s="6" t="s">
        <v>109</v>
      </c>
      <c r="B45" s="33"/>
      <c r="C45" s="107">
        <v>2.5297637810488594</v>
      </c>
      <c r="D45" s="108">
        <v>2.0570551903078238</v>
      </c>
      <c r="E45" s="108">
        <v>1.3747834177859526</v>
      </c>
      <c r="F45" s="108">
        <v>1.0985644606077096</v>
      </c>
      <c r="G45" s="97">
        <v>18.685500000000001</v>
      </c>
      <c r="H45" s="102">
        <v>20.093</v>
      </c>
      <c r="I45" s="108">
        <v>3.828417931107976</v>
      </c>
      <c r="J45" s="108">
        <v>1.29867991074526</v>
      </c>
      <c r="K45" s="108">
        <v>0.26459444755579642</v>
      </c>
      <c r="L45" s="108">
        <v>0.33343988127543778</v>
      </c>
      <c r="M45" s="108">
        <v>0.70396227025505642</v>
      </c>
      <c r="N45" s="103">
        <v>0.75505215104999701</v>
      </c>
      <c r="O45" s="108">
        <v>0.83964380417511286</v>
      </c>
      <c r="P45" s="108">
        <v>0.25890777608952481</v>
      </c>
      <c r="Q45" s="104">
        <v>1.3747898579574886</v>
      </c>
      <c r="S45" s="8">
        <v>64.401715359814148</v>
      </c>
      <c r="T45" s="97">
        <v>39.280999999999999</v>
      </c>
      <c r="U45" s="97">
        <v>31.941000000000003</v>
      </c>
      <c r="V45" s="97">
        <v>21.347000000000001</v>
      </c>
      <c r="W45" s="97">
        <v>17.058</v>
      </c>
      <c r="X45" s="97">
        <v>18.685500000000001</v>
      </c>
      <c r="Y45" s="102">
        <v>20.093</v>
      </c>
      <c r="Z45" s="97">
        <v>59.445900000000002</v>
      </c>
      <c r="AA45" s="97">
        <v>20.165299999999998</v>
      </c>
      <c r="AB45" s="97">
        <v>4.1085000000000003</v>
      </c>
      <c r="AC45" s="97">
        <v>5.1775000000000002</v>
      </c>
      <c r="AD45" s="97">
        <v>10.9308</v>
      </c>
      <c r="AE45" s="129">
        <v>11.7241</v>
      </c>
      <c r="AF45" s="97">
        <v>13.037599999999999</v>
      </c>
      <c r="AG45" s="97">
        <v>4.0202</v>
      </c>
      <c r="AH45" s="102">
        <v>21.347100000000001</v>
      </c>
    </row>
    <row r="46" spans="1:34" ht="15.75" thickBot="1" x14ac:dyDescent="0.3">
      <c r="A46" s="51" t="s">
        <v>20</v>
      </c>
      <c r="B46" s="34"/>
      <c r="C46" s="113">
        <v>47.068243655423146</v>
      </c>
      <c r="D46" s="105">
        <v>33.823455812644063</v>
      </c>
      <c r="E46" s="105">
        <v>70.726450897311722</v>
      </c>
      <c r="F46" s="105">
        <v>50.609742416265455</v>
      </c>
      <c r="G46" s="105"/>
      <c r="H46" s="106"/>
      <c r="I46" s="105">
        <v>7.9152047912537382</v>
      </c>
      <c r="J46" s="105">
        <v>-28.935021646736971</v>
      </c>
      <c r="K46" s="105">
        <v>6.2541031697501523</v>
      </c>
      <c r="L46" s="105">
        <v>9.0136460893882209</v>
      </c>
      <c r="M46" s="105">
        <v>103.35577963260143</v>
      </c>
      <c r="N46" s="114">
        <v>18.698103873801262</v>
      </c>
      <c r="O46" s="105">
        <v>82.010478924902486</v>
      </c>
      <c r="P46" s="105">
        <v>-3.4220707041512601</v>
      </c>
      <c r="Q46" s="106">
        <v>70.72441471146621</v>
      </c>
      <c r="S46" s="8"/>
      <c r="T46" s="105">
        <f>(T45-T44)/T44*100</f>
        <v>52.731443679769832</v>
      </c>
      <c r="U46" s="105">
        <f>(U45-U44)/U44*100</f>
        <v>38.976634904059551</v>
      </c>
      <c r="V46" s="105">
        <f>(V45-V44)/V44*100</f>
        <v>77.300664451827259</v>
      </c>
      <c r="W46" s="105">
        <f>(W45-W44)/W44*100</f>
        <v>56.409315972858963</v>
      </c>
      <c r="X46" s="105"/>
      <c r="Y46" s="106"/>
      <c r="Z46" s="105">
        <f t="shared" ref="Z46:AH46" si="15">(Z45-Z44)/Z44*100</f>
        <v>12.070727256274138</v>
      </c>
      <c r="AA46" s="105">
        <f t="shared" si="15"/>
        <v>-26.198501667050948</v>
      </c>
      <c r="AB46" s="105">
        <f t="shared" si="15"/>
        <v>10.345661107082432</v>
      </c>
      <c r="AC46" s="105">
        <f t="shared" si="15"/>
        <v>13.211466555878697</v>
      </c>
      <c r="AD46" s="105">
        <f t="shared" si="15"/>
        <v>111.18646032574043</v>
      </c>
      <c r="AE46" s="114">
        <f t="shared" si="15"/>
        <v>23.268846598675228</v>
      </c>
      <c r="AF46" s="105">
        <f t="shared" si="15"/>
        <v>89.01920985864443</v>
      </c>
      <c r="AG46" s="105">
        <f t="shared" si="15"/>
        <v>0.29688396577102011</v>
      </c>
      <c r="AH46" s="106">
        <f t="shared" si="15"/>
        <v>77.298549857975786</v>
      </c>
    </row>
    <row r="47" spans="1:34" x14ac:dyDescent="0.25">
      <c r="A47" s="16" t="s">
        <v>110</v>
      </c>
      <c r="B47" s="199" t="s">
        <v>130</v>
      </c>
      <c r="C47" s="96">
        <v>2.1223945881736328</v>
      </c>
      <c r="D47" s="96">
        <v>1.8527752688623123</v>
      </c>
      <c r="E47" s="96">
        <v>1.3809027735380428</v>
      </c>
      <c r="F47" s="96">
        <v>1.2808851993760668</v>
      </c>
      <c r="G47" s="97">
        <v>12.703200000000001</v>
      </c>
      <c r="H47" s="102">
        <v>7.2424999999999997</v>
      </c>
      <c r="I47" s="96">
        <v>3.0711636694479458</v>
      </c>
      <c r="J47" s="96">
        <v>0.94876392307038526</v>
      </c>
      <c r="K47" s="117"/>
      <c r="L47" s="96">
        <v>0.48285431148676805</v>
      </c>
      <c r="M47" s="96">
        <v>0.47740208993497801</v>
      </c>
      <c r="N47" s="103">
        <v>0.8925240256444944</v>
      </c>
      <c r="O47" s="96">
        <v>0.77635095678033605</v>
      </c>
      <c r="P47" s="96">
        <v>0.50453424259573065</v>
      </c>
      <c r="Q47" s="104">
        <v>1.3808976153341153</v>
      </c>
      <c r="S47" s="8">
        <v>51.582039278997534</v>
      </c>
      <c r="T47" s="97">
        <v>41.146000000000001</v>
      </c>
      <c r="U47" s="97">
        <v>35.918999999999997</v>
      </c>
      <c r="V47" s="97">
        <v>26.770999999999997</v>
      </c>
      <c r="W47" s="97">
        <v>24.832000000000001</v>
      </c>
      <c r="X47" s="97">
        <v>12.703200000000001</v>
      </c>
      <c r="Y47" s="102">
        <v>7.2424999999999997</v>
      </c>
      <c r="Z47" s="97">
        <v>59.539400000000001</v>
      </c>
      <c r="AA47" s="97">
        <v>18.3933</v>
      </c>
      <c r="AB47" s="117"/>
      <c r="AC47" s="97">
        <v>9.3609000000000009</v>
      </c>
      <c r="AD47" s="97">
        <v>9.2552000000000003</v>
      </c>
      <c r="AE47" s="129">
        <v>17.303000000000001</v>
      </c>
      <c r="AF47" s="97">
        <v>15.050800000000001</v>
      </c>
      <c r="AG47" s="97">
        <v>9.7812000000000001</v>
      </c>
      <c r="AH47" s="102">
        <v>26.770900000000001</v>
      </c>
    </row>
    <row r="48" spans="1:34" x14ac:dyDescent="0.25">
      <c r="A48" s="6" t="s">
        <v>111</v>
      </c>
      <c r="B48" s="200"/>
      <c r="C48" s="96">
        <v>2.88781961864477</v>
      </c>
      <c r="D48" s="96">
        <v>2.3152351639131963</v>
      </c>
      <c r="E48" s="96">
        <v>1.4077623511193023</v>
      </c>
      <c r="F48" s="96">
        <v>1.3751833307644514</v>
      </c>
      <c r="G48" s="97">
        <v>19.8278</v>
      </c>
      <c r="H48" s="102">
        <v>2.3172999999999999</v>
      </c>
      <c r="I48" s="96">
        <v>3.5455072300591399</v>
      </c>
      <c r="J48" s="96">
        <v>0.65768761141437038</v>
      </c>
      <c r="K48" s="117"/>
      <c r="L48" s="96">
        <v>0.52348710833727374</v>
      </c>
      <c r="M48" s="96">
        <v>0.80807411273131002</v>
      </c>
      <c r="N48" s="103">
        <v>0.98366849484789742</v>
      </c>
      <c r="O48" s="96">
        <v>0.98952509131637001</v>
      </c>
      <c r="P48" s="96">
        <v>0.38564189545793703</v>
      </c>
      <c r="Q48" s="104">
        <v>1.4077895911028766</v>
      </c>
      <c r="S48" s="8">
        <v>54.47996714857981</v>
      </c>
      <c r="T48" s="97">
        <v>53.006999999999998</v>
      </c>
      <c r="U48" s="97">
        <v>42.497</v>
      </c>
      <c r="V48" s="97">
        <v>25.84</v>
      </c>
      <c r="W48" s="97">
        <v>25.242000000000001</v>
      </c>
      <c r="X48" s="97">
        <v>19.8278</v>
      </c>
      <c r="Y48" s="102">
        <v>2.3172999999999999</v>
      </c>
      <c r="Z48" s="97">
        <v>65.079099999999997</v>
      </c>
      <c r="AA48" s="97">
        <v>12.072100000000001</v>
      </c>
      <c r="AB48" s="117"/>
      <c r="AC48" s="97">
        <v>9.6088000000000005</v>
      </c>
      <c r="AD48" s="97">
        <v>14.8325</v>
      </c>
      <c r="AE48" s="129">
        <v>18.055599999999998</v>
      </c>
      <c r="AF48" s="97">
        <v>18.1631</v>
      </c>
      <c r="AG48" s="97">
        <v>7.0785999999999998</v>
      </c>
      <c r="AH48" s="102">
        <v>25.840499999999999</v>
      </c>
    </row>
    <row r="49" spans="1:35" ht="15.75" thickBot="1" x14ac:dyDescent="0.3">
      <c r="A49" s="51" t="s">
        <v>20</v>
      </c>
      <c r="B49" s="201"/>
      <c r="C49" s="96">
        <v>36.064218912742433</v>
      </c>
      <c r="D49" s="96">
        <v>24.960387955461822</v>
      </c>
      <c r="E49" s="96">
        <v>1.9450737659423993</v>
      </c>
      <c r="F49" s="96">
        <v>7.3619502695728132</v>
      </c>
      <c r="G49" s="105"/>
      <c r="H49" s="106"/>
      <c r="I49" s="96">
        <v>15.44507592773326</v>
      </c>
      <c r="J49" s="96">
        <v>-30.679529920787367</v>
      </c>
      <c r="K49" s="117"/>
      <c r="L49" s="96">
        <v>8.415125615300461</v>
      </c>
      <c r="M49" s="96">
        <v>69.264887977631062</v>
      </c>
      <c r="N49" s="103">
        <v>10.211990555390072</v>
      </c>
      <c r="O49" s="96">
        <v>27.458475148933232</v>
      </c>
      <c r="P49" s="96">
        <v>-23.564772635870181</v>
      </c>
      <c r="Q49" s="104">
        <v>1.9474272002602231</v>
      </c>
      <c r="S49" s="8"/>
      <c r="T49" s="105">
        <f>(T48-T47)/T47*100</f>
        <v>28.826617411169973</v>
      </c>
      <c r="U49" s="105">
        <f>(U48-U47)/U47*100</f>
        <v>18.313427433948618</v>
      </c>
      <c r="V49" s="105">
        <f>(V48-V47)/V47*100</f>
        <v>-3.4776437189496003</v>
      </c>
      <c r="W49" s="105">
        <f>(W48-W47)/W47*100</f>
        <v>1.6510953608247427</v>
      </c>
      <c r="X49" s="105"/>
      <c r="Y49" s="106"/>
      <c r="Z49" s="105">
        <f>(Z48-Z47)/Z47*100</f>
        <v>9.3042590284752542</v>
      </c>
      <c r="AA49" s="105">
        <f>(AA48-AA47)/AA47*100</f>
        <v>-34.366861846433203</v>
      </c>
      <c r="AB49" s="117"/>
      <c r="AC49" s="105">
        <f t="shared" ref="AC49:AH49" si="16">(AC48-AC47)/AC47*100</f>
        <v>2.6482496341163726</v>
      </c>
      <c r="AD49" s="105">
        <f t="shared" si="16"/>
        <v>60.261258535742058</v>
      </c>
      <c r="AE49" s="114">
        <f t="shared" si="16"/>
        <v>4.3495347627578891</v>
      </c>
      <c r="AF49" s="105">
        <f t="shared" si="16"/>
        <v>20.678635022723039</v>
      </c>
      <c r="AG49" s="105">
        <f t="shared" si="16"/>
        <v>-27.630556577925002</v>
      </c>
      <c r="AH49" s="106">
        <f t="shared" si="16"/>
        <v>-3.4754154697824959</v>
      </c>
    </row>
    <row r="50" spans="1:35" x14ac:dyDescent="0.25">
      <c r="A50" t="s">
        <v>112</v>
      </c>
      <c r="B50" s="200" t="s">
        <v>113</v>
      </c>
      <c r="C50" s="109">
        <v>2.6246828907360995</v>
      </c>
      <c r="D50" s="110">
        <v>2.1712607947157418</v>
      </c>
      <c r="E50" s="110">
        <v>1.1489436774059647</v>
      </c>
      <c r="F50" s="110">
        <v>1.1581290237341857</v>
      </c>
      <c r="G50" s="97">
        <v>17.2758</v>
      </c>
      <c r="H50" s="102">
        <v>-0.80030000000000001</v>
      </c>
      <c r="I50" s="110">
        <v>3.5279185538621558</v>
      </c>
      <c r="J50" s="110">
        <v>0.90323566312605663</v>
      </c>
      <c r="K50" s="110">
        <v>0.47856847272151271</v>
      </c>
      <c r="L50" s="110">
        <v>0.4108354903167879</v>
      </c>
      <c r="M50" s="110">
        <v>0.23648688088807091</v>
      </c>
      <c r="N50" s="112">
        <v>1.0453580217681648</v>
      </c>
      <c r="O50" s="110">
        <v>0.48284502682367786</v>
      </c>
      <c r="P50" s="110">
        <v>0.67526610337869952</v>
      </c>
      <c r="Q50" s="111">
        <v>1.1489198193635539</v>
      </c>
      <c r="S50" s="8">
        <v>59.645106027408232</v>
      </c>
      <c r="T50" s="97">
        <v>44.005000000000003</v>
      </c>
      <c r="U50" s="97">
        <v>36.402999999999999</v>
      </c>
      <c r="V50" s="97">
        <v>19.262999999999998</v>
      </c>
      <c r="W50" s="97">
        <v>19.417000000000002</v>
      </c>
      <c r="X50" s="97">
        <v>17.2758</v>
      </c>
      <c r="Y50" s="102">
        <v>-0.80030000000000001</v>
      </c>
      <c r="Z50" s="97">
        <v>59.148499999999999</v>
      </c>
      <c r="AA50" s="97">
        <v>15.1435</v>
      </c>
      <c r="AB50" s="97">
        <v>8.0236000000000001</v>
      </c>
      <c r="AC50" s="97">
        <v>6.8879999999999999</v>
      </c>
      <c r="AD50" s="97">
        <v>3.9649000000000001</v>
      </c>
      <c r="AE50" s="129">
        <v>17.526299999999999</v>
      </c>
      <c r="AF50" s="97">
        <v>8.0952999999999999</v>
      </c>
      <c r="AG50" s="97">
        <v>11.321400000000001</v>
      </c>
      <c r="AH50" s="102">
        <v>19.262599999999999</v>
      </c>
    </row>
    <row r="51" spans="1:35" ht="18" customHeight="1" x14ac:dyDescent="0.25">
      <c r="A51" t="s">
        <v>114</v>
      </c>
      <c r="B51" s="200"/>
      <c r="C51" s="107">
        <v>3.1477217697556674</v>
      </c>
      <c r="D51" s="108">
        <v>2.3819722650231121</v>
      </c>
      <c r="E51" s="108">
        <v>1.6190622936385646</v>
      </c>
      <c r="F51" s="108">
        <v>1.6051287695355487</v>
      </c>
      <c r="G51" s="97">
        <v>24.326899999999998</v>
      </c>
      <c r="H51" s="102">
        <v>0.86070000000000002</v>
      </c>
      <c r="I51" s="108">
        <v>3.6360356592559979</v>
      </c>
      <c r="J51" s="108">
        <v>0.48829407880255332</v>
      </c>
      <c r="K51" s="108">
        <v>0.43959938366718015</v>
      </c>
      <c r="L51" s="108">
        <v>0.45303764032577581</v>
      </c>
      <c r="M51" s="108">
        <v>0.67787585296059849</v>
      </c>
      <c r="N51" s="103">
        <v>0.81147919876733432</v>
      </c>
      <c r="O51" s="108">
        <v>1.1541646489104114</v>
      </c>
      <c r="P51" s="108">
        <v>0.45099053488883994</v>
      </c>
      <c r="Q51" s="104">
        <v>1.6190887079022669</v>
      </c>
      <c r="S51" s="8">
        <v>66.035659255998226</v>
      </c>
      <c r="T51" s="97">
        <v>47.667000000000002</v>
      </c>
      <c r="U51" s="97">
        <v>36.070999999999998</v>
      </c>
      <c r="V51" s="97">
        <v>24.518000000000001</v>
      </c>
      <c r="W51" s="97">
        <v>24.306999999999999</v>
      </c>
      <c r="X51" s="97">
        <v>24.326899999999998</v>
      </c>
      <c r="Y51" s="102">
        <v>0.86070000000000002</v>
      </c>
      <c r="Z51" s="97">
        <v>55.061700000000002</v>
      </c>
      <c r="AA51" s="97">
        <v>7.3944000000000001</v>
      </c>
      <c r="AB51" s="97">
        <v>6.657</v>
      </c>
      <c r="AC51" s="97">
        <v>6.8605</v>
      </c>
      <c r="AD51" s="97">
        <v>10.2653</v>
      </c>
      <c r="AE51" s="129">
        <v>12.288500000000001</v>
      </c>
      <c r="AF51" s="97">
        <v>17.477900000000002</v>
      </c>
      <c r="AG51" s="97">
        <v>6.8295000000000003</v>
      </c>
      <c r="AH51" s="102">
        <v>24.5184</v>
      </c>
    </row>
    <row r="52" spans="1:35" ht="15.75" thickBot="1" x14ac:dyDescent="0.3">
      <c r="A52" s="51" t="s">
        <v>20</v>
      </c>
      <c r="B52" s="201"/>
      <c r="C52" s="113">
        <v>19.92769796555805</v>
      </c>
      <c r="D52" s="105">
        <v>9.7045675406742777</v>
      </c>
      <c r="E52" s="105">
        <v>40.917464056550912</v>
      </c>
      <c r="F52" s="105">
        <v>38.59671389290375</v>
      </c>
      <c r="G52" s="105"/>
      <c r="H52" s="106"/>
      <c r="I52" s="105">
        <v>3.0646145522685586</v>
      </c>
      <c r="J52" s="105">
        <v>-45.939459795842183</v>
      </c>
      <c r="K52" s="105">
        <v>-8.1428450212618451</v>
      </c>
      <c r="L52" s="105">
        <v>10.272274670439643</v>
      </c>
      <c r="M52" s="105">
        <v>186.64416834244463</v>
      </c>
      <c r="N52" s="114">
        <v>-22.37308349203056</v>
      </c>
      <c r="O52" s="105">
        <v>139.03417966275987</v>
      </c>
      <c r="P52" s="105">
        <v>-33.212916710567129</v>
      </c>
      <c r="Q52" s="106">
        <v>40.922689348257904</v>
      </c>
      <c r="S52" s="8"/>
      <c r="T52" s="105">
        <f>(T51-T50)/T50*100</f>
        <v>8.3217816157254827</v>
      </c>
      <c r="U52" s="105">
        <f>(U51-U50)/U50*100</f>
        <v>-0.91201274620223804</v>
      </c>
      <c r="V52" s="105">
        <f>(V51-V50)/V50*100</f>
        <v>27.280278253646905</v>
      </c>
      <c r="W52" s="105">
        <f>(W51-W50)/W50*100</f>
        <v>25.184117010866746</v>
      </c>
      <c r="X52" s="105"/>
      <c r="Y52" s="106"/>
      <c r="Z52" s="105">
        <f t="shared" ref="Z52:AH52" si="17">(Z51-Z50)/Z50*100</f>
        <v>-6.9093890800273838</v>
      </c>
      <c r="AA52" s="105">
        <f t="shared" si="17"/>
        <v>-51.171129527520051</v>
      </c>
      <c r="AB52" s="105">
        <f t="shared" si="17"/>
        <v>-17.032254848197816</v>
      </c>
      <c r="AC52" s="105">
        <f t="shared" si="17"/>
        <v>-0.39924506387920816</v>
      </c>
      <c r="AD52" s="105">
        <f t="shared" si="17"/>
        <v>158.90438598703622</v>
      </c>
      <c r="AE52" s="114">
        <f t="shared" si="17"/>
        <v>-29.885372269104138</v>
      </c>
      <c r="AF52" s="105">
        <f t="shared" si="17"/>
        <v>115.90181957432092</v>
      </c>
      <c r="AG52" s="105">
        <f t="shared" si="17"/>
        <v>-39.676188457257936</v>
      </c>
      <c r="AH52" s="106">
        <f t="shared" si="17"/>
        <v>27.284997871523061</v>
      </c>
    </row>
    <row r="53" spans="1:35" ht="15" customHeight="1" x14ac:dyDescent="0.25">
      <c r="A53" s="16" t="s">
        <v>115</v>
      </c>
      <c r="B53" s="200" t="s">
        <v>116</v>
      </c>
      <c r="C53" s="96">
        <v>2.5315172351212873</v>
      </c>
      <c r="D53" s="96">
        <v>1.9340522080447395</v>
      </c>
      <c r="E53" s="96">
        <v>0.81451356791028673</v>
      </c>
      <c r="F53" s="96">
        <v>0.37099255949047921</v>
      </c>
      <c r="G53" s="97">
        <v>23.599799999999998</v>
      </c>
      <c r="H53" s="119">
        <v>54.4512</v>
      </c>
      <c r="I53" s="96">
        <v>3.3782749473499911</v>
      </c>
      <c r="J53" s="96">
        <v>0.84676964124990928</v>
      </c>
      <c r="K53" s="96">
        <v>0.40156067632952591</v>
      </c>
      <c r="L53" s="96">
        <v>0.47973751679964993</v>
      </c>
      <c r="M53" s="96">
        <v>0.41394300034081588</v>
      </c>
      <c r="N53" s="103">
        <v>0.6388289081065559</v>
      </c>
      <c r="O53" s="96">
        <v>0.23258012644327566</v>
      </c>
      <c r="P53" s="117"/>
      <c r="Q53" s="104">
        <v>0.81448970986787583</v>
      </c>
      <c r="S53" s="8">
        <v>59.645106027408232</v>
      </c>
      <c r="T53" s="97">
        <v>42.442999999999998</v>
      </c>
      <c r="U53" s="97">
        <v>32.426000000000002</v>
      </c>
      <c r="V53" s="97">
        <v>13.655999999999999</v>
      </c>
      <c r="W53" s="97">
        <v>6.22</v>
      </c>
      <c r="X53" s="97">
        <v>23.599799999999998</v>
      </c>
      <c r="Y53" s="119">
        <v>54.4512</v>
      </c>
      <c r="Z53" s="97">
        <v>56.639600000000002</v>
      </c>
      <c r="AA53" s="97">
        <v>14.1968</v>
      </c>
      <c r="AB53" s="97">
        <v>6.7324999999999999</v>
      </c>
      <c r="AC53" s="97">
        <v>8.0432000000000006</v>
      </c>
      <c r="AD53" s="97">
        <v>6.9401000000000002</v>
      </c>
      <c r="AE53" s="129">
        <v>10.7105</v>
      </c>
      <c r="AF53" s="97">
        <v>3.8994</v>
      </c>
      <c r="AG53" s="185"/>
      <c r="AH53" s="102">
        <v>13.6556</v>
      </c>
    </row>
    <row r="54" spans="1:35" x14ac:dyDescent="0.25">
      <c r="A54" s="6" t="s">
        <v>117</v>
      </c>
      <c r="B54" s="200"/>
      <c r="C54" s="96">
        <v>3.2318700700951153</v>
      </c>
      <c r="D54" s="96">
        <v>2.388011110019344</v>
      </c>
      <c r="E54" s="96">
        <v>1.1046273636276005</v>
      </c>
      <c r="F54" s="96">
        <v>0.80258454670480517</v>
      </c>
      <c r="G54" s="120">
        <v>26.1098</v>
      </c>
      <c r="H54" s="119">
        <v>27.3459</v>
      </c>
      <c r="I54" s="96">
        <v>3.8163742156319072</v>
      </c>
      <c r="J54" s="96">
        <v>0.58449818102618978</v>
      </c>
      <c r="K54" s="96">
        <v>0.44117695575293048</v>
      </c>
      <c r="L54" s="96">
        <v>0.56621695602878908</v>
      </c>
      <c r="M54" s="96">
        <v>0.68881150695752402</v>
      </c>
      <c r="N54" s="103">
        <v>0.69182954932251084</v>
      </c>
      <c r="O54" s="96">
        <v>0.57172219931511881</v>
      </c>
      <c r="P54" s="117"/>
      <c r="Q54" s="104">
        <v>1.1046512216700115</v>
      </c>
      <c r="S54" s="8">
        <v>59.645106027408232</v>
      </c>
      <c r="T54" s="97">
        <v>54.185000000000002</v>
      </c>
      <c r="U54" s="97">
        <v>40.037000000000006</v>
      </c>
      <c r="V54" s="97">
        <v>18.52</v>
      </c>
      <c r="W54" s="97">
        <v>13.456</v>
      </c>
      <c r="X54" s="120">
        <v>26.1098</v>
      </c>
      <c r="Y54" s="119">
        <v>27.3459</v>
      </c>
      <c r="Z54" s="97">
        <v>63.984699999999997</v>
      </c>
      <c r="AA54" s="97">
        <v>9.7995999999999999</v>
      </c>
      <c r="AB54" s="97">
        <v>7.3967000000000001</v>
      </c>
      <c r="AC54" s="97">
        <v>9.4931000000000001</v>
      </c>
      <c r="AD54" s="97">
        <v>11.548500000000001</v>
      </c>
      <c r="AE54" s="129">
        <v>11.5991</v>
      </c>
      <c r="AF54" s="97">
        <v>9.5853999999999999</v>
      </c>
      <c r="AG54" s="185"/>
      <c r="AH54" s="102">
        <v>18.520399999999999</v>
      </c>
    </row>
    <row r="55" spans="1:35" ht="15.75" thickBot="1" x14ac:dyDescent="0.3">
      <c r="A55" s="51" t="s">
        <v>20</v>
      </c>
      <c r="B55" s="201"/>
      <c r="C55" s="96">
        <v>27.66533939636691</v>
      </c>
      <c r="D55" s="96">
        <v>23.471905261210157</v>
      </c>
      <c r="E55" s="96">
        <v>35.618043350908046</v>
      </c>
      <c r="F55" s="96">
        <v>116.33440514469453</v>
      </c>
      <c r="G55" s="105"/>
      <c r="H55" s="106"/>
      <c r="I55" s="96">
        <v>12.968135368187625</v>
      </c>
      <c r="J55" s="96">
        <v>-30.973177053983996</v>
      </c>
      <c r="K55" s="96">
        <v>9.8655774229483892</v>
      </c>
      <c r="L55" s="96">
        <v>18.026407400039773</v>
      </c>
      <c r="M55" s="96">
        <v>66.402501404878905</v>
      </c>
      <c r="N55" s="103">
        <v>8.2965314411091882</v>
      </c>
      <c r="O55" s="96">
        <v>145.81730522644506</v>
      </c>
      <c r="P55" s="117"/>
      <c r="Q55" s="104">
        <v>35.624945077477385</v>
      </c>
      <c r="S55" s="8"/>
      <c r="T55" s="105">
        <f>(T54-T53)/T53*100</f>
        <v>27.665339396366907</v>
      </c>
      <c r="U55" s="105">
        <f>(U54-U53)/U53*100</f>
        <v>23.471905261210154</v>
      </c>
      <c r="V55" s="105">
        <f>(V54-V53)/V53*100</f>
        <v>35.618043350908039</v>
      </c>
      <c r="W55" s="105">
        <f>(W54-W53)/W53*100</f>
        <v>116.33440514469453</v>
      </c>
      <c r="X55" s="105"/>
      <c r="Y55" s="106"/>
      <c r="Z55" s="105">
        <f t="shared" ref="Z55:AF55" si="18">(Z54-Z53)/Z53*100</f>
        <v>12.968135368187619</v>
      </c>
      <c r="AA55" s="105">
        <f t="shared" si="18"/>
        <v>-30.973177053983996</v>
      </c>
      <c r="AB55" s="105">
        <f t="shared" si="18"/>
        <v>9.8655774229483857</v>
      </c>
      <c r="AC55" s="105">
        <f t="shared" si="18"/>
        <v>18.02640740003978</v>
      </c>
      <c r="AD55" s="105">
        <f t="shared" si="18"/>
        <v>66.402501404878905</v>
      </c>
      <c r="AE55" s="114">
        <f t="shared" si="18"/>
        <v>8.2965314411091953</v>
      </c>
      <c r="AF55" s="105">
        <f t="shared" si="18"/>
        <v>145.81730522644509</v>
      </c>
      <c r="AG55" s="117"/>
      <c r="AH55" s="106">
        <f>(AH54-AH53)/AH53*100</f>
        <v>35.624945077477363</v>
      </c>
    </row>
    <row r="56" spans="1:35" x14ac:dyDescent="0.25">
      <c r="A56" s="16" t="s">
        <v>118</v>
      </c>
      <c r="B56" s="32"/>
      <c r="C56" s="109">
        <v>2.9970504072198998</v>
      </c>
      <c r="D56" s="110">
        <v>1.4961038961038964</v>
      </c>
      <c r="E56" s="110">
        <v>1.4346467092229807</v>
      </c>
      <c r="F56" s="110">
        <v>1.2255337882456527</v>
      </c>
      <c r="G56" s="120">
        <v>50.079000000000001</v>
      </c>
      <c r="H56" s="102">
        <v>14.5769</v>
      </c>
      <c r="I56" s="110">
        <v>5.4205414924059001</v>
      </c>
      <c r="J56" s="110">
        <v>2.4235263042042705</v>
      </c>
      <c r="K56" s="110">
        <v>0.22890600924499233</v>
      </c>
      <c r="L56" s="110">
        <v>0.31206691613471277</v>
      </c>
      <c r="M56" s="110">
        <v>0.53692273827867054</v>
      </c>
      <c r="N56" s="112">
        <v>0.41824345146379055</v>
      </c>
      <c r="O56" s="110">
        <v>0.65061853400836467</v>
      </c>
      <c r="P56" s="110">
        <v>0.57488003521901843</v>
      </c>
      <c r="Q56" s="111">
        <v>1.4346202949592786</v>
      </c>
      <c r="S56" s="8">
        <v>88.047545674664335</v>
      </c>
      <c r="T56" s="97">
        <v>34.039000000000001</v>
      </c>
      <c r="U56" s="97">
        <v>16.992000000000001</v>
      </c>
      <c r="V56" s="97">
        <v>16.294</v>
      </c>
      <c r="W56" s="97">
        <v>13.918999999999999</v>
      </c>
      <c r="X56" s="120">
        <v>50.079000000000001</v>
      </c>
      <c r="Y56" s="102">
        <v>14.5769</v>
      </c>
      <c r="Z56" s="97">
        <v>61.563800000000001</v>
      </c>
      <c r="AA56" s="97">
        <v>27.525200000000002</v>
      </c>
      <c r="AB56" s="97">
        <v>2.5998000000000001</v>
      </c>
      <c r="AC56" s="97">
        <v>3.5442999999999998</v>
      </c>
      <c r="AD56" s="97">
        <v>6.0980999999999996</v>
      </c>
      <c r="AE56" s="129">
        <v>4.7502000000000004</v>
      </c>
      <c r="AF56" s="97">
        <v>7.3894000000000002</v>
      </c>
      <c r="AG56" s="97">
        <v>6.5292000000000003</v>
      </c>
      <c r="AH56" s="102">
        <v>16.293700000000001</v>
      </c>
    </row>
    <row r="57" spans="1:35" x14ac:dyDescent="0.25">
      <c r="A57" s="6" t="s">
        <v>119</v>
      </c>
      <c r="B57" s="33"/>
      <c r="C57" s="107">
        <v>3.3115558417329733</v>
      </c>
      <c r="D57" s="108">
        <v>1.4241908917335693</v>
      </c>
      <c r="E57" s="108">
        <v>1.702465126340388</v>
      </c>
      <c r="F57" s="108">
        <v>1.4636670040847692</v>
      </c>
      <c r="G57" s="120">
        <v>56.992699999999999</v>
      </c>
      <c r="H57" s="102">
        <v>14.0237</v>
      </c>
      <c r="I57" s="108">
        <v>5.8641903572575158</v>
      </c>
      <c r="J57" s="108">
        <v>2.5526437605157257</v>
      </c>
      <c r="K57" s="108">
        <v>0.2596178423996241</v>
      </c>
      <c r="L57" s="108">
        <v>0.27201537557596112</v>
      </c>
      <c r="M57" s="108">
        <v>0.52790748652885611</v>
      </c>
      <c r="N57" s="103">
        <v>0.36466867721149393</v>
      </c>
      <c r="O57" s="108">
        <v>0.95226182681748039</v>
      </c>
      <c r="P57" s="108">
        <v>0.51143291224083776</v>
      </c>
      <c r="Q57" s="104">
        <v>1.7024373913668394</v>
      </c>
      <c r="S57" s="8">
        <v>92.449911829507911</v>
      </c>
      <c r="T57" s="97">
        <v>35.82</v>
      </c>
      <c r="U57" s="97">
        <v>15.404999999999999</v>
      </c>
      <c r="V57" s="97">
        <v>18.414999999999999</v>
      </c>
      <c r="W57" s="97">
        <v>15.831999999999999</v>
      </c>
      <c r="X57" s="120">
        <v>56.992699999999999</v>
      </c>
      <c r="Y57" s="102">
        <v>14.0237</v>
      </c>
      <c r="Z57" s="97">
        <v>63.430999999999997</v>
      </c>
      <c r="AA57" s="97">
        <v>27.6111</v>
      </c>
      <c r="AB57" s="97">
        <v>2.8081999999999998</v>
      </c>
      <c r="AC57" s="97">
        <v>2.9422999999999999</v>
      </c>
      <c r="AD57" s="97">
        <v>5.7102000000000004</v>
      </c>
      <c r="AE57" s="129">
        <v>3.9445000000000001</v>
      </c>
      <c r="AF57" s="97">
        <v>10.3003</v>
      </c>
      <c r="AG57" s="97">
        <v>5.532</v>
      </c>
      <c r="AH57" s="102">
        <v>18.4147</v>
      </c>
    </row>
    <row r="58" spans="1:35" ht="15.75" thickBot="1" x14ac:dyDescent="0.3">
      <c r="A58" s="51" t="s">
        <v>20</v>
      </c>
      <c r="B58" s="34"/>
      <c r="C58" s="113">
        <v>10.493831994130943</v>
      </c>
      <c r="D58" s="105">
        <v>-4.8066851879472097</v>
      </c>
      <c r="E58" s="105">
        <v>18.667900284834626</v>
      </c>
      <c r="F58" s="105">
        <v>19.430979229059311</v>
      </c>
      <c r="G58" s="105"/>
      <c r="H58" s="106"/>
      <c r="I58" s="105">
        <v>8.1845857184777806</v>
      </c>
      <c r="J58" s="105">
        <v>5.3276688636498637</v>
      </c>
      <c r="K58" s="105">
        <v>13.416787639577288</v>
      </c>
      <c r="L58" s="105">
        <v>-12.834279600937332</v>
      </c>
      <c r="M58" s="105">
        <v>-1.6790594078240344</v>
      </c>
      <c r="N58" s="114">
        <v>-12.809471150066495</v>
      </c>
      <c r="O58" s="105">
        <v>46.362542264318229</v>
      </c>
      <c r="P58" s="105">
        <v>-11.036584868355797</v>
      </c>
      <c r="Q58" s="106">
        <v>18.668151938779225</v>
      </c>
      <c r="S58" s="8"/>
      <c r="T58" s="105">
        <f>(T57-T56)/T56*100</f>
        <v>5.2322336143834978</v>
      </c>
      <c r="U58" s="105">
        <f>(U57-U56)/U56*100</f>
        <v>-9.3396892655367303</v>
      </c>
      <c r="V58" s="105">
        <f>(V57-V56)/V56*100</f>
        <v>13.017061495028837</v>
      </c>
      <c r="W58" s="105">
        <f>(W57-W56)/W56*100</f>
        <v>13.743803434154756</v>
      </c>
      <c r="X58" s="105"/>
      <c r="Y58" s="106"/>
      <c r="Z58" s="105">
        <f t="shared" ref="Z58:AH58" si="19">(Z57-Z56)/Z56*100</f>
        <v>3.0329511823506619</v>
      </c>
      <c r="AA58" s="105">
        <f t="shared" si="19"/>
        <v>0.31207765974452051</v>
      </c>
      <c r="AB58" s="105">
        <f t="shared" si="19"/>
        <v>8.0160012308638997</v>
      </c>
      <c r="AC58" s="105">
        <f t="shared" si="19"/>
        <v>-16.985018198233782</v>
      </c>
      <c r="AD58" s="105">
        <f t="shared" si="19"/>
        <v>-6.3609976878043861</v>
      </c>
      <c r="AE58" s="114">
        <f t="shared" si="19"/>
        <v>-16.961391099322139</v>
      </c>
      <c r="AF58" s="105">
        <f t="shared" si="19"/>
        <v>39.392914174357863</v>
      </c>
      <c r="AG58" s="105">
        <f t="shared" si="19"/>
        <v>-15.272927770630403</v>
      </c>
      <c r="AH58" s="106">
        <f t="shared" si="19"/>
        <v>13.017301165481127</v>
      </c>
    </row>
    <row r="59" spans="1:35" x14ac:dyDescent="0.25">
      <c r="A59" s="16" t="s">
        <v>120</v>
      </c>
      <c r="B59" s="199" t="s">
        <v>131</v>
      </c>
      <c r="C59" s="96">
        <v>3.2254095800615636</v>
      </c>
      <c r="D59" s="96">
        <v>2.5635522060358502</v>
      </c>
      <c r="E59" s="96">
        <v>0.66042860255162661</v>
      </c>
      <c r="F59" s="96">
        <v>0.81297096875564812</v>
      </c>
      <c r="G59" s="97">
        <v>20.5199</v>
      </c>
      <c r="H59" s="102">
        <v>-23.093800000000002</v>
      </c>
      <c r="I59" s="96">
        <v>4.2907268047552698</v>
      </c>
      <c r="J59" s="96">
        <v>1.0653172246937059</v>
      </c>
      <c r="K59" s="96">
        <v>0.13720408420279082</v>
      </c>
      <c r="L59" s="96">
        <v>0.17206610817051984</v>
      </c>
      <c r="M59" s="96">
        <v>0.80127185174429827</v>
      </c>
      <c r="N59" s="103">
        <v>1.453018566456324</v>
      </c>
      <c r="O59" s="96">
        <v>0.62159123207070177</v>
      </c>
      <c r="P59" s="96">
        <v>0.19133771399453206</v>
      </c>
      <c r="Q59" s="104">
        <v>0.66041179347546075</v>
      </c>
      <c r="S59" s="8">
        <v>84.045380828662061</v>
      </c>
      <c r="T59" s="179">
        <v>38.376999999999995</v>
      </c>
      <c r="U59" s="97">
        <v>30.501999999999999</v>
      </c>
      <c r="V59" s="97">
        <v>7.8580000000000005</v>
      </c>
      <c r="W59" s="97">
        <v>9.673</v>
      </c>
      <c r="X59" s="97">
        <v>20.5199</v>
      </c>
      <c r="Y59" s="102">
        <v>-23.093800000000002</v>
      </c>
      <c r="Z59" s="97">
        <v>51.052500000000002</v>
      </c>
      <c r="AA59" s="97">
        <v>12.6755</v>
      </c>
      <c r="AB59" s="97">
        <v>1.6325000000000001</v>
      </c>
      <c r="AC59" s="97">
        <v>2.0472999999999999</v>
      </c>
      <c r="AD59" s="97">
        <v>9.5337999999999994</v>
      </c>
      <c r="AE59" s="129">
        <v>17.288499999999999</v>
      </c>
      <c r="AF59" s="97">
        <v>7.3959000000000001</v>
      </c>
      <c r="AG59" s="97">
        <v>2.2766000000000002</v>
      </c>
      <c r="AH59" s="102">
        <v>7.8578000000000001</v>
      </c>
    </row>
    <row r="60" spans="1:35" x14ac:dyDescent="0.25">
      <c r="A60" s="6" t="s">
        <v>121</v>
      </c>
      <c r="B60" s="200"/>
      <c r="C60" s="96">
        <v>3.7285049440840545</v>
      </c>
      <c r="D60" s="96">
        <v>2.8181506622988897</v>
      </c>
      <c r="E60" s="96">
        <v>0.8888134523288892</v>
      </c>
      <c r="F60" s="96">
        <v>1.0145453324170199</v>
      </c>
      <c r="G60" s="97">
        <v>24.4176</v>
      </c>
      <c r="H60" s="102">
        <v>-14.154500000000001</v>
      </c>
      <c r="I60" s="96">
        <v>4.8258576625267642</v>
      </c>
      <c r="J60" s="96">
        <v>1.0973434734515273</v>
      </c>
      <c r="K60" s="96">
        <v>0.13335899781406516</v>
      </c>
      <c r="L60" s="96">
        <v>0.16591985676041784</v>
      </c>
      <c r="M60" s="96">
        <v>0.98334348717456088</v>
      </c>
      <c r="N60" s="103">
        <v>1.5354820955939308</v>
      </c>
      <c r="O60" s="96">
        <v>1.0499259136741725</v>
      </c>
      <c r="P60" s="117"/>
      <c r="Q60" s="104">
        <v>0.88877647236415724</v>
      </c>
      <c r="S60" s="8">
        <v>92.449911829507911</v>
      </c>
      <c r="T60" s="179">
        <v>40.330000000000005</v>
      </c>
      <c r="U60" s="97">
        <v>30.482999999999997</v>
      </c>
      <c r="V60" s="97">
        <v>9.6140000000000008</v>
      </c>
      <c r="W60" s="97">
        <v>10.974</v>
      </c>
      <c r="X60" s="97">
        <v>24.4176</v>
      </c>
      <c r="Y60" s="102">
        <v>-14.154500000000001</v>
      </c>
      <c r="Z60" s="97">
        <v>52.1997</v>
      </c>
      <c r="AA60" s="97">
        <v>11.8696</v>
      </c>
      <c r="AB60" s="97">
        <v>1.4424999999999999</v>
      </c>
      <c r="AC60" s="97">
        <v>1.7947</v>
      </c>
      <c r="AD60" s="97">
        <v>10.6365</v>
      </c>
      <c r="AE60" s="129">
        <v>16.608799999999999</v>
      </c>
      <c r="AF60" s="97">
        <v>11.3567</v>
      </c>
      <c r="AG60" s="185"/>
      <c r="AH60" s="102">
        <v>9.6135999999999999</v>
      </c>
    </row>
    <row r="61" spans="1:35" ht="15.75" thickBot="1" x14ac:dyDescent="0.3">
      <c r="A61" s="51" t="s">
        <v>20</v>
      </c>
      <c r="B61" s="201"/>
      <c r="C61" s="96">
        <v>15.597875294116548</v>
      </c>
      <c r="D61" s="96">
        <v>9.9314714817818306</v>
      </c>
      <c r="E61" s="96">
        <v>34.581308092180855</v>
      </c>
      <c r="F61" s="96">
        <v>24.794780060831219</v>
      </c>
      <c r="G61" s="105"/>
      <c r="H61" s="106"/>
      <c r="I61" s="96">
        <v>12.471799816721649</v>
      </c>
      <c r="J61" s="96">
        <v>3.0062640512575349</v>
      </c>
      <c r="K61" s="96">
        <v>-2.8024576754162314</v>
      </c>
      <c r="L61" s="96">
        <v>-3.5720290738551377</v>
      </c>
      <c r="M61" s="96">
        <v>22.722829341116714</v>
      </c>
      <c r="N61" s="103">
        <v>5.6753252189145753</v>
      </c>
      <c r="O61" s="96">
        <v>68.909382807180691</v>
      </c>
      <c r="P61" s="96"/>
      <c r="Q61" s="104">
        <v>34.579133980468804</v>
      </c>
      <c r="S61" s="8"/>
      <c r="T61" s="105">
        <f>(T60-T59)/T59*100</f>
        <v>5.0889855903275665</v>
      </c>
      <c r="U61" s="105">
        <f>(U60-U59)/U59*100</f>
        <v>-6.2290997311657943E-2</v>
      </c>
      <c r="V61" s="105">
        <f>(V60-V59)/V59*100</f>
        <v>22.346653092389921</v>
      </c>
      <c r="W61" s="105">
        <f>(W60-W59)/W59*100</f>
        <v>13.449808745994005</v>
      </c>
      <c r="X61" s="105"/>
      <c r="Y61" s="106"/>
      <c r="Z61" s="105">
        <f t="shared" ref="Z61:AF61" si="20">(Z60-Z59)/Z59*100</f>
        <v>2.2470985749963233</v>
      </c>
      <c r="AA61" s="105">
        <f t="shared" si="20"/>
        <v>-6.3579345982406954</v>
      </c>
      <c r="AB61" s="105">
        <f t="shared" si="20"/>
        <v>-11.638591117917315</v>
      </c>
      <c r="AC61" s="105">
        <f t="shared" si="20"/>
        <v>-12.338201533727347</v>
      </c>
      <c r="AD61" s="105">
        <f t="shared" si="20"/>
        <v>11.566217038326801</v>
      </c>
      <c r="AE61" s="114">
        <f t="shared" si="20"/>
        <v>-3.9315151690430081</v>
      </c>
      <c r="AF61" s="105">
        <f t="shared" si="20"/>
        <v>53.553996132992602</v>
      </c>
      <c r="AG61" s="105"/>
      <c r="AH61" s="106">
        <f>(AH60-AH59)/AH59*100</f>
        <v>22.344676627045736</v>
      </c>
    </row>
    <row r="62" spans="1:35" x14ac:dyDescent="0.25">
      <c r="A62" s="16" t="s">
        <v>122</v>
      </c>
      <c r="B62" s="32"/>
      <c r="C62" s="110">
        <v>2.1169967195831396</v>
      </c>
      <c r="D62" s="110">
        <v>1.8415314864237498</v>
      </c>
      <c r="E62" s="110">
        <v>0.93629733141944194</v>
      </c>
      <c r="F62" s="110">
        <v>1.0569089321521965</v>
      </c>
      <c r="G62" s="97">
        <v>13.0121</v>
      </c>
      <c r="H62" s="116">
        <v>-12.8817</v>
      </c>
      <c r="I62" s="110">
        <v>2.6972480367168448</v>
      </c>
      <c r="J62" s="110">
        <v>0.58025131713370537</v>
      </c>
      <c r="K62" s="110">
        <v>0.19366837987942839</v>
      </c>
      <c r="L62" s="110">
        <v>0.21885742998529023</v>
      </c>
      <c r="M62" s="110">
        <v>0.34421953480350942</v>
      </c>
      <c r="N62" s="112">
        <v>1.0847861417555218</v>
      </c>
      <c r="O62" s="110">
        <v>0.27831695791728084</v>
      </c>
      <c r="P62" s="110">
        <v>0.77859197423491555</v>
      </c>
      <c r="Q62" s="111">
        <v>0.93629733141944194</v>
      </c>
      <c r="S62" s="8">
        <v>71.115330620727931</v>
      </c>
      <c r="T62" s="97">
        <v>29.7685</v>
      </c>
      <c r="U62" s="97">
        <v>25.895</v>
      </c>
      <c r="V62" s="97">
        <v>13.165900000000001</v>
      </c>
      <c r="W62" s="97">
        <v>14.8619</v>
      </c>
      <c r="X62" s="97">
        <v>13.0121</v>
      </c>
      <c r="Y62" s="97">
        <v>-12.8817</v>
      </c>
      <c r="Z62" s="97">
        <v>37.927799999999998</v>
      </c>
      <c r="AA62" s="97">
        <v>8.1593</v>
      </c>
      <c r="AB62" s="97">
        <v>2.7233000000000001</v>
      </c>
      <c r="AC62" s="97">
        <v>3.0775000000000001</v>
      </c>
      <c r="AD62" s="97">
        <v>4.8403</v>
      </c>
      <c r="AE62" s="97">
        <v>15.2539</v>
      </c>
      <c r="AF62" s="97">
        <v>3.9136000000000002</v>
      </c>
      <c r="AG62" s="97">
        <v>10.9483</v>
      </c>
      <c r="AH62" s="97">
        <v>13.165900000000001</v>
      </c>
      <c r="AI62" s="42"/>
    </row>
    <row r="63" spans="1:35" x14ac:dyDescent="0.25">
      <c r="A63" s="6" t="s">
        <v>123</v>
      </c>
      <c r="B63" s="33"/>
      <c r="C63" s="108">
        <v>2.49429887337637</v>
      </c>
      <c r="D63" s="108">
        <v>1.7899783938756086</v>
      </c>
      <c r="E63" s="108">
        <v>1.1890539062200709</v>
      </c>
      <c r="F63" s="108">
        <v>1.3488073700152665</v>
      </c>
      <c r="G63" s="97">
        <v>28.237400000000001</v>
      </c>
      <c r="H63" s="102">
        <v>-13.436</v>
      </c>
      <c r="I63" s="108">
        <v>3.2273306003981013</v>
      </c>
      <c r="J63" s="108">
        <v>0.73306131099650784</v>
      </c>
      <c r="K63" s="108">
        <v>0.17731155282527827</v>
      </c>
      <c r="L63" s="108">
        <v>0.18782865585846195</v>
      </c>
      <c r="M63" s="108">
        <v>0.54268103731353934</v>
      </c>
      <c r="N63" s="103">
        <v>0.88213495989724644</v>
      </c>
      <c r="O63" s="108">
        <v>0.82063727232979067</v>
      </c>
      <c r="P63" s="108">
        <v>0.52814051371069892</v>
      </c>
      <c r="Q63" s="104">
        <v>1.1890243222452941</v>
      </c>
      <c r="S63" s="8">
        <v>73.959936942220011</v>
      </c>
      <c r="T63" s="97">
        <v>33.725000000000001</v>
      </c>
      <c r="U63" s="97">
        <v>24.201999999999998</v>
      </c>
      <c r="V63" s="97">
        <v>16.076999999999998</v>
      </c>
      <c r="W63" s="97">
        <v>18.237000000000002</v>
      </c>
      <c r="X63" s="97">
        <v>28.237400000000001</v>
      </c>
      <c r="Y63" s="102">
        <v>-13.436</v>
      </c>
      <c r="Z63" s="97">
        <v>43.636200000000002</v>
      </c>
      <c r="AA63" s="97">
        <v>9.9116</v>
      </c>
      <c r="AB63" s="97">
        <v>2.3974000000000002</v>
      </c>
      <c r="AC63" s="97">
        <v>2.5396000000000001</v>
      </c>
      <c r="AD63" s="97">
        <v>7.3375000000000004</v>
      </c>
      <c r="AE63" s="129">
        <v>11.927199999999999</v>
      </c>
      <c r="AF63" s="97">
        <v>11.095700000000001</v>
      </c>
      <c r="AG63" s="97">
        <v>7.1409000000000002</v>
      </c>
      <c r="AH63" s="102">
        <v>16.076599999999999</v>
      </c>
    </row>
    <row r="64" spans="1:35" ht="15.75" thickBot="1" x14ac:dyDescent="0.3">
      <c r="A64" s="51" t="s">
        <v>20</v>
      </c>
      <c r="B64" s="34"/>
      <c r="C64" s="105">
        <v>17.822519529814169</v>
      </c>
      <c r="D64" s="105">
        <v>-2.799468427675766</v>
      </c>
      <c r="E64" s="105">
        <v>26.995332179089509</v>
      </c>
      <c r="F64" s="105">
        <v>27.618125742269363</v>
      </c>
      <c r="G64" s="105"/>
      <c r="H64" s="106"/>
      <c r="I64" s="105">
        <v>19.652718491788608</v>
      </c>
      <c r="J64" s="105">
        <v>26.335139507764527</v>
      </c>
      <c r="K64" s="105">
        <v>-8.4457912356851157</v>
      </c>
      <c r="L64" s="105">
        <v>-14.177619708370775</v>
      </c>
      <c r="M64" s="105">
        <v>57.655502504620358</v>
      </c>
      <c r="N64" s="114">
        <v>-18.681210430133504</v>
      </c>
      <c r="O64" s="105">
        <v>194.85708613331926</v>
      </c>
      <c r="P64" s="105">
        <v>-32.167228639920552</v>
      </c>
      <c r="Q64" s="106">
        <v>26.99217250173232</v>
      </c>
      <c r="S64" s="8"/>
      <c r="T64" s="105">
        <f>(T63-T62)/T62*100</f>
        <v>13.290894737726127</v>
      </c>
      <c r="U64" s="105">
        <f>(U63-U62)/U62*100</f>
        <v>-6.5379416875844809</v>
      </c>
      <c r="V64" s="105">
        <f>(V63-V62)/V62*100</f>
        <v>22.110907723740858</v>
      </c>
      <c r="W64" s="105">
        <f>(W63-W62)/W62*100</f>
        <v>22.709747744231905</v>
      </c>
      <c r="X64" s="105"/>
      <c r="Y64" s="106"/>
      <c r="Z64" s="105">
        <f t="shared" ref="Z64:AH64" si="21">(Z63-Z62)/Z62*100</f>
        <v>15.050701596190668</v>
      </c>
      <c r="AA64" s="105">
        <f t="shared" si="21"/>
        <v>21.476107018984472</v>
      </c>
      <c r="AB64" s="105">
        <f t="shared" si="21"/>
        <v>-11.967098740498654</v>
      </c>
      <c r="AC64" s="105">
        <f t="shared" si="21"/>
        <v>-17.478472786352558</v>
      </c>
      <c r="AD64" s="105">
        <f t="shared" si="21"/>
        <v>51.591843480775992</v>
      </c>
      <c r="AE64" s="114">
        <f t="shared" si="21"/>
        <v>-21.808848884547562</v>
      </c>
      <c r="AF64" s="105">
        <f t="shared" si="21"/>
        <v>183.51645543744891</v>
      </c>
      <c r="AG64" s="105">
        <f t="shared" si="21"/>
        <v>-34.776175296621389</v>
      </c>
      <c r="AH64" s="106">
        <f t="shared" si="21"/>
        <v>22.107869572152289</v>
      </c>
    </row>
    <row r="65" spans="1:34" x14ac:dyDescent="0.25">
      <c r="A65" s="16" t="s">
        <v>124</v>
      </c>
      <c r="B65" s="32"/>
      <c r="C65" s="96">
        <v>1.9438606522929263</v>
      </c>
      <c r="D65" s="96">
        <v>1.7402879369873441</v>
      </c>
      <c r="E65" s="96">
        <v>0.57319520898542253</v>
      </c>
      <c r="F65" s="96">
        <v>0.5361035701797443</v>
      </c>
      <c r="G65" s="97">
        <v>10.4697</v>
      </c>
      <c r="H65" s="102">
        <v>6.4775999999999998</v>
      </c>
      <c r="I65" s="96">
        <v>3.4172181793170813</v>
      </c>
      <c r="J65" s="96">
        <v>1.4734006568367197</v>
      </c>
      <c r="K65" s="96">
        <v>0.646041462407272</v>
      </c>
      <c r="L65" s="96">
        <v>0.43539545784107159</v>
      </c>
      <c r="M65" s="96">
        <v>0.54943068226224967</v>
      </c>
      <c r="N65" s="103">
        <v>0.10948528645167296</v>
      </c>
      <c r="O65" s="96">
        <v>0.2941021918789764</v>
      </c>
      <c r="P65" s="96">
        <v>0.24195824848820321</v>
      </c>
      <c r="Q65" s="104">
        <v>0.57319520898542253</v>
      </c>
      <c r="S65" s="8">
        <v>43.129812564742103</v>
      </c>
      <c r="T65" s="97">
        <v>45.069999999999993</v>
      </c>
      <c r="U65" s="97">
        <v>40.35</v>
      </c>
      <c r="V65" s="97">
        <v>13.29</v>
      </c>
      <c r="W65" s="97">
        <v>12.43</v>
      </c>
      <c r="X65" s="97">
        <v>10.4697</v>
      </c>
      <c r="Y65" s="102">
        <v>6.4775999999999998</v>
      </c>
      <c r="Z65" s="97">
        <v>79.230999999999995</v>
      </c>
      <c r="AA65" s="97">
        <v>34.161999999999999</v>
      </c>
      <c r="AB65" s="97">
        <v>14.978999999999999</v>
      </c>
      <c r="AC65" s="97">
        <v>10.095000000000001</v>
      </c>
      <c r="AD65" s="97">
        <v>12.739000000000001</v>
      </c>
      <c r="AE65" s="96">
        <v>2.53850596469263</v>
      </c>
      <c r="AF65" s="97">
        <v>6.8189999999999991</v>
      </c>
      <c r="AG65" s="97">
        <v>5.61</v>
      </c>
      <c r="AH65" s="102">
        <v>13.29</v>
      </c>
    </row>
    <row r="66" spans="1:34" x14ac:dyDescent="0.25">
      <c r="A66" s="6" t="s">
        <v>125</v>
      </c>
      <c r="B66" s="33"/>
      <c r="C66" s="96">
        <v>2.8287144155047952</v>
      </c>
      <c r="D66" s="96">
        <v>2.5565357088582861</v>
      </c>
      <c r="E66" s="96">
        <v>1.0244738896135701</v>
      </c>
      <c r="F66" s="96">
        <v>1.1647896203692241</v>
      </c>
      <c r="G66" s="97">
        <v>9.6205999999999996</v>
      </c>
      <c r="H66" s="102">
        <v>-13.7202</v>
      </c>
      <c r="I66" s="96">
        <v>3.5425073000626992</v>
      </c>
      <c r="J66" s="96">
        <v>0.71396193965519972</v>
      </c>
      <c r="K66" s="96">
        <v>0.54663965710651474</v>
      </c>
      <c r="L66" s="96">
        <v>0.62326387995591248</v>
      </c>
      <c r="M66" s="96">
        <v>1.041590718214787</v>
      </c>
      <c r="N66" s="103">
        <v>0.34491339434487039</v>
      </c>
      <c r="O66" s="96">
        <v>0.7590151230845753</v>
      </c>
      <c r="P66" s="96">
        <v>0.40585902483329678</v>
      </c>
      <c r="Q66" s="104">
        <v>1.0243470982905982</v>
      </c>
      <c r="S66" s="8">
        <v>42.263774323992166</v>
      </c>
      <c r="T66" s="97">
        <v>66.929999999999993</v>
      </c>
      <c r="U66" s="97">
        <v>60.489999999999995</v>
      </c>
      <c r="V66" s="97">
        <v>24.24</v>
      </c>
      <c r="W66" s="97">
        <v>27.560000000000002</v>
      </c>
      <c r="X66" s="97">
        <v>9.6205999999999996</v>
      </c>
      <c r="Y66" s="102">
        <v>-13.7202</v>
      </c>
      <c r="Z66" s="97">
        <v>83.819000000000003</v>
      </c>
      <c r="AA66" s="97">
        <v>16.893000000000001</v>
      </c>
      <c r="AB66" s="97">
        <v>12.934000000000001</v>
      </c>
      <c r="AC66" s="97">
        <v>14.747</v>
      </c>
      <c r="AD66" s="97">
        <v>24.645000000000003</v>
      </c>
      <c r="AE66" s="129">
        <v>8.1609700000000007</v>
      </c>
      <c r="AF66" s="97">
        <v>17.959</v>
      </c>
      <c r="AG66" s="97">
        <v>9.6029999999999998</v>
      </c>
      <c r="AH66" s="102">
        <v>24.237000000000002</v>
      </c>
    </row>
    <row r="67" spans="1:34" ht="15.75" thickBot="1" x14ac:dyDescent="0.3">
      <c r="A67" s="51" t="s">
        <v>20</v>
      </c>
      <c r="B67" s="34"/>
      <c r="C67" s="96">
        <v>45.520431835899295</v>
      </c>
      <c r="D67" s="96">
        <v>46.903029925264491</v>
      </c>
      <c r="E67" s="96">
        <v>78.730365075264345</v>
      </c>
      <c r="F67" s="96">
        <v>117.2695137953837</v>
      </c>
      <c r="G67" s="105"/>
      <c r="H67" s="106"/>
      <c r="I67" s="96">
        <v>3.6664068306770075</v>
      </c>
      <c r="J67" s="96">
        <v>-51.543259035324297</v>
      </c>
      <c r="K67" s="96">
        <v>-15.386288819662974</v>
      </c>
      <c r="L67" s="96">
        <v>43.148916400367405</v>
      </c>
      <c r="M67" s="96">
        <v>89.576365470908229</v>
      </c>
      <c r="N67" s="103">
        <v>215.03173213792147</v>
      </c>
      <c r="O67" s="96">
        <v>158.07870326818627</v>
      </c>
      <c r="P67" s="96">
        <v>67.739280379641457</v>
      </c>
      <c r="Q67" s="104">
        <v>78.708244980576822</v>
      </c>
      <c r="S67" s="8"/>
      <c r="T67" s="105">
        <f>(T66-T65)/T65*100</f>
        <v>48.502329709341026</v>
      </c>
      <c r="U67" s="105">
        <f>(U66-U65)/U65*100</f>
        <v>49.913258983890934</v>
      </c>
      <c r="V67" s="105">
        <f>(V66-V65)/V65*100</f>
        <v>82.392776523702025</v>
      </c>
      <c r="W67" s="105">
        <f>(W66-W65)/W65*100</f>
        <v>121.72164119066777</v>
      </c>
      <c r="X67" s="105"/>
      <c r="Y67" s="106"/>
      <c r="Z67" s="105">
        <f t="shared" ref="Z67:AH67" si="22">(Z66-Z65)/Z65*100</f>
        <v>5.7906627456424991</v>
      </c>
      <c r="AA67" s="105">
        <f t="shared" si="22"/>
        <v>-50.55031906797025</v>
      </c>
      <c r="AB67" s="105">
        <f t="shared" si="22"/>
        <v>-13.652446758795636</v>
      </c>
      <c r="AC67" s="105">
        <f t="shared" si="22"/>
        <v>46.082218920257546</v>
      </c>
      <c r="AD67" s="105">
        <f t="shared" si="22"/>
        <v>93.461025198210237</v>
      </c>
      <c r="AE67" s="114">
        <f t="shared" si="22"/>
        <v>221.48713115149823</v>
      </c>
      <c r="AF67" s="105">
        <f t="shared" si="22"/>
        <v>163.36706261915239</v>
      </c>
      <c r="AG67" s="105">
        <f t="shared" si="22"/>
        <v>71.17647058823529</v>
      </c>
      <c r="AH67" s="106">
        <f t="shared" si="22"/>
        <v>82.370203160270904</v>
      </c>
    </row>
    <row r="68" spans="1:34" x14ac:dyDescent="0.25">
      <c r="A68" s="16" t="s">
        <v>126</v>
      </c>
      <c r="B68" s="217" t="s">
        <v>261</v>
      </c>
      <c r="C68" s="110">
        <v>2.1498328468411394</v>
      </c>
      <c r="D68" s="110">
        <v>1.4381378799773985</v>
      </c>
      <c r="E68" s="110">
        <v>0.93091082687333693</v>
      </c>
      <c r="F68" s="110">
        <v>0.8193634993125527</v>
      </c>
      <c r="G68" s="101">
        <v>33.104300000000002</v>
      </c>
      <c r="H68" s="102">
        <v>11.983499999999999</v>
      </c>
      <c r="I68" s="110">
        <v>2.6415404570851013</v>
      </c>
      <c r="J68" s="110">
        <v>0.49169482300732892</v>
      </c>
      <c r="K68" s="110">
        <v>0.29382512335021332</v>
      </c>
      <c r="L68" s="110">
        <v>0.32579747734461306</v>
      </c>
      <c r="M68" s="110">
        <v>0.65384550833661226</v>
      </c>
      <c r="N68" s="117"/>
      <c r="O68" s="110">
        <v>0.27739352427696834</v>
      </c>
      <c r="P68" s="110">
        <v>0.5419486629745297</v>
      </c>
      <c r="Q68" s="111">
        <v>0.93089803963670381</v>
      </c>
      <c r="S68" s="8">
        <v>42.624122109585016</v>
      </c>
      <c r="T68" s="97">
        <v>50.437000000000005</v>
      </c>
      <c r="U68" s="97">
        <v>33.74</v>
      </c>
      <c r="V68" s="97">
        <v>21.840000000000003</v>
      </c>
      <c r="W68" s="97">
        <v>19.222999999999999</v>
      </c>
      <c r="X68" s="101">
        <v>33.104300000000002</v>
      </c>
      <c r="Y68" s="102">
        <v>11.983499999999999</v>
      </c>
      <c r="Z68" s="97">
        <v>61.972900000000003</v>
      </c>
      <c r="AA68" s="97">
        <v>11.535600000000001</v>
      </c>
      <c r="AB68" s="97">
        <v>6.8933999999999997</v>
      </c>
      <c r="AC68" s="97">
        <v>7.6435000000000004</v>
      </c>
      <c r="AD68" s="97">
        <v>15.3398</v>
      </c>
      <c r="AE68" s="185"/>
      <c r="AF68" s="97">
        <v>6.5079000000000002</v>
      </c>
      <c r="AG68" s="97">
        <v>12.714600000000001</v>
      </c>
      <c r="AH68" s="102">
        <v>21.839700000000001</v>
      </c>
    </row>
    <row r="69" spans="1:34" x14ac:dyDescent="0.25">
      <c r="A69" s="6" t="s">
        <v>127</v>
      </c>
      <c r="B69" s="218"/>
      <c r="C69" s="108">
        <v>2.9193397976383473</v>
      </c>
      <c r="D69" s="108">
        <v>1.6339381142151717</v>
      </c>
      <c r="E69" s="108">
        <v>1.3132189474600637</v>
      </c>
      <c r="F69" s="108">
        <v>1.2824558309533081</v>
      </c>
      <c r="G69" s="101">
        <v>44.030200000000001</v>
      </c>
      <c r="H69" s="102">
        <v>2.3424999999999998</v>
      </c>
      <c r="I69" s="108">
        <v>3.0994870928920659</v>
      </c>
      <c r="J69" s="108">
        <v>0.18015571197506125</v>
      </c>
      <c r="K69" s="108">
        <v>0.35844291181209254</v>
      </c>
      <c r="L69" s="108">
        <v>0.30763116506755533</v>
      </c>
      <c r="M69" s="108">
        <v>0.93974797969097745</v>
      </c>
      <c r="N69" s="117"/>
      <c r="O69" s="108">
        <v>0.7424431979806182</v>
      </c>
      <c r="P69" s="108">
        <v>0.54001684133336125</v>
      </c>
      <c r="Q69" s="104">
        <v>1.3132273641814063</v>
      </c>
      <c r="S69" s="8">
        <v>42.083606712387876</v>
      </c>
      <c r="T69" s="97">
        <v>69.37</v>
      </c>
      <c r="U69" s="97">
        <v>38.826000000000001</v>
      </c>
      <c r="V69" s="97">
        <v>31.204999999999998</v>
      </c>
      <c r="W69" s="97">
        <v>30.474</v>
      </c>
      <c r="X69" s="101">
        <v>44.030200000000001</v>
      </c>
      <c r="Y69" s="102">
        <v>2.3424999999999998</v>
      </c>
      <c r="Z69" s="97">
        <v>73.650700000000001</v>
      </c>
      <c r="AA69" s="97">
        <v>4.2808999999999999</v>
      </c>
      <c r="AB69" s="97">
        <v>8.5174000000000003</v>
      </c>
      <c r="AC69" s="97">
        <v>7.31</v>
      </c>
      <c r="AD69" s="97">
        <v>22.330500000000001</v>
      </c>
      <c r="AE69" s="185"/>
      <c r="AF69" s="97">
        <v>17.642099999999999</v>
      </c>
      <c r="AG69" s="97">
        <v>12.832000000000001</v>
      </c>
      <c r="AH69" s="102">
        <v>31.205200000000001</v>
      </c>
    </row>
    <row r="70" spans="1:34" ht="15.75" thickBot="1" x14ac:dyDescent="0.3">
      <c r="A70" s="51" t="s">
        <v>20</v>
      </c>
      <c r="B70" s="219"/>
      <c r="C70" s="105">
        <v>35.793803780041983</v>
      </c>
      <c r="D70" s="105">
        <v>13.614844373673707</v>
      </c>
      <c r="E70" s="105">
        <v>41.068178556993516</v>
      </c>
      <c r="F70" s="105">
        <v>56.518545435486281</v>
      </c>
      <c r="G70" s="105"/>
      <c r="H70" s="106"/>
      <c r="I70" s="105">
        <v>17.336347606513723</v>
      </c>
      <c r="J70" s="105">
        <v>-63.36025852922679</v>
      </c>
      <c r="K70" s="105">
        <v>21.991920815042278</v>
      </c>
      <c r="L70" s="105">
        <v>-5.5759524061146326</v>
      </c>
      <c r="M70" s="105">
        <v>43.726303493573454</v>
      </c>
      <c r="N70" s="124"/>
      <c r="O70" s="105">
        <v>167.64979460706985</v>
      </c>
      <c r="P70" s="105">
        <v>-0.35645841998492817</v>
      </c>
      <c r="Q70" s="106">
        <v>41.071020484038392</v>
      </c>
      <c r="S70" s="8"/>
      <c r="T70" s="105">
        <f>(T69-T68)/T68*100</f>
        <v>37.537918591510191</v>
      </c>
      <c r="U70" s="105">
        <f>(U69-U68)/U68*100</f>
        <v>15.074096028452869</v>
      </c>
      <c r="V70" s="105">
        <f>(V69-V68)/V68*100</f>
        <v>42.880036630036599</v>
      </c>
      <c r="W70" s="105">
        <f>(W69-W68)/W68*100</f>
        <v>58.528845653644076</v>
      </c>
      <c r="X70" s="105"/>
      <c r="Y70" s="106"/>
      <c r="Z70" s="105">
        <f>(Z69-Z68)/Z68*100</f>
        <v>18.843397678662765</v>
      </c>
      <c r="AA70" s="105">
        <f>(AA69-AA68)/AA68*100</f>
        <v>-62.889663303165854</v>
      </c>
      <c r="AB70" s="105">
        <f>(AB69-AB68)/AB68*100</f>
        <v>23.558766356224801</v>
      </c>
      <c r="AC70" s="105">
        <f>(AC69-AC68)/AC68*100</f>
        <v>-4.3631844050500534</v>
      </c>
      <c r="AD70" s="105">
        <f>(AD69-AD68)/AD68*100</f>
        <v>45.572302116064094</v>
      </c>
      <c r="AE70" s="117"/>
      <c r="AF70" s="105">
        <f>(AF69-AF68)/AF68*100</f>
        <v>171.08744756373022</v>
      </c>
      <c r="AG70" s="105">
        <f>(AG69-AG68)/AG68*100</f>
        <v>0.92334796218520399</v>
      </c>
      <c r="AH70" s="106">
        <f>(AH69-AH68)/AH68*100</f>
        <v>42.882915058357028</v>
      </c>
    </row>
    <row r="71" spans="1:34" x14ac:dyDescent="0.25">
      <c r="C71" s="96"/>
      <c r="D71" s="96"/>
      <c r="E71" s="96"/>
      <c r="F71" s="96"/>
      <c r="G71" s="96"/>
      <c r="H71" s="96"/>
      <c r="I71" s="96"/>
      <c r="J71" s="96"/>
      <c r="K71" s="96"/>
      <c r="L71" s="96"/>
      <c r="M71" s="96"/>
      <c r="N71" s="96"/>
      <c r="O71" s="96"/>
      <c r="P71" s="96"/>
      <c r="Q71" s="96"/>
      <c r="T71" s="96"/>
      <c r="U71" s="96"/>
      <c r="V71" s="96"/>
      <c r="W71" s="96"/>
      <c r="X71" s="96"/>
      <c r="Y71" s="96"/>
      <c r="Z71" s="96"/>
      <c r="AA71" s="96"/>
      <c r="AB71" s="96"/>
      <c r="AC71" s="96"/>
      <c r="AD71" s="96"/>
      <c r="AE71" s="96"/>
      <c r="AF71" s="96"/>
      <c r="AG71" s="96"/>
      <c r="AH71" s="96"/>
    </row>
    <row r="72" spans="1:34" x14ac:dyDescent="0.25">
      <c r="C72" s="96"/>
      <c r="D72" s="96"/>
      <c r="E72" s="96"/>
      <c r="F72" s="96"/>
      <c r="G72" s="96"/>
      <c r="H72" s="96"/>
      <c r="I72" s="96"/>
      <c r="J72" s="96"/>
      <c r="K72" s="96"/>
      <c r="L72" s="96"/>
      <c r="M72" s="96"/>
      <c r="N72" s="96"/>
      <c r="O72" s="96"/>
      <c r="P72" s="96"/>
      <c r="Q72" s="96"/>
      <c r="T72" s="96"/>
      <c r="U72" s="96"/>
      <c r="V72" s="96"/>
      <c r="W72" s="96"/>
      <c r="X72" s="96"/>
      <c r="Y72" s="96"/>
      <c r="Z72" s="96"/>
      <c r="AA72" s="96"/>
      <c r="AB72" s="96"/>
      <c r="AC72" s="96"/>
      <c r="AD72" s="96"/>
      <c r="AE72" s="96"/>
      <c r="AF72" s="96"/>
      <c r="AG72" s="96"/>
      <c r="AH72" s="96"/>
    </row>
    <row r="73" spans="1:34" ht="30.75" thickBot="1" x14ac:dyDescent="0.3">
      <c r="C73" s="3" t="s">
        <v>347</v>
      </c>
      <c r="D73" s="48" t="s">
        <v>3</v>
      </c>
      <c r="E73" s="48" t="s">
        <v>4</v>
      </c>
      <c r="F73" s="48" t="s">
        <v>5</v>
      </c>
      <c r="G73" s="48" t="s">
        <v>6</v>
      </c>
      <c r="H73" s="37" t="s">
        <v>7</v>
      </c>
      <c r="I73" s="48" t="s">
        <v>8</v>
      </c>
      <c r="J73" s="48" t="s">
        <v>9</v>
      </c>
      <c r="K73" s="48" t="s">
        <v>10</v>
      </c>
      <c r="L73" s="48" t="s">
        <v>11</v>
      </c>
      <c r="M73" s="48" t="s">
        <v>12</v>
      </c>
      <c r="N73" s="49" t="s">
        <v>13</v>
      </c>
      <c r="O73" s="48" t="s">
        <v>14</v>
      </c>
      <c r="P73" s="48" t="s">
        <v>15</v>
      </c>
      <c r="Q73" s="37" t="s">
        <v>16</v>
      </c>
      <c r="T73" s="105"/>
      <c r="U73" s="105"/>
      <c r="V73" s="105"/>
      <c r="W73" s="105"/>
      <c r="X73" s="105"/>
      <c r="Y73" s="105"/>
      <c r="Z73" s="105"/>
      <c r="AA73" s="105"/>
      <c r="AB73" s="105"/>
      <c r="AC73" s="105"/>
      <c r="AD73" s="105"/>
      <c r="AE73" s="105"/>
      <c r="AF73" s="105"/>
      <c r="AG73" s="105"/>
      <c r="AH73" s="105"/>
    </row>
    <row r="74" spans="1:34" ht="15.75" thickTop="1" x14ac:dyDescent="0.25">
      <c r="B74" s="16" t="s">
        <v>35</v>
      </c>
      <c r="C74" s="96">
        <f t="shared" ref="C74:Q74" si="23">AVERAGE(C68,C65,C62,C59,C56,C53,C50,C47,C44,C41,C38,C35,C32,C29,C26,,C23,C17,C14,C11,C8,C20,C2)</f>
        <v>2.3505340283800362</v>
      </c>
      <c r="D74" s="96">
        <f t="shared" si="23"/>
        <v>1.8805230229693206</v>
      </c>
      <c r="E74" s="96">
        <f t="shared" si="23"/>
        <v>1.0160252812826149</v>
      </c>
      <c r="F74" s="96">
        <f t="shared" si="23"/>
        <v>0.93064091431231954</v>
      </c>
      <c r="G74" s="96">
        <f t="shared" si="23"/>
        <v>16.932252380952381</v>
      </c>
      <c r="H74" s="111">
        <f t="shared" si="23"/>
        <v>6.7260809523809542</v>
      </c>
      <c r="I74" s="96">
        <f t="shared" si="23"/>
        <v>3.4358630019485559</v>
      </c>
      <c r="J74" s="96">
        <f t="shared" si="23"/>
        <v>1.0612955117796181</v>
      </c>
      <c r="K74" s="96">
        <f t="shared" si="23"/>
        <v>0.35258478889367656</v>
      </c>
      <c r="L74" s="96">
        <f t="shared" si="23"/>
        <v>0.35050024161249194</v>
      </c>
      <c r="M74" s="96">
        <f t="shared" si="23"/>
        <v>0.42613551691128604</v>
      </c>
      <c r="N74" s="96">
        <f t="shared" si="23"/>
        <v>0.79603776298904771</v>
      </c>
      <c r="O74" s="96">
        <f t="shared" si="23"/>
        <v>0.48300783325726021</v>
      </c>
      <c r="P74" s="96">
        <f t="shared" si="23"/>
        <v>0.46308976587638639</v>
      </c>
      <c r="Q74" s="111">
        <f t="shared" si="23"/>
        <v>1.0160233290085481</v>
      </c>
      <c r="S74" s="91" t="s">
        <v>35</v>
      </c>
      <c r="T74" s="96">
        <f t="shared" ref="T74:AH74" si="24">AVERAGE(T68,T65,T62,T59,T56,T53,T50,T47,T44,T41,T38,T35,T32,T29,T26,,T23,T17,T14,T11,T8,T20,T2,T21)</f>
        <v>38.437630434782612</v>
      </c>
      <c r="U74" s="96">
        <f t="shared" si="24"/>
        <v>30.935217391304342</v>
      </c>
      <c r="V74" s="96">
        <f t="shared" si="24"/>
        <v>16.656995454545452</v>
      </c>
      <c r="W74" s="96">
        <f t="shared" si="24"/>
        <v>15.31726818181818</v>
      </c>
      <c r="X74" s="96">
        <f t="shared" si="24"/>
        <v>16.586286363636365</v>
      </c>
      <c r="Y74" s="104">
        <f t="shared" si="24"/>
        <v>6.0623045454545466</v>
      </c>
      <c r="Z74" s="96">
        <f t="shared" si="24"/>
        <v>55.930869565217385</v>
      </c>
      <c r="AA74" s="96">
        <f t="shared" si="24"/>
        <v>17.051159090909092</v>
      </c>
      <c r="AB74" s="96">
        <f t="shared" si="24"/>
        <v>6.0907954545454546</v>
      </c>
      <c r="AC74" s="96">
        <f t="shared" si="24"/>
        <v>5.9655826086956516</v>
      </c>
      <c r="AD74" s="96">
        <f t="shared" si="24"/>
        <v>7.0906565217391293</v>
      </c>
      <c r="AE74" s="103">
        <f t="shared" si="24"/>
        <v>12.425459362031484</v>
      </c>
      <c r="AF74" s="96">
        <f t="shared" si="24"/>
        <v>8.0412681818181806</v>
      </c>
      <c r="AG74" s="96">
        <f t="shared" si="24"/>
        <v>7.5118666666666671</v>
      </c>
      <c r="AH74" s="104">
        <f t="shared" si="24"/>
        <v>16.656949999999998</v>
      </c>
    </row>
    <row r="75" spans="1:34" x14ac:dyDescent="0.25">
      <c r="B75" s="6" t="s">
        <v>36</v>
      </c>
      <c r="C75" s="96">
        <f t="shared" ref="C75:H75" si="25">AVERAGE(C69,C66,C63,C60,C57,C54,C51,C48,C45,C42,C39,C36,C33,C30,C27,,C24,C18,C15,C12,C9,C3,)</f>
        <v>2.8375082680124009</v>
      </c>
      <c r="D75" s="96">
        <f t="shared" si="25"/>
        <v>2.0991117764806546</v>
      </c>
      <c r="E75" s="96">
        <f t="shared" si="25"/>
        <v>1.4360528972660942</v>
      </c>
      <c r="F75" s="96">
        <f t="shared" si="25"/>
        <v>1.3576621841457197</v>
      </c>
      <c r="G75" s="96">
        <f t="shared" si="25"/>
        <v>23.154540909090908</v>
      </c>
      <c r="H75" s="104">
        <f t="shared" si="25"/>
        <v>4.2101904761904754</v>
      </c>
      <c r="I75" s="96">
        <f t="shared" ref="I75:Q75" si="26">AVERAGE(I69,I66,I63,I60,I57,I54,I51,I48,I45,I42,I39,I36,I33,I30,I27,,I24,I18,I15,I12,I9,I3)</f>
        <v>3.9538969250335834</v>
      </c>
      <c r="J75" s="96">
        <f t="shared" si="26"/>
        <v>0.98128220965724444</v>
      </c>
      <c r="K75" s="96">
        <f t="shared" si="26"/>
        <v>0.34748370538045104</v>
      </c>
      <c r="L75" s="96">
        <f t="shared" si="26"/>
        <v>0.36821237896605136</v>
      </c>
      <c r="M75" s="96">
        <f t="shared" si="26"/>
        <v>0.79090238941973301</v>
      </c>
      <c r="N75" s="96">
        <f t="shared" si="26"/>
        <v>0.7430542723252167</v>
      </c>
      <c r="O75" s="96">
        <f t="shared" si="26"/>
        <v>1.0387375758455122</v>
      </c>
      <c r="P75" s="96">
        <f t="shared" si="26"/>
        <v>0.41893122251422893</v>
      </c>
      <c r="Q75" s="104">
        <f t="shared" si="26"/>
        <v>1.5078470408835616</v>
      </c>
      <c r="S75" s="86" t="s">
        <v>36</v>
      </c>
      <c r="T75" s="96">
        <f t="shared" ref="T75:AH75" si="27">AVERAGE(T69,T66,T63,T60,T57,T54,T51,T48,T45,T42,T39,T36,T33,T30,T27,,T24,T18,T15,T12,T9,T3,T5:T6)</f>
        <v>48.302043478260877</v>
      </c>
      <c r="U75" s="96">
        <f t="shared" si="27"/>
        <v>36.448086956521735</v>
      </c>
      <c r="V75" s="96">
        <f t="shared" si="27"/>
        <v>24.847318181818185</v>
      </c>
      <c r="W75" s="96">
        <f t="shared" si="27"/>
        <v>23.667818181818181</v>
      </c>
      <c r="X75" s="96">
        <f t="shared" si="27"/>
        <v>23.900504347826086</v>
      </c>
      <c r="Y75" s="104">
        <f t="shared" si="27"/>
        <v>3.8601818181818177</v>
      </c>
      <c r="Z75" s="96">
        <f t="shared" si="27"/>
        <v>64.177730434782617</v>
      </c>
      <c r="AA75" s="96">
        <f t="shared" si="27"/>
        <v>15.832478260869564</v>
      </c>
      <c r="AB75" s="96">
        <f t="shared" si="27"/>
        <v>6.0439590909090901</v>
      </c>
      <c r="AC75" s="96">
        <f t="shared" si="27"/>
        <v>6.4575217391304349</v>
      </c>
      <c r="AD75" s="96">
        <f t="shared" si="27"/>
        <v>13.219591304347828</v>
      </c>
      <c r="AE75" s="103">
        <f t="shared" si="27"/>
        <v>11.458830454545453</v>
      </c>
      <c r="AF75" s="96">
        <f t="shared" si="27"/>
        <v>17.210290909090904</v>
      </c>
      <c r="AG75" s="96">
        <f t="shared" si="27"/>
        <v>6.9289299999999994</v>
      </c>
      <c r="AH75" s="104">
        <f t="shared" si="27"/>
        <v>24.847190909090909</v>
      </c>
    </row>
    <row r="76" spans="1:34" x14ac:dyDescent="0.25">
      <c r="B76" s="56" t="s">
        <v>128</v>
      </c>
      <c r="C76" s="121">
        <f>AVERAGE(C70,C67,C64,C61,C58,C55,C52,C49,C46,C43,C40,C37,C34,C31,C28,C25,C19,C16,C13,C10,C4)</f>
        <v>28.97307873420899</v>
      </c>
      <c r="D76" s="121">
        <f>AVERAGE(D70,D67,D64,D61,D58,D55,D52,D49,D46,D43,D40,D37,D34,D31,D28,D25,D19,D16,D13,D10,D4)</f>
        <v>18.759714392109931</v>
      </c>
      <c r="E76" s="121">
        <f>AVERAGE(E70,E67,E64,E61,E58,E55,E52,E49,E46,E43,E40,E37,E34,E31,E28,E25,E19,E16,E13,E10,E4)</f>
        <v>56.691686242311839</v>
      </c>
      <c r="F76" s="121">
        <f>AVERAGE(F70,F67,F64,F61,F58,F55,F52,F49,F46,F43,F40,F37,F34,F31,F28,F25,F19,F16,F13,F10,F4)</f>
        <v>62.446339948550353</v>
      </c>
      <c r="G76" s="121"/>
      <c r="H76" s="122"/>
      <c r="I76" s="121">
        <f>AVERAGE(I70,I67,I64,I61,I58,I55,I52,I49,I46,I43,I40,I37,I34,I31,I28,I25,I19,I16,I13,I10,I4)</f>
        <v>15.728720953037771</v>
      </c>
      <c r="J76" s="121">
        <f>AVERAGE(J70,J67,J64,J61,J58,J55,J52,J49,J46,J43,J40,J37,J34,J31,J28,J25,J19,J16,J13,J10,J4)</f>
        <v>-9.9917593795579975</v>
      </c>
      <c r="K76" s="121">
        <f>AVERAGE(K70,K67,K64,K61,K58,K55,K52,K49,K46,K43,K40,K37,K34,K31,K28,K25,K19,K16,K13,K10,K4)</f>
        <v>3.581496807289271</v>
      </c>
      <c r="L76" s="121">
        <f>AVERAGE(L70,L67,L64,L61,L58,L55,L52,L49,L46,L43,L40,L37,L34,L31,L28,L25,L19,L16,L13,L10,L4)</f>
        <v>6.9664152824614352</v>
      </c>
      <c r="M76" s="121">
        <f>AVERAGE(M70,M67,M64,M61,M58,M55,M52,M49,M46,M43,M40,M37,M34,M31,M28,M25,M19,M16,M13,M10,M4)</f>
        <v>98.786476887573627</v>
      </c>
      <c r="N76" s="123">
        <f>AVERAGE(N67,N64,N61,N58,N55,N52,N49,N46,N43,N40,N37,N34,N31,N28,N25,N19,N16,N13,N10,N4)</f>
        <v>5.2541223991712069</v>
      </c>
      <c r="O76" s="121">
        <f>AVERAGE(O70,O67,O64,O61,O58,O55,O52,O49,O46,O43,O40,O37,O34,O31,O28,O25,O19,O16,O13,O10,O4)</f>
        <v>132.46498861738144</v>
      </c>
      <c r="P76" s="121">
        <f>AVERAGE(P70,P67,P64,P61,P58,P52,P49,P46,P43,P40,P37,P34,P31,P28,P25,P19,P16,P13,P10,P4)</f>
        <v>-4.755190039117509</v>
      </c>
      <c r="Q76" s="122">
        <f>AVERAGE(Q70,Q67,Q64,Q61,Q58,Q55,Q52,Q49,Q46,Q43,Q40,Q37,Q34,Q31,Q28,Q25,Q19,Q16,Q13,Q10,Q4)</f>
        <v>56.691126629985106</v>
      </c>
      <c r="S76" s="92" t="s">
        <v>128</v>
      </c>
      <c r="T76" s="121">
        <f>AVERAGE(T70,T67,T64,T61,T58,T55,T52,T49,T46,T43,T40,T37,T34,T31,T28,T25,T19,T16,T13,T10,T4)</f>
        <v>20.041169664135676</v>
      </c>
      <c r="U76" s="121">
        <f>AVERAGE(U70,U67,U64,U61,U58,U55,U52,U49,U46,U43,U40,U37,U34,U31,U28,U25,U19,U16,U13,U10,U4)</f>
        <v>12.929061252812716</v>
      </c>
      <c r="V76" s="121">
        <f>AVERAGE(V70,V67,V64,V61,V58,V55,V52,V49,V46,V43,V40,V37,V34,V31,V28,V25,V19,V16,V13,V10,V4)</f>
        <v>35.659592112796894</v>
      </c>
      <c r="W76" s="121">
        <f>AVERAGE(W70,W67,W64,W61,W58,W55,W52,W49,W46,W43,W40,W37,W34,W31,W28,W25,W19,W16,W13,W10,W4)</f>
        <v>43.300813493051812</v>
      </c>
      <c r="X76" s="121"/>
      <c r="Y76" s="122"/>
      <c r="Z76" s="121">
        <f>AVERAGE(Z70,Z67,Z64,Z61,Z58,Z55,Z52,Z49,Z46,Z43,Z40,Z37,Z34,Z31,Z28,Z25,Z19,Z16,Z13,Z10,Z4)</f>
        <v>10.137425602022006</v>
      </c>
      <c r="AA76" s="121">
        <f>AVERAGE(AA70,AA67,AA64,AA61,AA58,AA55,AA52,AA49,AA46,AA43,AA40,AA37,AA34,AA31,AA28,AA25,AA19,AA16,AA13,AA10,AA4)</f>
        <v>-12.960193789657623</v>
      </c>
      <c r="AB76" s="121">
        <f>AVERAGE(AB70,AB67,AB64,AB61,AB58,AB55,AB52,AB49,AB46,AB43,AB40,AB37,AB34,AB31,AB28,AB25,AB19,AB16,AB13,AB10,AB4)</f>
        <v>-0.53484515846737513</v>
      </c>
      <c r="AC76" s="121">
        <f>AVERAGE(AC70,AC67,AC64,AC61,AC58,AC55,AC52,AC49,AC46,AC43,AC40,AC37,AC34,AC31,AC28,AC25,AC19,AC16,AC13,AC10,AC4)</f>
        <v>2.6451988604960937</v>
      </c>
      <c r="AD76" s="121">
        <f>AVERAGE(AD70,AD67,AD64,AD61,AD58,AD55,AD52,AD49,AD46,AD43,AD40,AD37,AD34,AD31,AD28,AD25,AD19,AD16,AD13,AD10,AD4)</f>
        <v>66.665302620966855</v>
      </c>
      <c r="AE76" s="121">
        <f>AVERAGE(AE67,AE64,AE61,AE58,AE55,AE52,AE49,AE46,AE43,AE40,AE37,AE34,AE31,AE28,AE25,AE19,AE16,AE13,AE10,AE4)</f>
        <v>1.9816212405401188</v>
      </c>
      <c r="AF76" s="121">
        <f>AVERAGE(AF70,AF67,AF64,AF61,AF58,AF55,AF52,AF49,AF46,AF43,AF40,AF37,AF34,AF31,AF28,AF25,AF19,AF16,AF13,AF10,AF4)</f>
        <v>91.256016687690177</v>
      </c>
      <c r="AG76" s="121">
        <f>AVERAGE(AG70,AG67,AG64,AG61,AG58,AG52,AG49,AG46,AG43,AG40,AG37,AG34,AG31,AG28,AG25,AG19,AG16,AG13,AG10,AG4)</f>
        <v>-10.857186479938266</v>
      </c>
      <c r="AH76" s="122">
        <f>AVERAGE(AH70,AH67,AH64,AH61,AH58,AH55,AH52,AH49,AH46,AH43,AH40,AH37,AH34,AH31,AH28,AH25,AH19,AH16,AH13,AH10,AH4)</f>
        <v>35.658735419083094</v>
      </c>
    </row>
    <row r="77" spans="1:34" x14ac:dyDescent="0.25">
      <c r="B77" s="6" t="s">
        <v>38</v>
      </c>
      <c r="C77" s="96">
        <f t="shared" ref="C77:Q77" si="28">_xlfn.STDEV.P(C68,C65,C62,C59,C56,C53,C50,C47,C44,C41,C38,C35,C32,C29,C26,C23,C20,C17,C14,C11,C8,C2)</f>
        <v>0.50221324952494106</v>
      </c>
      <c r="D77" s="96">
        <f t="shared" si="28"/>
        <v>0.48420675970139238</v>
      </c>
      <c r="E77" s="96">
        <f t="shared" si="28"/>
        <v>0.33252222933831793</v>
      </c>
      <c r="F77" s="96">
        <f t="shared" si="28"/>
        <v>0.30329078142963217</v>
      </c>
      <c r="G77" s="96">
        <f t="shared" si="28"/>
        <v>14.362216400342779</v>
      </c>
      <c r="H77" s="104">
        <f t="shared" si="28"/>
        <v>15.710143261640708</v>
      </c>
      <c r="I77" s="96">
        <f t="shared" si="28"/>
        <v>0.67113733782644158</v>
      </c>
      <c r="J77" s="96">
        <f t="shared" si="28"/>
        <v>0.45957388131448002</v>
      </c>
      <c r="K77" s="96">
        <f t="shared" si="28"/>
        <v>0.15902384601399711</v>
      </c>
      <c r="L77" s="96">
        <f t="shared" si="28"/>
        <v>0.11018685728824226</v>
      </c>
      <c r="M77" s="96">
        <f t="shared" si="28"/>
        <v>0.16199335087789643</v>
      </c>
      <c r="N77" s="96">
        <f t="shared" si="28"/>
        <v>0.35716769257228553</v>
      </c>
      <c r="O77" s="96">
        <f t="shared" si="28"/>
        <v>0.19211972779749101</v>
      </c>
      <c r="P77" s="96">
        <f t="shared" si="28"/>
        <v>0.21918527289237225</v>
      </c>
      <c r="Q77" s="104">
        <f t="shared" si="28"/>
        <v>0.33252864316845659</v>
      </c>
      <c r="S77" s="86" t="s">
        <v>38</v>
      </c>
      <c r="T77" s="96">
        <f t="shared" ref="T77:AH77" si="29">_xlfn.STDEV.P(T68,T65,T62,T59,T56,T53,T50,T47,T44,T41,T38,T35,T32,T29,T26,T23,T20,T21,T17,T14,T11,T8,T2)</f>
        <v>8.9375607596905855</v>
      </c>
      <c r="U77" s="96">
        <f t="shared" si="29"/>
        <v>8.3251242608550751</v>
      </c>
      <c r="V77" s="96">
        <f t="shared" si="29"/>
        <v>6.0376399523785658</v>
      </c>
      <c r="W77" s="96">
        <f t="shared" si="29"/>
        <v>5.3963116928294497</v>
      </c>
      <c r="X77" s="96">
        <f t="shared" si="29"/>
        <v>14.131346829483292</v>
      </c>
      <c r="Y77" s="104">
        <f t="shared" si="29"/>
        <v>15.658147707740367</v>
      </c>
      <c r="Z77" s="96">
        <f t="shared" si="29"/>
        <v>10.579647082386577</v>
      </c>
      <c r="AA77" s="96">
        <f t="shared" si="29"/>
        <v>6.5679405547755794</v>
      </c>
      <c r="AB77" s="96">
        <f t="shared" si="29"/>
        <v>3.3371686996376542</v>
      </c>
      <c r="AC77" s="96">
        <f t="shared" si="29"/>
        <v>2.3698018888673702</v>
      </c>
      <c r="AD77" s="96">
        <f t="shared" si="29"/>
        <v>3.1494424347319137</v>
      </c>
      <c r="AE77" s="103">
        <f t="shared" si="29"/>
        <v>4.5059245375953898</v>
      </c>
      <c r="AF77" s="96">
        <f t="shared" si="29"/>
        <v>3.4319386044965907</v>
      </c>
      <c r="AG77" s="96">
        <f t="shared" si="29"/>
        <v>3.2339001093725832</v>
      </c>
      <c r="AH77" s="104">
        <f t="shared" si="29"/>
        <v>6.037688894055897</v>
      </c>
    </row>
    <row r="78" spans="1:34" x14ac:dyDescent="0.25">
      <c r="B78" s="6" t="s">
        <v>39</v>
      </c>
      <c r="C78" s="96">
        <f t="shared" ref="C78:Q78" si="30">_xlfn.STDEV.P(C69,C66,C63,C60,C57,C54,C51,C48,C45,C42,C39,C36,C33,C30,C27,C24,C18,C15,C12,C9,C3)</f>
        <v>0.63880765937063011</v>
      </c>
      <c r="D78" s="96">
        <f t="shared" si="30"/>
        <v>0.59077410032545719</v>
      </c>
      <c r="E78" s="96">
        <f t="shared" si="30"/>
        <v>0.45920572574530272</v>
      </c>
      <c r="F78" s="96">
        <f t="shared" si="30"/>
        <v>0.4334517882836218</v>
      </c>
      <c r="G78" s="96">
        <f t="shared" si="30"/>
        <v>13.598136724105808</v>
      </c>
      <c r="H78" s="104">
        <f t="shared" si="30"/>
        <v>11.177997233854345</v>
      </c>
      <c r="I78" s="96">
        <f t="shared" si="30"/>
        <v>0.86102266891541257</v>
      </c>
      <c r="J78" s="96">
        <f t="shared" si="30"/>
        <v>0.5270181148497608</v>
      </c>
      <c r="K78" s="96">
        <f t="shared" si="30"/>
        <v>0.13630808884219761</v>
      </c>
      <c r="L78" s="96">
        <f t="shared" si="30"/>
        <v>0.12829165540863069</v>
      </c>
      <c r="M78" s="96">
        <f t="shared" si="30"/>
        <v>0.32118246499221587</v>
      </c>
      <c r="N78" s="96">
        <f t="shared" si="30"/>
        <v>0.32180182690418169</v>
      </c>
      <c r="O78" s="96">
        <f t="shared" si="30"/>
        <v>0.38104009195019706</v>
      </c>
      <c r="P78" s="96">
        <f t="shared" si="30"/>
        <v>0.1449403103847319</v>
      </c>
      <c r="Q78" s="104">
        <f t="shared" si="30"/>
        <v>0.45921457521914261</v>
      </c>
      <c r="S78" s="86" t="s">
        <v>39</v>
      </c>
      <c r="T78" s="96">
        <f t="shared" ref="T78:AH78" si="31">_xlfn.STDEV.P(T69,T66,T63,T60,T57,T54,T51,T48,T45,T42,T39,T36,T33,T30,T27,T24,T18,T15,T12,T9,T3,T5:T6)</f>
        <v>13.333147103976639</v>
      </c>
      <c r="U78" s="96">
        <f t="shared" si="31"/>
        <v>12.631393472529126</v>
      </c>
      <c r="V78" s="96">
        <f t="shared" si="31"/>
        <v>9.4500737695233248</v>
      </c>
      <c r="W78" s="96">
        <f t="shared" si="31"/>
        <v>8.9129790770096005</v>
      </c>
      <c r="X78" s="96">
        <f t="shared" si="31"/>
        <v>13.075570836379956</v>
      </c>
      <c r="Y78" s="104">
        <f t="shared" si="31"/>
        <v>10.797076382719801</v>
      </c>
      <c r="Z78" s="96">
        <f t="shared" si="31"/>
        <v>13.934689974859648</v>
      </c>
      <c r="AA78" s="96">
        <f t="shared" si="31"/>
        <v>6.6621780598011577</v>
      </c>
      <c r="AB78" s="96">
        <f t="shared" si="31"/>
        <v>2.8559419890956086</v>
      </c>
      <c r="AC78" s="96">
        <f t="shared" si="31"/>
        <v>2.9871056778529219</v>
      </c>
      <c r="AD78" s="96">
        <f t="shared" si="31"/>
        <v>6.9810091042273879</v>
      </c>
      <c r="AE78" s="96">
        <f t="shared" si="31"/>
        <v>4.0971416629295847</v>
      </c>
      <c r="AF78" s="96">
        <f t="shared" si="31"/>
        <v>7.3284160395482179</v>
      </c>
      <c r="AG78" s="96">
        <f t="shared" si="31"/>
        <v>2.5864180402318131</v>
      </c>
      <c r="AH78" s="104">
        <f t="shared" si="31"/>
        <v>9.4501180875919868</v>
      </c>
    </row>
    <row r="79" spans="1:34" ht="15.75" thickBot="1" x14ac:dyDescent="0.3">
      <c r="B79" s="30" t="s">
        <v>40</v>
      </c>
      <c r="C79" s="105">
        <f>_xlfn.STDEV.P(C70,C67,C64,C61,C58,C55,C52,C49,C46,C43,C40,C37,C34,C31,C28,C25,C23,C19,C16,C13,C10,C4)</f>
        <v>26.594846958389351</v>
      </c>
      <c r="D79" s="105">
        <f>_xlfn.STDEV.P(D70,D67,D64,D61,D58,D55,D52,D49,D46,D43,D40,D37,D34,D31,D28,D25,D23,D19,D16,D13,D10,D4)</f>
        <v>17.862580714615568</v>
      </c>
      <c r="E79" s="105">
        <f>_xlfn.STDEV.P(E70,E67,E64,E61,E58,E55,E52,E49,E46,E43,E40,E37,E34,E31,E28,E25,E23,E19,E16,E13,E10,E4)</f>
        <v>47.006677910182347</v>
      </c>
      <c r="F79" s="105">
        <f>_xlfn.STDEV.P(F70,F67,F64,F61,F58,F55,F52,F49,F46,F43,F40,F37,F34,F31,F28,F25,F23,F19,F16,F13,F10,F4)</f>
        <v>45.241468885169532</v>
      </c>
      <c r="G79" s="105"/>
      <c r="H79" s="106"/>
      <c r="I79" s="105">
        <f t="shared" ref="I79:Q79" si="32">_xlfn.STDEV.P(I70,I67,I64,I61,I58,I55,I52,I49,I46,I43,I40,I37,I34,I31,I28,I25,I23,I19,I16,I13,I10,I4)</f>
        <v>14.329828312252118</v>
      </c>
      <c r="J79" s="105">
        <f t="shared" si="32"/>
        <v>25.718886249384958</v>
      </c>
      <c r="K79" s="105">
        <f t="shared" si="32"/>
        <v>14.662887975382729</v>
      </c>
      <c r="L79" s="105">
        <f t="shared" si="32"/>
        <v>16.748059465129984</v>
      </c>
      <c r="M79" s="105">
        <f t="shared" si="32"/>
        <v>79.572745069680082</v>
      </c>
      <c r="N79" s="114">
        <f t="shared" si="32"/>
        <v>50.231638115024019</v>
      </c>
      <c r="O79" s="105">
        <f t="shared" si="32"/>
        <v>81.282697537177938</v>
      </c>
      <c r="P79" s="105">
        <f t="shared" si="32"/>
        <v>30.446881433359223</v>
      </c>
      <c r="Q79" s="106">
        <f t="shared" si="32"/>
        <v>47.006766999608594</v>
      </c>
      <c r="S79" s="93" t="s">
        <v>40</v>
      </c>
      <c r="T79" s="105">
        <f>_xlfn.STDEV.P(T70,T67,T64,T61,T58,T55,T52,T49,T46,T43,T40,T37,T34,T31,T28,T25,T23,T19,T16,T13,T10,T4)</f>
        <v>19.831793584711242</v>
      </c>
      <c r="U79" s="105">
        <f>_xlfn.STDEV.P(U70,U67,U64,U61,U58,U55,U52,U49,U46,U43,U40,U37,U34,U31,U28,U25,U23,U19,U16,U13,U10,U4)</f>
        <v>16.615029662718182</v>
      </c>
      <c r="V79" s="105">
        <f>_xlfn.STDEV.P(V70,V67,V64,V61,V58,V55,V52,V49,V46,V43,V40,V37,V34,V31,V28,V25,V23,V19,V16,V13,V10,V4)</f>
        <v>22.539481320190585</v>
      </c>
      <c r="W79" s="105">
        <f>_xlfn.STDEV.P(W70,W67,W64,W61,W58,W55,W52,W49,W46,W43,W40,W37,W34,W31,W28,W25,W23,W19,W16,W13,W10,W4)</f>
        <v>31.616023251629677</v>
      </c>
      <c r="X79" s="105"/>
      <c r="Y79" s="106"/>
      <c r="Z79" s="105">
        <f t="shared" ref="Z79:AH79" si="33">_xlfn.STDEV.P(Z70,Z67,Z64,Z61,Z58,Z55,Z52,Z49,Z46,Z43,Z40,Z37,Z34,Z31,Z28,Z25,Z23,Z19,Z16,Z13,Z10,Z4)</f>
        <v>15.431726094295676</v>
      </c>
      <c r="AA79" s="105">
        <f t="shared" si="33"/>
        <v>25.874517850077648</v>
      </c>
      <c r="AB79" s="105">
        <f t="shared" si="33"/>
        <v>16.535616393189969</v>
      </c>
      <c r="AC79" s="105">
        <f t="shared" si="33"/>
        <v>16.362437980118671</v>
      </c>
      <c r="AD79" s="105">
        <f t="shared" si="33"/>
        <v>49.148753353232799</v>
      </c>
      <c r="AE79" s="105">
        <f t="shared" si="33"/>
        <v>52.764830983035125</v>
      </c>
      <c r="AF79" s="105">
        <f t="shared" si="33"/>
        <v>51.052932177624811</v>
      </c>
      <c r="AG79" s="105">
        <f t="shared" si="33"/>
        <v>33.615069788199477</v>
      </c>
      <c r="AH79" s="106">
        <f t="shared" si="33"/>
        <v>22.537210913359559</v>
      </c>
    </row>
    <row r="81" spans="9:17" x14ac:dyDescent="0.25">
      <c r="I81" s="96">
        <f>(I75-I74)/I74*100</f>
        <v>15.077257818231946</v>
      </c>
      <c r="J81" s="96">
        <f t="shared" ref="J81:Q81" si="34">(J75-J74)/J74*100</f>
        <v>-7.5392104493313568</v>
      </c>
      <c r="K81" s="96">
        <f t="shared" si="34"/>
        <v>-1.4467678907055113</v>
      </c>
      <c r="L81" s="96">
        <f t="shared" si="34"/>
        <v>5.0533880581861927</v>
      </c>
      <c r="M81" s="96">
        <f t="shared" si="34"/>
        <v>85.598796165207943</v>
      </c>
      <c r="N81" s="96">
        <f t="shared" si="34"/>
        <v>-6.6559016578413228</v>
      </c>
      <c r="O81" s="96">
        <f t="shared" si="34"/>
        <v>115.05605174983953</v>
      </c>
      <c r="P81" s="96">
        <f t="shared" si="34"/>
        <v>-9.5356336105999819</v>
      </c>
      <c r="Q81" s="96">
        <f t="shared" si="34"/>
        <v>48.406734159829085</v>
      </c>
    </row>
    <row r="84" spans="9:17" ht="60" customHeight="1" x14ac:dyDescent="0.25"/>
    <row r="108" ht="15" customHeight="1" x14ac:dyDescent="0.25"/>
  </sheetData>
  <mergeCells count="11">
    <mergeCell ref="B5:B7"/>
    <mergeCell ref="B47:B49"/>
    <mergeCell ref="B35:B37"/>
    <mergeCell ref="B68:B70"/>
    <mergeCell ref="B50:B52"/>
    <mergeCell ref="B53:B55"/>
    <mergeCell ref="B59:B61"/>
    <mergeCell ref="B29:B31"/>
    <mergeCell ref="B26:B28"/>
    <mergeCell ref="B23:B25"/>
    <mergeCell ref="B20:B22"/>
  </mergeCells>
  <conditionalFormatting sqref="T76:AH76">
    <cfRule type="colorScale" priority="45">
      <colorScale>
        <cfvo type="num" val="-100"/>
        <cfvo type="num" val="0"/>
        <cfvo type="num" val="100"/>
        <color rgb="FFF8696B"/>
        <color theme="0"/>
        <color rgb="FF63BE7B"/>
      </colorScale>
    </cfRule>
  </conditionalFormatting>
  <conditionalFormatting sqref="Z28:AH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4">
      <colorScale>
        <cfvo type="min"/>
        <cfvo type="percentile" val="50"/>
        <cfvo type="max"/>
        <color rgb="FFF8696B"/>
        <color rgb="FFFCFCFF"/>
        <color rgb="FF63BE7B"/>
      </colorScale>
    </cfRule>
  </conditionalFormatting>
  <conditionalFormatting sqref="T28:AE28">
    <cfRule type="colorScale" priority="91">
      <colorScale>
        <cfvo type="num" val="-50"/>
        <cfvo type="percentile" val="50"/>
        <cfvo type="num" val="50"/>
        <color rgb="FFC00000"/>
        <color rgb="FFFFEB84"/>
        <color rgb="FF12A107"/>
      </colorScale>
    </cfRule>
    <cfRule type="colorScale" priority="92">
      <colorScale>
        <cfvo type="num" val="-100"/>
        <cfvo type="percentile" val="50"/>
        <cfvo type="num" val="100"/>
        <color rgb="FFFF7128"/>
        <color rgb="FFFFEB84"/>
        <color rgb="FFFFEF9C"/>
      </colorScale>
    </cfRule>
    <cfRule type="colorScale" priority="93">
      <colorScale>
        <cfvo type="min"/>
        <cfvo type="percentile" val="50"/>
        <cfvo type="max"/>
        <color rgb="FF63BE7B"/>
        <color rgb="FFFCFCFF"/>
        <color rgb="FFF8696B"/>
      </colorScale>
    </cfRule>
  </conditionalFormatting>
  <conditionalFormatting sqref="T28:AH28">
    <cfRule type="colorScale" priority="46">
      <colorScale>
        <cfvo type="num" val="-100"/>
        <cfvo type="num" val="0"/>
        <cfvo type="num" val="100"/>
        <color rgb="FFF8696B"/>
        <color theme="0"/>
        <color rgb="FF63BE7B"/>
      </colorScale>
    </cfRule>
    <cfRule type="colorScale" priority="90">
      <colorScale>
        <cfvo type="min"/>
        <cfvo type="percentile" val="50"/>
        <cfvo type="max"/>
        <color rgb="FFF8696B"/>
        <color rgb="FFFCFCFF"/>
        <color rgb="FF63BE7B"/>
      </colorScale>
    </cfRule>
  </conditionalFormatting>
  <conditionalFormatting sqref="T28:AH28">
    <cfRule type="colorScale" priority="89">
      <colorScale>
        <cfvo type="min"/>
        <cfvo type="percentile" val="50"/>
        <cfvo type="max"/>
        <color rgb="FFF8696B"/>
        <color rgb="FFFCFCFF"/>
        <color rgb="FF63BE7B"/>
      </colorScale>
    </cfRule>
  </conditionalFormatting>
  <conditionalFormatting sqref="Z31:AH31">
    <cfRule type="colorScale" priority="88">
      <colorScale>
        <cfvo type="min"/>
        <cfvo type="percentile" val="50"/>
        <cfvo type="max"/>
        <color rgb="FFF8696B"/>
        <color rgb="FFFCFCFF"/>
        <color rgb="FF63BE7B"/>
      </colorScale>
    </cfRule>
  </conditionalFormatting>
  <conditionalFormatting sqref="T31:Y31">
    <cfRule type="colorScale" priority="87">
      <colorScale>
        <cfvo type="min"/>
        <cfvo type="percentile" val="50"/>
        <cfvo type="max"/>
        <color rgb="FFF8696B"/>
        <color rgb="FFFCFCFF"/>
        <color rgb="FF63BE7B"/>
      </colorScale>
    </cfRule>
  </conditionalFormatting>
  <conditionalFormatting sqref="T31:Y31">
    <cfRule type="colorScale" priority="86">
      <colorScale>
        <cfvo type="min"/>
        <cfvo type="percentile" val="50"/>
        <cfvo type="max"/>
        <color rgb="FFF8696B"/>
        <color rgb="FFFCFCFF"/>
        <color rgb="FF63BE7B"/>
      </colorScale>
    </cfRule>
  </conditionalFormatting>
  <conditionalFormatting sqref="T31:W31">
    <cfRule type="colorScale" priority="83">
      <colorScale>
        <cfvo type="num" val="-50"/>
        <cfvo type="percentile" val="50"/>
        <cfvo type="num" val="50"/>
        <color rgb="FFC00000"/>
        <color rgb="FFFFEB84"/>
        <color rgb="FF12A107"/>
      </colorScale>
    </cfRule>
    <cfRule type="colorScale" priority="84">
      <colorScale>
        <cfvo type="num" val="-100"/>
        <cfvo type="percentile" val="50"/>
        <cfvo type="num" val="100"/>
        <color rgb="FFFF7128"/>
        <color rgb="FFFFEB84"/>
        <color rgb="FFFFEF9C"/>
      </colorScale>
    </cfRule>
    <cfRule type="colorScale" priority="85">
      <colorScale>
        <cfvo type="min"/>
        <cfvo type="percentile" val="50"/>
        <cfvo type="max"/>
        <color rgb="FF63BE7B"/>
        <color rgb="FFFCFCFF"/>
        <color rgb="FFF8696B"/>
      </colorScale>
    </cfRule>
  </conditionalFormatting>
  <conditionalFormatting sqref="T31:AH31">
    <cfRule type="colorScale" priority="82">
      <colorScale>
        <cfvo type="min"/>
        <cfvo type="percentile" val="50"/>
        <cfvo type="max"/>
        <color rgb="FFF8696B"/>
        <color rgb="FFFCFCFF"/>
        <color rgb="FF63BE7B"/>
      </colorScale>
    </cfRule>
  </conditionalFormatting>
  <conditionalFormatting sqref="T31:AH31">
    <cfRule type="colorScale" priority="81">
      <colorScale>
        <cfvo type="min"/>
        <cfvo type="percentile" val="50"/>
        <cfvo type="max"/>
        <color rgb="FFF8696B"/>
        <color rgb="FFFCFCFF"/>
        <color rgb="FF63BE7B"/>
      </colorScale>
    </cfRule>
  </conditionalFormatting>
  <conditionalFormatting sqref="Z67:AH67">
    <cfRule type="colorScale" priority="80">
      <colorScale>
        <cfvo type="min"/>
        <cfvo type="percentile" val="50"/>
        <cfvo type="max"/>
        <color rgb="FFF8696B"/>
        <color rgb="FFFCFCFF"/>
        <color rgb="FF63BE7B"/>
      </colorScale>
    </cfRule>
  </conditionalFormatting>
  <conditionalFormatting sqref="T67:AH67">
    <cfRule type="colorScale" priority="48">
      <colorScale>
        <cfvo type="num" val="-100"/>
        <cfvo type="num" val="0"/>
        <cfvo type="num" val="100"/>
        <color rgb="FFF8696B"/>
        <color theme="0"/>
        <color rgb="FF63BE7B"/>
      </colorScale>
    </cfRule>
    <cfRule type="colorScale" priority="79">
      <colorScale>
        <cfvo type="min"/>
        <cfvo type="percentile" val="50"/>
        <cfvo type="max"/>
        <color rgb="FFF8696B"/>
        <color rgb="FFFCFCFF"/>
        <color rgb="FF63BE7B"/>
      </colorScale>
    </cfRule>
  </conditionalFormatting>
  <conditionalFormatting sqref="T67:AH67">
    <cfRule type="colorScale" priority="78">
      <colorScale>
        <cfvo type="min"/>
        <cfvo type="percentile" val="50"/>
        <cfvo type="max"/>
        <color rgb="FFF8696B"/>
        <color rgb="FFFCFCFF"/>
        <color rgb="FF63BE7B"/>
      </colorScale>
    </cfRule>
  </conditionalFormatting>
  <conditionalFormatting sqref="T67:AH67">
    <cfRule type="colorScale" priority="75">
      <colorScale>
        <cfvo type="num" val="-50"/>
        <cfvo type="percentile" val="50"/>
        <cfvo type="num" val="50"/>
        <color rgb="FFC00000"/>
        <color rgb="FFFFEB84"/>
        <color rgb="FF12A107"/>
      </colorScale>
    </cfRule>
    <cfRule type="colorScale" priority="76">
      <colorScale>
        <cfvo type="num" val="-100"/>
        <cfvo type="percentile" val="50"/>
        <cfvo type="num" val="100"/>
        <color rgb="FFFF7128"/>
        <color rgb="FFFFEB84"/>
        <color rgb="FFFFEF9C"/>
      </colorScale>
    </cfRule>
    <cfRule type="colorScale" priority="77">
      <colorScale>
        <cfvo type="min"/>
        <cfvo type="percentile" val="50"/>
        <cfvo type="max"/>
        <color rgb="FF63BE7B"/>
        <color rgb="FFFCFCFF"/>
        <color rgb="FFF8696B"/>
      </colorScale>
    </cfRule>
  </conditionalFormatting>
  <conditionalFormatting sqref="T67:AH67">
    <cfRule type="colorScale" priority="74">
      <colorScale>
        <cfvo type="min"/>
        <cfvo type="percentile" val="50"/>
        <cfvo type="max"/>
        <color rgb="FFF8696B"/>
        <color rgb="FFFCFCFF"/>
        <color rgb="FF63BE7B"/>
      </colorScale>
    </cfRule>
  </conditionalFormatting>
  <conditionalFormatting sqref="T67:AH67">
    <cfRule type="colorScale" priority="73">
      <colorScale>
        <cfvo type="min"/>
        <cfvo type="percentile" val="50"/>
        <cfvo type="max"/>
        <color rgb="FFF8696B"/>
        <color rgb="FFFCFCFF"/>
        <color rgb="FF63BE7B"/>
      </colorScale>
    </cfRule>
  </conditionalFormatting>
  <conditionalFormatting sqref="Z70:AH70">
    <cfRule type="colorScale" priority="72">
      <colorScale>
        <cfvo type="min"/>
        <cfvo type="percentile" val="50"/>
        <cfvo type="max"/>
        <color rgb="FFF8696B"/>
        <color rgb="FFFCFCFF"/>
        <color rgb="FF63BE7B"/>
      </colorScale>
    </cfRule>
  </conditionalFormatting>
  <conditionalFormatting sqref="T70:AH70">
    <cfRule type="colorScale" priority="47">
      <colorScale>
        <cfvo type="num" val="-100"/>
        <cfvo type="num" val="0"/>
        <cfvo type="num" val="100"/>
        <color rgb="FFF8696B"/>
        <color theme="0"/>
        <color rgb="FF63BE7B"/>
      </colorScale>
    </cfRule>
    <cfRule type="colorScale" priority="71">
      <colorScale>
        <cfvo type="min"/>
        <cfvo type="percentile" val="50"/>
        <cfvo type="max"/>
        <color rgb="FFF8696B"/>
        <color rgb="FFFCFCFF"/>
        <color rgb="FF63BE7B"/>
      </colorScale>
    </cfRule>
  </conditionalFormatting>
  <conditionalFormatting sqref="T70:AH70">
    <cfRule type="colorScale" priority="70">
      <colorScale>
        <cfvo type="min"/>
        <cfvo type="percentile" val="50"/>
        <cfvo type="max"/>
        <color rgb="FFF8696B"/>
        <color rgb="FFFCFCFF"/>
        <color rgb="FF63BE7B"/>
      </colorScale>
    </cfRule>
  </conditionalFormatting>
  <conditionalFormatting sqref="T70:AH70">
    <cfRule type="colorScale" priority="67">
      <colorScale>
        <cfvo type="num" val="-50"/>
        <cfvo type="percentile" val="50"/>
        <cfvo type="num" val="50"/>
        <color rgb="FFC00000"/>
        <color rgb="FFFFEB84"/>
        <color rgb="FF12A107"/>
      </colorScale>
    </cfRule>
    <cfRule type="colorScale" priority="68">
      <colorScale>
        <cfvo type="num" val="-100"/>
        <cfvo type="percentile" val="50"/>
        <cfvo type="num" val="100"/>
        <color rgb="FFFF7128"/>
        <color rgb="FFFFEB84"/>
        <color rgb="FFFFEF9C"/>
      </colorScale>
    </cfRule>
    <cfRule type="colorScale" priority="69">
      <colorScale>
        <cfvo type="min"/>
        <cfvo type="percentile" val="50"/>
        <cfvo type="max"/>
        <color rgb="FF63BE7B"/>
        <color rgb="FFFCFCFF"/>
        <color rgb="FFF8696B"/>
      </colorScale>
    </cfRule>
  </conditionalFormatting>
  <conditionalFormatting sqref="T70:AH70">
    <cfRule type="colorScale" priority="66">
      <colorScale>
        <cfvo type="min"/>
        <cfvo type="percentile" val="50"/>
        <cfvo type="max"/>
        <color rgb="FFF8696B"/>
        <color rgb="FFFCFCFF"/>
        <color rgb="FF63BE7B"/>
      </colorScale>
    </cfRule>
  </conditionalFormatting>
  <conditionalFormatting sqref="T70:AH70">
    <cfRule type="colorScale" priority="65">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56">
      <colorScale>
        <cfvo type="num" val="-100"/>
        <cfvo type="num" val="0"/>
        <cfvo type="num" val="100"/>
        <color rgb="FFF8696B"/>
        <color theme="0"/>
        <color rgb="FF63BE7B"/>
      </colorScale>
    </cfRule>
  </conditionalFormatting>
  <conditionalFormatting sqref="T34:AH34 T37:AH37 T40:AH40 T43:AH43 T46:AH46 T49:AH49">
    <cfRule type="colorScale" priority="54">
      <colorScale>
        <cfvo type="num" val="-100"/>
        <cfvo type="num" val="0"/>
        <cfvo type="num" val="100"/>
        <color rgb="FFF8696B"/>
        <color theme="0"/>
        <color rgb="FF63BE7B"/>
      </colorScale>
    </cfRule>
  </conditionalFormatting>
  <conditionalFormatting sqref="T52:AH52">
    <cfRule type="colorScale" priority="53">
      <colorScale>
        <cfvo type="num" val="-100"/>
        <cfvo type="num" val="0"/>
        <cfvo type="num" val="100"/>
        <color rgb="FFF8696B"/>
        <color theme="0"/>
        <color rgb="FF63BE7B"/>
      </colorScale>
    </cfRule>
  </conditionalFormatting>
  <conditionalFormatting sqref="T55:AH55">
    <cfRule type="colorScale" priority="52">
      <colorScale>
        <cfvo type="num" val="-100"/>
        <cfvo type="num" val="0"/>
        <cfvo type="num" val="100"/>
        <color rgb="FFF8696B"/>
        <color theme="0"/>
        <color rgb="FF63BE7B"/>
      </colorScale>
    </cfRule>
  </conditionalFormatting>
  <conditionalFormatting sqref="T58:AH58">
    <cfRule type="colorScale" priority="51">
      <colorScale>
        <cfvo type="num" val="-100"/>
        <cfvo type="num" val="0"/>
        <cfvo type="num" val="100"/>
        <color rgb="FFF8696B"/>
        <color theme="0"/>
        <color rgb="FF63BE7B"/>
      </colorScale>
    </cfRule>
  </conditionalFormatting>
  <conditionalFormatting sqref="T61:AH61">
    <cfRule type="colorScale" priority="50">
      <colorScale>
        <cfvo type="num" val="-100"/>
        <cfvo type="num" val="0"/>
        <cfvo type="num" val="100"/>
        <color rgb="FFF8696B"/>
        <color theme="0"/>
        <color rgb="FF63BE7B"/>
      </colorScale>
    </cfRule>
  </conditionalFormatting>
  <conditionalFormatting sqref="T64:AH64">
    <cfRule type="colorScale" priority="4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43">
      <colorScale>
        <cfvo type="num" val="-100"/>
        <cfvo type="num" val="0"/>
        <cfvo type="num" val="100"/>
        <color rgb="FFF8696B"/>
        <color theme="0"/>
        <color rgb="FF63BE7B"/>
      </colorScale>
    </cfRule>
  </conditionalFormatting>
  <conditionalFormatting sqref="AX7:BL7 AX4:BL4">
    <cfRule type="colorScale" priority="42">
      <colorScale>
        <cfvo type="num" val="-100"/>
        <cfvo type="num" val="0"/>
        <cfvo type="num" val="100"/>
        <color rgb="FFF8696B"/>
        <color theme="0"/>
        <color rgb="FF63BE7B"/>
      </colorScale>
    </cfRule>
  </conditionalFormatting>
  <conditionalFormatting sqref="BM7:CA7 BM4:CA4">
    <cfRule type="colorScale" priority="40">
      <colorScale>
        <cfvo type="num" val="-100"/>
        <cfvo type="num" val="0"/>
        <cfvo type="num" val="100"/>
        <color rgb="FFF8696B"/>
        <color theme="0"/>
        <color rgb="FF63BE7B"/>
      </colorScale>
    </cfRule>
  </conditionalFormatting>
  <conditionalFormatting sqref="C4:F4 C7:F7 I7:R7 I4:R4">
    <cfRule type="colorScale" priority="38">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41">
      <colorScale>
        <cfvo type="num" val="-100"/>
        <cfvo type="num" val="0"/>
        <cfvo type="num" val="100"/>
        <color rgb="FFF8696B"/>
        <color theme="0"/>
        <color rgb="FF63BE7B"/>
      </colorScale>
    </cfRule>
  </conditionalFormatting>
  <conditionalFormatting sqref="C70:F70 C67:F67 C64:F64 C61:F61 C58:F58 C55:F55 C52:F52 C49:F49 C46:F46 C43:F43 C40:F40 C37:F37 C34:F34 C31:F31 C28:F28 C25:F25 C19:F19 C16:F16 C13:F13 C10:F10 C22:F22 I22:R22 I10:R10 I13:R13 I16:R16 I19:R19 I25:R25 I28:R28 I31:R31 I34:R34 I37:R37 I40:R40 I43:R43 I46:R46 I49:R49 I52:R52 I55:R55 I58:R58 I61:R61 I64:R64 I67:R67 I70:R70">
    <cfRule type="colorScale" priority="39">
      <colorScale>
        <cfvo type="num" val="-100"/>
        <cfvo type="num" val="0"/>
        <cfvo type="num" val="100"/>
        <color rgb="FFF8696B"/>
        <color theme="0"/>
        <color rgb="FF63BE7B"/>
      </colorScale>
    </cfRule>
  </conditionalFormatting>
  <conditionalFormatting sqref="C76:R76">
    <cfRule type="colorScale" priority="37">
      <colorScale>
        <cfvo type="num" val="-100"/>
        <cfvo type="num" val="0"/>
        <cfvo type="num" val="100"/>
        <color rgb="FFF8696B"/>
        <color theme="0"/>
        <color rgb="FF63BE7B"/>
      </colorScale>
    </cfRule>
  </conditionalFormatting>
  <conditionalFormatting sqref="G28:H28">
    <cfRule type="colorScale" priority="36">
      <colorScale>
        <cfvo type="min"/>
        <cfvo type="percentile" val="50"/>
        <cfvo type="max"/>
        <color rgb="FFF8696B"/>
        <color rgb="FFFCFCFF"/>
        <color rgb="FF63BE7B"/>
      </colorScale>
    </cfRule>
  </conditionalFormatting>
  <conditionalFormatting sqref="G28:H28">
    <cfRule type="colorScale" priority="35">
      <colorScale>
        <cfvo type="min"/>
        <cfvo type="percentile" val="50"/>
        <cfvo type="max"/>
        <color rgb="FFF8696B"/>
        <color rgb="FFFCFCFF"/>
        <color rgb="FF63BE7B"/>
      </colorScale>
    </cfRule>
  </conditionalFormatting>
  <conditionalFormatting sqref="G28:H28">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28:H28">
    <cfRule type="colorScale" priority="2">
      <colorScale>
        <cfvo type="num" val="-100"/>
        <cfvo type="num" val="0"/>
        <cfvo type="num" val="100"/>
        <color rgb="FFF8696B"/>
        <color theme="0"/>
        <color rgb="FF63BE7B"/>
      </colorScale>
    </cfRule>
    <cfRule type="colorScale" priority="31">
      <colorScale>
        <cfvo type="min"/>
        <cfvo type="percentile" val="50"/>
        <cfvo type="max"/>
        <color rgb="FFF8696B"/>
        <color rgb="FFFCFCFF"/>
        <color rgb="FF63BE7B"/>
      </colorScale>
    </cfRule>
  </conditionalFormatting>
  <conditionalFormatting sqref="G28:H28">
    <cfRule type="colorScale" priority="30">
      <colorScale>
        <cfvo type="min"/>
        <cfvo type="percentile" val="50"/>
        <cfvo type="max"/>
        <color rgb="FFF8696B"/>
        <color rgb="FFFCFCFF"/>
        <color rgb="FF63BE7B"/>
      </colorScale>
    </cfRule>
  </conditionalFormatting>
  <conditionalFormatting sqref="G31:H31">
    <cfRule type="colorScale" priority="29">
      <colorScale>
        <cfvo type="min"/>
        <cfvo type="percentile" val="50"/>
        <cfvo type="max"/>
        <color rgb="FFF8696B"/>
        <color rgb="FFFCFCFF"/>
        <color rgb="FF63BE7B"/>
      </colorScale>
    </cfRule>
  </conditionalFormatting>
  <conditionalFormatting sqref="G31:H31">
    <cfRule type="colorScale" priority="28">
      <colorScale>
        <cfvo type="min"/>
        <cfvo type="percentile" val="50"/>
        <cfvo type="max"/>
        <color rgb="FFF8696B"/>
        <color rgb="FFFCFCFF"/>
        <color rgb="FF63BE7B"/>
      </colorScale>
    </cfRule>
  </conditionalFormatting>
  <conditionalFormatting sqref="G31:H31">
    <cfRule type="colorScale" priority="27">
      <colorScale>
        <cfvo type="min"/>
        <cfvo type="percentile" val="50"/>
        <cfvo type="max"/>
        <color rgb="FFF8696B"/>
        <color rgb="FFFCFCFF"/>
        <color rgb="FF63BE7B"/>
      </colorScale>
    </cfRule>
  </conditionalFormatting>
  <conditionalFormatting sqref="G31:H31">
    <cfRule type="colorScale" priority="26">
      <colorScale>
        <cfvo type="min"/>
        <cfvo type="percentile" val="50"/>
        <cfvo type="max"/>
        <color rgb="FFF8696B"/>
        <color rgb="FFFCFCFF"/>
        <color rgb="FF63BE7B"/>
      </colorScale>
    </cfRule>
  </conditionalFormatting>
  <conditionalFormatting sqref="G67:H67">
    <cfRule type="colorScale" priority="4">
      <colorScale>
        <cfvo type="num" val="-100"/>
        <cfvo type="num" val="0"/>
        <cfvo type="num" val="100"/>
        <color rgb="FFF8696B"/>
        <color theme="0"/>
        <color rgb="FF63BE7B"/>
      </colorScale>
    </cfRule>
    <cfRule type="colorScale" priority="25">
      <colorScale>
        <cfvo type="min"/>
        <cfvo type="percentile" val="50"/>
        <cfvo type="max"/>
        <color rgb="FFF8696B"/>
        <color rgb="FFFCFCFF"/>
        <color rgb="FF63BE7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1">
      <colorScale>
        <cfvo type="num" val="-50"/>
        <cfvo type="percentile" val="50"/>
        <cfvo type="num" val="50"/>
        <color rgb="FFC00000"/>
        <color rgb="FFFFEB84"/>
        <color rgb="FF12A107"/>
      </colorScale>
    </cfRule>
    <cfRule type="colorScale" priority="22">
      <colorScale>
        <cfvo type="num" val="-100"/>
        <cfvo type="percentile" val="50"/>
        <cfvo type="num" val="100"/>
        <color rgb="FFFF7128"/>
        <color rgb="FFFFEB84"/>
        <color rgb="FFFFEF9C"/>
      </colorScale>
    </cfRule>
    <cfRule type="colorScale" priority="23">
      <colorScale>
        <cfvo type="min"/>
        <cfvo type="percentile" val="50"/>
        <cfvo type="max"/>
        <color rgb="FF63BE7B"/>
        <color rgb="FFFCFCFF"/>
        <color rgb="FFF8696B"/>
      </colorScale>
    </cfRule>
  </conditionalFormatting>
  <conditionalFormatting sqref="G67:H67">
    <cfRule type="colorScale" priority="20">
      <colorScale>
        <cfvo type="min"/>
        <cfvo type="percentile" val="50"/>
        <cfvo type="max"/>
        <color rgb="FFF8696B"/>
        <color rgb="FFFCFCFF"/>
        <color rgb="FF63BE7B"/>
      </colorScale>
    </cfRule>
  </conditionalFormatting>
  <conditionalFormatting sqref="G67:H67">
    <cfRule type="colorScale" priority="19">
      <colorScale>
        <cfvo type="min"/>
        <cfvo type="percentile" val="50"/>
        <cfvo type="max"/>
        <color rgb="FFF8696B"/>
        <color rgb="FFFCFCFF"/>
        <color rgb="FF63BE7B"/>
      </colorScale>
    </cfRule>
  </conditionalFormatting>
  <conditionalFormatting sqref="G70:H70">
    <cfRule type="colorScale" priority="3">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G70:H70">
    <cfRule type="colorScale" priority="17">
      <colorScale>
        <cfvo type="min"/>
        <cfvo type="percentile" val="50"/>
        <cfvo type="max"/>
        <color rgb="FFF8696B"/>
        <color rgb="FFFCFCFF"/>
        <color rgb="FF63BE7B"/>
      </colorScale>
    </cfRule>
  </conditionalFormatting>
  <conditionalFormatting sqref="G70:H70">
    <cfRule type="colorScale" priority="14">
      <colorScale>
        <cfvo type="num" val="-50"/>
        <cfvo type="percentile" val="50"/>
        <cfvo type="num" val="50"/>
        <color rgb="FFC00000"/>
        <color rgb="FFFFEB84"/>
        <color rgb="FF12A107"/>
      </colorScale>
    </cfRule>
    <cfRule type="colorScale" priority="15">
      <colorScale>
        <cfvo type="num" val="-100"/>
        <cfvo type="percentile" val="50"/>
        <cfvo type="num" val="100"/>
        <color rgb="FFFF7128"/>
        <color rgb="FFFFEB84"/>
        <color rgb="FFFFEF9C"/>
      </colorScale>
    </cfRule>
    <cfRule type="colorScale" priority="16">
      <colorScale>
        <cfvo type="min"/>
        <cfvo type="percentile" val="50"/>
        <cfvo type="max"/>
        <color rgb="FF63BE7B"/>
        <color rgb="FFFCFCFF"/>
        <color rgb="FFF8696B"/>
      </colorScale>
    </cfRule>
  </conditionalFormatting>
  <conditionalFormatting sqref="G70:H70">
    <cfRule type="colorScale" priority="13">
      <colorScale>
        <cfvo type="min"/>
        <cfvo type="percentile" val="50"/>
        <cfvo type="max"/>
        <color rgb="FFF8696B"/>
        <color rgb="FFFCFCFF"/>
        <color rgb="FF63BE7B"/>
      </colorScale>
    </cfRule>
  </conditionalFormatting>
  <conditionalFormatting sqref="G70:H70">
    <cfRule type="colorScale" priority="12">
      <colorScale>
        <cfvo type="min"/>
        <cfvo type="percentile" val="50"/>
        <cfvo type="max"/>
        <color rgb="FFF8696B"/>
        <color rgb="FFFCFCFF"/>
        <color rgb="FF63BE7B"/>
      </colorScale>
    </cfRule>
  </conditionalFormatting>
  <conditionalFormatting sqref="G4:H4 G7:H7 G10:H10 G13:H13 G16:H16 G19:H19 G25:H25 G22:H22">
    <cfRule type="colorScale" priority="11">
      <colorScale>
        <cfvo type="num" val="-100"/>
        <cfvo type="num" val="0"/>
        <cfvo type="num" val="100"/>
        <color rgb="FFF8696B"/>
        <color theme="0"/>
        <color rgb="FF63BE7B"/>
      </colorScale>
    </cfRule>
  </conditionalFormatting>
  <conditionalFormatting sqref="G34:H34 G37:H37 G40:H40 G43:H43 G46:H46 G49:H49">
    <cfRule type="colorScale" priority="10">
      <colorScale>
        <cfvo type="num" val="-100"/>
        <cfvo type="num" val="0"/>
        <cfvo type="num" val="100"/>
        <color rgb="FFF8696B"/>
        <color theme="0"/>
        <color rgb="FF63BE7B"/>
      </colorScale>
    </cfRule>
  </conditionalFormatting>
  <conditionalFormatting sqref="G52:H52">
    <cfRule type="colorScale" priority="9">
      <colorScale>
        <cfvo type="num" val="-100"/>
        <cfvo type="num" val="0"/>
        <cfvo type="num" val="100"/>
        <color rgb="FFF8696B"/>
        <color theme="0"/>
        <color rgb="FF63BE7B"/>
      </colorScale>
    </cfRule>
  </conditionalFormatting>
  <conditionalFormatting sqref="G55:H55">
    <cfRule type="colorScale" priority="8">
      <colorScale>
        <cfvo type="num" val="-100"/>
        <cfvo type="num" val="0"/>
        <cfvo type="num" val="100"/>
        <color rgb="FFF8696B"/>
        <color theme="0"/>
        <color rgb="FF63BE7B"/>
      </colorScale>
    </cfRule>
  </conditionalFormatting>
  <conditionalFormatting sqref="G58:H58">
    <cfRule type="colorScale" priority="7">
      <colorScale>
        <cfvo type="num" val="-100"/>
        <cfvo type="num" val="0"/>
        <cfvo type="num" val="100"/>
        <color rgb="FFF8696B"/>
        <color theme="0"/>
        <color rgb="FF63BE7B"/>
      </colorScale>
    </cfRule>
  </conditionalFormatting>
  <conditionalFormatting sqref="G61:H61">
    <cfRule type="colorScale" priority="6">
      <colorScale>
        <cfvo type="num" val="-100"/>
        <cfvo type="num" val="0"/>
        <cfvo type="num" val="100"/>
        <color rgb="FFF8696B"/>
        <color theme="0"/>
        <color rgb="FF63BE7B"/>
      </colorScale>
    </cfRule>
  </conditionalFormatting>
  <conditionalFormatting sqref="G64:H64">
    <cfRule type="colorScale" priority="5">
      <colorScale>
        <cfvo type="num" val="-100"/>
        <cfvo type="num" val="0"/>
        <cfvo type="num" val="100"/>
        <color rgb="FFF8696B"/>
        <color theme="0"/>
        <color rgb="FF63BE7B"/>
      </colorScale>
    </cfRule>
  </conditionalFormatting>
  <conditionalFormatting sqref="I81:Q81">
    <cfRule type="colorScale" priority="1">
      <colorScale>
        <cfvo type="num" val="-100"/>
        <cfvo type="num" val="0"/>
        <cfvo type="num" val="100"/>
        <color rgb="FFF8696B"/>
        <color theme="0"/>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4" sqref="I14:Q19"/>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7"/>
  <sheetViews>
    <sheetView topLeftCell="A42" workbookViewId="0">
      <selection activeCell="I14" sqref="I14:Q19"/>
    </sheetView>
  </sheetViews>
  <sheetFormatPr defaultRowHeight="15" x14ac:dyDescent="0.25"/>
  <cols>
    <col min="1" max="1" width="28.42578125" customWidth="1"/>
    <col min="2" max="2" width="8.42578125" customWidth="1"/>
    <col min="3" max="3" width="9"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s>
  <sheetData>
    <row r="1" spans="1:23" ht="15.75" thickBot="1" x14ac:dyDescent="0.3">
      <c r="A1" s="18" t="s">
        <v>135</v>
      </c>
      <c r="B1" s="23" t="s">
        <v>138</v>
      </c>
      <c r="C1" s="23" t="s">
        <v>139</v>
      </c>
      <c r="D1" s="23" t="s">
        <v>151</v>
      </c>
      <c r="E1" s="23" t="s">
        <v>137</v>
      </c>
      <c r="F1" s="23" t="s">
        <v>144</v>
      </c>
      <c r="G1" s="23" t="s">
        <v>142</v>
      </c>
      <c r="H1" s="23" t="s">
        <v>143</v>
      </c>
      <c r="I1" s="23" t="s">
        <v>145</v>
      </c>
      <c r="J1" s="23" t="s">
        <v>155</v>
      </c>
      <c r="K1" s="23" t="s">
        <v>146</v>
      </c>
      <c r="L1" s="23" t="s">
        <v>147</v>
      </c>
      <c r="M1" s="23" t="s">
        <v>148</v>
      </c>
      <c r="N1" s="23" t="s">
        <v>154</v>
      </c>
      <c r="O1" s="23" t="s">
        <v>149</v>
      </c>
      <c r="P1" s="67" t="s">
        <v>150</v>
      </c>
      <c r="Q1" s="71" t="s">
        <v>335</v>
      </c>
      <c r="R1" s="186" t="s">
        <v>339</v>
      </c>
      <c r="S1" s="186" t="s">
        <v>338</v>
      </c>
      <c r="T1" s="186" t="s">
        <v>337</v>
      </c>
      <c r="U1" s="186" t="s">
        <v>336</v>
      </c>
      <c r="V1" s="186" t="s">
        <v>340</v>
      </c>
      <c r="W1" s="186" t="s">
        <v>341</v>
      </c>
    </row>
    <row r="2" spans="1:23" x14ac:dyDescent="0.25">
      <c r="A2" s="65" t="s">
        <v>222</v>
      </c>
      <c r="B2" s="53"/>
      <c r="C2" s="53"/>
      <c r="D2" s="53"/>
      <c r="E2" s="53"/>
      <c r="F2" s="53"/>
      <c r="G2" s="53"/>
      <c r="H2" s="53"/>
      <c r="I2" s="53"/>
      <c r="J2" s="53"/>
      <c r="K2" s="53"/>
      <c r="L2" s="53"/>
      <c r="M2" s="53"/>
      <c r="N2" s="53"/>
      <c r="O2" s="53"/>
      <c r="P2" s="62"/>
      <c r="Q2" s="39"/>
      <c r="R2" s="178"/>
      <c r="S2" s="96"/>
      <c r="T2" s="96"/>
      <c r="U2" s="96"/>
      <c r="V2" s="96"/>
      <c r="W2" s="96"/>
    </row>
    <row r="3" spans="1:23" x14ac:dyDescent="0.25">
      <c r="A3" s="6" t="s">
        <v>201</v>
      </c>
      <c r="B3" s="23">
        <v>86</v>
      </c>
      <c r="C3" s="23" t="s">
        <v>162</v>
      </c>
      <c r="D3" s="23">
        <v>59</v>
      </c>
      <c r="E3" s="23">
        <v>1.5</v>
      </c>
      <c r="F3" s="23" t="s">
        <v>166</v>
      </c>
      <c r="G3" s="23">
        <v>7.8</v>
      </c>
      <c r="H3" s="23">
        <v>2.2999999999999998</v>
      </c>
      <c r="I3" s="23" t="s">
        <v>197</v>
      </c>
      <c r="J3" s="23">
        <v>15</v>
      </c>
      <c r="K3" s="50">
        <v>1.25</v>
      </c>
      <c r="L3" s="50">
        <v>1.25</v>
      </c>
      <c r="M3" s="50">
        <v>1.25</v>
      </c>
      <c r="N3" s="23">
        <v>9996</v>
      </c>
      <c r="O3" s="23">
        <v>781.7</v>
      </c>
      <c r="P3" s="8" t="s">
        <v>246</v>
      </c>
      <c r="Q3" s="71">
        <v>14</v>
      </c>
      <c r="R3" s="186">
        <v>50.714289062500001</v>
      </c>
      <c r="S3" s="96">
        <v>55.428703124999998</v>
      </c>
      <c r="T3" s="96">
        <f t="shared" ref="T3:T9" si="0">Q3*R3</f>
        <v>710.00004687499995</v>
      </c>
      <c r="U3" s="96">
        <f t="shared" ref="U3:U9" si="1">Q3*S3</f>
        <v>776.00184375000003</v>
      </c>
      <c r="V3" s="96">
        <f t="shared" ref="V3:V9" si="2">60000/T3</f>
        <v>84.507036674271347</v>
      </c>
      <c r="W3" s="96">
        <f t="shared" ref="W3:W9" si="3">60000/U3</f>
        <v>77.319403920552858</v>
      </c>
    </row>
    <row r="4" spans="1:23" x14ac:dyDescent="0.25">
      <c r="A4" s="6" t="s">
        <v>200</v>
      </c>
      <c r="B4" s="50">
        <v>60</v>
      </c>
      <c r="C4" s="50" t="s">
        <v>162</v>
      </c>
      <c r="D4" s="50">
        <v>58</v>
      </c>
      <c r="E4" s="50">
        <v>3</v>
      </c>
      <c r="F4" s="50" t="s">
        <v>163</v>
      </c>
      <c r="G4" s="50">
        <v>6.5</v>
      </c>
      <c r="H4" s="50">
        <v>2.2999999999999998</v>
      </c>
      <c r="I4" s="50" t="s">
        <v>197</v>
      </c>
      <c r="J4" s="50">
        <v>15</v>
      </c>
      <c r="K4" s="50">
        <v>1.25</v>
      </c>
      <c r="L4" s="50">
        <v>1.25</v>
      </c>
      <c r="M4" s="50">
        <v>1.25</v>
      </c>
      <c r="N4" s="50">
        <v>10989</v>
      </c>
      <c r="O4" s="50">
        <v>721.4</v>
      </c>
      <c r="P4" s="69" t="s">
        <v>223</v>
      </c>
      <c r="Q4" s="39">
        <v>14</v>
      </c>
      <c r="R4" s="96">
        <v>62.774999999999999</v>
      </c>
      <c r="S4" s="96">
        <v>59.614289062499999</v>
      </c>
      <c r="T4" s="96">
        <f t="shared" si="0"/>
        <v>878.85</v>
      </c>
      <c r="U4" s="96">
        <f t="shared" si="1"/>
        <v>834.60004687499998</v>
      </c>
      <c r="V4" s="96">
        <f t="shared" si="2"/>
        <v>68.271036012971493</v>
      </c>
      <c r="W4" s="96">
        <f t="shared" si="3"/>
        <v>71.890722058617783</v>
      </c>
    </row>
    <row r="5" spans="1:23" x14ac:dyDescent="0.25">
      <c r="A5" s="6" t="s">
        <v>199</v>
      </c>
      <c r="B5" s="50">
        <v>69</v>
      </c>
      <c r="C5" s="50" t="s">
        <v>162</v>
      </c>
      <c r="D5" s="50">
        <v>68</v>
      </c>
      <c r="E5" s="50">
        <v>1.5</v>
      </c>
      <c r="F5" s="50" t="s">
        <v>168</v>
      </c>
      <c r="G5" s="50">
        <v>7.55</v>
      </c>
      <c r="H5" s="50">
        <v>2.2799999999999998</v>
      </c>
      <c r="I5" s="50" t="s">
        <v>197</v>
      </c>
      <c r="J5" s="50">
        <v>15</v>
      </c>
      <c r="K5" s="50">
        <v>1.25</v>
      </c>
      <c r="L5" s="50">
        <v>1.25</v>
      </c>
      <c r="M5" s="50">
        <v>1.25</v>
      </c>
      <c r="N5" s="50">
        <v>9996</v>
      </c>
      <c r="O5" s="50">
        <v>754.5</v>
      </c>
      <c r="P5" s="63">
        <v>42090</v>
      </c>
      <c r="Q5" s="39">
        <v>14</v>
      </c>
      <c r="R5" s="96">
        <v>80.142852783199999</v>
      </c>
      <c r="S5" s="96">
        <v>72.071434021000002</v>
      </c>
      <c r="T5" s="96">
        <f t="shared" si="0"/>
        <v>1121.9999389648001</v>
      </c>
      <c r="U5" s="96">
        <f t="shared" si="1"/>
        <v>1009.000076294</v>
      </c>
      <c r="V5" s="96">
        <f t="shared" si="2"/>
        <v>53.475938737891809</v>
      </c>
      <c r="W5" s="96">
        <f t="shared" si="3"/>
        <v>59.464812153807358</v>
      </c>
    </row>
    <row r="6" spans="1:23" x14ac:dyDescent="0.25">
      <c r="A6" s="6" t="s">
        <v>198</v>
      </c>
      <c r="B6" s="50">
        <v>61</v>
      </c>
      <c r="C6" s="50" t="s">
        <v>164</v>
      </c>
      <c r="D6" s="50">
        <v>79</v>
      </c>
      <c r="E6" s="50">
        <v>3</v>
      </c>
      <c r="F6" s="50" t="s">
        <v>163</v>
      </c>
      <c r="G6" s="50">
        <v>6.5</v>
      </c>
      <c r="H6" s="50">
        <v>2.2999999999999998</v>
      </c>
      <c r="I6" s="50" t="s">
        <v>197</v>
      </c>
      <c r="J6" s="50">
        <v>15</v>
      </c>
      <c r="K6" s="50">
        <v>1.25</v>
      </c>
      <c r="L6" s="50">
        <v>1.25</v>
      </c>
      <c r="M6" s="50">
        <v>1.25</v>
      </c>
      <c r="N6" s="50">
        <v>10980</v>
      </c>
      <c r="O6" s="50">
        <v>719.7</v>
      </c>
      <c r="P6" s="69" t="s">
        <v>224</v>
      </c>
      <c r="Q6" s="39">
        <v>14</v>
      </c>
      <c r="R6" s="96">
        <v>83.571421874999999</v>
      </c>
      <c r="S6" s="96">
        <v>75.664289062500004</v>
      </c>
      <c r="T6" s="96">
        <f t="shared" si="0"/>
        <v>1169.9999062500001</v>
      </c>
      <c r="U6" s="96">
        <f t="shared" si="1"/>
        <v>1059.3000468750001</v>
      </c>
      <c r="V6" s="96">
        <f t="shared" si="2"/>
        <v>51.282055391190333</v>
      </c>
      <c r="W6" s="96">
        <f t="shared" si="3"/>
        <v>56.641175630081079</v>
      </c>
    </row>
    <row r="7" spans="1:23" x14ac:dyDescent="0.25">
      <c r="A7" s="6" t="s">
        <v>202</v>
      </c>
      <c r="B7" s="23">
        <v>31</v>
      </c>
      <c r="C7" s="23" t="s">
        <v>162</v>
      </c>
      <c r="D7" s="23">
        <v>86</v>
      </c>
      <c r="E7" s="23">
        <v>3</v>
      </c>
      <c r="F7" s="23" t="s">
        <v>163</v>
      </c>
      <c r="G7" s="23"/>
      <c r="H7" s="23">
        <v>2.2000000000000002</v>
      </c>
      <c r="I7" s="23">
        <v>1000</v>
      </c>
      <c r="J7" s="23">
        <v>10</v>
      </c>
      <c r="K7" s="50">
        <v>1.25</v>
      </c>
      <c r="L7" s="50">
        <v>1.25</v>
      </c>
      <c r="M7" s="50">
        <v>1.25</v>
      </c>
      <c r="N7" s="23">
        <v>10989</v>
      </c>
      <c r="O7" s="23">
        <v>713.3</v>
      </c>
      <c r="P7" s="8" t="s">
        <v>247</v>
      </c>
      <c r="Q7" s="39">
        <v>14</v>
      </c>
      <c r="R7" s="96">
        <v>68.142859375</v>
      </c>
      <c r="S7" s="96">
        <v>62.571425781249999</v>
      </c>
      <c r="T7" s="96">
        <f t="shared" si="0"/>
        <v>954.00003125000001</v>
      </c>
      <c r="U7" s="96">
        <f t="shared" si="1"/>
        <v>875.99996093749996</v>
      </c>
      <c r="V7" s="96">
        <f t="shared" si="2"/>
        <v>62.893079700829411</v>
      </c>
      <c r="W7" s="96">
        <f t="shared" si="3"/>
        <v>68.493153739171021</v>
      </c>
    </row>
    <row r="8" spans="1:23" x14ac:dyDescent="0.25">
      <c r="A8" s="6" t="s">
        <v>221</v>
      </c>
      <c r="B8" s="39">
        <v>46</v>
      </c>
      <c r="C8" s="39" t="s">
        <v>162</v>
      </c>
      <c r="D8" s="39">
        <v>80.739999999999995</v>
      </c>
      <c r="E8" s="39">
        <v>1.5</v>
      </c>
      <c r="F8" s="39" t="s">
        <v>188</v>
      </c>
      <c r="G8" s="39">
        <v>8.3879999999999999</v>
      </c>
      <c r="H8" s="39">
        <v>2.54</v>
      </c>
      <c r="I8" s="23"/>
      <c r="J8" s="39">
        <v>12</v>
      </c>
      <c r="K8" s="39">
        <v>1.25</v>
      </c>
      <c r="L8" s="39">
        <v>1.25</v>
      </c>
      <c r="M8" s="39">
        <v>1.25</v>
      </c>
      <c r="N8" s="23"/>
      <c r="O8" s="23"/>
      <c r="P8" s="70">
        <v>42801</v>
      </c>
      <c r="Q8" s="39">
        <v>14</v>
      </c>
      <c r="R8" s="96"/>
      <c r="S8" s="96"/>
      <c r="T8" s="96">
        <v>720</v>
      </c>
      <c r="U8" s="96">
        <v>660</v>
      </c>
      <c r="V8" s="96">
        <f t="shared" si="2"/>
        <v>83.333333333333329</v>
      </c>
      <c r="W8" s="96">
        <f t="shared" si="3"/>
        <v>90.909090909090907</v>
      </c>
    </row>
    <row r="9" spans="1:23" x14ac:dyDescent="0.25">
      <c r="A9" s="66" t="s">
        <v>220</v>
      </c>
      <c r="B9" s="50">
        <v>22</v>
      </c>
      <c r="C9" s="50" t="s">
        <v>164</v>
      </c>
      <c r="D9" s="50">
        <v>54</v>
      </c>
      <c r="E9" s="50">
        <v>1.5</v>
      </c>
      <c r="F9" s="50" t="s">
        <v>166</v>
      </c>
      <c r="G9" s="50">
        <v>7.82</v>
      </c>
      <c r="H9" s="50">
        <v>2.34</v>
      </c>
      <c r="I9" s="50" t="s">
        <v>197</v>
      </c>
      <c r="J9" s="50">
        <v>15</v>
      </c>
      <c r="K9" s="50">
        <v>1.25</v>
      </c>
      <c r="L9" s="50">
        <v>1.25</v>
      </c>
      <c r="M9" s="50">
        <v>1.25</v>
      </c>
      <c r="N9" s="50">
        <v>10000</v>
      </c>
      <c r="O9" s="50">
        <v>782</v>
      </c>
      <c r="P9" s="63">
        <v>42586</v>
      </c>
      <c r="Q9" s="39">
        <v>14</v>
      </c>
      <c r="R9" s="96">
        <v>59.428573608400001</v>
      </c>
      <c r="S9" s="96">
        <v>57.571430206300001</v>
      </c>
      <c r="T9" s="96">
        <f t="shared" si="0"/>
        <v>832.00003051759995</v>
      </c>
      <c r="U9" s="96">
        <f t="shared" si="1"/>
        <v>806.00002288819996</v>
      </c>
      <c r="V9" s="96">
        <f t="shared" si="2"/>
        <v>72.115381970206272</v>
      </c>
      <c r="W9" s="96">
        <f t="shared" si="3"/>
        <v>74.441685230972482</v>
      </c>
    </row>
    <row r="10" spans="1:23" ht="15.75" thickBot="1" x14ac:dyDescent="0.3">
      <c r="A10" s="12" t="s">
        <v>219</v>
      </c>
      <c r="B10" s="13">
        <v>21</v>
      </c>
      <c r="C10" s="13" t="s">
        <v>162</v>
      </c>
      <c r="D10" s="13">
        <v>52</v>
      </c>
      <c r="E10" s="13">
        <v>3</v>
      </c>
      <c r="F10" s="13" t="s">
        <v>163</v>
      </c>
      <c r="G10" s="13"/>
      <c r="H10" s="13">
        <v>2.2999999999999998</v>
      </c>
      <c r="I10" s="13" t="s">
        <v>203</v>
      </c>
      <c r="J10" s="13">
        <v>10</v>
      </c>
      <c r="K10" s="13">
        <v>1.25</v>
      </c>
      <c r="L10" s="13">
        <v>1.25</v>
      </c>
      <c r="M10" s="13">
        <v>1.25</v>
      </c>
      <c r="N10" s="13">
        <v>10982</v>
      </c>
      <c r="O10" s="13">
        <v>710.8</v>
      </c>
      <c r="P10" s="14" t="s">
        <v>248</v>
      </c>
      <c r="Q10" s="71">
        <v>14</v>
      </c>
      <c r="R10" s="96">
        <v>78.142859375</v>
      </c>
      <c r="S10" s="96">
        <v>71.142859375</v>
      </c>
      <c r="T10" s="96">
        <f>Q10*R10</f>
        <v>1094.0000312500001</v>
      </c>
      <c r="U10" s="96">
        <f>Q10*S10</f>
        <v>996.00003125000001</v>
      </c>
      <c r="V10" s="96">
        <f>60000/T10</f>
        <v>54.844605380352903</v>
      </c>
      <c r="W10" s="96">
        <f>60000/U10</f>
        <v>60.240961965331266</v>
      </c>
    </row>
    <row r="11" spans="1:23" x14ac:dyDescent="0.25">
      <c r="R11" s="96"/>
      <c r="S11" s="96"/>
      <c r="T11" s="96"/>
      <c r="U11" s="96"/>
      <c r="V11" s="96"/>
      <c r="W11" s="96"/>
    </row>
    <row r="12" spans="1:23" x14ac:dyDescent="0.25">
      <c r="R12" s="96"/>
      <c r="S12" s="96"/>
      <c r="T12" s="96"/>
      <c r="U12" s="96"/>
      <c r="V12" s="96"/>
      <c r="W12" s="96"/>
    </row>
    <row r="13" spans="1:23" ht="15.75" thickBot="1" x14ac:dyDescent="0.3">
      <c r="A13" s="18" t="s">
        <v>136</v>
      </c>
      <c r="B13" s="21" t="s">
        <v>138</v>
      </c>
      <c r="C13" s="13" t="s">
        <v>139</v>
      </c>
      <c r="D13" s="13" t="s">
        <v>151</v>
      </c>
      <c r="E13" s="13" t="s">
        <v>137</v>
      </c>
      <c r="F13" s="13" t="s">
        <v>144</v>
      </c>
      <c r="G13" s="13" t="s">
        <v>142</v>
      </c>
      <c r="H13" s="13" t="s">
        <v>143</v>
      </c>
      <c r="I13" s="13" t="s">
        <v>145</v>
      </c>
      <c r="J13" s="13" t="s">
        <v>155</v>
      </c>
      <c r="K13" s="13" t="s">
        <v>146</v>
      </c>
      <c r="L13" s="13" t="s">
        <v>147</v>
      </c>
      <c r="M13" s="13" t="s">
        <v>148</v>
      </c>
      <c r="N13" s="13" t="s">
        <v>154</v>
      </c>
      <c r="O13" s="13" t="s">
        <v>149</v>
      </c>
      <c r="P13" s="73" t="s">
        <v>150</v>
      </c>
      <c r="Q13" s="71" t="s">
        <v>335</v>
      </c>
      <c r="R13" s="186" t="s">
        <v>339</v>
      </c>
      <c r="S13" s="186" t="s">
        <v>338</v>
      </c>
      <c r="T13" s="186" t="s">
        <v>337</v>
      </c>
      <c r="U13" s="186" t="s">
        <v>336</v>
      </c>
      <c r="V13" s="186" t="s">
        <v>340</v>
      </c>
      <c r="W13" s="186" t="s">
        <v>341</v>
      </c>
    </row>
    <row r="14" spans="1:23" x14ac:dyDescent="0.25">
      <c r="A14" s="16" t="s">
        <v>217</v>
      </c>
      <c r="B14" s="7">
        <v>35</v>
      </c>
      <c r="C14" s="7" t="s">
        <v>164</v>
      </c>
      <c r="D14" s="7">
        <v>101</v>
      </c>
      <c r="E14" s="7">
        <v>1.5</v>
      </c>
      <c r="F14" s="7" t="s">
        <v>166</v>
      </c>
      <c r="G14" s="7">
        <v>6.04</v>
      </c>
      <c r="H14" s="7">
        <v>2.39</v>
      </c>
      <c r="I14" s="7">
        <v>1000</v>
      </c>
      <c r="J14" s="7">
        <v>12</v>
      </c>
      <c r="K14" s="7">
        <v>1.25</v>
      </c>
      <c r="L14" s="7">
        <v>1.25</v>
      </c>
      <c r="M14" s="7">
        <v>1.25</v>
      </c>
      <c r="N14" s="7">
        <v>10998</v>
      </c>
      <c r="O14" s="7">
        <v>664.3</v>
      </c>
      <c r="P14" s="63">
        <v>42647</v>
      </c>
      <c r="Q14" s="39">
        <v>14</v>
      </c>
      <c r="R14" s="96">
        <v>56.2857131958</v>
      </c>
      <c r="S14" s="96">
        <v>47.428569793699999</v>
      </c>
      <c r="T14" s="96">
        <f>Q14*R14</f>
        <v>787.99998474120002</v>
      </c>
      <c r="U14" s="96">
        <f>Q14*S14</f>
        <v>663.99997711180004</v>
      </c>
      <c r="V14" s="96">
        <f>60000/T14</f>
        <v>76.142133454108603</v>
      </c>
      <c r="W14" s="96">
        <f>60000/U14</f>
        <v>90.361448897908005</v>
      </c>
    </row>
    <row r="15" spans="1:23" x14ac:dyDescent="0.25">
      <c r="A15" t="s">
        <v>216</v>
      </c>
      <c r="B15" s="23">
        <v>65</v>
      </c>
      <c r="C15" s="23" t="s">
        <v>164</v>
      </c>
      <c r="D15" s="23">
        <v>83</v>
      </c>
      <c r="E15" s="23">
        <v>1.5</v>
      </c>
      <c r="F15" s="23" t="s">
        <v>166</v>
      </c>
      <c r="G15" s="23">
        <v>7.5</v>
      </c>
      <c r="H15" s="23">
        <v>2.6</v>
      </c>
      <c r="I15" s="23" t="s">
        <v>204</v>
      </c>
      <c r="J15" s="23">
        <v>10</v>
      </c>
      <c r="K15" s="7">
        <v>1.25</v>
      </c>
      <c r="L15" s="7">
        <v>1.25</v>
      </c>
      <c r="M15" s="7">
        <v>1.25</v>
      </c>
      <c r="N15" s="23">
        <v>10000</v>
      </c>
      <c r="O15" s="23">
        <v>758</v>
      </c>
      <c r="P15" s="8" t="s">
        <v>249</v>
      </c>
      <c r="Q15" s="71">
        <v>14</v>
      </c>
      <c r="R15" s="96">
        <v>74.465234374999994</v>
      </c>
      <c r="S15" s="96">
        <v>66.645617187499994</v>
      </c>
      <c r="T15" s="96">
        <f t="shared" ref="T15:T16" si="4">Q15*R15</f>
        <v>1042.5132812499999</v>
      </c>
      <c r="U15" s="96">
        <f t="shared" ref="U15:U16" si="5">Q15*S15</f>
        <v>933.03864062499997</v>
      </c>
      <c r="V15" s="96">
        <f t="shared" ref="V15:V16" si="6">60000/T15</f>
        <v>57.553223617504884</v>
      </c>
      <c r="W15" s="96">
        <f t="shared" ref="W15:W16" si="7">60000/U15</f>
        <v>64.306018408636049</v>
      </c>
    </row>
    <row r="16" spans="1:23" ht="15.75" thickBot="1" x14ac:dyDescent="0.3">
      <c r="A16" s="12" t="s">
        <v>215</v>
      </c>
      <c r="B16" s="13">
        <v>46</v>
      </c>
      <c r="C16" s="13" t="s">
        <v>164</v>
      </c>
      <c r="D16" s="13">
        <v>74</v>
      </c>
      <c r="E16" s="13">
        <v>1.5</v>
      </c>
      <c r="F16" s="13" t="s">
        <v>188</v>
      </c>
      <c r="G16" s="13">
        <v>6.9</v>
      </c>
      <c r="H16" s="13">
        <v>2.5</v>
      </c>
      <c r="I16" s="13" t="s">
        <v>197</v>
      </c>
      <c r="J16" s="13">
        <v>14</v>
      </c>
      <c r="K16" s="61">
        <v>1.25</v>
      </c>
      <c r="L16" s="61">
        <v>1.25</v>
      </c>
      <c r="M16" s="61">
        <v>1.25</v>
      </c>
      <c r="N16" s="13">
        <v>10983</v>
      </c>
      <c r="O16" s="13">
        <v>761.6</v>
      </c>
      <c r="P16" s="14" t="s">
        <v>250</v>
      </c>
      <c r="Q16" s="71">
        <v>14</v>
      </c>
      <c r="R16" s="96">
        <v>62.463855468749998</v>
      </c>
      <c r="S16" s="96">
        <v>57.671023437499997</v>
      </c>
      <c r="T16" s="96">
        <f t="shared" si="4"/>
        <v>874.49397656249994</v>
      </c>
      <c r="U16" s="96">
        <f t="shared" si="5"/>
        <v>807.3943281249999</v>
      </c>
      <c r="V16" s="96">
        <f t="shared" si="6"/>
        <v>68.611107232379908</v>
      </c>
      <c r="W16" s="96">
        <f t="shared" si="7"/>
        <v>74.313130412170622</v>
      </c>
    </row>
    <row r="17" spans="1:23" x14ac:dyDescent="0.25">
      <c r="R17" s="96"/>
      <c r="S17" s="96"/>
      <c r="T17" s="96"/>
      <c r="U17" s="96"/>
      <c r="V17" s="96"/>
      <c r="W17" s="96"/>
    </row>
    <row r="18" spans="1:23" x14ac:dyDescent="0.25">
      <c r="R18" s="96"/>
      <c r="S18" s="96"/>
      <c r="T18" s="96"/>
      <c r="U18" s="96"/>
      <c r="V18" s="96"/>
      <c r="W18" s="96"/>
    </row>
    <row r="19" spans="1:23" ht="15.75" thickBot="1" x14ac:dyDescent="0.3">
      <c r="A19" s="18" t="s">
        <v>140</v>
      </c>
      <c r="B19" s="23" t="s">
        <v>138</v>
      </c>
      <c r="C19" s="23" t="s">
        <v>139</v>
      </c>
      <c r="D19" s="23" t="s">
        <v>151</v>
      </c>
      <c r="E19" s="23" t="s">
        <v>137</v>
      </c>
      <c r="F19" s="23" t="s">
        <v>144</v>
      </c>
      <c r="G19" s="23" t="s">
        <v>142</v>
      </c>
      <c r="H19" s="23" t="s">
        <v>143</v>
      </c>
      <c r="I19" s="23" t="s">
        <v>145</v>
      </c>
      <c r="J19" s="23" t="s">
        <v>155</v>
      </c>
      <c r="K19" s="23" t="s">
        <v>146</v>
      </c>
      <c r="L19" s="23" t="s">
        <v>147</v>
      </c>
      <c r="M19" s="23" t="s">
        <v>148</v>
      </c>
      <c r="N19" s="23" t="s">
        <v>154</v>
      </c>
      <c r="O19" s="23" t="s">
        <v>149</v>
      </c>
      <c r="P19" s="67" t="s">
        <v>150</v>
      </c>
      <c r="Q19" s="71" t="s">
        <v>335</v>
      </c>
      <c r="R19" s="186" t="s">
        <v>339</v>
      </c>
      <c r="S19" s="186" t="s">
        <v>338</v>
      </c>
      <c r="T19" s="186" t="s">
        <v>337</v>
      </c>
      <c r="U19" s="186" t="s">
        <v>336</v>
      </c>
      <c r="V19" s="186" t="s">
        <v>340</v>
      </c>
      <c r="W19" s="186" t="s">
        <v>341</v>
      </c>
    </row>
    <row r="20" spans="1:23" x14ac:dyDescent="0.25">
      <c r="A20" s="16" t="s">
        <v>214</v>
      </c>
      <c r="B20" s="41">
        <v>66</v>
      </c>
      <c r="C20" s="41" t="s">
        <v>162</v>
      </c>
      <c r="D20" s="41">
        <v>79</v>
      </c>
      <c r="E20" s="41">
        <v>1.5</v>
      </c>
      <c r="F20" s="41" t="s">
        <v>183</v>
      </c>
      <c r="G20" s="41">
        <v>6.7</v>
      </c>
      <c r="H20" s="41">
        <v>2.2000000000000002</v>
      </c>
      <c r="I20" s="41" t="s">
        <v>197</v>
      </c>
      <c r="J20" s="41">
        <v>15</v>
      </c>
      <c r="K20" s="41">
        <v>1.37</v>
      </c>
      <c r="L20" s="41">
        <v>1.37</v>
      </c>
      <c r="M20" s="41">
        <v>1.37</v>
      </c>
      <c r="N20" s="41">
        <v>10998</v>
      </c>
      <c r="O20" s="41">
        <v>739.5</v>
      </c>
      <c r="P20" s="31" t="s">
        <v>251</v>
      </c>
      <c r="Q20" s="71">
        <v>14</v>
      </c>
      <c r="R20" s="96">
        <v>44.928573608400001</v>
      </c>
      <c r="S20" s="96">
        <v>43.7142868042</v>
      </c>
      <c r="T20" s="96">
        <f>Q20*R20</f>
        <v>629.00003051759995</v>
      </c>
      <c r="U20" s="96">
        <f>Q20*S20</f>
        <v>612.00001525879998</v>
      </c>
      <c r="V20" s="96">
        <f>60000/T20</f>
        <v>95.389502526138827</v>
      </c>
      <c r="W20" s="96">
        <f>60000/U20</f>
        <v>98.039213241894203</v>
      </c>
    </row>
    <row r="21" spans="1:23" x14ac:dyDescent="0.25">
      <c r="A21" s="6" t="s">
        <v>213</v>
      </c>
      <c r="B21" s="7">
        <v>73</v>
      </c>
      <c r="C21" s="7" t="s">
        <v>162</v>
      </c>
      <c r="D21" s="7">
        <v>46</v>
      </c>
      <c r="E21" s="7">
        <v>1.5</v>
      </c>
      <c r="F21" s="7" t="s">
        <v>168</v>
      </c>
      <c r="G21" s="7">
        <v>7.82</v>
      </c>
      <c r="H21" s="7">
        <v>2.34</v>
      </c>
      <c r="I21" s="7" t="s">
        <v>197</v>
      </c>
      <c r="J21" s="7">
        <v>15</v>
      </c>
      <c r="K21" s="7">
        <v>1.25</v>
      </c>
      <c r="L21" s="7">
        <v>1.25</v>
      </c>
      <c r="M21" s="7">
        <v>1.25</v>
      </c>
      <c r="N21" s="7">
        <v>9988</v>
      </c>
      <c r="O21" s="7">
        <v>781.1</v>
      </c>
      <c r="P21" s="63">
        <v>42195</v>
      </c>
      <c r="Q21" s="39">
        <v>14</v>
      </c>
      <c r="R21" s="96">
        <v>61.8571434021</v>
      </c>
      <c r="S21" s="96">
        <v>55.7142868042</v>
      </c>
      <c r="T21" s="96">
        <f t="shared" ref="T21:T28" si="8">Q21*R21</f>
        <v>866.00000762939999</v>
      </c>
      <c r="U21" s="96">
        <f t="shared" ref="U21:U28" si="9">Q21*S21</f>
        <v>780.00001525879998</v>
      </c>
      <c r="V21" s="96">
        <f t="shared" ref="V21:V28" si="10">60000/T21</f>
        <v>69.284064054739218</v>
      </c>
      <c r="W21" s="96">
        <f t="shared" ref="W21:W28" si="11">60000/U21</f>
        <v>76.923075418264332</v>
      </c>
    </row>
    <row r="22" spans="1:23" x14ac:dyDescent="0.25">
      <c r="A22" s="6" t="s">
        <v>212</v>
      </c>
      <c r="B22" s="23">
        <v>67</v>
      </c>
      <c r="C22" s="23" t="s">
        <v>162</v>
      </c>
      <c r="D22" s="23">
        <v>49.9</v>
      </c>
      <c r="E22" s="23">
        <v>1.5</v>
      </c>
      <c r="F22" s="23" t="s">
        <v>183</v>
      </c>
      <c r="G22" s="71">
        <v>8.3879999999999999</v>
      </c>
      <c r="H22" s="71">
        <v>2.54</v>
      </c>
      <c r="I22" s="71"/>
      <c r="J22" s="71">
        <v>8</v>
      </c>
      <c r="K22" s="71">
        <v>1.25</v>
      </c>
      <c r="L22" s="71">
        <v>1.25</v>
      </c>
      <c r="M22" s="71">
        <v>1.25</v>
      </c>
      <c r="N22" s="71">
        <v>9430</v>
      </c>
      <c r="O22" s="23"/>
      <c r="P22" s="70">
        <v>42811</v>
      </c>
      <c r="Q22" s="71">
        <v>14</v>
      </c>
      <c r="R22" s="96"/>
      <c r="S22" s="96"/>
      <c r="T22" s="96">
        <v>900</v>
      </c>
      <c r="U22" s="96">
        <v>998</v>
      </c>
      <c r="V22" s="96">
        <f t="shared" si="10"/>
        <v>66.666666666666671</v>
      </c>
      <c r="W22" s="96">
        <f t="shared" si="11"/>
        <v>60.120240480961925</v>
      </c>
    </row>
    <row r="23" spans="1:23" x14ac:dyDescent="0.25">
      <c r="A23" s="6" t="s">
        <v>211</v>
      </c>
      <c r="B23" s="23">
        <v>47</v>
      </c>
      <c r="C23" s="23" t="s">
        <v>162</v>
      </c>
      <c r="D23" s="23">
        <v>47</v>
      </c>
      <c r="E23" s="23">
        <v>1.5</v>
      </c>
      <c r="F23" s="23" t="s">
        <v>166</v>
      </c>
      <c r="G23" s="23">
        <v>6.9</v>
      </c>
      <c r="H23" s="23">
        <v>2.2000000000000002</v>
      </c>
      <c r="I23" s="23">
        <v>1500</v>
      </c>
      <c r="J23" s="23">
        <v>10</v>
      </c>
      <c r="K23" s="71">
        <v>1.25</v>
      </c>
      <c r="L23" s="71">
        <v>1.25</v>
      </c>
      <c r="M23" s="71">
        <v>1.25</v>
      </c>
      <c r="N23" s="23">
        <v>9999</v>
      </c>
      <c r="O23" s="23">
        <v>699.9</v>
      </c>
      <c r="P23" s="8" t="s">
        <v>252</v>
      </c>
      <c r="Q23" s="71">
        <v>18</v>
      </c>
      <c r="R23" s="96">
        <v>38.104656249999998</v>
      </c>
      <c r="S23" s="96">
        <v>36.55158203125</v>
      </c>
      <c r="T23" s="96">
        <f t="shared" si="8"/>
        <v>685.88381249999998</v>
      </c>
      <c r="U23" s="96">
        <f t="shared" si="9"/>
        <v>657.92847656250001</v>
      </c>
      <c r="V23" s="96">
        <f t="shared" si="10"/>
        <v>87.478373022544545</v>
      </c>
      <c r="W23" s="96">
        <f t="shared" si="11"/>
        <v>91.195323104851639</v>
      </c>
    </row>
    <row r="24" spans="1:23" x14ac:dyDescent="0.25">
      <c r="A24" s="6" t="s">
        <v>210</v>
      </c>
      <c r="B24" s="23">
        <v>80</v>
      </c>
      <c r="C24" s="23" t="s">
        <v>164</v>
      </c>
      <c r="D24" s="23">
        <v>68</v>
      </c>
      <c r="E24" s="23">
        <v>3</v>
      </c>
      <c r="F24" s="23" t="s">
        <v>163</v>
      </c>
      <c r="G24" s="23">
        <v>6.4</v>
      </c>
      <c r="H24" s="23">
        <v>2.2000000000000002</v>
      </c>
      <c r="I24" s="23" t="s">
        <v>205</v>
      </c>
      <c r="J24" s="23">
        <v>15</v>
      </c>
      <c r="K24" s="71">
        <v>1.25</v>
      </c>
      <c r="L24" s="71">
        <v>1.25</v>
      </c>
      <c r="M24" s="71">
        <v>1.25</v>
      </c>
      <c r="N24" s="23">
        <v>10982</v>
      </c>
      <c r="O24" s="23">
        <v>705.6</v>
      </c>
      <c r="P24" s="8" t="s">
        <v>253</v>
      </c>
      <c r="Q24" s="71">
        <v>14</v>
      </c>
      <c r="R24" s="96">
        <v>88.377515625000001</v>
      </c>
      <c r="S24" s="96">
        <v>83.8249140625</v>
      </c>
      <c r="T24" s="96">
        <f>Q24*R24</f>
        <v>1237.28521875</v>
      </c>
      <c r="U24" s="96">
        <f>Q24*S24</f>
        <v>1173.5487968749999</v>
      </c>
      <c r="V24" s="96">
        <f t="shared" si="10"/>
        <v>48.493265005312665</v>
      </c>
      <c r="W24" s="96">
        <f t="shared" si="11"/>
        <v>51.12697500075992</v>
      </c>
    </row>
    <row r="25" spans="1:23" x14ac:dyDescent="0.25">
      <c r="A25" s="66" t="s">
        <v>209</v>
      </c>
      <c r="B25" s="23">
        <v>42</v>
      </c>
      <c r="C25" s="23" t="s">
        <v>164</v>
      </c>
      <c r="D25" s="23">
        <v>96</v>
      </c>
      <c r="E25" s="23">
        <v>1.5</v>
      </c>
      <c r="F25" s="23" t="s">
        <v>168</v>
      </c>
      <c r="G25" s="23">
        <v>7.1</v>
      </c>
      <c r="H25" s="23">
        <v>2.2999999999999998</v>
      </c>
      <c r="I25" s="23">
        <v>1000</v>
      </c>
      <c r="J25" s="23">
        <v>10</v>
      </c>
      <c r="K25" s="71">
        <v>1.25</v>
      </c>
      <c r="L25" s="71">
        <v>1.25</v>
      </c>
      <c r="M25" s="71">
        <v>1.25</v>
      </c>
      <c r="N25" s="23">
        <v>10000</v>
      </c>
      <c r="O25" s="23">
        <v>713</v>
      </c>
      <c r="P25" s="8" t="s">
        <v>254</v>
      </c>
      <c r="Q25" s="71">
        <v>14</v>
      </c>
      <c r="R25" s="96">
        <v>65.581632812500004</v>
      </c>
      <c r="S25" s="96">
        <v>65.661843750000003</v>
      </c>
      <c r="T25" s="96">
        <f>Q25*R25</f>
        <v>918.14285937500006</v>
      </c>
      <c r="U25" s="96">
        <f>Q25*S25</f>
        <v>919.26581250000004</v>
      </c>
      <c r="V25" s="96">
        <f t="shared" si="10"/>
        <v>65.349307449652571</v>
      </c>
      <c r="W25" s="96">
        <f t="shared" si="11"/>
        <v>65.269478299020278</v>
      </c>
    </row>
    <row r="26" spans="1:23" x14ac:dyDescent="0.25">
      <c r="A26" s="6" t="s">
        <v>208</v>
      </c>
      <c r="B26" s="7">
        <v>22</v>
      </c>
      <c r="C26" s="7" t="s">
        <v>164</v>
      </c>
      <c r="D26" s="7">
        <v>57</v>
      </c>
      <c r="E26" s="7">
        <v>1.5</v>
      </c>
      <c r="F26" s="7" t="s">
        <v>166</v>
      </c>
      <c r="G26" s="7">
        <v>7.82</v>
      </c>
      <c r="H26" s="7">
        <v>2.34</v>
      </c>
      <c r="I26" s="7">
        <v>1000</v>
      </c>
      <c r="J26" s="7">
        <v>15</v>
      </c>
      <c r="K26" s="7">
        <v>1.25</v>
      </c>
      <c r="L26" s="7">
        <v>1.25</v>
      </c>
      <c r="M26" s="7">
        <v>1.25</v>
      </c>
      <c r="N26" s="7">
        <v>10000</v>
      </c>
      <c r="O26" s="7">
        <v>782</v>
      </c>
      <c r="P26" s="63">
        <v>42535</v>
      </c>
      <c r="Q26" s="39">
        <v>14</v>
      </c>
      <c r="R26" s="96">
        <v>74.142860412600001</v>
      </c>
      <c r="S26" s="96">
        <v>58.571426391599999</v>
      </c>
      <c r="T26" s="96">
        <f t="shared" si="8"/>
        <v>1038.0000457763999</v>
      </c>
      <c r="U26" s="96">
        <f t="shared" si="9"/>
        <v>819.99996948240005</v>
      </c>
      <c r="V26" s="96">
        <f t="shared" si="10"/>
        <v>57.803465658926243</v>
      </c>
      <c r="W26" s="96">
        <f t="shared" si="11"/>
        <v>73.170734430481957</v>
      </c>
    </row>
    <row r="27" spans="1:23" x14ac:dyDescent="0.25">
      <c r="A27" s="6" t="s">
        <v>207</v>
      </c>
      <c r="B27" s="7">
        <v>35</v>
      </c>
      <c r="C27" s="7" t="s">
        <v>162</v>
      </c>
      <c r="D27" s="7">
        <v>47</v>
      </c>
      <c r="E27" s="7">
        <v>1.5</v>
      </c>
      <c r="F27" s="7" t="s">
        <v>182</v>
      </c>
      <c r="G27" s="7">
        <v>6.72</v>
      </c>
      <c r="H27" s="7">
        <v>2.17</v>
      </c>
      <c r="I27" s="7" t="s">
        <v>197</v>
      </c>
      <c r="J27" s="7">
        <v>15</v>
      </c>
      <c r="K27" s="7">
        <v>1.37</v>
      </c>
      <c r="L27" s="7">
        <v>1.37</v>
      </c>
      <c r="M27" s="7">
        <v>1.37</v>
      </c>
      <c r="N27" s="7">
        <v>10998</v>
      </c>
      <c r="O27" s="7">
        <v>739.5</v>
      </c>
      <c r="P27" s="63">
        <v>42335</v>
      </c>
      <c r="Q27" s="39">
        <v>14</v>
      </c>
      <c r="R27" s="96">
        <v>43.7142868042</v>
      </c>
      <c r="S27" s="96">
        <v>39.571430206300001</v>
      </c>
      <c r="T27" s="96">
        <f t="shared" si="8"/>
        <v>612.00001525879998</v>
      </c>
      <c r="U27" s="96">
        <f t="shared" si="9"/>
        <v>554.00002288819996</v>
      </c>
      <c r="V27" s="96">
        <f t="shared" si="10"/>
        <v>98.039213241894203</v>
      </c>
      <c r="W27" s="96">
        <f t="shared" si="11"/>
        <v>108.30324462298498</v>
      </c>
    </row>
    <row r="28" spans="1:23" ht="15.75" thickBot="1" x14ac:dyDescent="0.3">
      <c r="A28" s="72" t="s">
        <v>206</v>
      </c>
      <c r="B28" s="13">
        <v>42</v>
      </c>
      <c r="C28" s="13" t="s">
        <v>164</v>
      </c>
      <c r="D28" s="13">
        <v>95</v>
      </c>
      <c r="E28" s="13">
        <v>1.5</v>
      </c>
      <c r="F28" s="13" t="s">
        <v>166</v>
      </c>
      <c r="G28" s="13">
        <v>7</v>
      </c>
      <c r="H28" s="13">
        <v>2.2999999999999998</v>
      </c>
      <c r="I28" s="13">
        <v>1200</v>
      </c>
      <c r="J28" s="13">
        <v>10</v>
      </c>
      <c r="K28" s="13">
        <v>1.25</v>
      </c>
      <c r="L28" s="13">
        <v>1.25</v>
      </c>
      <c r="M28" s="13">
        <v>1.25</v>
      </c>
      <c r="N28" s="13">
        <v>9999</v>
      </c>
      <c r="O28" s="13">
        <v>706.9</v>
      </c>
      <c r="P28" s="14" t="s">
        <v>255</v>
      </c>
      <c r="Q28" s="71">
        <v>16</v>
      </c>
      <c r="R28" s="96">
        <v>63.648695312500003</v>
      </c>
      <c r="S28" s="96">
        <v>73.662890625000003</v>
      </c>
      <c r="T28" s="96">
        <f t="shared" si="8"/>
        <v>1018.379125</v>
      </c>
      <c r="U28" s="96">
        <f t="shared" si="9"/>
        <v>1178.60625</v>
      </c>
      <c r="V28" s="96">
        <f t="shared" si="10"/>
        <v>58.917154257261508</v>
      </c>
      <c r="W28" s="96">
        <f t="shared" si="11"/>
        <v>50.907586821298459</v>
      </c>
    </row>
    <row r="29" spans="1:23" x14ac:dyDescent="0.25">
      <c r="A29" s="23"/>
      <c r="B29" s="50"/>
      <c r="C29" s="50"/>
      <c r="D29" s="50"/>
      <c r="E29" s="50"/>
      <c r="F29" s="50"/>
      <c r="G29" s="50"/>
      <c r="H29" s="50"/>
      <c r="I29" s="50"/>
      <c r="J29" s="50"/>
      <c r="K29" s="50"/>
      <c r="L29" s="50"/>
      <c r="M29" s="50"/>
      <c r="N29" s="50"/>
      <c r="O29" s="50"/>
      <c r="P29" s="64"/>
      <c r="R29" s="96"/>
      <c r="S29" s="96"/>
      <c r="T29" s="96"/>
      <c r="U29" s="96"/>
      <c r="V29" s="96"/>
      <c r="W29" s="96"/>
    </row>
    <row r="30" spans="1:23" x14ac:dyDescent="0.25">
      <c r="R30" s="96"/>
      <c r="S30" s="96"/>
      <c r="T30" s="96"/>
      <c r="U30" s="96"/>
      <c r="V30" s="96"/>
      <c r="W30" s="96"/>
    </row>
    <row r="31" spans="1:23" ht="15.75" thickBot="1" x14ac:dyDescent="0.3">
      <c r="A31" s="18" t="s">
        <v>141</v>
      </c>
      <c r="B31" s="23" t="s">
        <v>138</v>
      </c>
      <c r="C31" s="23" t="s">
        <v>139</v>
      </c>
      <c r="D31" s="23" t="s">
        <v>151</v>
      </c>
      <c r="E31" s="23" t="s">
        <v>137</v>
      </c>
      <c r="F31" s="23" t="s">
        <v>144</v>
      </c>
      <c r="G31" s="23" t="s">
        <v>142</v>
      </c>
      <c r="H31" s="23" t="s">
        <v>143</v>
      </c>
      <c r="I31" s="23" t="s">
        <v>145</v>
      </c>
      <c r="J31" s="23" t="s">
        <v>155</v>
      </c>
      <c r="K31" s="13" t="s">
        <v>146</v>
      </c>
      <c r="L31" s="13" t="s">
        <v>147</v>
      </c>
      <c r="M31" s="13" t="s">
        <v>148</v>
      </c>
      <c r="N31" s="23" t="s">
        <v>154</v>
      </c>
      <c r="O31" s="23" t="s">
        <v>149</v>
      </c>
      <c r="P31" s="67" t="s">
        <v>150</v>
      </c>
      <c r="Q31" s="71" t="s">
        <v>335</v>
      </c>
      <c r="R31" s="186" t="s">
        <v>339</v>
      </c>
      <c r="S31" s="186" t="s">
        <v>338</v>
      </c>
      <c r="T31" s="186" t="s">
        <v>337</v>
      </c>
      <c r="U31" s="186" t="s">
        <v>336</v>
      </c>
      <c r="V31" s="186" t="s">
        <v>340</v>
      </c>
      <c r="W31" s="186" t="s">
        <v>341</v>
      </c>
    </row>
    <row r="32" spans="1:23" x14ac:dyDescent="0.25">
      <c r="A32" s="65" t="s">
        <v>257</v>
      </c>
      <c r="B32" s="41">
        <v>70</v>
      </c>
      <c r="C32" s="41" t="s">
        <v>164</v>
      </c>
      <c r="D32" s="41">
        <v>63</v>
      </c>
      <c r="E32" s="41"/>
      <c r="F32" s="41" t="s">
        <v>163</v>
      </c>
      <c r="G32" s="41"/>
      <c r="H32" s="41">
        <v>2.1</v>
      </c>
      <c r="I32" s="41">
        <v>1000</v>
      </c>
      <c r="J32" s="41">
        <v>15</v>
      </c>
      <c r="K32" s="71">
        <v>1.25</v>
      </c>
      <c r="L32" s="71">
        <v>1.25</v>
      </c>
      <c r="M32" s="71">
        <v>1.25</v>
      </c>
      <c r="N32" s="41">
        <v>9984</v>
      </c>
      <c r="O32" s="41">
        <v>623.79999999999995</v>
      </c>
      <c r="P32" s="163">
        <v>41765</v>
      </c>
      <c r="Q32" s="71">
        <v>14</v>
      </c>
      <c r="R32" s="96">
        <v>67.7142868042</v>
      </c>
      <c r="S32" s="96">
        <v>62.8571434021</v>
      </c>
      <c r="T32" s="96">
        <f>Q32*R32</f>
        <v>948.00001525879998</v>
      </c>
      <c r="U32" s="96">
        <f>Q32*S32</f>
        <v>880.00000762939999</v>
      </c>
      <c r="V32" s="96">
        <f>60000/T32</f>
        <v>63.291138221786056</v>
      </c>
      <c r="W32" s="96">
        <f>60000/U32</f>
        <v>68.181817590697321</v>
      </c>
    </row>
    <row r="33" spans="1:23" x14ac:dyDescent="0.25">
      <c r="A33" s="6" t="s">
        <v>190</v>
      </c>
      <c r="B33" s="23">
        <v>26</v>
      </c>
      <c r="C33" s="23" t="s">
        <v>162</v>
      </c>
      <c r="D33" s="23">
        <v>66</v>
      </c>
      <c r="E33" s="23">
        <v>3</v>
      </c>
      <c r="F33" s="23" t="s">
        <v>163</v>
      </c>
      <c r="G33" s="23">
        <v>6.4</v>
      </c>
      <c r="H33" s="23">
        <v>2.2000000000000002</v>
      </c>
      <c r="I33" s="23">
        <v>1200</v>
      </c>
      <c r="J33" s="23">
        <v>14</v>
      </c>
      <c r="K33">
        <v>1.25</v>
      </c>
      <c r="L33">
        <v>1.25</v>
      </c>
      <c r="M33">
        <v>1.25</v>
      </c>
      <c r="N33" s="23">
        <v>10998</v>
      </c>
      <c r="O33" s="23">
        <v>712.1</v>
      </c>
      <c r="P33" s="68" t="s">
        <v>189</v>
      </c>
      <c r="Q33" s="71">
        <v>14</v>
      </c>
      <c r="R33" s="96">
        <v>70.932968750000001</v>
      </c>
      <c r="S33" s="96">
        <v>73.162765625000006</v>
      </c>
      <c r="T33" s="96">
        <f t="shared" ref="T33:T36" si="12">Q33*R33</f>
        <v>993.06156250000004</v>
      </c>
      <c r="U33" s="96">
        <f t="shared" ref="U33:U36" si="13">Q33*S33</f>
        <v>1024.2787187500001</v>
      </c>
      <c r="V33" s="96">
        <f t="shared" ref="V33:V36" si="14">60000/T33</f>
        <v>60.419214946706788</v>
      </c>
      <c r="W33" s="96">
        <f t="shared" ref="W33:W36" si="15">60000/U33</f>
        <v>58.577805924955911</v>
      </c>
    </row>
    <row r="34" spans="1:23" x14ac:dyDescent="0.25">
      <c r="A34" s="6" t="s">
        <v>192</v>
      </c>
      <c r="B34" s="23">
        <v>36</v>
      </c>
      <c r="C34" s="23" t="s">
        <v>164</v>
      </c>
      <c r="D34" s="23">
        <v>93</v>
      </c>
      <c r="E34" s="23">
        <v>1.5</v>
      </c>
      <c r="F34" s="23" t="s">
        <v>166</v>
      </c>
      <c r="G34" s="23">
        <v>7.3</v>
      </c>
      <c r="H34" s="23">
        <v>2.4</v>
      </c>
      <c r="I34" s="23">
        <v>1000</v>
      </c>
      <c r="J34" s="23">
        <v>10</v>
      </c>
      <c r="K34">
        <v>1.25</v>
      </c>
      <c r="L34">
        <v>1.25</v>
      </c>
      <c r="M34">
        <v>1.25</v>
      </c>
      <c r="N34" s="23">
        <v>9994</v>
      </c>
      <c r="O34" s="23">
        <v>736.6</v>
      </c>
      <c r="P34" s="8" t="s">
        <v>245</v>
      </c>
      <c r="Q34" s="71">
        <v>14</v>
      </c>
      <c r="R34" s="96">
        <v>69.758140624999996</v>
      </c>
      <c r="S34" s="96">
        <v>76.565343749999997</v>
      </c>
      <c r="T34" s="117">
        <v>1395.162</v>
      </c>
      <c r="U34" s="96">
        <f t="shared" si="13"/>
        <v>1071.9148124999999</v>
      </c>
      <c r="V34" s="96">
        <f t="shared" si="14"/>
        <v>43.005758471059274</v>
      </c>
      <c r="W34" s="96">
        <f t="shared" si="15"/>
        <v>55.974597328367459</v>
      </c>
    </row>
    <row r="35" spans="1:23" x14ac:dyDescent="0.25">
      <c r="A35" s="6" t="s">
        <v>191</v>
      </c>
      <c r="B35" s="23">
        <v>29</v>
      </c>
      <c r="C35" s="23" t="s">
        <v>162</v>
      </c>
      <c r="D35" s="23">
        <v>53</v>
      </c>
      <c r="E35" s="23">
        <v>3</v>
      </c>
      <c r="F35" s="23" t="s">
        <v>183</v>
      </c>
      <c r="G35" s="23">
        <v>6</v>
      </c>
      <c r="H35" s="23">
        <v>1.9</v>
      </c>
      <c r="I35" s="23">
        <v>2000</v>
      </c>
      <c r="J35" s="23">
        <v>15</v>
      </c>
      <c r="K35">
        <v>1.25</v>
      </c>
      <c r="L35">
        <v>1.25</v>
      </c>
      <c r="M35">
        <v>1.25</v>
      </c>
      <c r="N35" s="23">
        <v>8976</v>
      </c>
      <c r="O35" s="23">
        <v>541.1</v>
      </c>
      <c r="P35" s="8" t="s">
        <v>244</v>
      </c>
      <c r="Q35" s="71">
        <v>14</v>
      </c>
      <c r="R35" s="96"/>
      <c r="S35" s="96"/>
      <c r="T35" s="96">
        <v>952</v>
      </c>
      <c r="U35" s="96">
        <v>906</v>
      </c>
      <c r="V35" s="96">
        <f t="shared" si="14"/>
        <v>63.025210084033617</v>
      </c>
      <c r="W35" s="96">
        <f t="shared" si="15"/>
        <v>66.225165562913901</v>
      </c>
    </row>
    <row r="36" spans="1:23" x14ac:dyDescent="0.25">
      <c r="A36" s="8" t="s">
        <v>258</v>
      </c>
      <c r="B36">
        <v>53</v>
      </c>
      <c r="C36" t="s">
        <v>162</v>
      </c>
      <c r="D36">
        <v>62.14</v>
      </c>
      <c r="E36">
        <v>1.5</v>
      </c>
      <c r="F36" t="s">
        <v>166</v>
      </c>
      <c r="G36">
        <v>6.44</v>
      </c>
      <c r="H36">
        <v>2.68</v>
      </c>
      <c r="I36" t="s">
        <v>204</v>
      </c>
      <c r="J36">
        <v>12</v>
      </c>
      <c r="K36">
        <v>1.25</v>
      </c>
      <c r="L36">
        <v>1.25</v>
      </c>
      <c r="M36">
        <v>1.25</v>
      </c>
      <c r="N36">
        <v>9990</v>
      </c>
      <c r="P36" s="8">
        <v>43231</v>
      </c>
      <c r="Q36" s="71">
        <v>14</v>
      </c>
      <c r="R36" s="96">
        <v>54.142860412600001</v>
      </c>
      <c r="S36" s="96">
        <v>49.571430206300001</v>
      </c>
      <c r="T36" s="96">
        <f t="shared" si="12"/>
        <v>758.00004577640004</v>
      </c>
      <c r="U36" s="96">
        <f t="shared" si="13"/>
        <v>694.00002288819996</v>
      </c>
      <c r="V36" s="96">
        <f t="shared" si="14"/>
        <v>79.155668042926749</v>
      </c>
      <c r="W36" s="96">
        <f t="shared" si="15"/>
        <v>86.455328560797042</v>
      </c>
    </row>
    <row r="37" spans="1:23" ht="15.75" thickBot="1" x14ac:dyDescent="0.3">
      <c r="A37" s="14" t="s">
        <v>218</v>
      </c>
      <c r="B37" s="21">
        <v>14</v>
      </c>
      <c r="C37" s="13" t="s">
        <v>162</v>
      </c>
      <c r="D37" s="13">
        <v>54.43</v>
      </c>
      <c r="E37" s="13">
        <v>3</v>
      </c>
      <c r="F37" s="13" t="s">
        <v>183</v>
      </c>
      <c r="G37" s="13">
        <v>6.2880000000000003</v>
      </c>
      <c r="H37" s="13">
        <v>2.15</v>
      </c>
      <c r="I37" s="13"/>
      <c r="J37" s="13">
        <v>12</v>
      </c>
      <c r="K37" s="13">
        <v>1.25</v>
      </c>
      <c r="L37" s="13">
        <v>1.25</v>
      </c>
      <c r="M37" s="13">
        <v>1.25</v>
      </c>
      <c r="N37" s="13"/>
      <c r="O37" s="13"/>
      <c r="P37" s="14">
        <v>43019</v>
      </c>
      <c r="Q37" s="71">
        <v>14</v>
      </c>
      <c r="R37" s="96"/>
      <c r="S37" s="96"/>
      <c r="T37" s="96">
        <v>712</v>
      </c>
      <c r="U37" s="96">
        <v>700</v>
      </c>
      <c r="V37" s="96">
        <f>60000/T37</f>
        <v>84.269662921348313</v>
      </c>
      <c r="W37" s="96">
        <f>60000/U37</f>
        <v>85.714285714285708</v>
      </c>
    </row>
    <row r="38" spans="1:23" x14ac:dyDescent="0.25">
      <c r="A38" s="189"/>
      <c r="B38" s="7"/>
      <c r="C38" s="7"/>
      <c r="D38" s="7"/>
      <c r="E38" s="7"/>
      <c r="F38" s="7"/>
      <c r="G38" s="7"/>
      <c r="H38" s="7"/>
      <c r="I38" s="7"/>
      <c r="J38" s="7"/>
      <c r="K38" s="7"/>
      <c r="L38" s="7"/>
      <c r="M38" s="7"/>
      <c r="N38" s="7"/>
      <c r="O38" s="7"/>
      <c r="P38" s="7"/>
      <c r="R38" s="96"/>
      <c r="S38" s="96"/>
      <c r="T38" s="96"/>
      <c r="U38" s="96"/>
      <c r="V38" s="96"/>
      <c r="W38" s="96"/>
    </row>
    <row r="39" spans="1:23" x14ac:dyDescent="0.25">
      <c r="A39" s="83" t="s">
        <v>193</v>
      </c>
      <c r="B39" s="81">
        <f>AVERAGE(B2:B36)</f>
        <v>49.2</v>
      </c>
      <c r="C39" s="81"/>
      <c r="D39" s="81">
        <f>AVERAGE(D2:D36)</f>
        <v>68.671199999999999</v>
      </c>
      <c r="E39" s="81"/>
      <c r="F39" s="81"/>
      <c r="G39" s="81">
        <f>AVERAGE(G2:G36)</f>
        <v>7.0902727272727279</v>
      </c>
      <c r="H39" s="81">
        <f>AVERAGE(H2:H36)</f>
        <v>2.3168000000000002</v>
      </c>
      <c r="I39" s="81"/>
      <c r="J39" s="81">
        <f>AVERAGE(J2:J36)</f>
        <v>12.88</v>
      </c>
      <c r="K39" s="81"/>
      <c r="L39" s="81"/>
      <c r="M39" s="81"/>
      <c r="N39" s="81">
        <f>AVERAGE(N2:N36)</f>
        <v>10343.708333333334</v>
      </c>
      <c r="O39" s="82">
        <f>AVERAGE(O2:O36)</f>
        <v>720.38181818181829</v>
      </c>
      <c r="R39" s="96"/>
      <c r="S39" s="96"/>
      <c r="T39" s="96"/>
      <c r="U39" s="96"/>
      <c r="V39" s="96"/>
      <c r="W39" s="96"/>
    </row>
    <row r="40" spans="1:23" x14ac:dyDescent="0.25">
      <c r="A40" s="79" t="s">
        <v>194</v>
      </c>
      <c r="B40" s="50">
        <f>MAX(B1:B36)</f>
        <v>86</v>
      </c>
      <c r="C40" s="50"/>
      <c r="D40" s="50">
        <f>MAX(D1:D36)</f>
        <v>101</v>
      </c>
      <c r="E40" s="50"/>
      <c r="F40" s="50"/>
      <c r="G40" s="50">
        <f>MAX(G1:G36)</f>
        <v>8.3879999999999999</v>
      </c>
      <c r="H40" s="50">
        <f>MAX(H1:H36)</f>
        <v>2.68</v>
      </c>
      <c r="I40" s="50">
        <f>MAX(I1:I36)</f>
        <v>2000</v>
      </c>
      <c r="J40" s="50">
        <f>MAX(J1:J36)</f>
        <v>15</v>
      </c>
      <c r="K40" s="50"/>
      <c r="L40" s="50"/>
      <c r="M40" s="50"/>
      <c r="N40" s="50">
        <f>MAX(N1:N36)</f>
        <v>10998</v>
      </c>
      <c r="O40" s="10">
        <f>MAX(O1:O36)</f>
        <v>782</v>
      </c>
      <c r="R40" s="96"/>
      <c r="S40" s="96"/>
      <c r="T40" s="96"/>
      <c r="U40" s="96"/>
      <c r="V40" s="96"/>
      <c r="W40" s="96"/>
    </row>
    <row r="41" spans="1:23" x14ac:dyDescent="0.25">
      <c r="A41" s="80" t="s">
        <v>195</v>
      </c>
      <c r="B41" s="84">
        <f>MIN(B1:B36)</f>
        <v>21</v>
      </c>
      <c r="C41" s="84"/>
      <c r="D41" s="84">
        <f>MIN(D1:D36)</f>
        <v>46</v>
      </c>
      <c r="E41" s="84"/>
      <c r="F41" s="84"/>
      <c r="G41" s="84">
        <f>MIN(G1:G36)</f>
        <v>6</v>
      </c>
      <c r="H41" s="84">
        <f>MIN(H1:H36)</f>
        <v>1.9</v>
      </c>
      <c r="I41" s="84">
        <f>MIN(I1:I36)</f>
        <v>1000</v>
      </c>
      <c r="J41" s="84">
        <f>MIN(J1:J36)</f>
        <v>8</v>
      </c>
      <c r="K41" s="84"/>
      <c r="L41" s="84"/>
      <c r="M41" s="84"/>
      <c r="N41" s="84">
        <f>MIN(N1:N36)</f>
        <v>8976</v>
      </c>
      <c r="O41" s="85">
        <f>MIN(O1:O36)</f>
        <v>541.1</v>
      </c>
      <c r="R41" s="96"/>
      <c r="S41" s="96"/>
      <c r="T41" s="96"/>
      <c r="U41" s="96"/>
      <c r="V41" s="96"/>
      <c r="W41" s="96"/>
    </row>
    <row r="42" spans="1:23" ht="30" x14ac:dyDescent="0.25">
      <c r="A42" s="79"/>
      <c r="B42" s="50"/>
      <c r="C42" s="50" t="str">
        <f>CONCATENATE("Females x ",COUNTIF(C2:C36,"F"))</f>
        <v>Females x 14</v>
      </c>
      <c r="D42" s="50"/>
      <c r="E42" s="23" t="str">
        <f>CONCATENATE("1.5T x ",COUNTIF(E2:E36,1.5))</f>
        <v>1.5T x 17</v>
      </c>
      <c r="F42" s="23" t="str">
        <f>CONCATENATE("32Ch Torso x ",COUNTIF(F2:F36,"32Ch Torso"))</f>
        <v>32Ch Torso x 7</v>
      </c>
      <c r="G42" s="50"/>
      <c r="H42" s="50"/>
      <c r="I42" s="50"/>
      <c r="J42" s="50"/>
      <c r="K42" s="50"/>
      <c r="L42" s="50"/>
      <c r="M42" s="50"/>
      <c r="N42" s="50"/>
      <c r="O42" s="10"/>
      <c r="R42" s="96"/>
      <c r="S42" s="96"/>
      <c r="T42" s="96"/>
      <c r="U42" s="96"/>
      <c r="V42" s="96"/>
      <c r="W42" s="96"/>
    </row>
    <row r="43" spans="1:23" ht="30" x14ac:dyDescent="0.25">
      <c r="A43" s="79"/>
      <c r="B43" s="23"/>
      <c r="C43" s="39" t="str">
        <f>CONCATENATE("Males x ",COUNTIF(C2:C36,"M"))</f>
        <v>Males x 11</v>
      </c>
      <c r="D43" s="23"/>
      <c r="E43" s="23" t="str">
        <f>CONCATENATE("3T x ",COUNTIF(E2:E36,3))</f>
        <v>3T x 7</v>
      </c>
      <c r="F43" s="23" t="str">
        <f>CONCATENATE("8Ch Body x ",COUNTIF(F2:F36,"8Ch Body"))</f>
        <v>8Ch Body x 9</v>
      </c>
      <c r="G43" s="23"/>
      <c r="H43" s="23"/>
      <c r="I43" s="23"/>
      <c r="J43" s="23"/>
      <c r="K43" s="23"/>
      <c r="L43" s="23"/>
      <c r="M43" s="23"/>
      <c r="N43" s="23"/>
      <c r="O43" s="9"/>
      <c r="R43" s="96"/>
      <c r="S43" s="96"/>
      <c r="T43" s="96"/>
      <c r="U43" s="96"/>
      <c r="V43" s="96"/>
      <c r="W43" s="96"/>
    </row>
    <row r="44" spans="1:23" x14ac:dyDescent="0.25">
      <c r="A44" s="79"/>
      <c r="B44" s="23"/>
      <c r="C44" s="39"/>
      <c r="D44" s="23"/>
      <c r="E44" s="23"/>
      <c r="F44" s="23" t="str">
        <f>CONCATENATE("Body 24Ch x ",COUNTIF(F2:F36,"Body 24Ch"))</f>
        <v>Body 24Ch x 3</v>
      </c>
      <c r="G44" s="23"/>
      <c r="H44" s="23"/>
      <c r="I44" s="23"/>
      <c r="J44" s="23"/>
      <c r="K44" s="23"/>
      <c r="L44" s="23"/>
      <c r="M44" s="23"/>
      <c r="N44" s="23"/>
      <c r="O44" s="9"/>
      <c r="R44" s="96"/>
      <c r="S44" s="96"/>
      <c r="T44" s="96"/>
      <c r="U44" s="96"/>
      <c r="V44" s="96"/>
      <c r="W44" s="96"/>
    </row>
    <row r="45" spans="1:23" x14ac:dyDescent="0.25">
      <c r="A45" s="79"/>
      <c r="B45" s="23"/>
      <c r="C45" s="39"/>
      <c r="D45" s="23"/>
      <c r="E45" s="23"/>
      <c r="F45" s="23" t="str">
        <f>CONCATENATE("HD BodyFull x ",COUNTIF(F2:F36,"HD BodyFull"))</f>
        <v>HD BodyFull x 2</v>
      </c>
      <c r="G45" s="23"/>
      <c r="H45" s="23"/>
      <c r="I45" s="23"/>
      <c r="J45" s="23"/>
      <c r="K45" s="23"/>
      <c r="L45" s="23"/>
      <c r="M45" s="23"/>
      <c r="N45" s="23"/>
      <c r="O45" s="9"/>
      <c r="R45" s="96"/>
      <c r="S45" s="96"/>
      <c r="T45" s="96"/>
      <c r="U45" s="96"/>
      <c r="V45" s="96"/>
      <c r="W45" s="96"/>
    </row>
    <row r="46" spans="1:23" x14ac:dyDescent="0.25">
      <c r="A46" s="80"/>
      <c r="B46" s="45"/>
      <c r="C46" s="45"/>
      <c r="D46" s="45"/>
      <c r="E46" s="45"/>
      <c r="F46" s="45" t="str">
        <f>CONCATENATE("8Ch Cardiac x ",COUNTIF(F2:F36,"8CARDIAC Series"))</f>
        <v>8Ch Cardiac x 3</v>
      </c>
      <c r="G46" s="45"/>
      <c r="H46" s="45"/>
      <c r="I46" s="45"/>
      <c r="J46" s="45"/>
      <c r="K46" s="45"/>
      <c r="L46" s="45"/>
      <c r="M46" s="45"/>
      <c r="N46" s="45"/>
      <c r="O46" s="47"/>
      <c r="R46" s="96"/>
      <c r="S46" s="96"/>
      <c r="T46" s="96"/>
      <c r="U46" s="96"/>
      <c r="V46" s="96"/>
      <c r="W46" s="96"/>
    </row>
    <row r="47" spans="1:23" x14ac:dyDescent="0.25">
      <c r="A47" s="77" t="s">
        <v>196</v>
      </c>
      <c r="B47" s="195">
        <f>COUNT(D2:D36)</f>
        <v>25</v>
      </c>
      <c r="C47" s="23"/>
      <c r="D47" s="23"/>
      <c r="E47" s="23"/>
      <c r="F47" s="23"/>
      <c r="G47" s="23"/>
      <c r="H47" s="23"/>
      <c r="I47" s="23"/>
      <c r="J47" s="23"/>
      <c r="K47" s="23"/>
      <c r="L47" s="23"/>
      <c r="M47" s="23"/>
      <c r="N47" s="23"/>
      <c r="O47" s="9"/>
      <c r="R47" s="96"/>
      <c r="S47" s="96"/>
      <c r="T47" s="96"/>
      <c r="U47" s="96"/>
      <c r="V47" s="96"/>
      <c r="W47" s="96"/>
    </row>
    <row r="48" spans="1:23" x14ac:dyDescent="0.25">
      <c r="B48" s="23"/>
      <c r="C48" s="23"/>
      <c r="D48" s="23"/>
      <c r="E48" s="23"/>
      <c r="F48" s="23"/>
      <c r="G48" s="23"/>
      <c r="H48" s="23"/>
      <c r="I48" s="23"/>
      <c r="J48" s="23"/>
      <c r="K48" s="23"/>
      <c r="L48" s="23"/>
      <c r="M48" s="23"/>
      <c r="N48" s="23"/>
      <c r="O48" s="23"/>
      <c r="R48" s="96"/>
      <c r="S48" s="96"/>
      <c r="T48" s="96"/>
      <c r="U48" s="96"/>
      <c r="V48" s="96"/>
      <c r="W48" s="96"/>
    </row>
    <row r="49" spans="1:23" x14ac:dyDescent="0.25">
      <c r="B49" s="23"/>
      <c r="C49" s="23"/>
      <c r="D49" s="23"/>
      <c r="E49" s="23"/>
      <c r="F49" s="23"/>
      <c r="G49" s="23"/>
      <c r="H49" s="23"/>
      <c r="I49" s="23"/>
      <c r="J49" s="23"/>
      <c r="K49" s="23"/>
      <c r="L49" s="23"/>
      <c r="M49" s="23"/>
      <c r="N49" s="23"/>
      <c r="O49" s="23"/>
      <c r="P49" s="23"/>
      <c r="R49" s="96"/>
      <c r="S49" s="96"/>
      <c r="T49" s="96"/>
      <c r="U49" s="96"/>
      <c r="V49" s="96"/>
      <c r="W49" s="96"/>
    </row>
    <row r="50" spans="1:23" x14ac:dyDescent="0.25">
      <c r="P50" s="23"/>
      <c r="R50" s="96"/>
      <c r="S50" s="96"/>
      <c r="T50" s="96"/>
      <c r="U50" s="96"/>
      <c r="V50" s="96"/>
      <c r="W50" s="96"/>
    </row>
    <row r="51" spans="1:23" ht="15.75" thickBot="1" x14ac:dyDescent="0.3">
      <c r="A51" s="18" t="s">
        <v>152</v>
      </c>
      <c r="B51" s="23" t="s">
        <v>138</v>
      </c>
      <c r="C51" s="23" t="s">
        <v>139</v>
      </c>
      <c r="D51" s="23" t="s">
        <v>151</v>
      </c>
      <c r="E51" s="23" t="s">
        <v>137</v>
      </c>
      <c r="F51" s="23" t="s">
        <v>144</v>
      </c>
      <c r="G51" s="23" t="s">
        <v>142</v>
      </c>
      <c r="H51" s="23" t="s">
        <v>143</v>
      </c>
      <c r="I51" s="23" t="s">
        <v>145</v>
      </c>
      <c r="J51" s="23" t="s">
        <v>155</v>
      </c>
      <c r="K51" s="13" t="s">
        <v>146</v>
      </c>
      <c r="L51" s="13" t="s">
        <v>147</v>
      </c>
      <c r="M51" s="13" t="s">
        <v>148</v>
      </c>
      <c r="N51" s="23" t="s">
        <v>154</v>
      </c>
      <c r="O51" s="23" t="s">
        <v>149</v>
      </c>
      <c r="R51" s="96"/>
      <c r="S51" s="96"/>
      <c r="T51" s="96"/>
      <c r="U51" s="96"/>
      <c r="V51" s="96"/>
      <c r="W51" s="96"/>
    </row>
    <row r="52" spans="1:23" ht="15.75" thickBot="1" x14ac:dyDescent="0.3">
      <c r="A52" s="16" t="s">
        <v>342</v>
      </c>
      <c r="B52" s="41">
        <v>32</v>
      </c>
      <c r="C52" s="41" t="s">
        <v>164</v>
      </c>
      <c r="D52" s="41">
        <v>78</v>
      </c>
      <c r="E52" s="41">
        <v>3</v>
      </c>
      <c r="F52" s="41" t="s">
        <v>163</v>
      </c>
      <c r="G52" s="41">
        <v>6.5</v>
      </c>
      <c r="H52" s="41">
        <v>2.2999999999999998</v>
      </c>
      <c r="I52" s="41" t="s">
        <v>197</v>
      </c>
      <c r="J52" s="41">
        <v>14</v>
      </c>
      <c r="K52" s="7">
        <v>1.25</v>
      </c>
      <c r="L52" s="7">
        <v>1.25</v>
      </c>
      <c r="M52" s="7">
        <v>1.25</v>
      </c>
      <c r="N52" s="41">
        <v>11000</v>
      </c>
      <c r="O52" s="41">
        <v>719.9</v>
      </c>
      <c r="P52" s="67" t="s">
        <v>150</v>
      </c>
      <c r="Q52" s="71" t="s">
        <v>335</v>
      </c>
      <c r="R52" s="186" t="s">
        <v>339</v>
      </c>
      <c r="S52" s="186" t="s">
        <v>338</v>
      </c>
      <c r="T52" s="186" t="s">
        <v>337</v>
      </c>
      <c r="U52" s="186" t="s">
        <v>336</v>
      </c>
      <c r="V52" s="186" t="s">
        <v>340</v>
      </c>
      <c r="W52" s="186" t="s">
        <v>341</v>
      </c>
    </row>
    <row r="53" spans="1:23" x14ac:dyDescent="0.25">
      <c r="A53" s="6" t="s">
        <v>165</v>
      </c>
      <c r="B53" s="23">
        <v>32</v>
      </c>
      <c r="C53" s="23" t="s">
        <v>162</v>
      </c>
      <c r="D53" s="23">
        <v>86</v>
      </c>
      <c r="E53" s="23">
        <v>3</v>
      </c>
      <c r="F53" s="23" t="s">
        <v>163</v>
      </c>
      <c r="G53" s="23">
        <v>6.4</v>
      </c>
      <c r="H53" s="23">
        <v>2.2000000000000002</v>
      </c>
      <c r="I53" s="23">
        <v>1200</v>
      </c>
      <c r="J53" s="23">
        <v>14</v>
      </c>
      <c r="K53" s="7">
        <v>1.25</v>
      </c>
      <c r="L53" s="7">
        <v>1.25</v>
      </c>
      <c r="M53" s="7">
        <v>1.25</v>
      </c>
      <c r="N53" s="23">
        <v>11000</v>
      </c>
      <c r="O53" s="23">
        <v>712.2</v>
      </c>
      <c r="P53" s="31" t="s">
        <v>225</v>
      </c>
      <c r="Q53" s="71">
        <v>14</v>
      </c>
      <c r="R53" s="96">
        <v>101.9857109375</v>
      </c>
      <c r="S53" s="96">
        <v>89.421421874999993</v>
      </c>
      <c r="T53" s="96">
        <f>Q53*R53</f>
        <v>1427.799953125</v>
      </c>
      <c r="U53" s="96">
        <f>Q53*S53</f>
        <v>1251.89990625</v>
      </c>
      <c r="V53" s="96">
        <f>60000/T53</f>
        <v>42.022693633431686</v>
      </c>
      <c r="W53" s="96">
        <f>60000/U53</f>
        <v>47.927154319970221</v>
      </c>
    </row>
    <row r="54" spans="1:23" x14ac:dyDescent="0.25">
      <c r="A54" s="6" t="s">
        <v>343</v>
      </c>
      <c r="B54" s="23">
        <v>46</v>
      </c>
      <c r="C54" s="23" t="s">
        <v>162</v>
      </c>
      <c r="D54" s="23">
        <v>90</v>
      </c>
      <c r="E54" s="23">
        <v>3</v>
      </c>
      <c r="F54" s="23" t="s">
        <v>163</v>
      </c>
      <c r="G54" s="23">
        <v>6.5</v>
      </c>
      <c r="H54" s="23">
        <v>2.2999999999999998</v>
      </c>
      <c r="I54" s="23" t="s">
        <v>197</v>
      </c>
      <c r="J54" s="23">
        <v>14</v>
      </c>
      <c r="K54" s="7">
        <v>1.25</v>
      </c>
      <c r="L54" s="7">
        <v>1.25</v>
      </c>
      <c r="M54" s="7">
        <v>1.25</v>
      </c>
      <c r="N54" s="23">
        <v>10980</v>
      </c>
      <c r="O54" s="23">
        <v>718.6</v>
      </c>
      <c r="P54" s="8" t="s">
        <v>226</v>
      </c>
      <c r="Q54" s="71">
        <v>14</v>
      </c>
      <c r="R54" s="96">
        <v>83.442851562499996</v>
      </c>
      <c r="S54" s="96">
        <v>81.5714296875</v>
      </c>
      <c r="T54" s="96">
        <f t="shared" ref="T54:T74" si="16">Q54*R54</f>
        <v>1168.199921875</v>
      </c>
      <c r="U54" s="96">
        <f t="shared" ref="U54:U74" si="17">Q54*S54</f>
        <v>1142.0000156250001</v>
      </c>
      <c r="V54" s="96">
        <f t="shared" ref="V54:V74" si="18">60000/T54</f>
        <v>51.361071745063974</v>
      </c>
      <c r="W54" s="96">
        <f t="shared" ref="W54:W74" si="19">60000/U54</f>
        <v>52.539403834563757</v>
      </c>
    </row>
    <row r="55" spans="1:23" x14ac:dyDescent="0.25">
      <c r="A55" s="6" t="s">
        <v>344</v>
      </c>
      <c r="B55" s="23">
        <v>31</v>
      </c>
      <c r="C55" s="23" t="s">
        <v>164</v>
      </c>
      <c r="D55" s="23">
        <v>80</v>
      </c>
      <c r="E55" s="23">
        <v>3</v>
      </c>
      <c r="F55" s="23" t="s">
        <v>163</v>
      </c>
      <c r="G55" s="23">
        <v>6.6</v>
      </c>
      <c r="H55" s="23">
        <v>2.2000000000000002</v>
      </c>
      <c r="I55" s="23" t="s">
        <v>197</v>
      </c>
      <c r="J55" s="23">
        <v>6</v>
      </c>
      <c r="K55" s="7">
        <v>1.25</v>
      </c>
      <c r="L55" s="7">
        <v>1.25</v>
      </c>
      <c r="M55" s="7">
        <v>1.25</v>
      </c>
      <c r="N55" s="23">
        <v>11000</v>
      </c>
      <c r="O55" s="23">
        <v>732</v>
      </c>
      <c r="P55" s="8" t="s">
        <v>227</v>
      </c>
      <c r="Q55" s="71">
        <v>14</v>
      </c>
      <c r="R55" s="96">
        <v>69.535710937499999</v>
      </c>
      <c r="S55" s="96">
        <v>60.28571484375</v>
      </c>
      <c r="T55" s="96">
        <f t="shared" si="16"/>
        <v>973.49995312500005</v>
      </c>
      <c r="U55" s="96">
        <f t="shared" si="17"/>
        <v>844.00000781250003</v>
      </c>
      <c r="V55" s="96">
        <f t="shared" si="18"/>
        <v>61.633284939969421</v>
      </c>
      <c r="W55" s="96">
        <f t="shared" si="19"/>
        <v>71.090046735318737</v>
      </c>
    </row>
    <row r="56" spans="1:23" x14ac:dyDescent="0.25">
      <c r="A56" s="6" t="s">
        <v>345</v>
      </c>
      <c r="B56" s="23">
        <v>46</v>
      </c>
      <c r="C56" s="23" t="s">
        <v>164</v>
      </c>
      <c r="D56" s="23">
        <v>88</v>
      </c>
      <c r="E56" s="23">
        <v>3</v>
      </c>
      <c r="F56" s="23" t="s">
        <v>163</v>
      </c>
      <c r="G56" s="23">
        <v>6.6</v>
      </c>
      <c r="H56" s="23">
        <v>2.2000000000000002</v>
      </c>
      <c r="I56" s="23" t="s">
        <v>256</v>
      </c>
      <c r="J56" s="23">
        <v>6</v>
      </c>
      <c r="K56" s="7">
        <v>1.25</v>
      </c>
      <c r="L56" s="7">
        <v>1.25</v>
      </c>
      <c r="M56" s="7">
        <v>1.25</v>
      </c>
      <c r="N56" s="23">
        <v>10974</v>
      </c>
      <c r="O56" s="23">
        <v>730.3</v>
      </c>
      <c r="P56" s="8" t="s">
        <v>228</v>
      </c>
      <c r="Q56" s="71">
        <v>14</v>
      </c>
      <c r="R56" s="96">
        <v>94.285710937499999</v>
      </c>
      <c r="S56" s="96">
        <v>93.285718750000001</v>
      </c>
      <c r="T56" s="96">
        <f t="shared" si="16"/>
        <v>1319.999953125</v>
      </c>
      <c r="U56" s="96">
        <f t="shared" si="17"/>
        <v>1306.0000625</v>
      </c>
      <c r="V56" s="96">
        <f t="shared" si="18"/>
        <v>45.454547068698403</v>
      </c>
      <c r="W56" s="96">
        <f t="shared" si="19"/>
        <v>45.941804845817146</v>
      </c>
    </row>
    <row r="57" spans="1:23" x14ac:dyDescent="0.25">
      <c r="A57" s="6" t="s">
        <v>181</v>
      </c>
      <c r="B57" s="23"/>
      <c r="C57" s="23"/>
      <c r="D57" s="23"/>
      <c r="E57" s="23"/>
      <c r="F57" s="23"/>
      <c r="G57" s="23"/>
      <c r="H57" s="23"/>
      <c r="I57" s="23"/>
      <c r="J57" s="23"/>
      <c r="K57" s="7"/>
      <c r="L57" s="7"/>
      <c r="M57" s="7"/>
      <c r="N57" s="23"/>
      <c r="O57" s="23"/>
      <c r="P57" s="8" t="s">
        <v>229</v>
      </c>
      <c r="Q57" s="71">
        <v>14</v>
      </c>
      <c r="R57" s="96">
        <v>73.071421874999999</v>
      </c>
      <c r="S57" s="96">
        <v>74.400000000000006</v>
      </c>
      <c r="T57" s="96">
        <f t="shared" si="16"/>
        <v>1022.99990625</v>
      </c>
      <c r="U57" s="96">
        <f t="shared" si="17"/>
        <v>1041.6000000000001</v>
      </c>
      <c r="V57" s="96">
        <f t="shared" si="18"/>
        <v>58.65103176787315</v>
      </c>
      <c r="W57" s="96">
        <f t="shared" si="19"/>
        <v>57.60368663594469</v>
      </c>
    </row>
    <row r="58" spans="1:23" x14ac:dyDescent="0.25">
      <c r="A58" s="6" t="s">
        <v>167</v>
      </c>
      <c r="B58" s="23">
        <v>44</v>
      </c>
      <c r="C58" s="23" t="s">
        <v>164</v>
      </c>
      <c r="D58" s="23">
        <v>102</v>
      </c>
      <c r="E58" s="23">
        <v>3</v>
      </c>
      <c r="F58" s="23" t="s">
        <v>163</v>
      </c>
      <c r="G58" s="23">
        <v>6.6</v>
      </c>
      <c r="H58" s="23">
        <v>2.2000000000000002</v>
      </c>
      <c r="I58" s="23">
        <v>1000</v>
      </c>
      <c r="J58" s="23">
        <v>6</v>
      </c>
      <c r="K58" s="7">
        <v>1.25</v>
      </c>
      <c r="L58" s="7">
        <v>1.25</v>
      </c>
      <c r="M58" s="7">
        <v>1.25</v>
      </c>
      <c r="N58" s="23">
        <v>10980</v>
      </c>
      <c r="O58" s="23">
        <v>730.7</v>
      </c>
      <c r="P58" s="8"/>
      <c r="Q58" s="71"/>
      <c r="R58" s="96"/>
      <c r="S58" s="96"/>
      <c r="T58" s="96"/>
      <c r="U58" s="96"/>
      <c r="V58" s="96"/>
      <c r="W58" s="96"/>
    </row>
    <row r="59" spans="1:23" x14ac:dyDescent="0.25">
      <c r="A59" s="6" t="s">
        <v>180</v>
      </c>
      <c r="B59" s="23">
        <v>36</v>
      </c>
      <c r="C59" s="23" t="s">
        <v>164</v>
      </c>
      <c r="D59" s="23">
        <v>93</v>
      </c>
      <c r="E59" s="23">
        <v>1.5</v>
      </c>
      <c r="F59" s="23" t="s">
        <v>166</v>
      </c>
      <c r="G59" s="23">
        <v>7.3</v>
      </c>
      <c r="H59" s="23">
        <v>2.4</v>
      </c>
      <c r="I59" s="23">
        <v>1000</v>
      </c>
      <c r="J59" s="23">
        <v>10</v>
      </c>
      <c r="K59" s="7">
        <v>1.25</v>
      </c>
      <c r="L59" s="7">
        <v>1.25</v>
      </c>
      <c r="M59" s="7">
        <v>1.25</v>
      </c>
      <c r="N59" s="23">
        <v>9994</v>
      </c>
      <c r="O59" s="23">
        <v>736.6</v>
      </c>
      <c r="P59" s="8" t="s">
        <v>231</v>
      </c>
      <c r="Q59" s="71">
        <v>14</v>
      </c>
      <c r="R59" s="96">
        <v>61</v>
      </c>
      <c r="S59" s="96">
        <v>62</v>
      </c>
      <c r="T59" s="96">
        <f t="shared" si="16"/>
        <v>854</v>
      </c>
      <c r="U59" s="96">
        <f t="shared" si="17"/>
        <v>868</v>
      </c>
      <c r="V59" s="96">
        <f t="shared" si="18"/>
        <v>70.257611241217802</v>
      </c>
      <c r="W59" s="96">
        <f t="shared" si="19"/>
        <v>69.124423963133637</v>
      </c>
    </row>
    <row r="60" spans="1:23" x14ac:dyDescent="0.25">
      <c r="A60" s="66" t="s">
        <v>97</v>
      </c>
      <c r="B60" s="71"/>
      <c r="C60" s="71"/>
      <c r="D60" s="71"/>
      <c r="E60" s="71"/>
      <c r="F60" s="71"/>
      <c r="G60" s="71"/>
      <c r="H60" s="71"/>
      <c r="I60" s="71"/>
      <c r="J60" s="71"/>
      <c r="K60" s="7"/>
      <c r="L60" s="7"/>
      <c r="M60" s="7"/>
      <c r="N60" s="39"/>
      <c r="O60" s="23"/>
      <c r="P60" s="8" t="s">
        <v>230</v>
      </c>
      <c r="Q60" s="71">
        <v>15</v>
      </c>
      <c r="R60" s="96">
        <v>61.333332061999997</v>
      </c>
      <c r="S60" s="96">
        <v>55.999999045999999</v>
      </c>
      <c r="T60" s="96">
        <f t="shared" si="16"/>
        <v>919.99998092999999</v>
      </c>
      <c r="U60" s="96">
        <f t="shared" si="17"/>
        <v>839.99998569000002</v>
      </c>
      <c r="V60" s="96">
        <f t="shared" si="18"/>
        <v>65.217392656190952</v>
      </c>
      <c r="W60" s="96">
        <f t="shared" si="19"/>
        <v>71.428572645408181</v>
      </c>
    </row>
    <row r="61" spans="1:23" x14ac:dyDescent="0.25">
      <c r="A61" s="6" t="s">
        <v>179</v>
      </c>
      <c r="B61" s="23">
        <v>64</v>
      </c>
      <c r="C61" s="23" t="s">
        <v>164</v>
      </c>
      <c r="D61" s="23">
        <v>96</v>
      </c>
      <c r="E61" s="23">
        <v>3</v>
      </c>
      <c r="F61" s="23" t="s">
        <v>163</v>
      </c>
      <c r="G61" s="23">
        <v>6.7</v>
      </c>
      <c r="H61" s="23">
        <v>2.5</v>
      </c>
      <c r="I61" s="23">
        <v>600</v>
      </c>
      <c r="J61" s="23">
        <v>10</v>
      </c>
      <c r="K61" s="7">
        <v>1.25</v>
      </c>
      <c r="L61" s="7">
        <v>1.25</v>
      </c>
      <c r="M61" s="7">
        <v>1.25</v>
      </c>
      <c r="N61" s="23">
        <v>10980</v>
      </c>
      <c r="O61" s="23">
        <v>741.7</v>
      </c>
      <c r="P61" s="70"/>
      <c r="Q61" s="39"/>
      <c r="R61" s="96"/>
      <c r="S61" s="96"/>
      <c r="T61" s="96"/>
      <c r="U61" s="96"/>
      <c r="V61" s="96"/>
      <c r="W61" s="96"/>
    </row>
    <row r="62" spans="1:23" x14ac:dyDescent="0.25">
      <c r="A62" s="66" t="s">
        <v>102</v>
      </c>
      <c r="B62" s="7">
        <v>50</v>
      </c>
      <c r="C62" s="7" t="s">
        <v>164</v>
      </c>
      <c r="D62" s="7">
        <v>101</v>
      </c>
      <c r="E62" s="7">
        <v>3</v>
      </c>
      <c r="F62" s="7" t="s">
        <v>163</v>
      </c>
      <c r="G62" s="7">
        <v>6.7</v>
      </c>
      <c r="H62" s="7">
        <v>2.5099999999999998</v>
      </c>
      <c r="I62" s="7">
        <v>600</v>
      </c>
      <c r="J62" s="7">
        <v>10</v>
      </c>
      <c r="K62" s="7">
        <v>1.25</v>
      </c>
      <c r="L62" s="7">
        <v>1.25</v>
      </c>
      <c r="M62" s="7">
        <v>1.25</v>
      </c>
      <c r="N62" s="7">
        <v>10980</v>
      </c>
      <c r="O62" s="7">
        <v>741.7</v>
      </c>
      <c r="P62" s="8" t="s">
        <v>232</v>
      </c>
      <c r="Q62" s="71">
        <v>14</v>
      </c>
      <c r="R62" s="96">
        <v>79.896859375000005</v>
      </c>
      <c r="S62" s="96">
        <v>79.782906249999996</v>
      </c>
      <c r="T62" s="96">
        <f t="shared" si="16"/>
        <v>1118.5560312500002</v>
      </c>
      <c r="U62" s="96">
        <f t="shared" si="17"/>
        <v>1116.9606874999999</v>
      </c>
      <c r="V62" s="96">
        <f t="shared" si="18"/>
        <v>53.640585114854964</v>
      </c>
      <c r="W62" s="96">
        <f t="shared" si="19"/>
        <v>53.717199424711175</v>
      </c>
    </row>
    <row r="63" spans="1:23" x14ac:dyDescent="0.25">
      <c r="A63" s="6" t="s">
        <v>178</v>
      </c>
      <c r="B63" s="23">
        <v>54</v>
      </c>
      <c r="C63" s="23" t="s">
        <v>162</v>
      </c>
      <c r="D63" s="23">
        <v>49</v>
      </c>
      <c r="E63" s="23">
        <v>3</v>
      </c>
      <c r="F63" s="23" t="s">
        <v>163</v>
      </c>
      <c r="G63" s="23">
        <v>6.4</v>
      </c>
      <c r="H63" s="23">
        <v>2.2000000000000002</v>
      </c>
      <c r="I63" s="23">
        <v>1200</v>
      </c>
      <c r="J63" s="23">
        <v>14</v>
      </c>
      <c r="K63" s="7">
        <v>1.25</v>
      </c>
      <c r="L63" s="7">
        <v>1.25</v>
      </c>
      <c r="M63" s="7">
        <v>1.25</v>
      </c>
      <c r="N63" s="23">
        <v>11000</v>
      </c>
      <c r="O63" s="23">
        <v>712.2</v>
      </c>
      <c r="P63" s="63">
        <v>40995</v>
      </c>
      <c r="Q63" s="39">
        <v>14</v>
      </c>
      <c r="R63" s="96">
        <v>84.168421875000007</v>
      </c>
      <c r="S63" s="96">
        <v>77.409820312500003</v>
      </c>
      <c r="T63" s="96">
        <f t="shared" si="16"/>
        <v>1178.35790625</v>
      </c>
      <c r="U63" s="96">
        <f t="shared" si="17"/>
        <v>1083.7374843750001</v>
      </c>
      <c r="V63" s="96">
        <f t="shared" si="18"/>
        <v>50.918315803509721</v>
      </c>
      <c r="W63" s="96">
        <f t="shared" si="19"/>
        <v>55.363961166852569</v>
      </c>
    </row>
    <row r="64" spans="1:23" x14ac:dyDescent="0.25">
      <c r="A64" s="6" t="s">
        <v>177</v>
      </c>
      <c r="B64" s="23">
        <v>20</v>
      </c>
      <c r="C64" s="23" t="s">
        <v>162</v>
      </c>
      <c r="D64" s="23">
        <v>50</v>
      </c>
      <c r="E64" s="23">
        <v>1.5</v>
      </c>
      <c r="F64" s="23" t="s">
        <v>168</v>
      </c>
      <c r="G64" s="23">
        <v>7.5</v>
      </c>
      <c r="H64" s="23">
        <v>2.6</v>
      </c>
      <c r="I64" s="23">
        <v>600</v>
      </c>
      <c r="J64" s="23">
        <v>10</v>
      </c>
      <c r="K64" s="7">
        <v>1.25</v>
      </c>
      <c r="L64" s="7">
        <v>1.25</v>
      </c>
      <c r="M64" s="7">
        <v>1.25</v>
      </c>
      <c r="N64" s="23">
        <v>9996</v>
      </c>
      <c r="O64" s="23">
        <v>756.7</v>
      </c>
      <c r="P64" s="8" t="s">
        <v>233</v>
      </c>
      <c r="Q64" s="71">
        <v>14</v>
      </c>
      <c r="R64" s="96">
        <v>58.917832031250001</v>
      </c>
      <c r="S64" s="96">
        <v>61.623203125000003</v>
      </c>
      <c r="T64" s="96">
        <f t="shared" si="16"/>
        <v>824.84964843750004</v>
      </c>
      <c r="U64" s="96">
        <f t="shared" si="17"/>
        <v>862.72484374999999</v>
      </c>
      <c r="V64" s="96">
        <f t="shared" si="18"/>
        <v>72.74052927543471</v>
      </c>
      <c r="W64" s="96">
        <f t="shared" si="19"/>
        <v>69.547087271995579</v>
      </c>
    </row>
    <row r="65" spans="1:23" x14ac:dyDescent="0.25">
      <c r="A65" s="6" t="s">
        <v>176</v>
      </c>
      <c r="B65" s="23">
        <v>52</v>
      </c>
      <c r="C65" s="23" t="s">
        <v>162</v>
      </c>
      <c r="D65" s="23">
        <v>48</v>
      </c>
      <c r="E65" s="23">
        <v>3</v>
      </c>
      <c r="F65" s="23" t="s">
        <v>163</v>
      </c>
      <c r="G65" s="23">
        <v>6.4</v>
      </c>
      <c r="H65" s="23">
        <v>2.2000000000000002</v>
      </c>
      <c r="I65" s="23">
        <v>1200</v>
      </c>
      <c r="J65" s="23">
        <v>14</v>
      </c>
      <c r="K65" s="7">
        <v>1.25</v>
      </c>
      <c r="L65" s="7">
        <v>1.25</v>
      </c>
      <c r="M65" s="7">
        <v>1.25</v>
      </c>
      <c r="N65" s="23">
        <v>10998</v>
      </c>
      <c r="O65" s="23">
        <v>712.1</v>
      </c>
      <c r="P65" s="8" t="s">
        <v>234</v>
      </c>
      <c r="Q65" s="39">
        <v>14</v>
      </c>
      <c r="R65" s="96">
        <v>46.261523437500003</v>
      </c>
      <c r="S65" s="96">
        <v>46.009859374999998</v>
      </c>
      <c r="T65" s="96">
        <f t="shared" si="16"/>
        <v>647.66132812500007</v>
      </c>
      <c r="U65" s="96">
        <f t="shared" si="17"/>
        <v>644.13803124999993</v>
      </c>
      <c r="V65" s="96">
        <f t="shared" si="18"/>
        <v>92.641010655525605</v>
      </c>
      <c r="W65" s="96">
        <f t="shared" si="19"/>
        <v>93.147737113993003</v>
      </c>
    </row>
    <row r="66" spans="1:23" x14ac:dyDescent="0.25">
      <c r="A66" s="6" t="s">
        <v>175</v>
      </c>
      <c r="B66" s="23">
        <v>63</v>
      </c>
      <c r="C66" s="23" t="s">
        <v>162</v>
      </c>
      <c r="D66" s="23">
        <v>90</v>
      </c>
      <c r="E66" s="23">
        <v>3</v>
      </c>
      <c r="F66" s="23" t="s">
        <v>163</v>
      </c>
      <c r="G66" s="23">
        <v>6.5</v>
      </c>
      <c r="H66" s="23">
        <v>2.2999999999999998</v>
      </c>
      <c r="I66" s="23">
        <v>1000</v>
      </c>
      <c r="J66" s="23">
        <v>14</v>
      </c>
      <c r="K66" s="7">
        <v>1.25</v>
      </c>
      <c r="L66" s="7">
        <v>1.25</v>
      </c>
      <c r="M66" s="7">
        <v>1.25</v>
      </c>
      <c r="N66" s="23">
        <v>10982</v>
      </c>
      <c r="O66" s="23">
        <v>718.7</v>
      </c>
      <c r="P66" s="8" t="s">
        <v>235</v>
      </c>
      <c r="Q66" s="71">
        <v>14</v>
      </c>
      <c r="R66" s="96">
        <v>64.079074218749994</v>
      </c>
      <c r="S66" s="96">
        <v>66.546585937499998</v>
      </c>
      <c r="T66" s="96">
        <f t="shared" si="16"/>
        <v>897.10703906249989</v>
      </c>
      <c r="U66" s="96">
        <f t="shared" si="17"/>
        <v>931.65220312499991</v>
      </c>
      <c r="V66" s="96">
        <f t="shared" si="18"/>
        <v>66.881651115681308</v>
      </c>
      <c r="W66" s="96">
        <f t="shared" si="19"/>
        <v>64.401715359814148</v>
      </c>
    </row>
    <row r="67" spans="1:23" x14ac:dyDescent="0.25">
      <c r="A67" s="6" t="s">
        <v>174</v>
      </c>
      <c r="B67" s="23">
        <v>61</v>
      </c>
      <c r="C67" s="23" t="s">
        <v>164</v>
      </c>
      <c r="D67" s="23">
        <v>71</v>
      </c>
      <c r="E67" s="23">
        <v>3</v>
      </c>
      <c r="F67" s="23" t="s">
        <v>163</v>
      </c>
      <c r="G67" s="23">
        <v>6.5</v>
      </c>
      <c r="H67" s="23">
        <v>2.2999999999999998</v>
      </c>
      <c r="I67" s="23">
        <v>1000</v>
      </c>
      <c r="J67" s="23">
        <v>14</v>
      </c>
      <c r="K67" s="7">
        <v>1.25</v>
      </c>
      <c r="L67" s="7">
        <v>1.25</v>
      </c>
      <c r="M67" s="7">
        <v>1.25</v>
      </c>
      <c r="N67" s="23">
        <v>10976</v>
      </c>
      <c r="O67" s="23">
        <v>718.3</v>
      </c>
      <c r="P67" s="8" t="s">
        <v>236</v>
      </c>
      <c r="Q67" s="39">
        <v>14</v>
      </c>
      <c r="R67" s="96">
        <v>83.085398437500004</v>
      </c>
      <c r="S67" s="96">
        <v>78.665875</v>
      </c>
      <c r="T67" s="96">
        <f t="shared" si="16"/>
        <v>1163.1955781250001</v>
      </c>
      <c r="U67" s="96">
        <f t="shared" si="17"/>
        <v>1101.3222499999999</v>
      </c>
      <c r="V67" s="96">
        <f t="shared" si="18"/>
        <v>51.582039278997534</v>
      </c>
      <c r="W67" s="96">
        <f t="shared" si="19"/>
        <v>54.47996714857981</v>
      </c>
    </row>
    <row r="68" spans="1:23" x14ac:dyDescent="0.25">
      <c r="A68" s="6" t="s">
        <v>173</v>
      </c>
      <c r="B68" s="23">
        <v>53</v>
      </c>
      <c r="C68" s="23" t="s">
        <v>164</v>
      </c>
      <c r="D68" s="23">
        <v>103</v>
      </c>
      <c r="E68" s="23">
        <v>3</v>
      </c>
      <c r="F68" s="23" t="s">
        <v>163</v>
      </c>
      <c r="G68" s="23">
        <v>6.5</v>
      </c>
      <c r="H68" s="23">
        <v>2.2999999999999998</v>
      </c>
      <c r="I68" s="23">
        <v>1000</v>
      </c>
      <c r="J68" s="23">
        <v>14</v>
      </c>
      <c r="K68" s="7">
        <v>1.25</v>
      </c>
      <c r="L68" s="7">
        <v>1.25</v>
      </c>
      <c r="M68" s="7">
        <v>1.25</v>
      </c>
      <c r="N68" s="23">
        <v>10974</v>
      </c>
      <c r="O68" s="23">
        <v>718.2</v>
      </c>
      <c r="P68" s="8" t="s">
        <v>237</v>
      </c>
      <c r="Q68" s="71">
        <v>14</v>
      </c>
      <c r="R68" s="96">
        <v>71.853578124999999</v>
      </c>
      <c r="S68" s="96">
        <v>64.900000000000006</v>
      </c>
      <c r="T68" s="96">
        <f t="shared" si="16"/>
        <v>1005.95009375</v>
      </c>
      <c r="U68" s="96">
        <f t="shared" si="17"/>
        <v>908.60000000000014</v>
      </c>
      <c r="V68" s="96">
        <f t="shared" si="18"/>
        <v>59.645106027408232</v>
      </c>
      <c r="W68" s="96">
        <f t="shared" si="19"/>
        <v>66.035659255998226</v>
      </c>
    </row>
    <row r="69" spans="1:23" x14ac:dyDescent="0.25">
      <c r="A69" s="6" t="s">
        <v>172</v>
      </c>
      <c r="B69" s="23">
        <v>73</v>
      </c>
      <c r="C69" s="23" t="s">
        <v>164</v>
      </c>
      <c r="D69" s="23">
        <v>97</v>
      </c>
      <c r="E69" s="23">
        <v>3</v>
      </c>
      <c r="F69" s="23" t="s">
        <v>163</v>
      </c>
      <c r="G69" s="23">
        <v>6.5</v>
      </c>
      <c r="H69" s="23">
        <v>2.2999999999999998</v>
      </c>
      <c r="I69" s="23">
        <v>1000</v>
      </c>
      <c r="J69" s="23">
        <v>14</v>
      </c>
      <c r="K69" s="7">
        <v>1.25</v>
      </c>
      <c r="L69" s="7">
        <v>1.25</v>
      </c>
      <c r="M69" s="7">
        <v>1.25</v>
      </c>
      <c r="N69" s="23">
        <v>11000</v>
      </c>
      <c r="O69" s="23">
        <v>719.9</v>
      </c>
      <c r="P69" s="8" t="s">
        <v>238</v>
      </c>
      <c r="Q69" s="39">
        <v>14</v>
      </c>
      <c r="R69" s="96">
        <v>71.853578124999999</v>
      </c>
      <c r="S69" s="96">
        <v>71.853578124999999</v>
      </c>
      <c r="T69" s="96">
        <f t="shared" si="16"/>
        <v>1005.95009375</v>
      </c>
      <c r="U69" s="96">
        <f t="shared" si="17"/>
        <v>1005.95009375</v>
      </c>
      <c r="V69" s="96">
        <f t="shared" si="18"/>
        <v>59.645106027408232</v>
      </c>
      <c r="W69" s="96">
        <f t="shared" si="19"/>
        <v>59.645106027408232</v>
      </c>
    </row>
    <row r="70" spans="1:23" x14ac:dyDescent="0.25">
      <c r="A70" s="6" t="s">
        <v>170</v>
      </c>
      <c r="B70" s="23">
        <v>34</v>
      </c>
      <c r="C70" s="23" t="s">
        <v>164</v>
      </c>
      <c r="D70" s="23">
        <v>61</v>
      </c>
      <c r="E70" s="23">
        <v>3</v>
      </c>
      <c r="F70" s="23" t="s">
        <v>163</v>
      </c>
      <c r="G70" s="23">
        <v>6.5</v>
      </c>
      <c r="H70" s="23">
        <v>2.2999999999999998</v>
      </c>
      <c r="I70" s="23">
        <v>1000</v>
      </c>
      <c r="J70" s="23">
        <v>14</v>
      </c>
      <c r="K70" s="7">
        <v>1.25</v>
      </c>
      <c r="L70" s="7">
        <v>1.25</v>
      </c>
      <c r="M70" s="7">
        <v>1.25</v>
      </c>
      <c r="N70" s="23">
        <v>11000</v>
      </c>
      <c r="O70" s="23">
        <v>719.9</v>
      </c>
      <c r="P70" s="8" t="s">
        <v>239</v>
      </c>
      <c r="Q70" s="71">
        <v>14</v>
      </c>
      <c r="R70" s="96">
        <v>48.674999999999997</v>
      </c>
      <c r="S70" s="96">
        <v>46.357148437500001</v>
      </c>
      <c r="T70" s="96">
        <f t="shared" si="16"/>
        <v>681.44999999999993</v>
      </c>
      <c r="U70" s="96">
        <f t="shared" si="17"/>
        <v>649.00007812500007</v>
      </c>
      <c r="V70" s="96">
        <f t="shared" si="18"/>
        <v>88.047545674664335</v>
      </c>
      <c r="W70" s="96">
        <f t="shared" si="19"/>
        <v>92.449911829507911</v>
      </c>
    </row>
    <row r="71" spans="1:23" x14ac:dyDescent="0.25">
      <c r="A71" s="6" t="s">
        <v>169</v>
      </c>
      <c r="B71" s="23">
        <v>54</v>
      </c>
      <c r="C71" s="23" t="s">
        <v>162</v>
      </c>
      <c r="D71" s="23">
        <v>73</v>
      </c>
      <c r="E71" s="23">
        <v>3</v>
      </c>
      <c r="F71" s="23" t="s">
        <v>163</v>
      </c>
      <c r="G71" s="23">
        <v>6.5</v>
      </c>
      <c r="H71" s="23">
        <v>2.2999999999999998</v>
      </c>
      <c r="I71" s="23">
        <v>1000</v>
      </c>
      <c r="J71" s="23">
        <v>14</v>
      </c>
      <c r="K71" s="7">
        <v>1.25</v>
      </c>
      <c r="L71" s="7">
        <v>1.25</v>
      </c>
      <c r="M71" s="7">
        <v>1.25</v>
      </c>
      <c r="N71" s="23">
        <v>11000</v>
      </c>
      <c r="O71" s="23">
        <v>719.9</v>
      </c>
      <c r="P71" s="8" t="s">
        <v>240</v>
      </c>
      <c r="Q71" s="39">
        <v>14</v>
      </c>
      <c r="R71" s="96">
        <v>50.992859375000002</v>
      </c>
      <c r="S71" s="96">
        <v>46.357148437500001</v>
      </c>
      <c r="T71" s="96">
        <f t="shared" si="16"/>
        <v>713.90003124999998</v>
      </c>
      <c r="U71" s="96">
        <f t="shared" si="17"/>
        <v>649.00007812500007</v>
      </c>
      <c r="V71" s="96">
        <f t="shared" si="18"/>
        <v>84.045380828662061</v>
      </c>
      <c r="W71" s="96">
        <f t="shared" si="19"/>
        <v>92.449911829507911</v>
      </c>
    </row>
    <row r="72" spans="1:23" x14ac:dyDescent="0.25">
      <c r="A72" s="6" t="s">
        <v>124</v>
      </c>
      <c r="B72" s="23">
        <v>19</v>
      </c>
      <c r="C72" s="23" t="s">
        <v>162</v>
      </c>
      <c r="D72" s="23">
        <v>53</v>
      </c>
      <c r="E72" s="23">
        <v>1.5</v>
      </c>
      <c r="F72" s="23" t="s">
        <v>166</v>
      </c>
      <c r="G72" s="23">
        <v>7.3</v>
      </c>
      <c r="H72" s="23">
        <v>2.4</v>
      </c>
      <c r="I72" s="23" t="s">
        <v>197</v>
      </c>
      <c r="J72" s="23">
        <v>10</v>
      </c>
      <c r="K72" s="7">
        <v>1.25</v>
      </c>
      <c r="L72" s="7">
        <v>1.25</v>
      </c>
      <c r="M72" s="7">
        <v>1.25</v>
      </c>
      <c r="N72" s="23">
        <v>9999</v>
      </c>
      <c r="O72" s="23">
        <v>736.9</v>
      </c>
      <c r="P72" s="8" t="s">
        <v>241</v>
      </c>
      <c r="Q72" s="71">
        <v>14</v>
      </c>
      <c r="R72" s="96">
        <v>60.264281250000003</v>
      </c>
      <c r="S72" s="96">
        <v>57.9464296875</v>
      </c>
      <c r="T72" s="96">
        <f t="shared" si="16"/>
        <v>843.69993750000003</v>
      </c>
      <c r="U72" s="96">
        <f t="shared" si="17"/>
        <v>811.25001562500006</v>
      </c>
      <c r="V72" s="96">
        <f t="shared" si="18"/>
        <v>71.115330620727931</v>
      </c>
      <c r="W72" s="96">
        <f t="shared" si="19"/>
        <v>73.959936942220011</v>
      </c>
    </row>
    <row r="73" spans="1:23" ht="15.75" thickBot="1" x14ac:dyDescent="0.3">
      <c r="A73" s="12" t="s">
        <v>171</v>
      </c>
      <c r="B73" s="13">
        <v>24</v>
      </c>
      <c r="C73" s="13" t="s">
        <v>164</v>
      </c>
      <c r="D73" s="13">
        <v>95</v>
      </c>
      <c r="E73" s="13">
        <v>3</v>
      </c>
      <c r="F73" s="13" t="s">
        <v>163</v>
      </c>
      <c r="G73" s="13">
        <v>6.2</v>
      </c>
      <c r="H73" s="13">
        <v>2.5</v>
      </c>
      <c r="I73" s="13">
        <v>1000</v>
      </c>
      <c r="J73" s="13">
        <v>8</v>
      </c>
      <c r="K73" s="61">
        <v>1.25</v>
      </c>
      <c r="L73" s="61">
        <v>1.25</v>
      </c>
      <c r="M73" s="61">
        <v>1.25</v>
      </c>
      <c r="N73" s="13">
        <v>10965</v>
      </c>
      <c r="O73" s="13">
        <v>689.1</v>
      </c>
      <c r="P73" s="8" t="s">
        <v>242</v>
      </c>
      <c r="Q73" s="39">
        <v>14</v>
      </c>
      <c r="R73" s="96">
        <v>99.367792968749995</v>
      </c>
      <c r="S73" s="96">
        <v>101.40396484375</v>
      </c>
      <c r="T73" s="96">
        <f t="shared" si="16"/>
        <v>1391.1491015624999</v>
      </c>
      <c r="U73" s="96">
        <f t="shared" si="17"/>
        <v>1419.6555078125</v>
      </c>
      <c r="V73" s="96">
        <f t="shared" si="18"/>
        <v>43.129812564742103</v>
      </c>
      <c r="W73" s="96">
        <f t="shared" si="19"/>
        <v>42.263774323992166</v>
      </c>
    </row>
    <row r="74" spans="1:23" ht="15.75" thickBot="1" x14ac:dyDescent="0.3">
      <c r="P74" s="14" t="s">
        <v>243</v>
      </c>
      <c r="Q74" s="71">
        <v>14</v>
      </c>
      <c r="R74" s="96">
        <v>100.5466875</v>
      </c>
      <c r="S74" s="96">
        <v>101.83809375</v>
      </c>
      <c r="T74" s="96">
        <f t="shared" si="16"/>
        <v>1407.6536250000001</v>
      </c>
      <c r="U74" s="96">
        <f t="shared" si="17"/>
        <v>1425.7333125</v>
      </c>
      <c r="V74" s="96">
        <f t="shared" si="18"/>
        <v>42.624122109585016</v>
      </c>
      <c r="W74" s="96">
        <f t="shared" si="19"/>
        <v>42.083606712387876</v>
      </c>
    </row>
    <row r="75" spans="1:23" x14ac:dyDescent="0.25">
      <c r="A75" s="76" t="s">
        <v>193</v>
      </c>
      <c r="B75" s="74">
        <f>AVERAGE(B52:B73)</f>
        <v>44.4</v>
      </c>
      <c r="C75" s="74"/>
      <c r="D75" s="74">
        <f>AVERAGE(D52:D73)</f>
        <v>80.2</v>
      </c>
      <c r="E75" s="74"/>
      <c r="F75" s="74"/>
      <c r="G75" s="74">
        <f>AVERAGE(G52:G73)</f>
        <v>6.6350000000000007</v>
      </c>
      <c r="H75" s="74">
        <f>AVERAGE(H52:H73)</f>
        <v>2.325499999999999</v>
      </c>
      <c r="I75" s="74"/>
      <c r="J75" s="74">
        <f>AVERAGE(J52:J73)</f>
        <v>11.5</v>
      </c>
      <c r="K75" s="74"/>
      <c r="L75" s="74"/>
      <c r="M75" s="74"/>
      <c r="N75" s="74">
        <f>AVERAGE(N52:N73)</f>
        <v>10838.9</v>
      </c>
      <c r="O75" s="75">
        <f>AVERAGE(O52:O73)</f>
        <v>724.28</v>
      </c>
    </row>
    <row r="76" spans="1:23" x14ac:dyDescent="0.25">
      <c r="A76" s="77" t="s">
        <v>194</v>
      </c>
      <c r="B76" s="23">
        <f>MAX(B52:B73)</f>
        <v>73</v>
      </c>
      <c r="C76" s="23"/>
      <c r="D76" s="23">
        <f>MAX(D52:D73)</f>
        <v>103</v>
      </c>
      <c r="E76" s="23"/>
      <c r="F76" s="23"/>
      <c r="G76" s="23">
        <f>MAX(G52:G73)</f>
        <v>7.5</v>
      </c>
      <c r="H76" s="23">
        <f>MAX(H52:H73)</f>
        <v>2.6</v>
      </c>
      <c r="I76" s="23">
        <f>MAX(I52:I73)</f>
        <v>1200</v>
      </c>
      <c r="J76" s="23">
        <f>MAX(J52:J73)</f>
        <v>14</v>
      </c>
      <c r="K76" s="23"/>
      <c r="L76" s="23"/>
      <c r="M76" s="23"/>
      <c r="N76" s="23">
        <f>MAX(N52:N73)</f>
        <v>11000</v>
      </c>
      <c r="O76" s="9">
        <f>MAX(O52:O73)</f>
        <v>756.7</v>
      </c>
    </row>
    <row r="77" spans="1:23" x14ac:dyDescent="0.25">
      <c r="A77" s="78" t="s">
        <v>195</v>
      </c>
      <c r="B77" s="45">
        <f>MIN(B52:B73)</f>
        <v>19</v>
      </c>
      <c r="C77" s="45"/>
      <c r="D77" s="45">
        <f>MIN(D52:D73)</f>
        <v>48</v>
      </c>
      <c r="E77" s="45"/>
      <c r="F77" s="45"/>
      <c r="G77" s="45">
        <f>MIN(G52:G73)</f>
        <v>6.2</v>
      </c>
      <c r="H77" s="45">
        <f>MIN(H52:H73)</f>
        <v>2.2000000000000002</v>
      </c>
      <c r="I77" s="45">
        <f>MIN(I52:I73)</f>
        <v>600</v>
      </c>
      <c r="J77" s="45">
        <f>MIN(J52:J73)</f>
        <v>6</v>
      </c>
      <c r="K77" s="45"/>
      <c r="L77" s="45"/>
      <c r="M77" s="45"/>
      <c r="N77" s="45">
        <f>MIN(N52:N73)</f>
        <v>9994</v>
      </c>
      <c r="O77" s="47">
        <f>MIN(O52:O73)</f>
        <v>689.1</v>
      </c>
    </row>
    <row r="78" spans="1:23" ht="30" x14ac:dyDescent="0.25">
      <c r="A78" s="79"/>
      <c r="B78" s="23"/>
      <c r="C78" s="39" t="str">
        <f>CONCATENATE("Females x ", COUNTIF(C52:C73,"F"))</f>
        <v>Females x 8</v>
      </c>
      <c r="D78" s="23"/>
      <c r="E78" s="23" t="str">
        <f>CONCATENATE("1.5T x ",COUNTIF(E52:E73,1.5))</f>
        <v>1.5T x 3</v>
      </c>
      <c r="F78" s="23" t="str">
        <f>CONCATENATE("32Ch Torso x ",COUNTIF(F52:F73,"32Ch Torso"))</f>
        <v>32Ch Torso x 17</v>
      </c>
      <c r="G78" s="23"/>
      <c r="H78" s="23"/>
      <c r="I78" s="23"/>
      <c r="J78" s="23"/>
      <c r="K78" s="23"/>
      <c r="L78" s="23"/>
      <c r="M78" s="23"/>
      <c r="N78" s="23"/>
      <c r="O78" s="9"/>
    </row>
    <row r="79" spans="1:23" ht="30" x14ac:dyDescent="0.25">
      <c r="A79" s="79"/>
      <c r="B79" s="23"/>
      <c r="C79" s="39" t="str">
        <f>CONCATENATE("Males x ",COUNTIF(C52:C73,"M"))</f>
        <v>Males x 12</v>
      </c>
      <c r="D79" s="23"/>
      <c r="E79" s="23" t="str">
        <f>CONCATENATE("3T x ",COUNTIF(E52:E73,3))</f>
        <v>3T x 17</v>
      </c>
      <c r="F79" s="23" t="str">
        <f>CONCATENATE("8Ch Body x ",COUNTIF(F52:F73,"8Ch Body"))</f>
        <v>8Ch Body x 2</v>
      </c>
      <c r="G79" s="23"/>
      <c r="H79" s="23"/>
      <c r="I79" s="23"/>
      <c r="J79" s="23"/>
      <c r="K79" s="23"/>
      <c r="L79" s="23"/>
      <c r="M79" s="23"/>
      <c r="N79" s="23"/>
      <c r="O79" s="9"/>
    </row>
    <row r="80" spans="1:23" x14ac:dyDescent="0.25">
      <c r="A80" s="80"/>
      <c r="B80" s="45"/>
      <c r="C80" s="45"/>
      <c r="D80" s="45"/>
      <c r="E80" s="45"/>
      <c r="F80" s="45" t="str">
        <f>CONCATENATE("8Ch Cardiac x ",COUNTIF(F52:F73,"8CARDIAC Series"))</f>
        <v>8Ch Cardiac x 1</v>
      </c>
      <c r="G80" s="45"/>
      <c r="H80" s="45"/>
      <c r="I80" s="45"/>
      <c r="J80" s="45"/>
      <c r="K80" s="45"/>
      <c r="L80" s="45"/>
      <c r="M80" s="45"/>
      <c r="N80" s="45"/>
      <c r="O80" s="47"/>
    </row>
    <row r="81" spans="1:23" ht="15.75" customHeight="1" x14ac:dyDescent="0.25">
      <c r="A81" s="77" t="s">
        <v>196</v>
      </c>
      <c r="B81" s="195">
        <f>COUNT(D52:D73)</f>
        <v>20</v>
      </c>
      <c r="C81" s="23"/>
      <c r="D81" s="23"/>
      <c r="E81" s="23"/>
      <c r="F81" s="23"/>
      <c r="G81" s="23"/>
      <c r="H81" s="23"/>
      <c r="I81" s="23"/>
      <c r="J81" s="23"/>
      <c r="K81" s="23"/>
      <c r="L81" s="23"/>
      <c r="M81" s="23"/>
      <c r="N81" s="23"/>
      <c r="O81" s="9"/>
    </row>
    <row r="92" spans="1:23" ht="15.75" thickBot="1" x14ac:dyDescent="0.3"/>
    <row r="93" spans="1:23" x14ac:dyDescent="0.25">
      <c r="A93" s="65" t="s">
        <v>222</v>
      </c>
      <c r="B93" s="53">
        <v>28</v>
      </c>
      <c r="C93" s="53" t="s">
        <v>162</v>
      </c>
      <c r="D93" s="53">
        <v>65</v>
      </c>
      <c r="E93" s="53">
        <v>1.5</v>
      </c>
      <c r="F93" s="53" t="s">
        <v>168</v>
      </c>
      <c r="G93" s="53">
        <v>7.55</v>
      </c>
      <c r="H93" s="53">
        <v>2.2799999999999998</v>
      </c>
      <c r="I93" s="53" t="s">
        <v>197</v>
      </c>
      <c r="J93" s="53">
        <v>15</v>
      </c>
      <c r="K93" s="53">
        <v>1.25</v>
      </c>
      <c r="L93" s="53">
        <v>1.25</v>
      </c>
      <c r="M93" s="53">
        <v>1.25</v>
      </c>
      <c r="N93" s="53">
        <v>9996</v>
      </c>
      <c r="O93" s="53">
        <v>754.5</v>
      </c>
    </row>
    <row r="94" spans="1:23" ht="15.75" thickBot="1" x14ac:dyDescent="0.3">
      <c r="A94" s="66" t="s">
        <v>97</v>
      </c>
      <c r="B94" s="71">
        <v>62</v>
      </c>
      <c r="C94" s="71" t="s">
        <v>164</v>
      </c>
      <c r="D94" s="71">
        <v>141</v>
      </c>
      <c r="E94" s="71">
        <v>3</v>
      </c>
      <c r="F94" s="71" t="s">
        <v>163</v>
      </c>
      <c r="G94" s="71">
        <v>6.29</v>
      </c>
      <c r="H94" s="71">
        <v>2.1800000000000002</v>
      </c>
      <c r="I94" s="71">
        <v>1000</v>
      </c>
      <c r="J94" s="71">
        <v>14</v>
      </c>
      <c r="K94" s="7">
        <v>1.64</v>
      </c>
      <c r="L94" s="7">
        <v>1.64</v>
      </c>
      <c r="M94" s="7">
        <v>1.64</v>
      </c>
      <c r="N94" s="39">
        <v>10980</v>
      </c>
      <c r="O94" s="23"/>
    </row>
    <row r="95" spans="1:23" x14ac:dyDescent="0.25">
      <c r="A95" s="6" t="s">
        <v>181</v>
      </c>
      <c r="B95" s="23">
        <v>33</v>
      </c>
      <c r="C95" s="23" t="s">
        <v>162</v>
      </c>
      <c r="D95" s="23">
        <v>81</v>
      </c>
      <c r="E95" s="23">
        <v>3</v>
      </c>
      <c r="F95" s="23" t="s">
        <v>163</v>
      </c>
      <c r="G95" s="23">
        <v>6.5</v>
      </c>
      <c r="H95" s="23">
        <v>2.1</v>
      </c>
      <c r="I95" s="23">
        <v>1250</v>
      </c>
      <c r="J95" s="23">
        <v>6</v>
      </c>
      <c r="K95" s="7">
        <v>1.25</v>
      </c>
      <c r="L95" s="7">
        <v>1.25</v>
      </c>
      <c r="M95" s="7">
        <v>1.25</v>
      </c>
      <c r="N95" s="23">
        <v>10998</v>
      </c>
      <c r="O95" s="23">
        <v>722</v>
      </c>
      <c r="P95" s="62">
        <v>42167</v>
      </c>
      <c r="Q95" s="39">
        <v>14</v>
      </c>
      <c r="R95" s="178">
        <v>86.071426391599999</v>
      </c>
      <c r="S95" s="96">
        <v>68.857139587399999</v>
      </c>
      <c r="T95" s="96">
        <f>Q95*R95</f>
        <v>1204.9999694824</v>
      </c>
      <c r="U95" s="96">
        <f>Q95*S95</f>
        <v>963.99995422359996</v>
      </c>
      <c r="V95" s="96">
        <f>60000/T95</f>
        <v>49.792532381368119</v>
      </c>
      <c r="W95" s="96">
        <f>60000/U95</f>
        <v>62.240666855968534</v>
      </c>
    </row>
    <row r="96" spans="1:23" ht="14.25" customHeight="1" x14ac:dyDescent="0.25">
      <c r="P96" s="70">
        <v>40878</v>
      </c>
      <c r="Q96" s="39">
        <v>14</v>
      </c>
      <c r="R96" s="96">
        <v>81.728453125000001</v>
      </c>
      <c r="S96" s="96">
        <v>75.607007812500001</v>
      </c>
      <c r="T96" s="96">
        <f t="shared" ref="T96:T97" si="20">Q96*R96</f>
        <v>1144.19834375</v>
      </c>
      <c r="U96" s="96">
        <f t="shared" ref="U96:U97" si="21">Q96*S96</f>
        <v>1058.498109375</v>
      </c>
      <c r="V96" s="96">
        <f t="shared" ref="V96:V97" si="22">60000/T96</f>
        <v>52.438460803356669</v>
      </c>
      <c r="W96" s="96">
        <f t="shared" ref="W96:W97" si="23">60000/U96</f>
        <v>56.684088019229016</v>
      </c>
    </row>
    <row r="97" spans="16:23" x14ac:dyDescent="0.25">
      <c r="P97" s="8" t="s">
        <v>230</v>
      </c>
      <c r="Q97" s="71">
        <v>14</v>
      </c>
      <c r="R97" s="96">
        <v>54.214292968750001</v>
      </c>
      <c r="S97" s="96">
        <v>69.750004882811993</v>
      </c>
      <c r="T97" s="96">
        <f t="shared" si="20"/>
        <v>759.00010156250005</v>
      </c>
      <c r="U97" s="96">
        <f t="shared" si="21"/>
        <v>976.5000683593679</v>
      </c>
      <c r="V97" s="96">
        <f t="shared" si="22"/>
        <v>79.051372821271329</v>
      </c>
      <c r="W97" s="96">
        <f t="shared" si="23"/>
        <v>61.443928110324542</v>
      </c>
    </row>
  </sheetData>
  <pageMargins left="0.25" right="0.25" top="0.75" bottom="0.75" header="0.3" footer="0.3"/>
  <pageSetup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92"/>
  <sheetViews>
    <sheetView zoomScaleNormal="100" workbookViewId="0">
      <selection activeCell="I14" sqref="I14:Q19"/>
    </sheetView>
  </sheetViews>
  <sheetFormatPr defaultRowHeight="15" x14ac:dyDescent="0.25"/>
  <cols>
    <col min="2" max="2" width="24.7109375" customWidth="1"/>
    <col min="3" max="11" width="11.28515625" customWidth="1"/>
    <col min="15" max="15" width="24.28515625" customWidth="1"/>
    <col min="16" max="24" width="10.7109375" customWidth="1"/>
    <col min="25" max="25" width="13.42578125" customWidth="1"/>
    <col min="26" max="26" width="10.5703125" bestFit="1" customWidth="1"/>
    <col min="27" max="27" width="30" customWidth="1"/>
    <col min="28" max="36" width="10.28515625" customWidth="1"/>
    <col min="38" max="38" width="10.28515625" customWidth="1"/>
    <col min="39" max="39" width="35" customWidth="1"/>
    <col min="40" max="48" width="12.5703125" customWidth="1"/>
  </cols>
  <sheetData>
    <row r="1" spans="1:48" ht="21" x14ac:dyDescent="0.35">
      <c r="B1" s="144" t="s">
        <v>376</v>
      </c>
      <c r="O1" s="144" t="s">
        <v>377</v>
      </c>
      <c r="AA1" s="144" t="s">
        <v>378</v>
      </c>
      <c r="AM1" s="144" t="s">
        <v>379</v>
      </c>
    </row>
    <row r="2" spans="1:48" ht="21" x14ac:dyDescent="0.35">
      <c r="B2" s="144"/>
    </row>
    <row r="3" spans="1:48" ht="21" x14ac:dyDescent="0.35">
      <c r="B3" s="145" t="s">
        <v>363</v>
      </c>
      <c r="O3" s="145" t="s">
        <v>363</v>
      </c>
      <c r="AA3" s="145" t="s">
        <v>363</v>
      </c>
      <c r="AC3" s="144"/>
      <c r="AM3" s="145" t="s">
        <v>363</v>
      </c>
    </row>
    <row r="4" spans="1:48" ht="15.75" thickBot="1" x14ac:dyDescent="0.3">
      <c r="A4" s="8"/>
      <c r="B4" s="1" t="s">
        <v>82</v>
      </c>
      <c r="C4" s="48" t="s">
        <v>8</v>
      </c>
      <c r="D4" s="48" t="s">
        <v>9</v>
      </c>
      <c r="E4" s="48" t="s">
        <v>10</v>
      </c>
      <c r="F4" s="48" t="s">
        <v>11</v>
      </c>
      <c r="G4" s="48" t="s">
        <v>12</v>
      </c>
      <c r="H4" s="49" t="s">
        <v>13</v>
      </c>
      <c r="I4" s="48" t="s">
        <v>14</v>
      </c>
      <c r="J4" s="48" t="s">
        <v>15</v>
      </c>
      <c r="K4" s="37" t="s">
        <v>16</v>
      </c>
      <c r="L4" s="191" t="s">
        <v>145</v>
      </c>
      <c r="M4" s="191"/>
      <c r="N4" s="36"/>
      <c r="O4" s="1" t="s">
        <v>0</v>
      </c>
      <c r="P4" s="3" t="s">
        <v>8</v>
      </c>
      <c r="Q4" s="3" t="s">
        <v>9</v>
      </c>
      <c r="R4" s="3" t="s">
        <v>10</v>
      </c>
      <c r="S4" s="3" t="s">
        <v>11</v>
      </c>
      <c r="T4" s="3" t="s">
        <v>12</v>
      </c>
      <c r="U4" s="24" t="s">
        <v>13</v>
      </c>
      <c r="V4" s="3" t="s">
        <v>14</v>
      </c>
      <c r="W4" s="3" t="s">
        <v>15</v>
      </c>
      <c r="X4" s="4" t="s">
        <v>16</v>
      </c>
      <c r="Y4" s="5"/>
      <c r="Z4" s="36"/>
      <c r="AA4" s="153" t="s">
        <v>0</v>
      </c>
      <c r="AB4" s="187" t="s">
        <v>8</v>
      </c>
      <c r="AC4" s="187" t="s">
        <v>9</v>
      </c>
      <c r="AD4" s="187" t="s">
        <v>10</v>
      </c>
      <c r="AE4" s="187" t="s">
        <v>11</v>
      </c>
      <c r="AF4" s="187" t="s">
        <v>12</v>
      </c>
      <c r="AG4" s="187" t="s">
        <v>13</v>
      </c>
      <c r="AH4" s="187" t="s">
        <v>14</v>
      </c>
      <c r="AI4" s="187" t="s">
        <v>15</v>
      </c>
      <c r="AJ4" s="188" t="s">
        <v>16</v>
      </c>
      <c r="AK4" s="141"/>
      <c r="AL4" s="141"/>
      <c r="AM4" s="1" t="s">
        <v>0</v>
      </c>
      <c r="AN4" s="149" t="s">
        <v>8</v>
      </c>
      <c r="AO4" s="149" t="s">
        <v>9</v>
      </c>
      <c r="AP4" s="149" t="s">
        <v>10</v>
      </c>
      <c r="AQ4" s="149" t="s">
        <v>11</v>
      </c>
      <c r="AR4" s="149" t="s">
        <v>12</v>
      </c>
      <c r="AS4" s="151" t="s">
        <v>13</v>
      </c>
      <c r="AT4" s="149" t="s">
        <v>14</v>
      </c>
      <c r="AU4" s="149" t="s">
        <v>15</v>
      </c>
      <c r="AV4" s="150" t="s">
        <v>16</v>
      </c>
    </row>
    <row r="5" spans="1:48" ht="15.75" thickTop="1" x14ac:dyDescent="0.25">
      <c r="A5" s="8"/>
      <c r="B5" s="100" t="s">
        <v>153</v>
      </c>
      <c r="C5" s="96">
        <v>3.2390756071100077</v>
      </c>
      <c r="D5" s="96">
        <v>0.82391374045451504</v>
      </c>
      <c r="E5" s="96">
        <v>0.51669002956985932</v>
      </c>
      <c r="F5" s="96">
        <v>0.46531308433362573</v>
      </c>
      <c r="G5" s="96">
        <v>0.487786820888785</v>
      </c>
      <c r="H5" s="96">
        <v>0.6679170971484899</v>
      </c>
      <c r="I5" s="96">
        <v>0.63588740006108824</v>
      </c>
      <c r="J5" s="96">
        <v>0.30433675183203901</v>
      </c>
      <c r="K5" s="100">
        <v>0.98108701918227614</v>
      </c>
      <c r="L5">
        <v>100</v>
      </c>
      <c r="N5" s="36"/>
      <c r="O5" s="8" t="s">
        <v>54</v>
      </c>
      <c r="P5" s="96">
        <v>2.7801175121740633</v>
      </c>
      <c r="Q5" s="96">
        <v>1.9886231149634266</v>
      </c>
      <c r="R5" s="96">
        <v>0.21740221520732303</v>
      </c>
      <c r="S5" s="96">
        <v>0.16413671699672708</v>
      </c>
      <c r="T5" s="96">
        <v>0.17328457028898378</v>
      </c>
      <c r="U5" s="96">
        <v>0.21404450471840292</v>
      </c>
      <c r="V5" s="96">
        <v>0.47377104219657373</v>
      </c>
      <c r="W5" s="96">
        <v>0.13634975491086282</v>
      </c>
      <c r="X5" s="104">
        <v>0.66465497570163012</v>
      </c>
      <c r="Y5" s="141"/>
      <c r="Z5" s="36"/>
      <c r="AA5" s="6" t="s">
        <v>48</v>
      </c>
      <c r="AB5" s="96">
        <v>3.2379746819893498</v>
      </c>
      <c r="AC5" s="96">
        <v>1.2244188054354843</v>
      </c>
      <c r="AD5" s="96">
        <v>0.40857107390140135</v>
      </c>
      <c r="AE5" s="96">
        <v>0.61358376822658889</v>
      </c>
      <c r="AF5" s="96">
        <v>0.52567006094047497</v>
      </c>
      <c r="AG5" s="99">
        <v>0.24826904034046651</v>
      </c>
      <c r="AH5" s="96">
        <v>0.26871320317289465</v>
      </c>
      <c r="AI5" s="96">
        <v>0.44582741980049667</v>
      </c>
      <c r="AJ5" s="100">
        <v>0.73360661319030018</v>
      </c>
      <c r="AK5" s="141"/>
      <c r="AL5" s="36"/>
      <c r="AM5" s="22" t="s">
        <v>18</v>
      </c>
      <c r="AN5" s="109"/>
      <c r="AO5" s="110"/>
      <c r="AP5" s="110"/>
      <c r="AQ5" s="110"/>
      <c r="AR5" s="110"/>
      <c r="AS5" s="110"/>
      <c r="AT5" s="110"/>
      <c r="AU5" s="110"/>
      <c r="AV5" s="111"/>
    </row>
    <row r="6" spans="1:48" ht="15" customHeight="1" x14ac:dyDescent="0.25">
      <c r="A6" s="8" t="s">
        <v>380</v>
      </c>
      <c r="B6" s="104" t="s">
        <v>157</v>
      </c>
      <c r="C6" s="96">
        <v>3.3160711000411363</v>
      </c>
      <c r="D6" s="96">
        <v>0.96456606347947593</v>
      </c>
      <c r="E6" s="96">
        <v>0.2823626280256637</v>
      </c>
      <c r="F6" s="96">
        <v>0.27795584806993723</v>
      </c>
      <c r="G6" s="96">
        <v>0.43308682916872848</v>
      </c>
      <c r="H6" s="96">
        <v>0.56985622711865924</v>
      </c>
      <c r="I6" s="96">
        <v>0.30720084232157668</v>
      </c>
      <c r="J6" s="96">
        <v>0.19504880605905495</v>
      </c>
      <c r="K6" s="104">
        <v>0.42336417828738787</v>
      </c>
      <c r="L6">
        <v>120</v>
      </c>
      <c r="N6" s="8"/>
      <c r="O6" s="8" t="s">
        <v>56</v>
      </c>
      <c r="P6" s="96"/>
      <c r="Q6" s="96">
        <v>0.94504849051945394</v>
      </c>
      <c r="R6" s="96">
        <v>1.0838798980723405</v>
      </c>
      <c r="S6" s="96">
        <v>0.7948267828359683</v>
      </c>
      <c r="T6" s="96">
        <v>0.27353348488811041</v>
      </c>
      <c r="U6" s="96">
        <v>0.32714549365366763</v>
      </c>
      <c r="V6" s="96">
        <v>0.53668821698082092</v>
      </c>
      <c r="W6" s="96">
        <v>0.30383833450565334</v>
      </c>
      <c r="X6" s="104">
        <v>0.84633948446066698</v>
      </c>
      <c r="Y6" s="141"/>
      <c r="Z6" s="36" t="s">
        <v>380</v>
      </c>
      <c r="AA6" s="6" t="s">
        <v>50</v>
      </c>
      <c r="AB6" s="96">
        <v>2.5229606637205615</v>
      </c>
      <c r="AC6" s="96">
        <v>1.1047571486274532</v>
      </c>
      <c r="AD6" s="96">
        <v>0.27397636570877021</v>
      </c>
      <c r="AE6" s="96">
        <v>0.2646930307392667</v>
      </c>
      <c r="AF6" s="96">
        <v>0.26355347691164011</v>
      </c>
      <c r="AG6" s="103">
        <v>0.12837822060120638</v>
      </c>
      <c r="AH6" s="96">
        <v>0.13276377624086028</v>
      </c>
      <c r="AI6" s="96">
        <v>0.27783818701350482</v>
      </c>
      <c r="AJ6" s="104">
        <v>0.30706946928883555</v>
      </c>
      <c r="AK6" s="141"/>
      <c r="AL6" s="36"/>
      <c r="AM6" s="8" t="s">
        <v>21</v>
      </c>
      <c r="AN6" s="107">
        <v>3.3707913267523337</v>
      </c>
      <c r="AO6" s="108">
        <v>1.5933970779007212</v>
      </c>
      <c r="AP6" s="108">
        <v>0.19709576163540307</v>
      </c>
      <c r="AQ6" s="108">
        <v>0.191712663399252</v>
      </c>
      <c r="AR6" s="108">
        <v>0.6055605234004936</v>
      </c>
      <c r="AS6" s="108">
        <v>0.53013799316870647</v>
      </c>
      <c r="AT6" s="108">
        <v>0.6343351693880831</v>
      </c>
      <c r="AU6" s="108">
        <v>0.50438869909405604</v>
      </c>
      <c r="AV6" s="104">
        <v>1.2831632955658034</v>
      </c>
    </row>
    <row r="7" spans="1:48" ht="15.75" thickBot="1" x14ac:dyDescent="0.3">
      <c r="A7" s="8"/>
      <c r="B7" s="104" t="s">
        <v>158</v>
      </c>
      <c r="C7" s="96">
        <v>4.0853438022603905</v>
      </c>
      <c r="D7" s="96">
        <v>1.5397473776842918</v>
      </c>
      <c r="E7" s="96">
        <v>0.45741758751047706</v>
      </c>
      <c r="F7" s="96">
        <v>0.39777505767406862</v>
      </c>
      <c r="G7" s="96">
        <v>0.39136519604031184</v>
      </c>
      <c r="H7" s="96">
        <v>0.74299541327982532</v>
      </c>
      <c r="I7" s="96">
        <v>0.62171343517495359</v>
      </c>
      <c r="J7" s="96">
        <v>0.50179971599574902</v>
      </c>
      <c r="K7" s="104">
        <v>1.1248444301254057</v>
      </c>
      <c r="L7">
        <v>100</v>
      </c>
      <c r="N7" s="8"/>
      <c r="O7" s="8" t="s">
        <v>58</v>
      </c>
      <c r="P7" s="96">
        <v>1.9276000000000002</v>
      </c>
      <c r="Q7" s="96">
        <v>0.82972000000000001</v>
      </c>
      <c r="R7" s="96">
        <v>0.14709333333333333</v>
      </c>
      <c r="S7" s="96">
        <v>0.17254</v>
      </c>
      <c r="T7" s="96">
        <v>0.53300666666666663</v>
      </c>
      <c r="U7" s="96">
        <v>0.42238000000000003</v>
      </c>
      <c r="V7" s="96">
        <v>0.57267999999999997</v>
      </c>
      <c r="W7" s="96">
        <v>0.22384666666666667</v>
      </c>
      <c r="X7" s="104">
        <v>1.0158933333333335</v>
      </c>
      <c r="Y7" s="141"/>
      <c r="Z7" s="36"/>
      <c r="AA7" s="12" t="s">
        <v>52</v>
      </c>
      <c r="AB7" s="105">
        <v>2.7890346478855204</v>
      </c>
      <c r="AC7" s="105">
        <v>0.67936660048285613</v>
      </c>
      <c r="AD7" s="105">
        <v>0.4718591677692463</v>
      </c>
      <c r="AE7" s="105">
        <v>0.35903506303632082</v>
      </c>
      <c r="AF7" s="105">
        <v>0.55484430196680989</v>
      </c>
      <c r="AG7" s="114">
        <v>0.22831032042646737</v>
      </c>
      <c r="AH7" s="105">
        <v>0.42808528135498797</v>
      </c>
      <c r="AI7" s="105">
        <v>0.30120276075014779</v>
      </c>
      <c r="AJ7" s="106">
        <v>0.99140305506499671</v>
      </c>
      <c r="AK7" s="141"/>
      <c r="AL7" s="36"/>
      <c r="AM7" s="8" t="s">
        <v>23</v>
      </c>
      <c r="AN7" s="107">
        <v>1.4761358593616658</v>
      </c>
      <c r="AO7" s="108">
        <v>0.50415429254138933</v>
      </c>
      <c r="AP7" s="108">
        <v>0.20186379928315409</v>
      </c>
      <c r="AQ7" s="108">
        <v>0.26811401263014162</v>
      </c>
      <c r="AR7" s="108">
        <v>0.14216760539341183</v>
      </c>
      <c r="AS7" s="108">
        <v>0.54636627410820959</v>
      </c>
      <c r="AT7" s="108">
        <v>0.25082778631165725</v>
      </c>
      <c r="AU7" s="108">
        <v>0.18121863799283153</v>
      </c>
      <c r="AV7" s="104">
        <v>0.58350571769926618</v>
      </c>
    </row>
    <row r="8" spans="1:48" ht="15" customHeight="1" x14ac:dyDescent="0.25">
      <c r="A8" s="8"/>
      <c r="B8" s="104" t="s">
        <v>159</v>
      </c>
      <c r="C8" s="96">
        <v>2.6188773657271791</v>
      </c>
      <c r="D8" s="96">
        <v>0.78847730072717681</v>
      </c>
      <c r="E8" s="96">
        <v>0.35870455819263342</v>
      </c>
      <c r="F8" s="96">
        <v>0.33391819367607217</v>
      </c>
      <c r="G8" s="96">
        <v>0.32946364806333972</v>
      </c>
      <c r="H8" s="96">
        <v>0.7897318462262729</v>
      </c>
      <c r="I8" s="96">
        <v>0.33046819355355794</v>
      </c>
      <c r="J8" s="96">
        <v>0.42166365133748762</v>
      </c>
      <c r="K8" s="104">
        <v>0.80219093757780313</v>
      </c>
      <c r="L8">
        <v>100</v>
      </c>
      <c r="N8" s="8" t="s">
        <v>380</v>
      </c>
      <c r="O8" s="8" t="s">
        <v>60</v>
      </c>
      <c r="P8" s="96">
        <v>2.3256387903162534</v>
      </c>
      <c r="Q8" s="96">
        <v>0.73807252886581287</v>
      </c>
      <c r="R8" s="96">
        <v>0.13080641118061087</v>
      </c>
      <c r="S8" s="96">
        <v>0.21875716741747714</v>
      </c>
      <c r="T8" s="96">
        <v>0.3620292467538006</v>
      </c>
      <c r="U8" s="96">
        <v>0.43223938894169484</v>
      </c>
      <c r="V8" s="96">
        <v>0.7236385973170929</v>
      </c>
      <c r="W8" s="96">
        <v>0.28898480527997589</v>
      </c>
      <c r="X8" s="104">
        <v>1.2150920969577483</v>
      </c>
      <c r="Y8" s="141"/>
      <c r="AA8" s="146" t="s">
        <v>367</v>
      </c>
      <c r="AB8" s="142">
        <f t="shared" ref="AB8:AJ8" si="0">AVERAGE(AB5:AB7)</f>
        <v>2.8499899978651442</v>
      </c>
      <c r="AC8" s="142">
        <f t="shared" si="0"/>
        <v>1.0028475181819312</v>
      </c>
      <c r="AD8" s="142">
        <f t="shared" si="0"/>
        <v>0.38480220245980595</v>
      </c>
      <c r="AE8" s="142">
        <f t="shared" si="0"/>
        <v>0.41243728733405877</v>
      </c>
      <c r="AF8" s="142">
        <f t="shared" si="0"/>
        <v>0.44802261327297499</v>
      </c>
      <c r="AG8" s="142">
        <f t="shared" si="0"/>
        <v>0.20165252712271342</v>
      </c>
      <c r="AH8" s="142">
        <f t="shared" si="0"/>
        <v>0.276520753589581</v>
      </c>
      <c r="AI8" s="142">
        <f t="shared" si="0"/>
        <v>0.34162278918804972</v>
      </c>
      <c r="AJ8" s="142">
        <f t="shared" si="0"/>
        <v>0.67735971251471083</v>
      </c>
      <c r="AK8" s="141"/>
      <c r="AL8" s="36"/>
      <c r="AM8" s="8" t="s">
        <v>25</v>
      </c>
      <c r="AN8" s="107">
        <v>2.7184172601774876</v>
      </c>
      <c r="AO8" s="108">
        <v>1.2769412459343707</v>
      </c>
      <c r="AP8" s="108">
        <v>0.49647061524258762</v>
      </c>
      <c r="AQ8" s="108">
        <v>0.31336365341017219</v>
      </c>
      <c r="AR8" s="108">
        <v>0.40442248189305441</v>
      </c>
      <c r="AS8" s="108">
        <v>0.37354547486579565</v>
      </c>
      <c r="AT8" s="108">
        <v>0.41787702807950794</v>
      </c>
      <c r="AU8" s="108">
        <v>0.21675937008017063</v>
      </c>
      <c r="AV8" s="104">
        <v>0.63019254765055976</v>
      </c>
    </row>
    <row r="9" spans="1:48" ht="15.75" x14ac:dyDescent="0.25">
      <c r="A9" s="8"/>
      <c r="B9" s="104" t="s">
        <v>160</v>
      </c>
      <c r="C9" s="96">
        <v>4.0230971428791369</v>
      </c>
      <c r="D9" s="96">
        <v>0.85917896436757368</v>
      </c>
      <c r="E9" s="96">
        <v>0.53097952080090915</v>
      </c>
      <c r="F9" s="96">
        <v>0.45913787198844136</v>
      </c>
      <c r="G9" s="96">
        <v>0.5788974137552616</v>
      </c>
      <c r="H9" s="96">
        <v>1.2013021628759313</v>
      </c>
      <c r="I9" s="96">
        <v>0.65767747962586875</v>
      </c>
      <c r="J9" s="96">
        <v>0.53370679377811525</v>
      </c>
      <c r="K9" s="104">
        <v>1.3915133240023208</v>
      </c>
      <c r="L9">
        <v>100</v>
      </c>
      <c r="N9" s="8" t="s">
        <v>380</v>
      </c>
      <c r="O9" s="6" t="s">
        <v>62</v>
      </c>
      <c r="P9" s="96">
        <v>1.3903019077023142</v>
      </c>
      <c r="Q9" s="96"/>
      <c r="R9" s="96">
        <v>0.10120059473958701</v>
      </c>
      <c r="S9" s="96">
        <v>0.17686463612737638</v>
      </c>
      <c r="T9" s="96">
        <v>0.67031270351543593</v>
      </c>
      <c r="U9" s="96">
        <v>0.40894855311630218</v>
      </c>
      <c r="V9" s="96">
        <v>0.45790250413916539</v>
      </c>
      <c r="W9" s="96">
        <v>0.45481833248482745</v>
      </c>
      <c r="X9" s="104">
        <v>1.0848864753723544</v>
      </c>
      <c r="Y9" s="141"/>
      <c r="AA9" s="146" t="s">
        <v>368</v>
      </c>
      <c r="AB9" s="142">
        <f t="shared" ref="AB9:AJ9" si="1">_xlfn.STDEV.S(AB5:AB7)</f>
        <v>0.36138335268599503</v>
      </c>
      <c r="AC9" s="142">
        <f t="shared" si="1"/>
        <v>0.28646056642073375</v>
      </c>
      <c r="AD9" s="142">
        <f t="shared" si="1"/>
        <v>0.10105998354953216</v>
      </c>
      <c r="AE9" s="142">
        <f t="shared" si="1"/>
        <v>0.18047170095633097</v>
      </c>
      <c r="AF9" s="142">
        <f t="shared" si="1"/>
        <v>0.16041954615098564</v>
      </c>
      <c r="AG9" s="142">
        <f t="shared" si="1"/>
        <v>6.4237299307389931E-2</v>
      </c>
      <c r="AH9" s="142">
        <f t="shared" si="1"/>
        <v>0.14781548034069453</v>
      </c>
      <c r="AI9" s="142">
        <f t="shared" si="1"/>
        <v>9.0996865920102851E-2</v>
      </c>
      <c r="AJ9" s="142">
        <f t="shared" si="1"/>
        <v>0.34561669452157806</v>
      </c>
      <c r="AK9" s="141"/>
      <c r="AL9" s="36"/>
      <c r="AM9" s="8" t="s">
        <v>27</v>
      </c>
      <c r="AN9" s="107">
        <v>2.053518113262669</v>
      </c>
      <c r="AO9" s="108"/>
      <c r="AP9" s="108">
        <v>0.32360002592948922</v>
      </c>
      <c r="AQ9" s="108"/>
      <c r="AR9" s="108">
        <v>0.47508208934952634</v>
      </c>
      <c r="AS9" s="108">
        <v>0.72312313486563573</v>
      </c>
      <c r="AT9" s="108">
        <v>0.58236927743343558</v>
      </c>
      <c r="AU9" s="108">
        <v>0.37598977371712933</v>
      </c>
      <c r="AV9" s="104">
        <v>0.97390264213963473</v>
      </c>
    </row>
    <row r="10" spans="1:48" ht="15" customHeight="1" x14ac:dyDescent="0.25">
      <c r="A10" s="8"/>
      <c r="B10" s="104" t="s">
        <v>262</v>
      </c>
      <c r="C10" s="96">
        <v>4.3470210772833724</v>
      </c>
      <c r="D10" s="96">
        <v>1.7073793911007027</v>
      </c>
      <c r="E10" s="96">
        <v>0.37079859484777522</v>
      </c>
      <c r="F10" s="96">
        <v>0.38648711943793918</v>
      </c>
      <c r="G10" s="96">
        <v>0.67413583138173305</v>
      </c>
      <c r="H10" s="96">
        <v>0.69382201405152244</v>
      </c>
      <c r="I10" s="96">
        <v>0.92385245901639346</v>
      </c>
      <c r="J10" s="96">
        <v>0.55264637002341921</v>
      </c>
      <c r="K10" s="104">
        <v>1.5171007025761123</v>
      </c>
      <c r="L10">
        <v>125</v>
      </c>
      <c r="N10" s="8"/>
      <c r="O10" s="6" t="s">
        <v>65</v>
      </c>
      <c r="P10" s="96"/>
      <c r="Q10" s="96"/>
      <c r="R10" s="96"/>
      <c r="S10" s="96"/>
      <c r="T10" s="96"/>
      <c r="U10" s="96"/>
      <c r="V10" s="96"/>
      <c r="W10" s="96"/>
      <c r="X10" s="104"/>
      <c r="Y10" s="141"/>
      <c r="AA10" s="146" t="s">
        <v>369</v>
      </c>
      <c r="AB10" s="147">
        <f t="shared" ref="AB10:AJ10" si="2">COUNT(AB5:AB7)</f>
        <v>3</v>
      </c>
      <c r="AC10" s="147">
        <f t="shared" si="2"/>
        <v>3</v>
      </c>
      <c r="AD10" s="147">
        <f t="shared" si="2"/>
        <v>3</v>
      </c>
      <c r="AE10" s="147">
        <f t="shared" si="2"/>
        <v>3</v>
      </c>
      <c r="AF10" s="147">
        <f t="shared" si="2"/>
        <v>3</v>
      </c>
      <c r="AG10" s="147">
        <f t="shared" si="2"/>
        <v>3</v>
      </c>
      <c r="AH10" s="147">
        <f t="shared" si="2"/>
        <v>3</v>
      </c>
      <c r="AI10" s="147">
        <f t="shared" si="2"/>
        <v>3</v>
      </c>
      <c r="AJ10" s="147">
        <f t="shared" si="2"/>
        <v>3</v>
      </c>
      <c r="AK10" s="141"/>
      <c r="AL10" s="36" t="s">
        <v>380</v>
      </c>
      <c r="AM10" s="8" t="s">
        <v>29</v>
      </c>
      <c r="AN10" s="107">
        <v>3.5578552293679495</v>
      </c>
      <c r="AO10" s="108">
        <v>1.4328364310522657</v>
      </c>
      <c r="AP10" s="108">
        <v>0.48117608486713553</v>
      </c>
      <c r="AQ10" s="108">
        <v>0.52862891350141139</v>
      </c>
      <c r="AR10" s="108">
        <v>0.78462261580769732</v>
      </c>
      <c r="AS10" s="108">
        <v>0.20174842106432062</v>
      </c>
      <c r="AT10" s="108">
        <v>0.74935846601944234</v>
      </c>
      <c r="AU10" s="108">
        <v>0.21649055894619498</v>
      </c>
      <c r="AV10" s="104">
        <v>1.0001005961707088</v>
      </c>
    </row>
    <row r="11" spans="1:48" ht="15" customHeight="1" x14ac:dyDescent="0.25">
      <c r="A11" s="8"/>
      <c r="B11" s="104" t="s">
        <v>94</v>
      </c>
      <c r="C11" s="96">
        <v>3.9940957349645716</v>
      </c>
      <c r="D11" s="96">
        <v>1.21434132951901</v>
      </c>
      <c r="E11" s="96">
        <v>0.21439565661796212</v>
      </c>
      <c r="F11" s="96">
        <v>0.20505652598959559</v>
      </c>
      <c r="G11" s="96">
        <v>0.23687609186655115</v>
      </c>
      <c r="H11" s="96">
        <v>0.86730653971688665</v>
      </c>
      <c r="I11" s="117"/>
      <c r="J11" s="117"/>
      <c r="K11" s="126"/>
      <c r="L11">
        <v>100</v>
      </c>
      <c r="N11" s="8"/>
      <c r="O11" s="6" t="s">
        <v>67</v>
      </c>
      <c r="P11" s="96">
        <v>3.1852657554816965</v>
      </c>
      <c r="Q11" s="96">
        <v>1.4226068736783999</v>
      </c>
      <c r="R11" s="96">
        <v>0.54959535148507066</v>
      </c>
      <c r="S11" s="96">
        <v>0.46655489271945733</v>
      </c>
      <c r="T11" s="96">
        <v>0.65415026016893651</v>
      </c>
      <c r="U11" s="96">
        <v>0.24841039366923554</v>
      </c>
      <c r="V11" s="108">
        <v>0.24199999999999999</v>
      </c>
      <c r="W11" s="96">
        <v>0.59556066737704882</v>
      </c>
      <c r="X11" s="104">
        <v>0.75894794340856975</v>
      </c>
      <c r="Y11" s="141"/>
      <c r="AB11" s="96"/>
      <c r="AC11" s="96"/>
      <c r="AD11" s="96"/>
      <c r="AE11" s="96"/>
      <c r="AF11" s="96"/>
      <c r="AG11" s="96"/>
      <c r="AH11" s="96"/>
      <c r="AI11" s="96"/>
      <c r="AJ11" s="96"/>
      <c r="AK11" s="141"/>
      <c r="AL11" s="36" t="s">
        <v>380</v>
      </c>
      <c r="AM11" s="8" t="s">
        <v>31</v>
      </c>
      <c r="AN11" s="107">
        <v>4.2205166666666667</v>
      </c>
      <c r="AO11" s="108">
        <v>1.7646833333333334</v>
      </c>
      <c r="AP11" s="108">
        <v>0.36100833333333326</v>
      </c>
      <c r="AQ11" s="108">
        <v>0.16195833333333332</v>
      </c>
      <c r="AR11" s="108">
        <v>0.65074166666666666</v>
      </c>
      <c r="AS11" s="108">
        <v>0.55703333333333327</v>
      </c>
      <c r="AT11" s="108">
        <v>0.24007499999999998</v>
      </c>
      <c r="AU11" s="108">
        <v>0.20473333333333332</v>
      </c>
      <c r="AV11" s="104">
        <v>0.63325833333333337</v>
      </c>
    </row>
    <row r="12" spans="1:48" x14ac:dyDescent="0.25">
      <c r="A12" s="8"/>
      <c r="B12" s="8" t="s">
        <v>97</v>
      </c>
      <c r="K12" s="8"/>
      <c r="L12">
        <v>100</v>
      </c>
      <c r="N12" s="8"/>
      <c r="O12" s="6" t="s">
        <v>69</v>
      </c>
      <c r="P12" s="96">
        <v>3.6081959884693777</v>
      </c>
      <c r="Q12" s="96">
        <v>1.0896176198917364</v>
      </c>
      <c r="R12" s="96">
        <v>0.52133332033509661</v>
      </c>
      <c r="S12" s="96">
        <v>0.61230390630225018</v>
      </c>
      <c r="T12" s="96">
        <v>1.1590587946309698</v>
      </c>
      <c r="U12" s="142">
        <v>0.20156862242533449</v>
      </c>
      <c r="V12" s="96">
        <v>0.72746076617617916</v>
      </c>
      <c r="W12" s="96">
        <v>0.43858822435893791</v>
      </c>
      <c r="X12" s="104">
        <v>0.86546076273546946</v>
      </c>
      <c r="Y12" s="141"/>
      <c r="AB12" s="96"/>
      <c r="AC12" s="96"/>
      <c r="AD12" s="96"/>
      <c r="AE12" s="96"/>
      <c r="AF12" s="96"/>
      <c r="AG12" s="96"/>
      <c r="AH12" s="96"/>
      <c r="AI12" s="96"/>
      <c r="AJ12" s="96"/>
      <c r="AK12" s="141"/>
      <c r="AL12" s="36"/>
      <c r="AM12" s="8" t="s">
        <v>33</v>
      </c>
      <c r="AN12" s="107">
        <v>3.1495527690903944</v>
      </c>
      <c r="AO12" s="108">
        <v>1.0626922687129596</v>
      </c>
      <c r="AP12" s="108">
        <v>0.58331969014240748</v>
      </c>
      <c r="AQ12" s="108">
        <v>0.52446632691652217</v>
      </c>
      <c r="AR12" s="108">
        <v>0.27247354769803034</v>
      </c>
      <c r="AS12" s="108">
        <v>0.59268026672214025</v>
      </c>
      <c r="AT12" s="108">
        <v>0.13162499517202048</v>
      </c>
      <c r="AU12" s="108">
        <v>0.7256105503078214</v>
      </c>
      <c r="AV12" s="104">
        <v>0.84191102681117314</v>
      </c>
    </row>
    <row r="13" spans="1:48" ht="15" customHeight="1" thickBot="1" x14ac:dyDescent="0.3">
      <c r="A13" s="8"/>
      <c r="B13" s="104" t="s">
        <v>100</v>
      </c>
      <c r="C13" s="96">
        <v>2.9996834367344078</v>
      </c>
      <c r="D13" s="96">
        <v>1.0499286286871021</v>
      </c>
      <c r="E13" s="96">
        <v>0.30902877490519093</v>
      </c>
      <c r="F13" s="96">
        <v>0.35924172663120663</v>
      </c>
      <c r="G13" s="96">
        <v>0.25297972751867898</v>
      </c>
      <c r="H13" s="96">
        <v>0.62195722034823187</v>
      </c>
      <c r="I13" s="96">
        <v>0.47789470090526581</v>
      </c>
      <c r="J13" s="96">
        <v>0.46710221518015704</v>
      </c>
      <c r="K13" s="104">
        <v>1.1285442702314337</v>
      </c>
      <c r="L13">
        <v>60</v>
      </c>
      <c r="N13" s="8" t="s">
        <v>380</v>
      </c>
      <c r="O13" s="12" t="s">
        <v>184</v>
      </c>
      <c r="P13" s="105">
        <v>3.6701086150013142</v>
      </c>
      <c r="Q13" s="105">
        <v>1.6415909939238003</v>
      </c>
      <c r="R13" s="105">
        <v>0.62303712283968904</v>
      </c>
      <c r="S13" s="105"/>
      <c r="T13" s="105">
        <v>0.87218598476279652</v>
      </c>
      <c r="U13" s="105">
        <v>1.2592540130867274</v>
      </c>
      <c r="V13" s="105">
        <v>1.2286053094420999</v>
      </c>
      <c r="W13" s="105">
        <v>0.53097906931271788</v>
      </c>
      <c r="X13" s="106">
        <v>1.6642151811585886</v>
      </c>
      <c r="Y13" s="141"/>
      <c r="AB13" s="96"/>
      <c r="AC13" s="96"/>
      <c r="AD13" s="96"/>
      <c r="AE13" s="96"/>
      <c r="AF13" s="96"/>
      <c r="AG13" s="96"/>
      <c r="AH13" s="96"/>
      <c r="AI13" s="96"/>
      <c r="AJ13" s="96"/>
      <c r="AK13" s="141"/>
      <c r="AL13" s="36"/>
      <c r="AM13" s="14" t="s">
        <v>43</v>
      </c>
      <c r="AN13" s="113">
        <v>2.68892679704848</v>
      </c>
      <c r="AO13" s="105">
        <v>0.58936561387781039</v>
      </c>
      <c r="AP13" s="105">
        <v>0.41984093864713951</v>
      </c>
      <c r="AQ13" s="105">
        <v>0.24937293620392659</v>
      </c>
      <c r="AR13" s="105">
        <v>0.78174952063101233</v>
      </c>
      <c r="AS13" s="105"/>
      <c r="AT13" s="105">
        <v>0.7549140552184056</v>
      </c>
      <c r="AU13" s="105">
        <v>0.25906946243517304</v>
      </c>
      <c r="AV13" s="106">
        <v>1.0265813235094456</v>
      </c>
    </row>
    <row r="14" spans="1:48" ht="15.75" x14ac:dyDescent="0.25">
      <c r="A14" s="8"/>
      <c r="B14" s="104" t="s">
        <v>102</v>
      </c>
      <c r="C14" s="96">
        <v>3.3521309434503572</v>
      </c>
      <c r="D14" s="117"/>
      <c r="E14" s="96">
        <v>0.38872569833873422</v>
      </c>
      <c r="F14" s="96">
        <v>0.27223986727504507</v>
      </c>
      <c r="G14" s="96">
        <v>0.28608964917359969</v>
      </c>
      <c r="H14" s="96">
        <v>0.45575966109405475</v>
      </c>
      <c r="I14" s="96">
        <v>0.71799917114529055</v>
      </c>
      <c r="J14" s="96">
        <v>0.7301075466433653</v>
      </c>
      <c r="K14" s="104">
        <v>1.6604106355313895</v>
      </c>
      <c r="L14">
        <v>60</v>
      </c>
      <c r="O14" s="146" t="s">
        <v>367</v>
      </c>
      <c r="P14" s="96">
        <f t="shared" ref="P14:X14" si="3">AVERAGE(P5:P13)</f>
        <v>2.6981755098778599</v>
      </c>
      <c r="Q14" s="96">
        <f t="shared" si="3"/>
        <v>1.2364685174060901</v>
      </c>
      <c r="R14" s="96">
        <f t="shared" si="3"/>
        <v>0.42179353089913135</v>
      </c>
      <c r="S14" s="96">
        <f t="shared" si="3"/>
        <v>0.37228344319989376</v>
      </c>
      <c r="T14" s="96">
        <f t="shared" si="3"/>
        <v>0.5871952139594625</v>
      </c>
      <c r="U14" s="96">
        <f t="shared" si="3"/>
        <v>0.43924887120142064</v>
      </c>
      <c r="V14" s="96">
        <f t="shared" si="3"/>
        <v>0.62034330453149145</v>
      </c>
      <c r="W14" s="96">
        <f t="shared" si="3"/>
        <v>0.37162073186208633</v>
      </c>
      <c r="X14" s="96">
        <f t="shared" si="3"/>
        <v>1.014436281641045</v>
      </c>
      <c r="Y14" s="141"/>
      <c r="AB14" s="142"/>
      <c r="AC14" s="142"/>
      <c r="AD14" s="142"/>
      <c r="AE14" s="142"/>
      <c r="AF14" s="142"/>
      <c r="AG14" s="142"/>
      <c r="AH14" s="142"/>
      <c r="AI14" s="142"/>
      <c r="AJ14" s="142"/>
      <c r="AK14" s="141"/>
      <c r="AL14" s="141"/>
      <c r="AM14" s="146" t="s">
        <v>367</v>
      </c>
      <c r="AN14" s="142">
        <f>AVERAGE(AN5:AN13)</f>
        <v>2.9044642527159561</v>
      </c>
      <c r="AO14" s="142">
        <f t="shared" ref="AO14:AV14" si="4">AVERAGE(AO5:AO13)</f>
        <v>1.1748671804789785</v>
      </c>
      <c r="AP14" s="142">
        <f t="shared" si="4"/>
        <v>0.38304690613508124</v>
      </c>
      <c r="AQ14" s="142">
        <f t="shared" si="4"/>
        <v>0.31965954848496558</v>
      </c>
      <c r="AR14" s="142">
        <f t="shared" si="4"/>
        <v>0.51460250635498661</v>
      </c>
      <c r="AS14" s="142">
        <f t="shared" si="4"/>
        <v>0.50351927116116302</v>
      </c>
      <c r="AT14" s="142">
        <f t="shared" si="4"/>
        <v>0.47017272220281903</v>
      </c>
      <c r="AU14" s="142">
        <f t="shared" si="4"/>
        <v>0.33553254823833878</v>
      </c>
      <c r="AV14" s="142">
        <f t="shared" si="4"/>
        <v>0.8715769353599907</v>
      </c>
    </row>
    <row r="15" spans="1:48" ht="15.75" x14ac:dyDescent="0.25">
      <c r="A15" s="8"/>
      <c r="B15" s="104" t="s">
        <v>104</v>
      </c>
      <c r="C15" s="96">
        <v>4.5138044333931875</v>
      </c>
      <c r="D15" s="96">
        <v>0.83178067821166835</v>
      </c>
      <c r="E15" s="96">
        <v>0.74413561448769716</v>
      </c>
      <c r="F15" s="96">
        <v>0.63058764828874359</v>
      </c>
      <c r="G15" s="96">
        <v>0.66871823373492634</v>
      </c>
      <c r="H15" s="96">
        <v>1.3316899656570935</v>
      </c>
      <c r="I15" s="96">
        <v>0.59877821483659588</v>
      </c>
      <c r="J15" s="96">
        <v>0.23469004365426255</v>
      </c>
      <c r="K15" s="104">
        <v>1.0763197895298247</v>
      </c>
      <c r="L15">
        <v>120</v>
      </c>
      <c r="O15" s="146" t="s">
        <v>368</v>
      </c>
      <c r="P15" s="142">
        <f t="shared" ref="P15:X15" si="5">_xlfn.STDEV.S(P5:P13)</f>
        <v>0.8621548792131708</v>
      </c>
      <c r="Q15" s="142">
        <f t="shared" si="5"/>
        <v>0.46275299085269861</v>
      </c>
      <c r="R15" s="142">
        <f t="shared" si="5"/>
        <v>0.34012354036021919</v>
      </c>
      <c r="S15" s="142">
        <f t="shared" si="5"/>
        <v>0.25495788312873235</v>
      </c>
      <c r="T15" s="142">
        <f t="shared" si="5"/>
        <v>0.32579156401812254</v>
      </c>
      <c r="U15" s="142">
        <f t="shared" si="5"/>
        <v>0.34431207454808793</v>
      </c>
      <c r="V15" s="142">
        <f t="shared" si="5"/>
        <v>0.29091255357497631</v>
      </c>
      <c r="W15" s="142">
        <f t="shared" si="5"/>
        <v>0.15836820429781648</v>
      </c>
      <c r="X15" s="142">
        <f t="shared" si="5"/>
        <v>0.31747040777460456</v>
      </c>
      <c r="Y15" s="141"/>
      <c r="Z15" s="141"/>
      <c r="AA15" s="141"/>
      <c r="AB15" s="142"/>
      <c r="AC15" s="142"/>
      <c r="AD15" s="142"/>
      <c r="AE15" s="142"/>
      <c r="AF15" s="142"/>
      <c r="AG15" s="142"/>
      <c r="AH15" s="142"/>
      <c r="AI15" s="142"/>
      <c r="AJ15" s="142"/>
      <c r="AK15" s="141"/>
      <c r="AL15" s="141"/>
      <c r="AM15" s="146" t="s">
        <v>368</v>
      </c>
      <c r="AN15" s="142">
        <f>_xlfn.STDEV.S(AN5:AN13)</f>
        <v>0.86863967996060132</v>
      </c>
      <c r="AO15" s="142">
        <f t="shared" ref="AO15:AV15" si="6">_xlfn.STDEV.S(AO5:AO13)</f>
        <v>0.4839539736468435</v>
      </c>
      <c r="AP15" s="142">
        <f t="shared" si="6"/>
        <v>0.13906937577824144</v>
      </c>
      <c r="AQ15" s="142">
        <f t="shared" si="6"/>
        <v>0.1497168878793273</v>
      </c>
      <c r="AR15" s="142">
        <f t="shared" si="6"/>
        <v>0.23364237256540671</v>
      </c>
      <c r="AS15" s="142">
        <f t="shared" si="6"/>
        <v>0.16809845857313502</v>
      </c>
      <c r="AT15" s="142">
        <f t="shared" si="6"/>
        <v>0.2440627109444819</v>
      </c>
      <c r="AU15" s="142">
        <f t="shared" si="6"/>
        <v>0.19174235635491968</v>
      </c>
      <c r="AV15" s="142">
        <f t="shared" si="6"/>
        <v>0.24475814452684086</v>
      </c>
    </row>
    <row r="16" spans="1:48" ht="15.75" x14ac:dyDescent="0.25">
      <c r="A16" s="8"/>
      <c r="B16" s="104" t="s">
        <v>106</v>
      </c>
      <c r="C16" s="96">
        <v>3.5776476058993505</v>
      </c>
      <c r="D16" s="96">
        <v>0.73969214957904417</v>
      </c>
      <c r="E16" s="96">
        <v>0.14217615905303516</v>
      </c>
      <c r="F16" s="96">
        <v>0.29106879137859593</v>
      </c>
      <c r="G16" s="96">
        <v>0.21802135447671397</v>
      </c>
      <c r="H16" s="96">
        <v>1.5947316215252831</v>
      </c>
      <c r="I16" s="96">
        <v>0.27823801140280563</v>
      </c>
      <c r="J16" s="96">
        <v>1.0641580252989571</v>
      </c>
      <c r="K16" s="104">
        <v>1.5470492933408844</v>
      </c>
      <c r="L16">
        <v>60</v>
      </c>
      <c r="O16" s="146" t="s">
        <v>369</v>
      </c>
      <c r="P16" s="141">
        <f t="shared" ref="P16:X16" si="7">COUNT(P5:P13)</f>
        <v>7</v>
      </c>
      <c r="Q16" s="141">
        <f t="shared" si="7"/>
        <v>7</v>
      </c>
      <c r="R16" s="141">
        <f t="shared" si="7"/>
        <v>8</v>
      </c>
      <c r="S16" s="141">
        <f t="shared" si="7"/>
        <v>7</v>
      </c>
      <c r="T16" s="141">
        <f t="shared" si="7"/>
        <v>8</v>
      </c>
      <c r="U16" s="141">
        <f t="shared" si="7"/>
        <v>8</v>
      </c>
      <c r="V16" s="141">
        <f t="shared" si="7"/>
        <v>8</v>
      </c>
      <c r="W16" s="141">
        <f t="shared" si="7"/>
        <v>8</v>
      </c>
      <c r="X16" s="141">
        <f t="shared" si="7"/>
        <v>8</v>
      </c>
      <c r="Y16" s="141"/>
      <c r="Z16" s="141"/>
      <c r="AA16" s="141"/>
      <c r="AB16" s="142"/>
      <c r="AC16" s="142"/>
      <c r="AD16" s="142"/>
      <c r="AE16" s="142"/>
      <c r="AF16" s="142"/>
      <c r="AG16" s="142"/>
      <c r="AH16" s="142"/>
      <c r="AI16" s="142"/>
      <c r="AJ16" s="142"/>
      <c r="AK16" s="141"/>
      <c r="AL16" s="141"/>
      <c r="AM16" s="146" t="s">
        <v>369</v>
      </c>
      <c r="AN16" s="147">
        <f>COUNT(AN5:AN13)</f>
        <v>8</v>
      </c>
      <c r="AO16" s="147">
        <f t="shared" ref="AO16:AV16" si="8">COUNT(AO5:AO13)</f>
        <v>7</v>
      </c>
      <c r="AP16" s="147">
        <f t="shared" si="8"/>
        <v>8</v>
      </c>
      <c r="AQ16" s="147">
        <f t="shared" si="8"/>
        <v>7</v>
      </c>
      <c r="AR16" s="147">
        <f t="shared" si="8"/>
        <v>8</v>
      </c>
      <c r="AS16" s="147">
        <f t="shared" si="8"/>
        <v>7</v>
      </c>
      <c r="AT16" s="147">
        <f t="shared" si="8"/>
        <v>8</v>
      </c>
      <c r="AU16" s="147">
        <f t="shared" si="8"/>
        <v>8</v>
      </c>
      <c r="AV16" s="147">
        <f t="shared" si="8"/>
        <v>8</v>
      </c>
    </row>
    <row r="17" spans="1:48" ht="15" customHeight="1" x14ac:dyDescent="0.25">
      <c r="A17" s="8"/>
      <c r="B17" s="104" t="s">
        <v>108</v>
      </c>
      <c r="C17" s="96">
        <v>3.5476167964593066</v>
      </c>
      <c r="D17" s="96">
        <v>1.8274541705895413</v>
      </c>
      <c r="E17" s="96">
        <v>0.2490204515990162</v>
      </c>
      <c r="F17" s="96">
        <v>0.30586985504734532</v>
      </c>
      <c r="G17" s="96">
        <v>0.34617273800965487</v>
      </c>
      <c r="H17" s="96">
        <v>0.63611138376124488</v>
      </c>
      <c r="I17" s="96">
        <v>0.46131618857041184</v>
      </c>
      <c r="J17" s="96">
        <v>0.26808172216698539</v>
      </c>
      <c r="K17" s="104">
        <v>0.80526845576302619</v>
      </c>
      <c r="L17">
        <v>120</v>
      </c>
      <c r="O17" s="141"/>
      <c r="P17" s="141"/>
      <c r="Q17" s="141"/>
      <c r="R17" s="141"/>
      <c r="S17" s="141"/>
      <c r="T17" s="141"/>
      <c r="U17" s="141"/>
      <c r="V17" s="141"/>
      <c r="W17" s="141"/>
      <c r="X17" s="141"/>
      <c r="Y17" s="141"/>
      <c r="Z17" s="141"/>
      <c r="AA17" s="141"/>
      <c r="AB17" s="142"/>
      <c r="AC17" s="142"/>
      <c r="AD17" s="142"/>
      <c r="AE17" s="142"/>
      <c r="AF17" s="142"/>
      <c r="AG17" s="142"/>
      <c r="AH17" s="142"/>
      <c r="AI17" s="142"/>
      <c r="AJ17" s="142"/>
      <c r="AK17" s="141"/>
      <c r="AL17" s="141"/>
    </row>
    <row r="18" spans="1:48" x14ac:dyDescent="0.25">
      <c r="A18" s="8"/>
      <c r="B18" s="104" t="s">
        <v>110</v>
      </c>
      <c r="C18" s="96">
        <v>3.0711636694479458</v>
      </c>
      <c r="D18" s="96">
        <v>0.94876392307038526</v>
      </c>
      <c r="E18" s="117"/>
      <c r="F18" s="96">
        <v>0.48285431148676805</v>
      </c>
      <c r="G18" s="96">
        <v>0.47740208993497801</v>
      </c>
      <c r="H18" s="96">
        <v>0.8925240256444944</v>
      </c>
      <c r="I18" s="96">
        <v>0.77635095678033605</v>
      </c>
      <c r="J18" s="96">
        <v>0.50453424259573065</v>
      </c>
      <c r="K18" s="104">
        <v>1.3808976153341153</v>
      </c>
      <c r="L18">
        <v>100</v>
      </c>
      <c r="O18" s="141"/>
      <c r="P18" s="141"/>
      <c r="Q18" s="141"/>
      <c r="R18" s="141"/>
      <c r="S18" s="141"/>
      <c r="T18" s="141"/>
      <c r="U18" s="141"/>
      <c r="V18" s="141"/>
      <c r="W18" s="141"/>
      <c r="X18" s="141"/>
      <c r="Y18" s="141"/>
      <c r="Z18" s="141"/>
      <c r="AA18" s="141"/>
      <c r="AB18" s="142"/>
      <c r="AC18" s="142"/>
      <c r="AD18" s="142"/>
      <c r="AE18" s="142"/>
      <c r="AF18" s="142"/>
      <c r="AG18" s="142"/>
      <c r="AH18" s="142"/>
      <c r="AI18" s="142"/>
      <c r="AJ18" s="142"/>
      <c r="AK18" s="141"/>
      <c r="AL18" s="141"/>
      <c r="AM18" s="141"/>
      <c r="AN18" s="141"/>
      <c r="AO18" s="141"/>
      <c r="AP18" s="141"/>
      <c r="AQ18" s="141"/>
      <c r="AR18" s="141"/>
      <c r="AS18" s="141"/>
      <c r="AT18" s="141"/>
      <c r="AU18" s="141"/>
    </row>
    <row r="19" spans="1:48" x14ac:dyDescent="0.25">
      <c r="A19" s="8"/>
      <c r="B19" s="104" t="s">
        <v>112</v>
      </c>
      <c r="C19" s="96">
        <v>3.5279185538621558</v>
      </c>
      <c r="D19" s="96">
        <v>0.90323566312605663</v>
      </c>
      <c r="E19" s="96">
        <v>0.47856847272151271</v>
      </c>
      <c r="F19" s="96">
        <v>0.4108354903167879</v>
      </c>
      <c r="G19" s="96">
        <v>0.23648688088807091</v>
      </c>
      <c r="H19" s="96">
        <v>1.0453580217681648</v>
      </c>
      <c r="I19" s="96">
        <v>0.48284502682367786</v>
      </c>
      <c r="J19" s="96">
        <v>0.67526610337869952</v>
      </c>
      <c r="K19" s="104">
        <v>1.1489198193635539</v>
      </c>
      <c r="L19">
        <v>100</v>
      </c>
      <c r="O19" s="141"/>
      <c r="P19" s="141"/>
      <c r="Q19" s="141"/>
      <c r="R19" s="141"/>
      <c r="S19" s="141"/>
      <c r="T19" s="141"/>
      <c r="U19" s="141"/>
      <c r="V19" s="141"/>
      <c r="W19" s="141"/>
      <c r="X19" s="141"/>
      <c r="Y19" s="141"/>
      <c r="Z19" s="141"/>
      <c r="AA19" s="141"/>
      <c r="AB19" s="141"/>
      <c r="AC19" s="141"/>
      <c r="AD19" s="141"/>
      <c r="AE19" s="141"/>
      <c r="AF19" s="141"/>
      <c r="AG19" s="141"/>
      <c r="AH19" s="142"/>
      <c r="AI19" s="142"/>
      <c r="AJ19" s="142"/>
      <c r="AK19" s="142"/>
      <c r="AL19" s="142"/>
      <c r="AM19" s="142"/>
    </row>
    <row r="20" spans="1:48" ht="18" customHeight="1" x14ac:dyDescent="0.25">
      <c r="A20" s="8"/>
      <c r="B20" s="104" t="s">
        <v>115</v>
      </c>
      <c r="C20" s="96">
        <v>3.3782749473499911</v>
      </c>
      <c r="D20" s="96">
        <v>0.84676964124990928</v>
      </c>
      <c r="E20" s="96">
        <v>0.40156067632952591</v>
      </c>
      <c r="F20" s="96">
        <v>0.47973751679964993</v>
      </c>
      <c r="G20" s="96">
        <v>0.41394300034081588</v>
      </c>
      <c r="H20" s="96">
        <v>0.6388289081065559</v>
      </c>
      <c r="I20" s="96">
        <v>0.23258012644327566</v>
      </c>
      <c r="J20" s="117"/>
      <c r="K20" s="104">
        <v>0.81448970986787583</v>
      </c>
      <c r="L20">
        <v>100</v>
      </c>
      <c r="U20" s="141"/>
      <c r="W20" s="141"/>
      <c r="X20" s="141"/>
      <c r="Y20" s="141"/>
      <c r="Z20" s="141"/>
      <c r="AB20" s="141"/>
      <c r="AC20" s="141"/>
      <c r="AD20" s="141"/>
      <c r="AE20" s="141"/>
      <c r="AF20" s="141"/>
      <c r="AG20" s="141"/>
      <c r="AH20" s="142"/>
      <c r="AI20" s="142"/>
      <c r="AJ20" s="142"/>
      <c r="AK20" s="142"/>
      <c r="AL20" s="142"/>
      <c r="AM20" s="142"/>
    </row>
    <row r="21" spans="1:48" x14ac:dyDescent="0.25">
      <c r="A21" s="8" t="s">
        <v>380</v>
      </c>
      <c r="B21" s="104" t="s">
        <v>118</v>
      </c>
      <c r="C21" s="96">
        <v>5.4205414924059001</v>
      </c>
      <c r="D21" s="96">
        <v>2.4235263042042705</v>
      </c>
      <c r="E21" s="96">
        <v>0.22890600924499233</v>
      </c>
      <c r="F21" s="96">
        <v>0.31206691613471277</v>
      </c>
      <c r="G21" s="96">
        <v>0.53692273827867054</v>
      </c>
      <c r="H21" s="96">
        <v>0.41824345146379055</v>
      </c>
      <c r="I21" s="96">
        <v>0.65061853400836467</v>
      </c>
      <c r="J21" s="96">
        <v>0.57488003521901843</v>
      </c>
      <c r="K21" s="104">
        <v>1.4346202949592786</v>
      </c>
      <c r="L21">
        <v>100</v>
      </c>
      <c r="AH21" s="142"/>
      <c r="AI21" s="142"/>
      <c r="AJ21" s="142"/>
      <c r="AK21" s="141"/>
      <c r="AL21" s="141"/>
    </row>
    <row r="22" spans="1:48" x14ac:dyDescent="0.25">
      <c r="A22" s="8" t="s">
        <v>380</v>
      </c>
      <c r="B22" s="104" t="s">
        <v>120</v>
      </c>
      <c r="C22" s="96">
        <v>4.2907268047552698</v>
      </c>
      <c r="D22" s="96">
        <v>1.0653172246937059</v>
      </c>
      <c r="E22" s="96">
        <v>0.13720408420279082</v>
      </c>
      <c r="F22" s="96">
        <v>0.17206610817051984</v>
      </c>
      <c r="G22" s="96">
        <v>0.80127185174429827</v>
      </c>
      <c r="H22" s="96">
        <v>1.453018566456324</v>
      </c>
      <c r="I22" s="96">
        <v>0.62159123207070177</v>
      </c>
      <c r="J22" s="96">
        <v>0.19133771399453206</v>
      </c>
      <c r="K22" s="104">
        <v>0.66041179347546075</v>
      </c>
      <c r="L22">
        <v>100</v>
      </c>
      <c r="Y22" s="141"/>
      <c r="Z22" s="141"/>
      <c r="AA22" s="141"/>
      <c r="AB22" s="142"/>
      <c r="AC22" s="142"/>
      <c r="AD22" s="142"/>
      <c r="AE22" s="142"/>
      <c r="AF22" s="142"/>
      <c r="AG22" s="142"/>
      <c r="AH22" s="142"/>
      <c r="AI22" s="142"/>
      <c r="AJ22" s="142"/>
      <c r="AK22" s="141"/>
      <c r="AL22" s="141"/>
    </row>
    <row r="23" spans="1:48" ht="15" customHeight="1" x14ac:dyDescent="0.25">
      <c r="A23" s="8"/>
      <c r="B23" s="104" t="s">
        <v>122</v>
      </c>
      <c r="C23" s="96">
        <v>2.6972480367168448</v>
      </c>
      <c r="D23" s="96">
        <v>0.58025131713370537</v>
      </c>
      <c r="E23" s="96">
        <v>0.19366837987942839</v>
      </c>
      <c r="F23" s="96">
        <v>0.21885742998529023</v>
      </c>
      <c r="G23" s="96">
        <v>0.34421953480350942</v>
      </c>
      <c r="H23" s="96">
        <v>1.0847861417555218</v>
      </c>
      <c r="I23" s="96">
        <v>0.27831695791728084</v>
      </c>
      <c r="J23" s="96">
        <v>0.77859197423491555</v>
      </c>
      <c r="K23" s="104">
        <v>0.93629733141944194</v>
      </c>
      <c r="L23">
        <v>100</v>
      </c>
      <c r="Y23" s="141"/>
      <c r="Z23" s="141"/>
      <c r="AA23" s="141"/>
      <c r="AB23" s="142"/>
      <c r="AC23" s="142"/>
      <c r="AD23" s="142"/>
      <c r="AE23" s="142"/>
      <c r="AF23" s="142"/>
      <c r="AG23" s="142"/>
      <c r="AH23" s="142"/>
      <c r="AI23" s="142"/>
      <c r="AJ23" s="142"/>
      <c r="AK23" s="141"/>
      <c r="AL23" s="141"/>
    </row>
    <row r="24" spans="1:48" x14ac:dyDescent="0.25">
      <c r="A24" s="8" t="s">
        <v>380</v>
      </c>
      <c r="B24" s="104" t="s">
        <v>124</v>
      </c>
      <c r="C24" s="96">
        <v>3.4172181793170813</v>
      </c>
      <c r="D24" s="96">
        <v>1.4734006568367197</v>
      </c>
      <c r="E24" s="96">
        <v>0.646041462407272</v>
      </c>
      <c r="F24" s="96">
        <v>0.43539545784107159</v>
      </c>
      <c r="G24" s="96">
        <v>0.54943068226224967</v>
      </c>
      <c r="H24" s="96">
        <v>0.10948528645167296</v>
      </c>
      <c r="I24" s="96">
        <v>0.2941021918789764</v>
      </c>
      <c r="J24" s="96">
        <v>0.24195824848820321</v>
      </c>
      <c r="K24" s="104">
        <v>0.57319520898542253</v>
      </c>
      <c r="L24">
        <v>100</v>
      </c>
      <c r="Y24" s="141"/>
      <c r="Z24" s="141"/>
      <c r="AA24" s="141"/>
      <c r="AB24" s="142"/>
      <c r="AC24" s="142"/>
      <c r="AD24" s="142"/>
      <c r="AE24" s="142"/>
      <c r="AF24" s="96"/>
      <c r="AG24" s="96"/>
      <c r="AH24" s="96"/>
      <c r="AI24" s="96"/>
      <c r="AJ24" s="96"/>
      <c r="AK24" s="141"/>
      <c r="AL24" s="141"/>
    </row>
    <row r="25" spans="1:48" ht="15" customHeight="1" thickBot="1" x14ac:dyDescent="0.3">
      <c r="A25" s="8"/>
      <c r="B25" s="106" t="s">
        <v>126</v>
      </c>
      <c r="C25" s="105">
        <v>2.6415404570851013</v>
      </c>
      <c r="D25" s="105">
        <v>0.49169482300732892</v>
      </c>
      <c r="E25" s="105">
        <v>0.29382512335021332</v>
      </c>
      <c r="F25" s="105">
        <v>0.32579747734461306</v>
      </c>
      <c r="G25" s="105">
        <v>0.65384550833661226</v>
      </c>
      <c r="H25" s="117"/>
      <c r="I25" s="105">
        <v>0.27739352427696834</v>
      </c>
      <c r="J25" s="105">
        <v>0.5419486629745297</v>
      </c>
      <c r="K25" s="106">
        <v>0.93089803963670381</v>
      </c>
      <c r="L25">
        <v>100</v>
      </c>
      <c r="Y25" s="141"/>
      <c r="Z25" s="141"/>
      <c r="AA25" s="141"/>
      <c r="AB25" s="142"/>
      <c r="AC25" s="142"/>
      <c r="AD25" s="142"/>
      <c r="AE25" s="142"/>
      <c r="AF25" s="96"/>
      <c r="AG25" s="96"/>
      <c r="AH25" s="96"/>
      <c r="AI25" s="96"/>
      <c r="AJ25" s="96"/>
      <c r="AK25" s="141"/>
      <c r="AL25" s="141"/>
    </row>
    <row r="26" spans="1:48" ht="15" customHeight="1" x14ac:dyDescent="0.25">
      <c r="A26" s="23"/>
      <c r="B26" s="146" t="s">
        <v>367</v>
      </c>
      <c r="C26" s="142">
        <f t="shared" ref="C26:K26" si="9">AVERAGE(C5:C25)</f>
        <v>3.6029548593571348</v>
      </c>
      <c r="D26" s="142">
        <f t="shared" si="9"/>
        <v>1.1094431235643254</v>
      </c>
      <c r="E26" s="142">
        <f t="shared" si="9"/>
        <v>0.36548470958340468</v>
      </c>
      <c r="F26" s="142">
        <f t="shared" si="9"/>
        <v>0.36111311489350151</v>
      </c>
      <c r="G26" s="142">
        <f t="shared" si="9"/>
        <v>0.44585579103337453</v>
      </c>
      <c r="H26" s="142">
        <f t="shared" si="9"/>
        <v>0.83239081865526421</v>
      </c>
      <c r="I26" s="142">
        <f t="shared" si="9"/>
        <v>0.5065697182533363</v>
      </c>
      <c r="J26" s="142">
        <f t="shared" si="9"/>
        <v>0.48788103460306786</v>
      </c>
      <c r="K26" s="142">
        <f t="shared" si="9"/>
        <v>1.070390676273143</v>
      </c>
      <c r="Y26" s="141"/>
      <c r="Z26" s="141"/>
      <c r="AA26" s="141"/>
      <c r="AB26" s="142"/>
      <c r="AC26" s="142"/>
      <c r="AD26" s="142"/>
      <c r="AE26" s="96"/>
      <c r="AF26" s="96"/>
      <c r="AG26" s="96"/>
      <c r="AH26" s="96"/>
      <c r="AI26" s="96"/>
      <c r="AJ26" s="96"/>
      <c r="AK26" s="141"/>
      <c r="AL26" s="141"/>
    </row>
    <row r="27" spans="1:48" ht="15" customHeight="1" x14ac:dyDescent="0.25">
      <c r="B27" s="146" t="s">
        <v>368</v>
      </c>
      <c r="C27" s="142">
        <f t="shared" ref="C27:K27" si="10">_xlfn.STDEV.S(C5:C25)</f>
        <v>0.70538706921235506</v>
      </c>
      <c r="D27" s="142">
        <f t="shared" si="10"/>
        <v>0.48390628212125403</v>
      </c>
      <c r="E27" s="142">
        <f t="shared" si="10"/>
        <v>0.16621144812574001</v>
      </c>
      <c r="F27" s="142">
        <f t="shared" si="10"/>
        <v>0.11226151498097202</v>
      </c>
      <c r="G27" s="142">
        <f t="shared" si="10"/>
        <v>0.17028480697752821</v>
      </c>
      <c r="H27" s="142">
        <f t="shared" si="10"/>
        <v>0.37615417370032872</v>
      </c>
      <c r="I27" s="142">
        <f t="shared" si="10"/>
        <v>0.20249392130009955</v>
      </c>
      <c r="J27" s="142">
        <f t="shared" si="10"/>
        <v>0.23171251234090856</v>
      </c>
      <c r="K27" s="142">
        <f t="shared" si="10"/>
        <v>0.35013277364303352</v>
      </c>
      <c r="Y27" s="141"/>
      <c r="Z27" s="141"/>
      <c r="AA27" s="141"/>
      <c r="AB27" s="142"/>
      <c r="AC27" s="142"/>
      <c r="AD27" s="142"/>
      <c r="AE27" s="142"/>
      <c r="AF27" s="142"/>
      <c r="AG27" s="142"/>
      <c r="AH27" s="96"/>
      <c r="AI27" s="96"/>
      <c r="AJ27" s="96"/>
      <c r="AK27" s="141"/>
      <c r="AL27" s="141"/>
    </row>
    <row r="28" spans="1:48" ht="15" customHeight="1" x14ac:dyDescent="0.25">
      <c r="B28" s="146" t="s">
        <v>369</v>
      </c>
      <c r="C28" s="147">
        <f t="shared" ref="C28:K28" si="11">COUNT(C5:C25)</f>
        <v>20</v>
      </c>
      <c r="D28" s="147">
        <f t="shared" si="11"/>
        <v>19</v>
      </c>
      <c r="E28" s="147">
        <f t="shared" si="11"/>
        <v>19</v>
      </c>
      <c r="F28" s="147">
        <f t="shared" si="11"/>
        <v>20</v>
      </c>
      <c r="G28" s="147">
        <f t="shared" si="11"/>
        <v>20</v>
      </c>
      <c r="H28" s="147">
        <f t="shared" si="11"/>
        <v>19</v>
      </c>
      <c r="I28" s="147">
        <f t="shared" si="11"/>
        <v>19</v>
      </c>
      <c r="J28" s="147">
        <f t="shared" si="11"/>
        <v>18</v>
      </c>
      <c r="K28" s="147">
        <f t="shared" si="11"/>
        <v>19</v>
      </c>
      <c r="Y28" s="141"/>
      <c r="Z28" s="141"/>
      <c r="AA28" s="141"/>
      <c r="AB28" s="142"/>
      <c r="AC28" s="142"/>
      <c r="AD28" s="142"/>
      <c r="AE28" s="142"/>
      <c r="AF28" s="142"/>
      <c r="AG28" s="142"/>
      <c r="AH28" s="96"/>
      <c r="AI28" s="96"/>
      <c r="AJ28" s="96"/>
      <c r="AK28" s="141"/>
      <c r="AL28" s="141"/>
    </row>
    <row r="29" spans="1:48" ht="15" customHeight="1" x14ac:dyDescent="0.25">
      <c r="B29" s="146"/>
      <c r="C29" s="141"/>
      <c r="D29" s="141"/>
      <c r="E29" s="141"/>
      <c r="F29" s="141"/>
      <c r="G29" s="141"/>
      <c r="H29" s="141"/>
      <c r="I29" s="141"/>
      <c r="J29" s="141"/>
      <c r="K29" s="141"/>
      <c r="Y29" s="141"/>
      <c r="Z29" s="141"/>
      <c r="AA29" s="141"/>
      <c r="AB29" s="142"/>
      <c r="AC29" s="142"/>
      <c r="AD29" s="142"/>
      <c r="AE29" s="142"/>
      <c r="AF29" s="142"/>
      <c r="AG29" s="142"/>
      <c r="AH29" s="96"/>
      <c r="AI29" s="96"/>
      <c r="AJ29" s="96"/>
      <c r="AK29" s="141"/>
      <c r="AL29" s="141"/>
    </row>
    <row r="30" spans="1:48" ht="18.75" customHeight="1" x14ac:dyDescent="0.3">
      <c r="B30" s="145" t="s">
        <v>364</v>
      </c>
      <c r="C30" s="141"/>
      <c r="D30" s="141"/>
      <c r="E30" s="141"/>
      <c r="F30" s="141"/>
      <c r="G30" s="141"/>
      <c r="H30" s="141"/>
      <c r="I30" s="141"/>
      <c r="J30" s="141"/>
      <c r="K30" s="141"/>
      <c r="L30" s="141"/>
      <c r="M30" s="141"/>
      <c r="N30" s="141"/>
      <c r="O30" s="152" t="s">
        <v>364</v>
      </c>
      <c r="Y30" s="141"/>
      <c r="Z30" s="141"/>
      <c r="AA30" s="152" t="s">
        <v>364</v>
      </c>
      <c r="AB30" s="142"/>
      <c r="AC30" s="142"/>
      <c r="AD30" s="142"/>
      <c r="AE30" s="142"/>
      <c r="AF30" s="142"/>
      <c r="AG30" s="142"/>
      <c r="AH30" s="142"/>
      <c r="AI30" s="142"/>
      <c r="AJ30" s="142"/>
      <c r="AM30" s="145" t="s">
        <v>364</v>
      </c>
    </row>
    <row r="31" spans="1:48" ht="33" customHeight="1" thickBot="1" x14ac:dyDescent="0.3">
      <c r="B31" s="1" t="s">
        <v>82</v>
      </c>
      <c r="C31" s="48" t="s">
        <v>8</v>
      </c>
      <c r="D31" s="48" t="s">
        <v>9</v>
      </c>
      <c r="E31" s="48" t="s">
        <v>10</v>
      </c>
      <c r="F31" s="48" t="s">
        <v>11</v>
      </c>
      <c r="G31" s="48" t="s">
        <v>12</v>
      </c>
      <c r="H31" s="49" t="s">
        <v>13</v>
      </c>
      <c r="I31" s="48" t="s">
        <v>14</v>
      </c>
      <c r="J31" s="48" t="s">
        <v>15</v>
      </c>
      <c r="K31" s="37" t="s">
        <v>16</v>
      </c>
      <c r="L31" s="141"/>
      <c r="M31" s="141"/>
      <c r="N31" s="143"/>
      <c r="O31" s="1" t="s">
        <v>0</v>
      </c>
      <c r="P31" s="3" t="s">
        <v>8</v>
      </c>
      <c r="Q31" s="3" t="s">
        <v>9</v>
      </c>
      <c r="R31" s="3" t="s">
        <v>10</v>
      </c>
      <c r="S31" s="3" t="s">
        <v>11</v>
      </c>
      <c r="T31" s="3" t="s">
        <v>12</v>
      </c>
      <c r="U31" s="24" t="s">
        <v>13</v>
      </c>
      <c r="V31" s="3" t="s">
        <v>14</v>
      </c>
      <c r="W31" s="3" t="s">
        <v>15</v>
      </c>
      <c r="X31" s="4" t="s">
        <v>16</v>
      </c>
      <c r="Y31" s="141"/>
      <c r="Z31" s="141"/>
      <c r="AA31" s="153" t="s">
        <v>0</v>
      </c>
      <c r="AB31" s="187" t="s">
        <v>8</v>
      </c>
      <c r="AC31" s="187" t="s">
        <v>9</v>
      </c>
      <c r="AD31" s="187" t="s">
        <v>10</v>
      </c>
      <c r="AE31" s="187" t="s">
        <v>11</v>
      </c>
      <c r="AF31" s="187" t="s">
        <v>12</v>
      </c>
      <c r="AG31" s="187" t="s">
        <v>13</v>
      </c>
      <c r="AH31" s="187" t="s">
        <v>14</v>
      </c>
      <c r="AI31" s="187" t="s">
        <v>15</v>
      </c>
      <c r="AJ31" s="188" t="s">
        <v>16</v>
      </c>
      <c r="AM31" s="1" t="s">
        <v>0</v>
      </c>
      <c r="AN31" s="157" t="s">
        <v>8</v>
      </c>
      <c r="AO31" s="158" t="s">
        <v>9</v>
      </c>
      <c r="AP31" s="158" t="s">
        <v>10</v>
      </c>
      <c r="AQ31" s="158" t="s">
        <v>11</v>
      </c>
      <c r="AR31" s="158" t="s">
        <v>12</v>
      </c>
      <c r="AS31" s="159" t="s">
        <v>13</v>
      </c>
      <c r="AT31" s="158" t="s">
        <v>14</v>
      </c>
      <c r="AU31" s="158" t="s">
        <v>15</v>
      </c>
      <c r="AV31" s="160" t="s">
        <v>16</v>
      </c>
    </row>
    <row r="32" spans="1:48" ht="15" customHeight="1" thickTop="1" x14ac:dyDescent="0.25">
      <c r="A32" s="8"/>
      <c r="B32" s="8" t="s">
        <v>84</v>
      </c>
      <c r="C32" s="96">
        <v>4.8048937219097265</v>
      </c>
      <c r="D32" s="96">
        <v>0.92510431083036115</v>
      </c>
      <c r="E32" s="96">
        <v>0.45264321625952675</v>
      </c>
      <c r="F32" s="96">
        <v>0.50067581031900088</v>
      </c>
      <c r="G32" s="96">
        <v>1.1703283886239209</v>
      </c>
      <c r="H32" s="103">
        <v>0.65310333191823422</v>
      </c>
      <c r="I32" s="96">
        <v>1.5987252575129747</v>
      </c>
      <c r="J32" s="96">
        <v>0.31498205090627629</v>
      </c>
      <c r="K32" s="104">
        <v>2.1752362041124642</v>
      </c>
      <c r="L32" s="141"/>
      <c r="M32" s="141"/>
      <c r="N32" s="36"/>
      <c r="O32" s="8" t="s">
        <v>55</v>
      </c>
      <c r="P32" s="96">
        <v>2.6742450313631205</v>
      </c>
      <c r="Q32" s="96">
        <v>1.6677548603791863</v>
      </c>
      <c r="R32" s="96">
        <v>0.20076470087675097</v>
      </c>
      <c r="S32" s="96">
        <v>0.17103921142180864</v>
      </c>
      <c r="T32" s="96">
        <v>0.19450979907191812</v>
      </c>
      <c r="U32" s="103">
        <v>0.23623528822766829</v>
      </c>
      <c r="V32" s="96">
        <v>0.33928430526622327</v>
      </c>
      <c r="W32" s="96">
        <v>0.1304607810609886</v>
      </c>
      <c r="X32" s="104">
        <v>0.45717645918960104</v>
      </c>
      <c r="Y32" s="141"/>
      <c r="Z32" s="141"/>
      <c r="AA32" s="6" t="s">
        <v>49</v>
      </c>
      <c r="AB32" s="96">
        <v>4.0821778515567813</v>
      </c>
      <c r="AC32" s="96">
        <v>1.6889639136405779</v>
      </c>
      <c r="AD32" s="96">
        <v>0.57993977902677363</v>
      </c>
      <c r="AE32" s="96">
        <v>0.5538162841503883</v>
      </c>
      <c r="AF32" s="96">
        <v>0.70019279522010958</v>
      </c>
      <c r="AG32" s="103">
        <v>0.13608434204024944</v>
      </c>
      <c r="AH32" s="96">
        <v>1.4990422203469551</v>
      </c>
      <c r="AI32" s="96">
        <v>0.4888644746825721</v>
      </c>
      <c r="AJ32" s="104">
        <v>2.197536220327784</v>
      </c>
      <c r="AM32" s="22" t="s">
        <v>19</v>
      </c>
      <c r="AN32" s="96"/>
      <c r="AO32" s="96"/>
      <c r="AP32" s="96"/>
      <c r="AQ32" s="96"/>
      <c r="AR32" s="96"/>
      <c r="AS32" s="103"/>
      <c r="AT32" s="96"/>
      <c r="AU32" s="96"/>
      <c r="AV32" s="104"/>
    </row>
    <row r="33" spans="1:48" x14ac:dyDescent="0.25">
      <c r="A33" s="8"/>
      <c r="B33" s="8" t="s">
        <v>85</v>
      </c>
      <c r="C33" s="108">
        <v>3.4025200935513338</v>
      </c>
      <c r="D33" s="108">
        <v>1.1066742405501007</v>
      </c>
      <c r="E33" s="108">
        <v>0.33353064342257766</v>
      </c>
      <c r="F33" s="108">
        <v>0.39352013472088254</v>
      </c>
      <c r="G33" s="108">
        <v>0.58297722494831938</v>
      </c>
      <c r="H33" s="103">
        <v>0.57887915144922353</v>
      </c>
      <c r="I33" s="108">
        <v>0.7938651379998749</v>
      </c>
      <c r="J33" s="108">
        <v>0.31485288535939027</v>
      </c>
      <c r="K33" s="104">
        <v>1.0909912285054835</v>
      </c>
      <c r="L33" s="141"/>
      <c r="M33" s="141"/>
      <c r="N33" s="36"/>
      <c r="O33" s="8" t="s">
        <v>57</v>
      </c>
      <c r="P33" s="108"/>
      <c r="Q33" s="108">
        <v>1.3689384347585156</v>
      </c>
      <c r="R33" s="108">
        <v>1.1462692083452659</v>
      </c>
      <c r="S33" s="108">
        <v>0.50795383621696666</v>
      </c>
      <c r="T33" s="108">
        <v>0.32342307059609243</v>
      </c>
      <c r="U33" s="103">
        <v>0.32744614744046757</v>
      </c>
      <c r="V33" s="108">
        <v>1.0824999788235248</v>
      </c>
      <c r="W33" s="108">
        <v>0.21212307277340575</v>
      </c>
      <c r="X33" s="104">
        <v>1.1704769001793938</v>
      </c>
      <c r="Y33" s="141"/>
      <c r="Z33" s="141"/>
      <c r="AA33" s="6" t="s">
        <v>51</v>
      </c>
      <c r="AB33" s="96">
        <v>4.131327291459141</v>
      </c>
      <c r="AC33" s="96">
        <v>0.7292045263465694</v>
      </c>
      <c r="AD33" s="96">
        <v>0.5791785853992214</v>
      </c>
      <c r="AE33" s="96">
        <v>0.50942584723137385</v>
      </c>
      <c r="AF33" s="96">
        <v>1.144968657765765</v>
      </c>
      <c r="AG33" s="103">
        <v>8.1977312267329225E-2</v>
      </c>
      <c r="AH33" s="96">
        <v>1.5308497824304672</v>
      </c>
      <c r="AI33" s="96">
        <v>0.45637981264609007</v>
      </c>
      <c r="AJ33" s="104">
        <v>2.2092204012250094</v>
      </c>
      <c r="AM33" s="8" t="s">
        <v>22</v>
      </c>
      <c r="AN33" s="108">
        <v>3.2429381711762204</v>
      </c>
      <c r="AO33" s="108">
        <v>1.0595155238637277</v>
      </c>
      <c r="AP33" s="108">
        <v>0.22174431850375356</v>
      </c>
      <c r="AQ33" s="108">
        <v>0.19452015638332687</v>
      </c>
      <c r="AR33" s="108">
        <v>0.39367174506149483</v>
      </c>
      <c r="AS33" s="103">
        <v>0.55617393628132084</v>
      </c>
      <c r="AT33" s="108">
        <v>0.8534051888327101</v>
      </c>
      <c r="AU33" s="108">
        <v>0.42550414365558648</v>
      </c>
      <c r="AV33" s="104">
        <v>1.4740557760433799</v>
      </c>
    </row>
    <row r="34" spans="1:48" ht="15.75" thickBot="1" x14ac:dyDescent="0.3">
      <c r="A34" s="8"/>
      <c r="B34" s="8" t="s">
        <v>87</v>
      </c>
      <c r="C34" s="96">
        <v>5.640853028354071</v>
      </c>
      <c r="D34" s="96">
        <v>1.7702701257935602</v>
      </c>
      <c r="E34" s="96">
        <v>0.40050710529743866</v>
      </c>
      <c r="F34" s="96">
        <v>0.38682227130088986</v>
      </c>
      <c r="G34" s="96">
        <v>0.98256397194753442</v>
      </c>
      <c r="H34" s="103">
        <v>0.74778909260414428</v>
      </c>
      <c r="I34" s="96">
        <v>1.7643483249005081</v>
      </c>
      <c r="J34" s="96">
        <v>0.31154502081286078</v>
      </c>
      <c r="K34" s="104">
        <v>2.3575663288880486</v>
      </c>
      <c r="L34" s="141"/>
      <c r="M34" s="141"/>
      <c r="N34" s="36"/>
      <c r="O34" s="8" t="s">
        <v>59</v>
      </c>
      <c r="P34" s="96">
        <v>1.7324729458917836</v>
      </c>
      <c r="Q34" s="96">
        <v>0.66058316633266534</v>
      </c>
      <c r="R34" s="96">
        <v>0.12976953907815633</v>
      </c>
      <c r="S34" s="96">
        <v>0.15742484969939879</v>
      </c>
      <c r="T34" s="96">
        <v>0.49080961923847694</v>
      </c>
      <c r="U34" s="103">
        <v>0.39327054108216436</v>
      </c>
      <c r="V34" s="96">
        <v>0.56323647294589174</v>
      </c>
      <c r="W34" s="96">
        <v>0.21397394789579158</v>
      </c>
      <c r="X34" s="104">
        <v>0.80064529058116229</v>
      </c>
      <c r="Y34" s="141"/>
      <c r="Z34" s="141"/>
      <c r="AA34" s="12" t="s">
        <v>53</v>
      </c>
      <c r="AB34" s="105">
        <v>3.2998002428220246</v>
      </c>
      <c r="AC34" s="105">
        <v>0.68204591092290212</v>
      </c>
      <c r="AD34" s="105">
        <v>0.46455367214560223</v>
      </c>
      <c r="AE34" s="105">
        <v>0.43560870785006173</v>
      </c>
      <c r="AF34" s="105">
        <v>0.76856868866179218</v>
      </c>
      <c r="AG34" s="114">
        <v>0.21571615496044888</v>
      </c>
      <c r="AH34" s="105">
        <v>1.0376119460060147</v>
      </c>
      <c r="AI34" s="105">
        <v>0.26338802811985629</v>
      </c>
      <c r="AJ34" s="106">
        <v>1.362211699646376</v>
      </c>
      <c r="AM34" s="8" t="s">
        <v>24</v>
      </c>
      <c r="AN34" s="108">
        <v>2.0106540926798337</v>
      </c>
      <c r="AO34" s="108">
        <v>0.79401864699302172</v>
      </c>
      <c r="AP34" s="108">
        <v>0.22357295653009543</v>
      </c>
      <c r="AQ34" s="108">
        <v>0.21436375503438648</v>
      </c>
      <c r="AR34" s="108">
        <v>0.26386051717174486</v>
      </c>
      <c r="AS34" s="103">
        <v>0.62670736954600048</v>
      </c>
      <c r="AT34" s="108">
        <v>0.69213511569154851</v>
      </c>
      <c r="AU34" s="108">
        <v>0.10892882206321766</v>
      </c>
      <c r="AV34" s="104">
        <v>0.85176846402270945</v>
      </c>
    </row>
    <row r="35" spans="1:48" ht="15" customHeight="1" x14ac:dyDescent="0.25">
      <c r="A35" s="8"/>
      <c r="B35" s="8" t="s">
        <v>88</v>
      </c>
      <c r="C35" s="108">
        <v>3.9402218635039303</v>
      </c>
      <c r="D35" s="108">
        <v>0.81782844478232941</v>
      </c>
      <c r="E35" s="108">
        <v>0.39449308985006271</v>
      </c>
      <c r="F35" s="108">
        <v>0.40238129774208942</v>
      </c>
      <c r="G35" s="108">
        <v>1.4592908949420511</v>
      </c>
      <c r="H35" s="103">
        <v>0.66705662963932666</v>
      </c>
      <c r="I35" s="108">
        <v>1.629087211471707</v>
      </c>
      <c r="J35" s="108">
        <v>0.39988665773896159</v>
      </c>
      <c r="K35" s="104">
        <v>2.065662994560538</v>
      </c>
      <c r="L35" s="141"/>
      <c r="M35" s="141"/>
      <c r="N35" s="36"/>
      <c r="O35" s="6" t="s">
        <v>61</v>
      </c>
      <c r="P35" s="108">
        <v>2.5222346487724341</v>
      </c>
      <c r="Q35" s="108">
        <v>0.63026911704225064</v>
      </c>
      <c r="R35" s="108">
        <v>4.561590061704679E-2</v>
      </c>
      <c r="S35" s="108">
        <v>0.11677561123576252</v>
      </c>
      <c r="T35" s="108">
        <v>0.62412255226498359</v>
      </c>
      <c r="U35" s="103">
        <v>0.50061672618408304</v>
      </c>
      <c r="V35" s="108">
        <v>1.3013754997708538</v>
      </c>
      <c r="W35" s="108">
        <v>0.29200742458173495</v>
      </c>
      <c r="X35" s="104">
        <v>1.7368240480642101</v>
      </c>
      <c r="Y35" s="141"/>
      <c r="Z35" s="141"/>
      <c r="AA35" s="146" t="s">
        <v>367</v>
      </c>
      <c r="AB35" s="142">
        <f t="shared" ref="AB35:AJ35" si="12">AVERAGE(AB32:AB34)</f>
        <v>3.8377684619459824</v>
      </c>
      <c r="AC35" s="142">
        <f t="shared" si="12"/>
        <v>1.0334047836366831</v>
      </c>
      <c r="AD35" s="142">
        <f t="shared" si="12"/>
        <v>0.5412240121905324</v>
      </c>
      <c r="AE35" s="142">
        <f t="shared" si="12"/>
        <v>0.49961694641060794</v>
      </c>
      <c r="AF35" s="142">
        <f t="shared" si="12"/>
        <v>0.87124338054922223</v>
      </c>
      <c r="AG35" s="142">
        <f t="shared" si="12"/>
        <v>0.14459260308934252</v>
      </c>
      <c r="AH35" s="142">
        <f t="shared" si="12"/>
        <v>1.3558346495944791</v>
      </c>
      <c r="AI35" s="142">
        <f t="shared" si="12"/>
        <v>0.40287743848283952</v>
      </c>
      <c r="AJ35" s="142">
        <f t="shared" si="12"/>
        <v>1.922989440399723</v>
      </c>
      <c r="AM35" s="8" t="s">
        <v>26</v>
      </c>
      <c r="AN35" s="108">
        <v>3.3870383960250674</v>
      </c>
      <c r="AO35" s="108">
        <v>1.0338373846624487</v>
      </c>
      <c r="AP35" s="108">
        <v>0.62633691993483753</v>
      </c>
      <c r="AQ35" s="108">
        <v>0.34442019199485219</v>
      </c>
      <c r="AR35" s="108">
        <v>0.89257277690986381</v>
      </c>
      <c r="AS35" s="103">
        <v>0.46563326508917319</v>
      </c>
      <c r="AT35" s="108">
        <v>1.1254191418605271</v>
      </c>
      <c r="AU35" s="108">
        <v>0.21005944893332451</v>
      </c>
      <c r="AV35" s="104">
        <v>1.4300216956371903</v>
      </c>
    </row>
    <row r="36" spans="1:48" ht="15.75" x14ac:dyDescent="0.25">
      <c r="A36" s="8"/>
      <c r="B36" s="8" t="s">
        <v>89</v>
      </c>
      <c r="C36" s="108">
        <v>4.7112730414746542</v>
      </c>
      <c r="D36" s="108">
        <v>0.91463133640552985</v>
      </c>
      <c r="E36" s="108">
        <v>0.50218894009216586</v>
      </c>
      <c r="F36" s="108">
        <v>0.44724078341013818</v>
      </c>
      <c r="G36" s="108">
        <v>0.99294930875576015</v>
      </c>
      <c r="H36" s="103">
        <v>1.2729838709677417</v>
      </c>
      <c r="I36" s="108">
        <v>1.1737154377880181</v>
      </c>
      <c r="J36" s="108">
        <v>0.67933179723502291</v>
      </c>
      <c r="K36" s="104">
        <v>2.0084504608294926</v>
      </c>
      <c r="L36" s="141"/>
      <c r="M36" s="141"/>
      <c r="N36" s="36"/>
      <c r="O36" s="6" t="s">
        <v>64</v>
      </c>
      <c r="P36" s="108">
        <v>1.5360128226453302</v>
      </c>
      <c r="Q36" s="108"/>
      <c r="R36" s="108">
        <v>6.4977272528465774E-2</v>
      </c>
      <c r="S36" s="108">
        <v>1.5808460670234968E-2</v>
      </c>
      <c r="T36" s="108">
        <v>1.02601102161775</v>
      </c>
      <c r="U36" s="103">
        <v>0.40415873738100722</v>
      </c>
      <c r="V36" s="108">
        <v>0.85900987047526778</v>
      </c>
      <c r="W36" s="108">
        <v>0.2689943535714982</v>
      </c>
      <c r="X36" s="104">
        <v>1.2882924033716483</v>
      </c>
      <c r="Y36" s="141"/>
      <c r="Z36" s="141"/>
      <c r="AA36" s="146" t="s">
        <v>368</v>
      </c>
      <c r="AB36" s="142">
        <f t="shared" ref="AB36:AJ36" si="13">_xlfn.STDEV.S(AB32:AB34)</f>
        <v>0.46654182068838251</v>
      </c>
      <c r="AC36" s="142">
        <f t="shared" si="13"/>
        <v>0.56822030362419007</v>
      </c>
      <c r="AD36" s="142">
        <f t="shared" si="13"/>
        <v>6.6399552979583956E-2</v>
      </c>
      <c r="AE36" s="142">
        <f t="shared" si="13"/>
        <v>5.9711126895940415E-2</v>
      </c>
      <c r="AF36" s="142">
        <f t="shared" si="13"/>
        <v>0.23950566014489447</v>
      </c>
      <c r="AG36" s="142">
        <f t="shared" si="13"/>
        <v>6.7274158417503685E-2</v>
      </c>
      <c r="AH36" s="142">
        <f t="shared" si="13"/>
        <v>0.2760474543638966</v>
      </c>
      <c r="AI36" s="142">
        <f t="shared" si="13"/>
        <v>0.12188841216237746</v>
      </c>
      <c r="AJ36" s="142">
        <f t="shared" si="13"/>
        <v>0.48568290675515052</v>
      </c>
      <c r="AK36" s="141"/>
      <c r="AL36" s="141"/>
      <c r="AM36" s="8" t="s">
        <v>28</v>
      </c>
      <c r="AN36" s="108">
        <v>2.2937353841982002</v>
      </c>
      <c r="AO36" s="171"/>
      <c r="AP36" s="108">
        <v>0.31198525948804956</v>
      </c>
      <c r="AQ36" s="171"/>
      <c r="AR36" s="108">
        <v>0.92195407984839273</v>
      </c>
      <c r="AS36" s="103">
        <v>0.50717075070930906</v>
      </c>
      <c r="AT36" s="108">
        <v>1.1389011107467293</v>
      </c>
      <c r="AU36" s="108">
        <v>0.35246104359330555</v>
      </c>
      <c r="AV36" s="104">
        <v>1.5733445919470141</v>
      </c>
    </row>
    <row r="37" spans="1:48" ht="15.75" x14ac:dyDescent="0.25">
      <c r="A37" s="8"/>
      <c r="B37" s="8" t="s">
        <v>93</v>
      </c>
      <c r="C37" s="108">
        <v>5.4424838709677417</v>
      </c>
      <c r="D37" s="108">
        <v>1.7446797235023039</v>
      </c>
      <c r="E37" s="108">
        <v>0.41153917050691241</v>
      </c>
      <c r="F37" s="108">
        <v>0.34370737327188938</v>
      </c>
      <c r="G37" s="108">
        <v>1.6283433179723501</v>
      </c>
      <c r="H37" s="103">
        <v>0.62310829493087561</v>
      </c>
      <c r="I37" s="108">
        <v>1.9822672811059907</v>
      </c>
      <c r="J37" s="108">
        <v>0.58192396313364059</v>
      </c>
      <c r="K37" s="104">
        <v>2.3837626728110601</v>
      </c>
      <c r="L37" s="141"/>
      <c r="M37" s="141"/>
      <c r="N37" s="36"/>
      <c r="O37" s="6" t="s">
        <v>66</v>
      </c>
      <c r="P37" s="108"/>
      <c r="Q37" s="108"/>
      <c r="R37" s="108"/>
      <c r="S37" s="108"/>
      <c r="T37" s="108"/>
      <c r="U37" s="103"/>
      <c r="V37" s="108"/>
      <c r="W37" s="108"/>
      <c r="X37" s="104"/>
      <c r="Y37" s="141"/>
      <c r="Z37" s="141"/>
      <c r="AA37" s="146" t="s">
        <v>369</v>
      </c>
      <c r="AB37" s="147">
        <f t="shared" ref="AB37:AJ37" si="14">COUNT(AB32:AB34)</f>
        <v>3</v>
      </c>
      <c r="AC37" s="147">
        <f t="shared" si="14"/>
        <v>3</v>
      </c>
      <c r="AD37" s="147">
        <f t="shared" si="14"/>
        <v>3</v>
      </c>
      <c r="AE37" s="147">
        <f t="shared" si="14"/>
        <v>3</v>
      </c>
      <c r="AF37" s="147">
        <f t="shared" si="14"/>
        <v>3</v>
      </c>
      <c r="AG37" s="147">
        <f t="shared" si="14"/>
        <v>3</v>
      </c>
      <c r="AH37" s="147">
        <f t="shared" si="14"/>
        <v>3</v>
      </c>
      <c r="AI37" s="147">
        <f t="shared" si="14"/>
        <v>3</v>
      </c>
      <c r="AJ37" s="147">
        <f t="shared" si="14"/>
        <v>3</v>
      </c>
      <c r="AK37" s="141"/>
      <c r="AL37" s="141"/>
      <c r="AM37" s="8" t="s">
        <v>30</v>
      </c>
      <c r="AN37" s="108">
        <v>5.2041646156252055</v>
      </c>
      <c r="AO37" s="108">
        <v>1.8736028232735278</v>
      </c>
      <c r="AP37" s="108">
        <v>0.47005481548118283</v>
      </c>
      <c r="AQ37" s="108">
        <v>0.48360276129079088</v>
      </c>
      <c r="AR37" s="108">
        <v>0.93730826097443365</v>
      </c>
      <c r="AS37" s="103">
        <v>0.1265958960561098</v>
      </c>
      <c r="AT37" s="108">
        <v>1.2350206030171145</v>
      </c>
      <c r="AU37" s="108">
        <v>0.42817125196967976</v>
      </c>
      <c r="AV37" s="104">
        <v>1.9395411823782274</v>
      </c>
    </row>
    <row r="38" spans="1:48" x14ac:dyDescent="0.25">
      <c r="A38" s="8"/>
      <c r="B38" s="8" t="s">
        <v>96</v>
      </c>
      <c r="C38" s="96">
        <v>3.8439000654835831</v>
      </c>
      <c r="D38" s="96">
        <v>0.72025715512723798</v>
      </c>
      <c r="E38" s="96">
        <v>0.29682857648525823</v>
      </c>
      <c r="F38" s="96">
        <v>0.21690714655231105</v>
      </c>
      <c r="G38" s="96">
        <v>0.40183572113127281</v>
      </c>
      <c r="H38" s="103">
        <v>0.48004286532073026</v>
      </c>
      <c r="I38" s="117"/>
      <c r="J38" s="117"/>
      <c r="K38" s="126"/>
      <c r="L38" s="141"/>
      <c r="M38" s="141"/>
      <c r="N38" s="36"/>
      <c r="O38" s="6" t="s">
        <v>68</v>
      </c>
      <c r="P38" s="108">
        <v>3.9103099016259431</v>
      </c>
      <c r="Q38" s="108">
        <v>1.7232439665722805</v>
      </c>
      <c r="R38" s="108">
        <v>0.34947806178686797</v>
      </c>
      <c r="S38" s="108">
        <v>0.32184879246591797</v>
      </c>
      <c r="T38" s="108">
        <v>0.98230979265577723</v>
      </c>
      <c r="U38" s="103">
        <v>0.18049025061966983</v>
      </c>
      <c r="V38" s="108">
        <v>0.96899999999999997</v>
      </c>
      <c r="W38" s="108">
        <v>0.44599757757411668</v>
      </c>
      <c r="X38" s="104">
        <v>1.3863000515933543</v>
      </c>
      <c r="Y38" s="141"/>
      <c r="Z38" s="141"/>
      <c r="AA38" s="141"/>
      <c r="AB38" s="142"/>
      <c r="AC38" s="142"/>
      <c r="AD38" s="142"/>
      <c r="AE38" s="142"/>
      <c r="AF38" s="142"/>
      <c r="AG38" s="142"/>
      <c r="AH38" s="142"/>
      <c r="AI38" s="142"/>
      <c r="AJ38" s="142"/>
      <c r="AK38" s="141"/>
      <c r="AL38" s="141"/>
      <c r="AM38" s="8" t="s">
        <v>32</v>
      </c>
      <c r="AN38" s="108">
        <v>3.7966363636363636</v>
      </c>
      <c r="AO38" s="108">
        <v>1.3650818181818181</v>
      </c>
      <c r="AP38" s="108">
        <v>0.26103636363636362</v>
      </c>
      <c r="AQ38" s="108">
        <v>0.13195454545454544</v>
      </c>
      <c r="AR38" s="108">
        <v>0.5572818181818181</v>
      </c>
      <c r="AS38" s="103">
        <v>0.51330909090909083</v>
      </c>
      <c r="AT38" s="108">
        <v>0.62452727272727271</v>
      </c>
      <c r="AU38" s="108">
        <v>0.20800909090909089</v>
      </c>
      <c r="AV38" s="104">
        <v>0.97598181818181806</v>
      </c>
    </row>
    <row r="39" spans="1:48" x14ac:dyDescent="0.25">
      <c r="A39" s="8"/>
      <c r="B39" s="8" t="s">
        <v>99</v>
      </c>
      <c r="C39" s="141"/>
      <c r="D39" s="141"/>
      <c r="E39" s="141"/>
      <c r="F39" s="141"/>
      <c r="G39" s="141"/>
      <c r="H39" s="141"/>
      <c r="I39" s="141"/>
      <c r="J39" s="141"/>
      <c r="K39" s="36"/>
      <c r="L39" s="141"/>
      <c r="M39" s="141"/>
      <c r="N39" s="36"/>
      <c r="O39" s="6" t="s">
        <v>70</v>
      </c>
      <c r="P39" s="108">
        <v>5.2352922024793953</v>
      </c>
      <c r="Q39" s="108">
        <v>1.3225992233358925</v>
      </c>
      <c r="R39" s="108">
        <v>0.58357037300202996</v>
      </c>
      <c r="S39" s="108">
        <v>0.75927072675389851</v>
      </c>
      <c r="T39" s="108">
        <v>1.0361912929304089</v>
      </c>
      <c r="U39" s="96">
        <v>0.3634981799281245</v>
      </c>
      <c r="V39" s="108">
        <v>1.4704439825707294</v>
      </c>
      <c r="W39" s="108">
        <v>0.32044764019048794</v>
      </c>
      <c r="X39" s="104">
        <v>1.4905234041238307</v>
      </c>
      <c r="Y39" s="141"/>
      <c r="Z39" s="141"/>
      <c r="AA39" t="s">
        <v>365</v>
      </c>
      <c r="AB39" s="164">
        <f t="shared" ref="AB39:AJ39" si="15">_xlfn.T.TEST(AB5:AB7,AB32:AB34,2,1)</f>
        <v>9.3285503675646364E-2</v>
      </c>
      <c r="AC39" s="96">
        <f t="shared" si="15"/>
        <v>0.91140018677531542</v>
      </c>
      <c r="AD39" s="96">
        <f t="shared" si="15"/>
        <v>0.2261307053771987</v>
      </c>
      <c r="AE39" s="96">
        <f t="shared" si="15"/>
        <v>0.42652335426504717</v>
      </c>
      <c r="AF39" s="96">
        <f t="shared" si="15"/>
        <v>0.20631952835803136</v>
      </c>
      <c r="AG39" s="96">
        <f t="shared" si="15"/>
        <v>0.19026767453111382</v>
      </c>
      <c r="AH39" s="162">
        <f t="shared" si="15"/>
        <v>4.5996968284272112E-2</v>
      </c>
      <c r="AI39" s="96">
        <f t="shared" si="15"/>
        <v>0.43417796271271503</v>
      </c>
      <c r="AJ39" s="96">
        <f t="shared" si="15"/>
        <v>0.11168096842439668</v>
      </c>
      <c r="AL39" s="141"/>
      <c r="AM39" s="8" t="s">
        <v>34</v>
      </c>
      <c r="AN39" s="108">
        <v>3.940555719364482</v>
      </c>
      <c r="AO39" s="108">
        <v>0.90612652513696623</v>
      </c>
      <c r="AP39" s="108">
        <v>0.49657814967024816</v>
      </c>
      <c r="AQ39" s="108">
        <v>0.50576425362775013</v>
      </c>
      <c r="AR39" s="108">
        <v>0.69459303238463499</v>
      </c>
      <c r="AS39" s="103">
        <v>0.8192977434835601</v>
      </c>
      <c r="AT39" s="108">
        <v>0.76276672771915943</v>
      </c>
      <c r="AU39" s="108">
        <v>0.83986598111287769</v>
      </c>
      <c r="AV39" s="104">
        <v>1.666012359637687</v>
      </c>
    </row>
    <row r="40" spans="1:48" ht="15.75" thickBot="1" x14ac:dyDescent="0.3">
      <c r="A40" s="8"/>
      <c r="B40" s="8" t="s">
        <v>101</v>
      </c>
      <c r="C40" s="96">
        <v>3.1427032654629574</v>
      </c>
      <c r="D40" s="96">
        <v>0.9435318644551669</v>
      </c>
      <c r="E40" s="96">
        <v>0.24832386950055482</v>
      </c>
      <c r="F40" s="96">
        <v>0.3442413007933191</v>
      </c>
      <c r="G40" s="96">
        <v>0.38993315062397849</v>
      </c>
      <c r="H40" s="103">
        <v>0.57797557893012241</v>
      </c>
      <c r="I40" s="96">
        <v>1.0581375094277883</v>
      </c>
      <c r="J40" s="96">
        <v>0.47924873810744567</v>
      </c>
      <c r="K40" s="104">
        <v>1.5849259690261031</v>
      </c>
      <c r="L40" s="141"/>
      <c r="M40" s="141"/>
      <c r="N40" s="36"/>
      <c r="O40" s="12" t="s">
        <v>186</v>
      </c>
      <c r="P40" s="105">
        <v>3.0143451216214068</v>
      </c>
      <c r="Q40" s="105">
        <v>1.4849793983359583</v>
      </c>
      <c r="R40" s="105">
        <v>0.59367409599261844</v>
      </c>
      <c r="S40" s="105"/>
      <c r="T40" s="105">
        <v>0.81000588618972624</v>
      </c>
      <c r="U40" s="114">
        <v>1.3714249351723697</v>
      </c>
      <c r="V40" s="105">
        <v>1.2645902734691929</v>
      </c>
      <c r="W40" s="105">
        <v>0.57719531013856407</v>
      </c>
      <c r="X40" s="106">
        <v>2.0477271353346378</v>
      </c>
      <c r="Y40" s="141"/>
      <c r="Z40" s="141"/>
      <c r="AA40" t="s">
        <v>366</v>
      </c>
      <c r="AB40" s="162">
        <f t="shared" ref="AB40:AJ40" si="16">(AB35-AB8)/AVERAGE(AB9,AB36)</f>
        <v>2.3861539565343715</v>
      </c>
      <c r="AC40" s="96">
        <f t="shared" si="16"/>
        <v>7.1505673113160362E-2</v>
      </c>
      <c r="AD40" s="96">
        <f t="shared" si="16"/>
        <v>1.8681744016833519</v>
      </c>
      <c r="AE40" s="96">
        <f t="shared" si="16"/>
        <v>0.72594414726576983</v>
      </c>
      <c r="AF40" s="96">
        <f t="shared" si="16"/>
        <v>2.116499588491215</v>
      </c>
      <c r="AG40" s="96">
        <f t="shared" si="16"/>
        <v>-0.867755935801936</v>
      </c>
      <c r="AH40" s="162">
        <f t="shared" si="16"/>
        <v>5.0927496019774399</v>
      </c>
      <c r="AI40" s="96">
        <f t="shared" si="16"/>
        <v>0.57547097522692281</v>
      </c>
      <c r="AJ40" s="96">
        <f t="shared" si="16"/>
        <v>2.9968250338913816</v>
      </c>
      <c r="AL40" s="141"/>
      <c r="AM40" s="14" t="s">
        <v>44</v>
      </c>
      <c r="AN40" s="105">
        <v>3.2721565238404704</v>
      </c>
      <c r="AO40" s="105">
        <v>0.94030719941305219</v>
      </c>
      <c r="AP40" s="105">
        <v>0.46983131056001159</v>
      </c>
      <c r="AQ40" s="105">
        <v>0.30985541196487792</v>
      </c>
      <c r="AR40" s="105">
        <v>1.0284818954417076</v>
      </c>
      <c r="AS40" s="175"/>
      <c r="AT40" s="105">
        <v>1.1615903250003035</v>
      </c>
      <c r="AU40" s="105">
        <v>0.13221686332150906</v>
      </c>
      <c r="AV40" s="106">
        <v>1.2413614068347953</v>
      </c>
    </row>
    <row r="41" spans="1:48" ht="15" customHeight="1" x14ac:dyDescent="0.25">
      <c r="A41" s="8"/>
      <c r="B41" s="8" t="s">
        <v>103</v>
      </c>
      <c r="C41" s="96">
        <v>3.4639901767031649</v>
      </c>
      <c r="D41" s="96">
        <v>1.6074593941028643</v>
      </c>
      <c r="E41" s="96">
        <v>0.42025675642534444</v>
      </c>
      <c r="F41" s="96">
        <v>0.37916008805118978</v>
      </c>
      <c r="G41" s="96">
        <v>0.52320050581899025</v>
      </c>
      <c r="H41" s="103">
        <v>0.44806053772333787</v>
      </c>
      <c r="I41" s="96">
        <v>1.2504891816873489</v>
      </c>
      <c r="J41" s="96">
        <v>0.54628174122945095</v>
      </c>
      <c r="K41" s="104">
        <v>2.1113434138707392</v>
      </c>
      <c r="L41" s="141"/>
      <c r="M41" s="141"/>
      <c r="N41" s="141"/>
      <c r="O41" s="146" t="s">
        <v>367</v>
      </c>
      <c r="P41" s="96">
        <f t="shared" ref="P41:T41" si="17">AVERAGE(P32:P40)</f>
        <v>2.9464160963427735</v>
      </c>
      <c r="Q41" s="96">
        <f t="shared" si="17"/>
        <v>1.2654811666795356</v>
      </c>
      <c r="R41" s="96">
        <f t="shared" si="17"/>
        <v>0.38926489402840031</v>
      </c>
      <c r="S41" s="96">
        <f t="shared" si="17"/>
        <v>0.2928744983519983</v>
      </c>
      <c r="T41" s="96">
        <f t="shared" si="17"/>
        <v>0.68592287932064178</v>
      </c>
      <c r="U41" s="96">
        <f>AVERAGE(U32:U40)</f>
        <v>0.47214260075444436</v>
      </c>
      <c r="V41" s="96">
        <f t="shared" ref="V41:X41" si="18">AVERAGE(V32:V40)</f>
        <v>0.98118004791521052</v>
      </c>
      <c r="W41" s="96">
        <f t="shared" si="18"/>
        <v>0.30765001347332349</v>
      </c>
      <c r="X41" s="96">
        <f t="shared" si="18"/>
        <v>1.2972457115547298</v>
      </c>
      <c r="Y41" s="141"/>
      <c r="Z41" s="141"/>
      <c r="AL41" s="141"/>
      <c r="AM41" s="146" t="s">
        <v>367</v>
      </c>
      <c r="AN41" s="142">
        <f>AVERAGE(AN32:AN40)</f>
        <v>3.3934849083182304</v>
      </c>
      <c r="AO41" s="142">
        <f t="shared" ref="AO41:AV41" si="19">AVERAGE(AO32:AO40)</f>
        <v>1.1389271316463661</v>
      </c>
      <c r="AP41" s="142">
        <f t="shared" si="19"/>
        <v>0.38514251172556779</v>
      </c>
      <c r="AQ41" s="142">
        <f t="shared" si="19"/>
        <v>0.31206872510721861</v>
      </c>
      <c r="AR41" s="142">
        <f t="shared" si="19"/>
        <v>0.71121551574676134</v>
      </c>
      <c r="AS41" s="142">
        <f t="shared" si="19"/>
        <v>0.5164125788677949</v>
      </c>
      <c r="AT41" s="142">
        <f t="shared" si="19"/>
        <v>0.94922068569942064</v>
      </c>
      <c r="AU41" s="142">
        <f t="shared" si="19"/>
        <v>0.33815208069482394</v>
      </c>
      <c r="AV41" s="142">
        <f t="shared" si="19"/>
        <v>1.3940109118353525</v>
      </c>
    </row>
    <row r="42" spans="1:48" ht="15.75" x14ac:dyDescent="0.25">
      <c r="A42" s="8"/>
      <c r="B42" s="8" t="s">
        <v>105</v>
      </c>
      <c r="C42" s="108">
        <v>5.3304365039621011</v>
      </c>
      <c r="D42" s="108">
        <v>0.88292113704416542</v>
      </c>
      <c r="E42" s="108">
        <v>0.69492840543923418</v>
      </c>
      <c r="F42" s="108">
        <v>0.60315406907510882</v>
      </c>
      <c r="G42" s="108">
        <v>0.86480412080981062</v>
      </c>
      <c r="H42" s="103">
        <v>1.2720370903309806</v>
      </c>
      <c r="I42" s="108">
        <v>0.93389219730581097</v>
      </c>
      <c r="J42" s="108">
        <v>0.13602714799529617</v>
      </c>
      <c r="K42" s="104">
        <v>1.2117189015399787</v>
      </c>
      <c r="L42" s="141"/>
      <c r="M42" s="141"/>
      <c r="N42" s="141"/>
      <c r="O42" s="146" t="s">
        <v>368</v>
      </c>
      <c r="P42" s="142">
        <f t="shared" ref="P42:X42" si="20">_xlfn.STDEV.S(P32:P40)</f>
        <v>1.2838459023340822</v>
      </c>
      <c r="Q42" s="142">
        <f t="shared" si="20"/>
        <v>0.44775592250899926</v>
      </c>
      <c r="R42" s="142">
        <f t="shared" si="20"/>
        <v>0.37422367625920255</v>
      </c>
      <c r="S42" s="142">
        <f t="shared" si="20"/>
        <v>0.25999709129945853</v>
      </c>
      <c r="T42" s="142">
        <f t="shared" si="20"/>
        <v>0.32871418165390015</v>
      </c>
      <c r="U42" s="142">
        <f>_xlfn.STDEV.S(U32:U40)</f>
        <v>0.37679401866505552</v>
      </c>
      <c r="V42" s="142">
        <f t="shared" si="20"/>
        <v>0.3843867642294333</v>
      </c>
      <c r="W42" s="142">
        <f t="shared" si="20"/>
        <v>0.14292559056610452</v>
      </c>
      <c r="X42" s="142">
        <f t="shared" si="20"/>
        <v>0.5028798839025761</v>
      </c>
      <c r="Y42" s="141"/>
      <c r="Z42" s="141"/>
      <c r="AK42" s="141"/>
      <c r="AL42" s="141"/>
      <c r="AM42" s="146" t="s">
        <v>368</v>
      </c>
      <c r="AN42" s="142">
        <f>_xlfn.STDEV.S(AN32:AN40)</f>
        <v>0.99279368491310738</v>
      </c>
      <c r="AO42" s="142">
        <f t="shared" ref="AO42:AV42" si="21">_xlfn.STDEV.S(AO32:AO40)</f>
        <v>0.36987660896100238</v>
      </c>
      <c r="AP42" s="142">
        <f t="shared" si="21"/>
        <v>0.15049107529084513</v>
      </c>
      <c r="AQ42" s="142">
        <f t="shared" si="21"/>
        <v>0.14364217370550023</v>
      </c>
      <c r="AR42" s="142">
        <f t="shared" si="21"/>
        <v>0.28132581897552067</v>
      </c>
      <c r="AS42" s="142">
        <f t="shared" si="21"/>
        <v>0.20821301483088153</v>
      </c>
      <c r="AT42" s="142">
        <f t="shared" si="21"/>
        <v>0.24180024419678292</v>
      </c>
      <c r="AU42" s="142">
        <f t="shared" si="21"/>
        <v>0.23783336139487096</v>
      </c>
      <c r="AV42" s="142">
        <f t="shared" si="21"/>
        <v>0.35927101908312764</v>
      </c>
    </row>
    <row r="43" spans="1:48" ht="15.75" x14ac:dyDescent="0.25">
      <c r="A43" s="8"/>
      <c r="B43" s="8" t="s">
        <v>107</v>
      </c>
      <c r="C43" s="96">
        <v>3.9228517451398357</v>
      </c>
      <c r="D43" s="96">
        <v>0.86724269162612044</v>
      </c>
      <c r="E43" s="96">
        <v>0.17369258539646276</v>
      </c>
      <c r="F43" s="96">
        <v>0.28180916386467442</v>
      </c>
      <c r="G43" s="96">
        <v>0.69872912041319568</v>
      </c>
      <c r="H43" s="103">
        <v>1.1708204816543351</v>
      </c>
      <c r="I43" s="96">
        <v>0.71088490010657179</v>
      </c>
      <c r="J43" s="96">
        <v>0.69569250418327955</v>
      </c>
      <c r="K43" s="104">
        <v>1.543150616446388</v>
      </c>
      <c r="L43" s="141"/>
      <c r="M43" s="141"/>
      <c r="N43" s="141"/>
      <c r="O43" s="146" t="s">
        <v>369</v>
      </c>
      <c r="P43" s="141">
        <f t="shared" ref="P43:X43" si="22">COUNT(P32:P40)</f>
        <v>7</v>
      </c>
      <c r="Q43" s="141">
        <f t="shared" si="22"/>
        <v>7</v>
      </c>
      <c r="R43" s="141">
        <f t="shared" si="22"/>
        <v>8</v>
      </c>
      <c r="S43" s="141">
        <f t="shared" si="22"/>
        <v>7</v>
      </c>
      <c r="T43" s="141">
        <f t="shared" si="22"/>
        <v>8</v>
      </c>
      <c r="U43" s="141">
        <f>COUNT(U32:U40)</f>
        <v>8</v>
      </c>
      <c r="V43" s="141">
        <f t="shared" si="22"/>
        <v>8</v>
      </c>
      <c r="W43" s="141">
        <f t="shared" si="22"/>
        <v>8</v>
      </c>
      <c r="X43" s="141">
        <f t="shared" si="22"/>
        <v>8</v>
      </c>
      <c r="Y43" s="141"/>
      <c r="Z43" s="141"/>
      <c r="AK43" s="141"/>
      <c r="AL43" s="141"/>
      <c r="AM43" s="146" t="s">
        <v>369</v>
      </c>
      <c r="AN43" s="147">
        <f>COUNT(AN32:AN40)</f>
        <v>8</v>
      </c>
      <c r="AO43" s="147">
        <f t="shared" ref="AO43:AV43" si="23">COUNT(AO32:AO40)</f>
        <v>7</v>
      </c>
      <c r="AP43" s="147">
        <f t="shared" si="23"/>
        <v>8</v>
      </c>
      <c r="AQ43" s="147">
        <f t="shared" si="23"/>
        <v>7</v>
      </c>
      <c r="AR43" s="147">
        <f t="shared" si="23"/>
        <v>8</v>
      </c>
      <c r="AS43" s="147">
        <f t="shared" si="23"/>
        <v>7</v>
      </c>
      <c r="AT43" s="147">
        <f t="shared" si="23"/>
        <v>8</v>
      </c>
      <c r="AU43" s="147">
        <f t="shared" si="23"/>
        <v>8</v>
      </c>
      <c r="AV43" s="147">
        <f t="shared" si="23"/>
        <v>8</v>
      </c>
    </row>
    <row r="44" spans="1:48" x14ac:dyDescent="0.25">
      <c r="A44" s="8"/>
      <c r="B44" s="8" t="s">
        <v>109</v>
      </c>
      <c r="C44" s="108">
        <v>3.828417931107976</v>
      </c>
      <c r="D44" s="108">
        <v>1.29867991074526</v>
      </c>
      <c r="E44" s="108">
        <v>0.26459444755579642</v>
      </c>
      <c r="F44" s="108">
        <v>0.33343988127543778</v>
      </c>
      <c r="G44" s="108">
        <v>0.70396227025505642</v>
      </c>
      <c r="H44" s="103">
        <v>0.75505215104999701</v>
      </c>
      <c r="I44" s="108">
        <v>0.83964380417511286</v>
      </c>
      <c r="J44" s="108">
        <v>0.25890777608952481</v>
      </c>
      <c r="K44" s="104">
        <v>1.3747898579574886</v>
      </c>
      <c r="L44" s="141"/>
      <c r="M44" s="141"/>
      <c r="N44" s="141"/>
      <c r="Y44" s="141"/>
      <c r="Z44" s="141"/>
      <c r="AK44" s="141"/>
      <c r="AL44" s="141"/>
    </row>
    <row r="45" spans="1:48" ht="15.75" x14ac:dyDescent="0.25">
      <c r="A45" s="8"/>
      <c r="B45" s="6" t="s">
        <v>111</v>
      </c>
      <c r="C45" s="96">
        <v>3.5455072300591399</v>
      </c>
      <c r="D45" s="96">
        <v>0.65768761141437038</v>
      </c>
      <c r="E45" s="117"/>
      <c r="F45" s="96">
        <v>0.52348710833727374</v>
      </c>
      <c r="G45" s="96">
        <v>0.80807411273131002</v>
      </c>
      <c r="H45" s="103">
        <v>0.98366849484789742</v>
      </c>
      <c r="I45" s="96">
        <v>0.98952509131637001</v>
      </c>
      <c r="J45" s="96">
        <v>0.38564189545793703</v>
      </c>
      <c r="K45" s="104">
        <v>1.4077895911028766</v>
      </c>
      <c r="L45" s="141"/>
      <c r="M45" s="141"/>
      <c r="N45" s="141"/>
      <c r="O45" s="146" t="s">
        <v>365</v>
      </c>
      <c r="P45" s="96">
        <f t="shared" ref="P45:X45" si="24">_xlfn.T.TEST(P5:P13,P32:P40,2,1)</f>
        <v>0.40863938761748952</v>
      </c>
      <c r="Q45" s="96">
        <f t="shared" si="24"/>
        <v>0.79645468974829203</v>
      </c>
      <c r="R45" s="96">
        <f t="shared" si="24"/>
        <v>0.30947441011825261</v>
      </c>
      <c r="S45" s="96">
        <f t="shared" si="24"/>
        <v>0.18364376948622732</v>
      </c>
      <c r="T45" s="96">
        <f t="shared" si="24"/>
        <v>0.18196201158388245</v>
      </c>
      <c r="U45" s="96">
        <f t="shared" si="24"/>
        <v>0.26244519591994692</v>
      </c>
      <c r="V45" s="162">
        <f t="shared" si="24"/>
        <v>2.2113549767859682E-2</v>
      </c>
      <c r="W45" s="164">
        <f t="shared" si="24"/>
        <v>6.6926623144142897E-2</v>
      </c>
      <c r="X45" s="162">
        <f t="shared" si="24"/>
        <v>4.9836479001390849E-2</v>
      </c>
      <c r="Y45" s="141"/>
      <c r="Z45" s="141"/>
      <c r="AK45" s="141"/>
      <c r="AL45" s="141"/>
      <c r="AM45" t="s">
        <v>365</v>
      </c>
      <c r="AN45" s="164">
        <f>_xlfn.T.TEST(AN5:AN13,AN32:AN40,2,1)</f>
        <v>6.3081066947853898E-2</v>
      </c>
      <c r="AO45" s="96">
        <f t="shared" ref="AO45:AV45" si="25">_xlfn.T.TEST(AO5:AO13,AO32:AO40,2,1)</f>
        <v>0.81629436590266891</v>
      </c>
      <c r="AP45" s="96">
        <f t="shared" si="25"/>
        <v>0.93828290800078373</v>
      </c>
      <c r="AQ45" s="96">
        <f t="shared" si="25"/>
        <v>0.64652414958493942</v>
      </c>
      <c r="AR45" s="164">
        <f t="shared" si="25"/>
        <v>6.6577020796168243E-2</v>
      </c>
      <c r="AS45" s="96">
        <f t="shared" si="25"/>
        <v>0.81742241131469517</v>
      </c>
      <c r="AT45" s="162">
        <f t="shared" si="25"/>
        <v>4.8056964409342034E-5</v>
      </c>
      <c r="AU45" s="96">
        <f t="shared" si="25"/>
        <v>0.94856161360199509</v>
      </c>
      <c r="AV45" s="162">
        <f t="shared" si="25"/>
        <v>1.8520623128229859E-3</v>
      </c>
    </row>
    <row r="46" spans="1:48" ht="15.75" x14ac:dyDescent="0.25">
      <c r="A46" s="8"/>
      <c r="B46" s="6" t="s">
        <v>114</v>
      </c>
      <c r="C46" s="108">
        <v>3.6360356592559979</v>
      </c>
      <c r="D46" s="108">
        <v>0.48829407880255332</v>
      </c>
      <c r="E46" s="108">
        <v>0.43959938366718015</v>
      </c>
      <c r="F46" s="108">
        <v>0.45303764032577581</v>
      </c>
      <c r="G46" s="108">
        <v>0.67787585296059849</v>
      </c>
      <c r="H46" s="103">
        <v>0.81147919876733432</v>
      </c>
      <c r="I46" s="108">
        <v>1.1541646489104114</v>
      </c>
      <c r="J46" s="108">
        <v>0.45099053488883994</v>
      </c>
      <c r="K46" s="104">
        <v>1.6190887079022669</v>
      </c>
      <c r="L46" s="141"/>
      <c r="M46" s="141"/>
      <c r="N46" s="141"/>
      <c r="O46" s="146" t="s">
        <v>366</v>
      </c>
      <c r="P46" s="96">
        <f t="shared" ref="P46:X46" si="26">(P41-P14)/AVERAGE(P15,P42)</f>
        <v>0.23135181366144111</v>
      </c>
      <c r="Q46" s="96">
        <f t="shared" si="26"/>
        <v>6.3728424505648459E-2</v>
      </c>
      <c r="R46" s="96">
        <f t="shared" si="26"/>
        <v>-9.1072341611883448E-2</v>
      </c>
      <c r="S46" s="96">
        <f t="shared" si="26"/>
        <v>-0.3084112157031656</v>
      </c>
      <c r="T46" s="96">
        <f t="shared" si="26"/>
        <v>0.30168616857537073</v>
      </c>
      <c r="U46" s="96">
        <f t="shared" si="26"/>
        <v>9.1231317728724393E-2</v>
      </c>
      <c r="V46" s="162">
        <f t="shared" si="26"/>
        <v>1.0686720210436524</v>
      </c>
      <c r="W46" s="96">
        <f t="shared" si="26"/>
        <v>-0.42464013185306482</v>
      </c>
      <c r="X46" s="162">
        <f t="shared" si="26"/>
        <v>0.68948455990791357</v>
      </c>
      <c r="Y46" s="141"/>
      <c r="Z46" s="141"/>
      <c r="AK46" s="141"/>
      <c r="AL46" s="141"/>
      <c r="AM46" t="s">
        <v>366</v>
      </c>
      <c r="AN46" s="162">
        <f>(AN41-AN14)/AVERAGE(AN15,AN42)</f>
        <v>0.52542375658497176</v>
      </c>
      <c r="AO46" s="96">
        <f t="shared" ref="AO46:AV46" si="27">(AO41-AO14)/AVERAGE(AO15,AO42)</f>
        <v>-8.41854334213262E-2</v>
      </c>
      <c r="AP46" s="96">
        <f t="shared" si="27"/>
        <v>1.4474390979495717E-2</v>
      </c>
      <c r="AQ46" s="96">
        <f t="shared" si="27"/>
        <v>-5.1751074855085136E-2</v>
      </c>
      <c r="AR46" s="162">
        <f t="shared" si="27"/>
        <v>0.76359283008705514</v>
      </c>
      <c r="AS46" s="96">
        <f t="shared" si="27"/>
        <v>6.8524659054385706E-2</v>
      </c>
      <c r="AT46" s="162">
        <f t="shared" si="27"/>
        <v>1.9719468563200842</v>
      </c>
      <c r="AU46" s="96">
        <f t="shared" si="27"/>
        <v>1.2195905626169158E-2</v>
      </c>
      <c r="AV46" s="162">
        <f t="shared" si="27"/>
        <v>1.7298303060502753</v>
      </c>
    </row>
    <row r="47" spans="1:48" x14ac:dyDescent="0.25">
      <c r="A47" s="8"/>
      <c r="B47" s="6" t="s">
        <v>117</v>
      </c>
      <c r="C47" s="96">
        <v>3.8163742156319072</v>
      </c>
      <c r="D47" s="96">
        <v>0.58449818102618978</v>
      </c>
      <c r="E47" s="96">
        <v>0.44117695575293048</v>
      </c>
      <c r="F47" s="96">
        <v>0.56621695602878908</v>
      </c>
      <c r="G47" s="96">
        <v>0.68881150695752402</v>
      </c>
      <c r="H47" s="103">
        <v>0.69182954932251084</v>
      </c>
      <c r="I47" s="96">
        <v>0.57172219931511881</v>
      </c>
      <c r="J47" s="117"/>
      <c r="K47" s="104">
        <v>1.1046512216700115</v>
      </c>
    </row>
    <row r="48" spans="1:48" x14ac:dyDescent="0.25">
      <c r="B48" s="6" t="s">
        <v>119</v>
      </c>
      <c r="C48" s="108">
        <v>5.8641903572575158</v>
      </c>
      <c r="D48" s="108">
        <v>2.5526437605157257</v>
      </c>
      <c r="E48" s="108">
        <v>0.2596178423996241</v>
      </c>
      <c r="F48" s="108">
        <v>0.27201537557596112</v>
      </c>
      <c r="G48" s="108">
        <v>0.52790748652885611</v>
      </c>
      <c r="H48" s="103">
        <v>0.36466867721149393</v>
      </c>
      <c r="I48" s="108">
        <v>0.95226182681748039</v>
      </c>
      <c r="J48" s="108">
        <v>0.51143291224083776</v>
      </c>
      <c r="K48" s="104">
        <v>1.7024373913668394</v>
      </c>
    </row>
    <row r="49" spans="1:48" x14ac:dyDescent="0.25">
      <c r="B49" s="6" t="s">
        <v>121</v>
      </c>
      <c r="C49" s="96">
        <v>4.8258576625267642</v>
      </c>
      <c r="D49" s="96">
        <v>1.0973434734515273</v>
      </c>
      <c r="E49" s="96">
        <v>0.13335899781406516</v>
      </c>
      <c r="F49" s="96">
        <v>0.16591985676041784</v>
      </c>
      <c r="G49" s="96">
        <v>0.98334348717456088</v>
      </c>
      <c r="H49" s="103">
        <v>1.5354820955939308</v>
      </c>
      <c r="I49" s="96">
        <v>1.0499259136741725</v>
      </c>
      <c r="J49" s="117"/>
      <c r="K49" s="104">
        <v>0.88877647236415724</v>
      </c>
    </row>
    <row r="50" spans="1:48" x14ac:dyDescent="0.25">
      <c r="B50" s="6" t="s">
        <v>123</v>
      </c>
      <c r="C50" s="108">
        <v>3.2273306003981013</v>
      </c>
      <c r="D50" s="108">
        <v>0.73306131099650784</v>
      </c>
      <c r="E50" s="108">
        <v>0.17731155282527827</v>
      </c>
      <c r="F50" s="108">
        <v>0.18782865585846195</v>
      </c>
      <c r="G50" s="108">
        <v>0.54268103731353934</v>
      </c>
      <c r="H50" s="103">
        <v>0.88213495989724644</v>
      </c>
      <c r="I50" s="108">
        <v>0.82063727232979067</v>
      </c>
      <c r="J50" s="108">
        <v>0.52814051371069892</v>
      </c>
      <c r="K50" s="104">
        <v>1.1890243222452941</v>
      </c>
    </row>
    <row r="51" spans="1:48" x14ac:dyDescent="0.25">
      <c r="B51" s="6" t="s">
        <v>125</v>
      </c>
      <c r="C51" s="96">
        <v>3.5425073000626992</v>
      </c>
      <c r="D51" s="96">
        <v>0.71396193965519972</v>
      </c>
      <c r="E51" s="96">
        <v>0.54663965710651474</v>
      </c>
      <c r="F51" s="96">
        <v>0.62326387995591248</v>
      </c>
      <c r="G51" s="96">
        <v>1.041590718214787</v>
      </c>
      <c r="H51" s="103">
        <v>0.34491339434487039</v>
      </c>
      <c r="I51" s="96">
        <v>0.7590151230845753</v>
      </c>
      <c r="J51" s="96">
        <v>0.40585902483329678</v>
      </c>
      <c r="K51" s="104">
        <v>1.0243470982905982</v>
      </c>
    </row>
    <row r="52" spans="1:48" ht="15.75" thickBot="1" x14ac:dyDescent="0.3">
      <c r="B52" s="34" t="s">
        <v>127</v>
      </c>
      <c r="C52" s="105">
        <v>3.0994870928920659</v>
      </c>
      <c r="D52" s="105">
        <v>0.18015571197506125</v>
      </c>
      <c r="E52" s="105">
        <v>0.35844291181209254</v>
      </c>
      <c r="F52" s="105">
        <v>0.30763116506755533</v>
      </c>
      <c r="G52" s="105">
        <v>0.93974797969097745</v>
      </c>
      <c r="H52" s="124"/>
      <c r="I52" s="105">
        <v>0.7424431979806182</v>
      </c>
      <c r="J52" s="105">
        <v>0.54001684133336125</v>
      </c>
      <c r="K52" s="106">
        <v>1.3132273641814063</v>
      </c>
    </row>
    <row r="53" spans="1:48" ht="15.75" x14ac:dyDescent="0.25">
      <c r="B53" s="146" t="s">
        <v>367</v>
      </c>
      <c r="C53" s="96">
        <f t="shared" ref="C53:K53" si="28">AVERAGE(C32:C52)</f>
        <v>4.151591771285263</v>
      </c>
      <c r="D53" s="96">
        <f t="shared" si="28"/>
        <v>1.0303463201401069</v>
      </c>
      <c r="E53" s="96">
        <f t="shared" si="28"/>
        <v>0.3657723214531064</v>
      </c>
      <c r="F53" s="96">
        <f t="shared" si="28"/>
        <v>0.38662299791435389</v>
      </c>
      <c r="G53" s="96">
        <f t="shared" si="28"/>
        <v>0.83044750889071961</v>
      </c>
      <c r="H53" s="96">
        <f t="shared" si="28"/>
        <v>0.78216239192128056</v>
      </c>
      <c r="I53" s="96">
        <f t="shared" si="28"/>
        <v>1.0934079745742233</v>
      </c>
      <c r="J53" s="96">
        <f t="shared" si="28"/>
        <v>0.44357423560330117</v>
      </c>
      <c r="K53" s="96">
        <f t="shared" si="28"/>
        <v>1.5872074114563808</v>
      </c>
    </row>
    <row r="54" spans="1:48" ht="15.75" x14ac:dyDescent="0.25">
      <c r="B54" s="146" t="s">
        <v>368</v>
      </c>
      <c r="C54" s="96">
        <f t="shared" ref="C54:K54" si="29">_xlfn.STDEV.S(C32:C52)</f>
        <v>0.88339061896179283</v>
      </c>
      <c r="D54" s="96">
        <f t="shared" si="29"/>
        <v>0.54070917699258192</v>
      </c>
      <c r="E54" s="96">
        <f t="shared" si="29"/>
        <v>0.14004324859613024</v>
      </c>
      <c r="F54" s="96">
        <f t="shared" si="29"/>
        <v>0.13162446120242352</v>
      </c>
      <c r="G54" s="96">
        <f t="shared" si="29"/>
        <v>0.32952625615136144</v>
      </c>
      <c r="H54" s="96">
        <f t="shared" si="29"/>
        <v>0.33061994799152311</v>
      </c>
      <c r="I54" s="96">
        <f t="shared" si="29"/>
        <v>0.39148147975173031</v>
      </c>
      <c r="J54" s="96">
        <f t="shared" si="29"/>
        <v>0.14940105228151473</v>
      </c>
      <c r="K54" s="96">
        <f t="shared" si="29"/>
        <v>0.47179812630805462</v>
      </c>
    </row>
    <row r="55" spans="1:48" ht="15.75" x14ac:dyDescent="0.25">
      <c r="B55" s="146" t="s">
        <v>369</v>
      </c>
      <c r="C55" s="148">
        <f t="shared" ref="C55:K55" si="30">COUNT(C32:C52)</f>
        <v>20</v>
      </c>
      <c r="D55" s="148">
        <f t="shared" si="30"/>
        <v>20</v>
      </c>
      <c r="E55" s="148">
        <f t="shared" si="30"/>
        <v>19</v>
      </c>
      <c r="F55" s="148">
        <f t="shared" si="30"/>
        <v>20</v>
      </c>
      <c r="G55" s="148">
        <f t="shared" si="30"/>
        <v>20</v>
      </c>
      <c r="H55" s="148">
        <f t="shared" si="30"/>
        <v>19</v>
      </c>
      <c r="I55" s="148">
        <f t="shared" si="30"/>
        <v>19</v>
      </c>
      <c r="J55" s="148">
        <f t="shared" si="30"/>
        <v>17</v>
      </c>
      <c r="K55" s="148">
        <f t="shared" si="30"/>
        <v>19</v>
      </c>
    </row>
    <row r="56" spans="1:48" ht="15.75" x14ac:dyDescent="0.25">
      <c r="B56" s="146"/>
    </row>
    <row r="57" spans="1:48" ht="15.75" x14ac:dyDescent="0.25">
      <c r="B57" s="146" t="s">
        <v>365</v>
      </c>
      <c r="C57" s="193">
        <f t="shared" ref="C57:K57" si="31">_xlfn.T.TEST(C5:C25,C32:C52,2,1)</f>
        <v>8.3632207866604031E-5</v>
      </c>
      <c r="D57" s="96">
        <f t="shared" si="31"/>
        <v>0.11063308112863504</v>
      </c>
      <c r="E57" s="96">
        <f t="shared" si="31"/>
        <v>0.98074320155730299</v>
      </c>
      <c r="F57" s="164">
        <f t="shared" si="31"/>
        <v>7.733655342308661E-2</v>
      </c>
      <c r="G57" s="193">
        <f t="shared" si="31"/>
        <v>7.3790343101052338E-6</v>
      </c>
      <c r="H57" s="96">
        <f t="shared" si="31"/>
        <v>0.20500026638413252</v>
      </c>
      <c r="I57" s="193">
        <f t="shared" si="31"/>
        <v>1.241740517399676E-7</v>
      </c>
      <c r="J57" s="96">
        <f t="shared" si="31"/>
        <v>0.10260114669721922</v>
      </c>
      <c r="K57" s="193">
        <f t="shared" si="31"/>
        <v>1.4429678476437613E-5</v>
      </c>
    </row>
    <row r="58" spans="1:48" ht="15.75" x14ac:dyDescent="0.25">
      <c r="B58" s="146" t="s">
        <v>366</v>
      </c>
      <c r="C58" s="162">
        <f t="shared" ref="C58:K58" si="32">(C53-C26)/AVERAGE(C27,C54)</f>
        <v>0.69064025258138129</v>
      </c>
      <c r="D58" s="96">
        <f t="shared" si="32"/>
        <v>-0.15439314861133829</v>
      </c>
      <c r="E58" s="96">
        <f t="shared" si="32"/>
        <v>1.8782527927264376E-3</v>
      </c>
      <c r="F58" s="96">
        <f t="shared" si="32"/>
        <v>0.20919516095234322</v>
      </c>
      <c r="G58" s="162">
        <f t="shared" si="32"/>
        <v>1.5389483996202293</v>
      </c>
      <c r="H58" s="96">
        <f t="shared" si="32"/>
        <v>-0.1421343119177837</v>
      </c>
      <c r="I58" s="162">
        <f t="shared" si="32"/>
        <v>1.9759682144469142</v>
      </c>
      <c r="J58" s="96">
        <f t="shared" si="32"/>
        <v>-0.23251231712868742</v>
      </c>
      <c r="K58" s="162">
        <f t="shared" si="32"/>
        <v>1.2575673580686473</v>
      </c>
    </row>
    <row r="61" spans="1:48" ht="18.75" x14ac:dyDescent="0.3">
      <c r="B61" s="152" t="s">
        <v>374</v>
      </c>
      <c r="C61" s="141"/>
      <c r="D61" s="141"/>
      <c r="E61" s="141"/>
      <c r="F61" s="141"/>
      <c r="G61" s="141"/>
      <c r="H61" s="141"/>
      <c r="I61" s="141"/>
      <c r="J61" s="141"/>
      <c r="K61" s="141"/>
      <c r="O61" s="152" t="s">
        <v>374</v>
      </c>
      <c r="AA61" s="152" t="s">
        <v>374</v>
      </c>
      <c r="AB61" s="141"/>
      <c r="AC61" s="141"/>
      <c r="AD61" s="141"/>
      <c r="AE61" s="141"/>
      <c r="AF61" s="141"/>
      <c r="AG61" s="141"/>
      <c r="AH61" s="141"/>
      <c r="AI61" s="141"/>
      <c r="AJ61" s="141"/>
      <c r="AM61" s="152" t="s">
        <v>374</v>
      </c>
      <c r="AN61" s="141"/>
      <c r="AO61" s="141"/>
      <c r="AP61" s="141"/>
      <c r="AQ61" s="141"/>
      <c r="AR61" s="141"/>
      <c r="AS61" s="141"/>
      <c r="AT61" s="141"/>
      <c r="AU61" s="141"/>
      <c r="AV61" s="141"/>
    </row>
    <row r="62" spans="1:48" ht="15.75" thickBot="1" x14ac:dyDescent="0.3">
      <c r="A62" s="8"/>
      <c r="B62" s="1" t="s">
        <v>82</v>
      </c>
      <c r="C62" s="21" t="s">
        <v>8</v>
      </c>
      <c r="D62" s="13" t="s">
        <v>9</v>
      </c>
      <c r="E62" s="13" t="s">
        <v>10</v>
      </c>
      <c r="F62" s="13" t="s">
        <v>11</v>
      </c>
      <c r="G62" s="13" t="s">
        <v>12</v>
      </c>
      <c r="H62" s="15" t="s">
        <v>13</v>
      </c>
      <c r="I62" s="13" t="s">
        <v>14</v>
      </c>
      <c r="J62" s="13" t="s">
        <v>15</v>
      </c>
      <c r="K62" s="14" t="s">
        <v>16</v>
      </c>
      <c r="N62" s="8"/>
      <c r="O62" s="153" t="s">
        <v>0</v>
      </c>
      <c r="P62" s="149" t="s">
        <v>8</v>
      </c>
      <c r="Q62" s="149" t="s">
        <v>9</v>
      </c>
      <c r="R62" s="149" t="s">
        <v>10</v>
      </c>
      <c r="S62" s="149" t="s">
        <v>11</v>
      </c>
      <c r="T62" s="149" t="s">
        <v>12</v>
      </c>
      <c r="U62" s="151" t="s">
        <v>13</v>
      </c>
      <c r="V62" s="149" t="s">
        <v>14</v>
      </c>
      <c r="W62" s="149" t="s">
        <v>15</v>
      </c>
      <c r="X62" s="150" t="s">
        <v>16</v>
      </c>
      <c r="AA62" s="153" t="s">
        <v>0</v>
      </c>
      <c r="AB62" s="149" t="s">
        <v>8</v>
      </c>
      <c r="AC62" s="149" t="s">
        <v>9</v>
      </c>
      <c r="AD62" s="149" t="s">
        <v>10</v>
      </c>
      <c r="AE62" s="149" t="s">
        <v>11</v>
      </c>
      <c r="AF62" s="149" t="s">
        <v>12</v>
      </c>
      <c r="AG62" s="149" t="s">
        <v>13</v>
      </c>
      <c r="AH62" s="149" t="s">
        <v>14</v>
      </c>
      <c r="AI62" s="149" t="s">
        <v>15</v>
      </c>
      <c r="AJ62" s="150" t="s">
        <v>16</v>
      </c>
      <c r="AM62" s="153" t="s">
        <v>0</v>
      </c>
      <c r="AN62" s="149" t="s">
        <v>8</v>
      </c>
      <c r="AO62" s="149" t="s">
        <v>9</v>
      </c>
      <c r="AP62" s="149" t="s">
        <v>10</v>
      </c>
      <c r="AQ62" s="149" t="s">
        <v>11</v>
      </c>
      <c r="AR62" s="149" t="s">
        <v>12</v>
      </c>
      <c r="AS62" s="149" t="s">
        <v>13</v>
      </c>
      <c r="AT62" s="149" t="s">
        <v>14</v>
      </c>
      <c r="AU62" s="149" t="s">
        <v>15</v>
      </c>
      <c r="AV62" s="150" t="s">
        <v>16</v>
      </c>
    </row>
    <row r="63" spans="1:48" ht="15.75" thickTop="1" x14ac:dyDescent="0.25">
      <c r="A63" s="8"/>
      <c r="B63" s="8" t="s">
        <v>342</v>
      </c>
      <c r="C63" s="96">
        <f>(C32-C5)/C5*100</f>
        <v>48.341511737565909</v>
      </c>
      <c r="D63" s="96">
        <f t="shared" ref="D63:K63" si="33">(D32-D5)/D5*100</f>
        <v>12.281694722074178</v>
      </c>
      <c r="E63" s="96">
        <f t="shared" si="33"/>
        <v>-12.395596904327935</v>
      </c>
      <c r="F63" s="96">
        <f t="shared" si="33"/>
        <v>7.5997703860010883</v>
      </c>
      <c r="G63" s="96">
        <f t="shared" si="33"/>
        <v>139.926201058793</v>
      </c>
      <c r="H63" s="96">
        <f t="shared" si="33"/>
        <v>-2.217904780922582</v>
      </c>
      <c r="I63" s="96">
        <f t="shared" si="33"/>
        <v>151.41640758401391</v>
      </c>
      <c r="J63" s="96">
        <f t="shared" si="33"/>
        <v>3.4978684007616452</v>
      </c>
      <c r="K63" s="104">
        <f t="shared" si="33"/>
        <v>121.71694881107453</v>
      </c>
      <c r="N63" s="8"/>
      <c r="O63" s="6" t="s">
        <v>214</v>
      </c>
      <c r="P63" s="109">
        <f>(P32-P5)/P5*100</f>
        <v>-3.8082016442589177</v>
      </c>
      <c r="Q63" s="110">
        <f t="shared" ref="Q63:X64" si="34">(Q32-Q5)/Q5*100</f>
        <v>-16.135196869123263</v>
      </c>
      <c r="R63" s="110">
        <f t="shared" si="34"/>
        <v>-7.652872494747073</v>
      </c>
      <c r="S63" s="110">
        <f t="shared" si="34"/>
        <v>4.2053323298888685</v>
      </c>
      <c r="T63" s="110">
        <f t="shared" si="34"/>
        <v>12.248770186253388</v>
      </c>
      <c r="U63" s="110">
        <f t="shared" si="34"/>
        <v>10.367368944350886</v>
      </c>
      <c r="V63" s="110">
        <f t="shared" si="34"/>
        <v>-28.386440907578763</v>
      </c>
      <c r="W63" s="110">
        <f t="shared" si="34"/>
        <v>-4.3190204879532574</v>
      </c>
      <c r="X63" s="111">
        <f t="shared" si="34"/>
        <v>-31.215972812512</v>
      </c>
      <c r="AA63" s="6" t="s">
        <v>49</v>
      </c>
      <c r="AB63" s="109">
        <f>(AB32-AB5)/AB5*100</f>
        <v>26.071950910029017</v>
      </c>
      <c r="AC63" s="110">
        <f t="shared" ref="AC63:AJ63" si="35">(AC32-AC5)/AC5*100</f>
        <v>37.94005009910564</v>
      </c>
      <c r="AD63" s="110">
        <f t="shared" si="35"/>
        <v>41.943425776325988</v>
      </c>
      <c r="AE63" s="110">
        <f t="shared" si="35"/>
        <v>-9.7407211812241403</v>
      </c>
      <c r="AF63" s="110">
        <f t="shared" si="35"/>
        <v>33.200052132966526</v>
      </c>
      <c r="AG63" s="110">
        <f t="shared" si="35"/>
        <v>-45.186745051405261</v>
      </c>
      <c r="AH63" s="110">
        <f t="shared" si="35"/>
        <v>457.85953300643945</v>
      </c>
      <c r="AI63" s="110">
        <f t="shared" si="35"/>
        <v>9.6532992298531308</v>
      </c>
      <c r="AJ63" s="111">
        <f t="shared" si="35"/>
        <v>199.55240053946119</v>
      </c>
      <c r="AL63" s="8"/>
      <c r="AM63" s="22" t="s">
        <v>19</v>
      </c>
      <c r="AN63" s="109"/>
      <c r="AO63" s="110"/>
      <c r="AP63" s="110"/>
      <c r="AQ63" s="110"/>
      <c r="AR63" s="110"/>
      <c r="AS63" s="110"/>
      <c r="AT63" s="110"/>
      <c r="AU63" s="110"/>
      <c r="AV63" s="111"/>
    </row>
    <row r="64" spans="1:48" x14ac:dyDescent="0.25">
      <c r="A64" s="8"/>
      <c r="B64" s="8" t="s">
        <v>373</v>
      </c>
      <c r="C64" s="96">
        <f t="shared" ref="C64:K69" si="36">(C33-C6)/C6*100</f>
        <v>2.6069704449076836</v>
      </c>
      <c r="D64" s="96">
        <f t="shared" si="36"/>
        <v>14.732860967345085</v>
      </c>
      <c r="E64" s="96">
        <f t="shared" si="36"/>
        <v>18.121383752053529</v>
      </c>
      <c r="F64" s="96">
        <f t="shared" si="36"/>
        <v>41.576490458249999</v>
      </c>
      <c r="G64" s="96">
        <f t="shared" si="36"/>
        <v>34.60977930621722</v>
      </c>
      <c r="H64" s="96">
        <f t="shared" si="36"/>
        <v>1.5833685588006172</v>
      </c>
      <c r="I64" s="96">
        <f t="shared" si="36"/>
        <v>158.41893270880419</v>
      </c>
      <c r="J64" s="96">
        <f t="shared" si="36"/>
        <v>61.422616072852151</v>
      </c>
      <c r="K64" s="104">
        <f t="shared" si="36"/>
        <v>157.69568717854474</v>
      </c>
      <c r="N64" s="8"/>
      <c r="O64" s="6" t="s">
        <v>213</v>
      </c>
      <c r="P64" s="107"/>
      <c r="Q64" s="108">
        <f t="shared" si="34"/>
        <v>44.853777186191465</v>
      </c>
      <c r="R64" s="108">
        <f t="shared" si="34"/>
        <v>5.7561091762919085</v>
      </c>
      <c r="S64" s="108">
        <f t="shared" si="34"/>
        <v>-36.092511326232554</v>
      </c>
      <c r="T64" s="108">
        <f t="shared" si="34"/>
        <v>18.238931781382995</v>
      </c>
      <c r="U64" s="108">
        <f t="shared" si="34"/>
        <v>9.1902163603766324E-2</v>
      </c>
      <c r="V64" s="108">
        <f t="shared" si="34"/>
        <v>101.69997115144582</v>
      </c>
      <c r="W64" s="108">
        <f t="shared" si="34"/>
        <v>-30.185546495134929</v>
      </c>
      <c r="X64" s="104">
        <f t="shared" si="34"/>
        <v>38.298746740533389</v>
      </c>
      <c r="AA64" s="6" t="s">
        <v>51</v>
      </c>
      <c r="AB64" s="107">
        <f t="shared" ref="AB64:AJ65" si="37">(AB33-AB6)/AB6*100</f>
        <v>63.749175754756017</v>
      </c>
      <c r="AC64" s="108">
        <f t="shared" si="37"/>
        <v>-33.994133710514497</v>
      </c>
      <c r="AD64" s="108">
        <f t="shared" si="37"/>
        <v>111.39728016352815</v>
      </c>
      <c r="AE64" s="108">
        <f t="shared" si="37"/>
        <v>92.459108503381344</v>
      </c>
      <c r="AF64" s="108">
        <f t="shared" si="37"/>
        <v>334.43504186804233</v>
      </c>
      <c r="AG64" s="108">
        <f t="shared" si="37"/>
        <v>-36.143909859926133</v>
      </c>
      <c r="AH64" s="108">
        <f t="shared" si="37"/>
        <v>1053.0628502560794</v>
      </c>
      <c r="AI64" s="108">
        <f t="shared" si="37"/>
        <v>64.261010177088039</v>
      </c>
      <c r="AJ64" s="104">
        <f t="shared" si="37"/>
        <v>619.45296494031231</v>
      </c>
      <c r="AL64" s="8"/>
      <c r="AM64" s="8" t="s">
        <v>22</v>
      </c>
      <c r="AN64" s="107">
        <f t="shared" ref="AN64:AV71" si="38">(AN33-AN6)/AN6*100</f>
        <v>-3.7929715364284022</v>
      </c>
      <c r="AO64" s="108">
        <f t="shared" si="38"/>
        <v>-33.505870033373917</v>
      </c>
      <c r="AP64" s="108">
        <f t="shared" si="38"/>
        <v>12.505878697658929</v>
      </c>
      <c r="AQ64" s="108">
        <f t="shared" si="38"/>
        <v>1.4644275105750921</v>
      </c>
      <c r="AR64" s="108">
        <f t="shared" si="38"/>
        <v>-34.990520377574875</v>
      </c>
      <c r="AS64" s="108">
        <f t="shared" si="38"/>
        <v>4.9111634042665031</v>
      </c>
      <c r="AT64" s="108">
        <f t="shared" si="38"/>
        <v>34.535373414019404</v>
      </c>
      <c r="AU64" s="108">
        <f t="shared" si="38"/>
        <v>-15.639635776962468</v>
      </c>
      <c r="AV64" s="104">
        <f t="shared" si="38"/>
        <v>14.876709857368816</v>
      </c>
    </row>
    <row r="65" spans="1:48" ht="15.75" thickBot="1" x14ac:dyDescent="0.3">
      <c r="A65" s="8"/>
      <c r="B65" s="8" t="s">
        <v>343</v>
      </c>
      <c r="C65" s="96">
        <f t="shared" si="36"/>
        <v>38.075356723540104</v>
      </c>
      <c r="D65" s="96">
        <f t="shared" si="36"/>
        <v>14.971465543650666</v>
      </c>
      <c r="E65" s="96">
        <f t="shared" si="36"/>
        <v>-12.441690867807937</v>
      </c>
      <c r="F65" s="96">
        <f t="shared" si="36"/>
        <v>-2.7535126101730891</v>
      </c>
      <c r="G65" s="96">
        <f t="shared" si="36"/>
        <v>151.06064154113673</v>
      </c>
      <c r="H65" s="96">
        <f t="shared" si="36"/>
        <v>0.64518289596944933</v>
      </c>
      <c r="I65" s="96">
        <f t="shared" si="36"/>
        <v>183.78803240821244</v>
      </c>
      <c r="J65" s="96">
        <f t="shared" si="36"/>
        <v>-37.914468485769326</v>
      </c>
      <c r="K65" s="104">
        <f t="shared" si="36"/>
        <v>109.5904345301519</v>
      </c>
      <c r="N65" s="8"/>
      <c r="O65" s="6" t="s">
        <v>212</v>
      </c>
      <c r="P65" s="107">
        <f t="shared" ref="P65:X67" si="39">(P34-P7)/P7*100</f>
        <v>-10.122797992748319</v>
      </c>
      <c r="Q65" s="108">
        <f t="shared" si="39"/>
        <v>-20.384808570039851</v>
      </c>
      <c r="R65" s="108">
        <f t="shared" si="39"/>
        <v>-11.777416326489073</v>
      </c>
      <c r="S65" s="108">
        <f t="shared" si="39"/>
        <v>-8.7603745801560251</v>
      </c>
      <c r="T65" s="108">
        <f t="shared" si="39"/>
        <v>-7.9167954299864354</v>
      </c>
      <c r="U65" s="108">
        <f t="shared" si="39"/>
        <v>-6.8917701874699731</v>
      </c>
      <c r="V65" s="108">
        <f t="shared" si="39"/>
        <v>-1.6490059115227047</v>
      </c>
      <c r="W65" s="108">
        <f t="shared" si="39"/>
        <v>-4.4104828174978801</v>
      </c>
      <c r="X65" s="104">
        <f t="shared" si="39"/>
        <v>-21.188055447307907</v>
      </c>
      <c r="AA65" s="12" t="s">
        <v>53</v>
      </c>
      <c r="AB65" s="113">
        <f t="shared" si="37"/>
        <v>18.313347068805193</v>
      </c>
      <c r="AC65" s="105">
        <f t="shared" si="37"/>
        <v>0.39438359762485886</v>
      </c>
      <c r="AD65" s="105">
        <f t="shared" si="37"/>
        <v>-1.5482364490619982</v>
      </c>
      <c r="AE65" s="105">
        <f t="shared" si="37"/>
        <v>21.327623036637661</v>
      </c>
      <c r="AF65" s="105">
        <f t="shared" si="37"/>
        <v>38.51970470587387</v>
      </c>
      <c r="AG65" s="105">
        <f t="shared" si="37"/>
        <v>-5.5162488679852446</v>
      </c>
      <c r="AH65" s="105">
        <f t="shared" si="37"/>
        <v>142.38440123933606</v>
      </c>
      <c r="AI65" s="105">
        <f t="shared" si="37"/>
        <v>-12.554577035121998</v>
      </c>
      <c r="AJ65" s="106">
        <f t="shared" si="37"/>
        <v>37.402410925299087</v>
      </c>
      <c r="AL65" s="8"/>
      <c r="AM65" s="8" t="s">
        <v>24</v>
      </c>
      <c r="AN65" s="107">
        <f t="shared" si="38"/>
        <v>36.210639415623497</v>
      </c>
      <c r="AO65" s="108">
        <f t="shared" si="38"/>
        <v>57.495167400133859</v>
      </c>
      <c r="AP65" s="108">
        <f t="shared" si="38"/>
        <v>10.754358792430102</v>
      </c>
      <c r="AQ65" s="108">
        <f t="shared" si="38"/>
        <v>-20.047537638363806</v>
      </c>
      <c r="AR65" s="108">
        <f t="shared" si="38"/>
        <v>85.598200406892673</v>
      </c>
      <c r="AS65" s="108">
        <f t="shared" si="38"/>
        <v>14.704622017331742</v>
      </c>
      <c r="AT65" s="108">
        <f t="shared" si="38"/>
        <v>175.9403676399553</v>
      </c>
      <c r="AU65" s="108">
        <f t="shared" si="38"/>
        <v>-39.890938774450689</v>
      </c>
      <c r="AV65" s="104">
        <f t="shared" si="38"/>
        <v>45.974313222017742</v>
      </c>
    </row>
    <row r="66" spans="1:48" ht="15.75" x14ac:dyDescent="0.25">
      <c r="A66" s="8"/>
      <c r="B66" s="8" t="s">
        <v>344</v>
      </c>
      <c r="C66" s="96">
        <f t="shared" si="36"/>
        <v>50.454615212952362</v>
      </c>
      <c r="D66" s="96">
        <f t="shared" si="36"/>
        <v>3.7225097067579966</v>
      </c>
      <c r="E66" s="96">
        <f t="shared" si="36"/>
        <v>9.9771611037654964</v>
      </c>
      <c r="F66" s="96">
        <f t="shared" si="36"/>
        <v>20.502957120219701</v>
      </c>
      <c r="G66" s="96">
        <f t="shared" si="36"/>
        <v>342.92925896986998</v>
      </c>
      <c r="H66" s="96">
        <f t="shared" si="36"/>
        <v>-15.533781140161532</v>
      </c>
      <c r="I66" s="96">
        <f t="shared" si="36"/>
        <v>392.9633905018112</v>
      </c>
      <c r="J66" s="96">
        <f t="shared" si="36"/>
        <v>-5.1645413422406525</v>
      </c>
      <c r="K66" s="104">
        <f t="shared" si="36"/>
        <v>157.50265900506921</v>
      </c>
      <c r="N66" s="8"/>
      <c r="O66" s="6" t="s">
        <v>211</v>
      </c>
      <c r="P66" s="107">
        <f t="shared" si="39"/>
        <v>8.4534132847623535</v>
      </c>
      <c r="Q66" s="108">
        <f t="shared" si="39"/>
        <v>-14.60607292744284</v>
      </c>
      <c r="R66" s="108">
        <f t="shared" si="39"/>
        <v>-65.127167540692881</v>
      </c>
      <c r="S66" s="108">
        <f t="shared" si="39"/>
        <v>-46.61861249423319</v>
      </c>
      <c r="T66" s="108">
        <f t="shared" si="39"/>
        <v>72.395616614207015</v>
      </c>
      <c r="U66" s="108">
        <f t="shared" si="39"/>
        <v>15.819321189076474</v>
      </c>
      <c r="V66" s="108">
        <f t="shared" si="39"/>
        <v>79.837767719374568</v>
      </c>
      <c r="W66" s="108">
        <f t="shared" si="39"/>
        <v>1.0459440242301583</v>
      </c>
      <c r="X66" s="104">
        <f t="shared" si="39"/>
        <v>42.937646653511536</v>
      </c>
      <c r="AA66" s="146" t="s">
        <v>367</v>
      </c>
      <c r="AB66" s="142">
        <f t="shared" ref="AB66:AJ66" si="40">AVERAGE(AB63:AB65)</f>
        <v>36.044824577863409</v>
      </c>
      <c r="AC66" s="142">
        <f t="shared" si="40"/>
        <v>1.446766662072001</v>
      </c>
      <c r="AD66" s="142">
        <f t="shared" si="40"/>
        <v>50.597489830264045</v>
      </c>
      <c r="AE66" s="142">
        <f t="shared" si="40"/>
        <v>34.682003452931617</v>
      </c>
      <c r="AF66" s="142">
        <f t="shared" si="40"/>
        <v>135.38493290229425</v>
      </c>
      <c r="AG66" s="142">
        <f t="shared" si="40"/>
        <v>-28.948967926438879</v>
      </c>
      <c r="AH66" s="142">
        <f t="shared" si="40"/>
        <v>551.10226150061828</v>
      </c>
      <c r="AI66" s="142">
        <f t="shared" si="40"/>
        <v>20.453244123939726</v>
      </c>
      <c r="AJ66" s="142">
        <f t="shared" si="40"/>
        <v>285.46925880169084</v>
      </c>
      <c r="AL66" s="8"/>
      <c r="AM66" s="8" t="s">
        <v>26</v>
      </c>
      <c r="AN66" s="107">
        <f t="shared" si="38"/>
        <v>24.595971547205558</v>
      </c>
      <c r="AO66" s="108">
        <f t="shared" si="38"/>
        <v>-19.037983309407217</v>
      </c>
      <c r="AP66" s="108">
        <f t="shared" si="38"/>
        <v>26.157903550604715</v>
      </c>
      <c r="AQ66" s="108">
        <f t="shared" si="38"/>
        <v>9.9107022294091802</v>
      </c>
      <c r="AR66" s="108">
        <f t="shared" si="38"/>
        <v>120.70305605460776</v>
      </c>
      <c r="AS66" s="108">
        <f t="shared" si="38"/>
        <v>24.65236401443816</v>
      </c>
      <c r="AT66" s="108">
        <f t="shared" si="38"/>
        <v>169.31826021467677</v>
      </c>
      <c r="AU66" s="108">
        <f t="shared" si="38"/>
        <v>-3.0909487992920828</v>
      </c>
      <c r="AV66" s="104">
        <f t="shared" si="38"/>
        <v>126.91821745092007</v>
      </c>
    </row>
    <row r="67" spans="1:48" ht="15.75" x14ac:dyDescent="0.25">
      <c r="A67" s="8"/>
      <c r="B67" s="8" t="s">
        <v>345</v>
      </c>
      <c r="C67" s="96">
        <f t="shared" si="36"/>
        <v>17.105624700452125</v>
      </c>
      <c r="D67" s="96">
        <f t="shared" si="36"/>
        <v>6.4541119298438216</v>
      </c>
      <c r="E67" s="96">
        <f t="shared" si="36"/>
        <v>-5.4221640535809534</v>
      </c>
      <c r="F67" s="96">
        <f t="shared" si="36"/>
        <v>-2.5911799710137369</v>
      </c>
      <c r="G67" s="96">
        <f t="shared" si="36"/>
        <v>71.524226082575964</v>
      </c>
      <c r="H67" s="96">
        <f t="shared" si="36"/>
        <v>5.9670006686913446</v>
      </c>
      <c r="I67" s="96">
        <f t="shared" si="36"/>
        <v>78.463680777956171</v>
      </c>
      <c r="J67" s="96">
        <f t="shared" si="36"/>
        <v>27.285581737872761</v>
      </c>
      <c r="K67" s="104">
        <f t="shared" si="36"/>
        <v>44.335697415581699</v>
      </c>
      <c r="N67" s="8"/>
      <c r="O67" s="6" t="s">
        <v>210</v>
      </c>
      <c r="P67" s="107">
        <f t="shared" si="39"/>
        <v>10.480523268778759</v>
      </c>
      <c r="Q67" s="108"/>
      <c r="R67" s="108">
        <f t="shared" si="39"/>
        <v>-35.793586296930748</v>
      </c>
      <c r="S67" s="108">
        <f t="shared" si="39"/>
        <v>-91.061830665317473</v>
      </c>
      <c r="T67" s="108">
        <f t="shared" si="39"/>
        <v>53.064534841256084</v>
      </c>
      <c r="U67" s="108">
        <f t="shared" si="39"/>
        <v>-1.1712514199635218</v>
      </c>
      <c r="V67" s="108">
        <f t="shared" si="39"/>
        <v>87.596674556337035</v>
      </c>
      <c r="W67" s="108">
        <f t="shared" si="39"/>
        <v>-40.856747769622558</v>
      </c>
      <c r="X67" s="104">
        <f t="shared" si="39"/>
        <v>18.749051870102907</v>
      </c>
      <c r="AA67" s="146" t="s">
        <v>368</v>
      </c>
      <c r="AB67" s="142">
        <f>_xlfn.STDEV.S(AB63:AB65)</f>
        <v>24.304264831315233</v>
      </c>
      <c r="AC67" s="142">
        <f t="shared" ref="AC67:AJ67" si="41">_xlfn.STDEV.S(AC63:AC65)</f>
        <v>35.978637170893585</v>
      </c>
      <c r="AD67" s="142">
        <f t="shared" si="41"/>
        <v>56.967903675740665</v>
      </c>
      <c r="AE67" s="142">
        <f t="shared" si="41"/>
        <v>52.392326767551694</v>
      </c>
      <c r="AF67" s="142">
        <f t="shared" si="41"/>
        <v>172.40297005948372</v>
      </c>
      <c r="AG67" s="142">
        <f t="shared" si="41"/>
        <v>20.790922512706736</v>
      </c>
      <c r="AH67" s="142">
        <f t="shared" si="41"/>
        <v>462.44401195027348</v>
      </c>
      <c r="AI67" s="142">
        <f t="shared" si="41"/>
        <v>39.53021271098401</v>
      </c>
      <c r="AJ67" s="142">
        <f t="shared" si="41"/>
        <v>300.38640408236694</v>
      </c>
      <c r="AL67" s="8"/>
      <c r="AM67" s="8" t="s">
        <v>28</v>
      </c>
      <c r="AN67" s="107">
        <f t="shared" si="38"/>
        <v>11.697840373751047</v>
      </c>
      <c r="AO67" s="108"/>
      <c r="AP67" s="108">
        <f t="shared" si="38"/>
        <v>-3.5892353247123836</v>
      </c>
      <c r="AQ67" s="108"/>
      <c r="AR67" s="108">
        <f t="shared" si="38"/>
        <v>94.062058014166624</v>
      </c>
      <c r="AS67" s="108">
        <f t="shared" si="38"/>
        <v>-29.863846659594568</v>
      </c>
      <c r="AT67" s="108">
        <f t="shared" si="38"/>
        <v>95.5633916277297</v>
      </c>
      <c r="AU67" s="108">
        <f t="shared" si="38"/>
        <v>-6.2578111875790796</v>
      </c>
      <c r="AV67" s="104">
        <f t="shared" si="38"/>
        <v>61.550500416594367</v>
      </c>
    </row>
    <row r="68" spans="1:48" ht="15.75" x14ac:dyDescent="0.25">
      <c r="A68" s="8"/>
      <c r="B68" s="8" t="s">
        <v>167</v>
      </c>
      <c r="C68" s="96">
        <f t="shared" si="36"/>
        <v>25.200310148230702</v>
      </c>
      <c r="D68" s="96">
        <f t="shared" si="36"/>
        <v>2.1846540139830726</v>
      </c>
      <c r="E68" s="96">
        <f t="shared" si="36"/>
        <v>10.987251900418476</v>
      </c>
      <c r="F68" s="96">
        <f t="shared" si="36"/>
        <v>-11.06886724407881</v>
      </c>
      <c r="G68" s="96">
        <f t="shared" si="36"/>
        <v>141.54528541152294</v>
      </c>
      <c r="H68" s="96">
        <f t="shared" si="36"/>
        <v>-10.191910560421583</v>
      </c>
      <c r="I68" s="96">
        <f t="shared" si="36"/>
        <v>114.56535204944625</v>
      </c>
      <c r="J68" s="96">
        <f t="shared" si="36"/>
        <v>5.2977083897213868</v>
      </c>
      <c r="K68" s="104">
        <f t="shared" si="36"/>
        <v>57.126199253834152</v>
      </c>
      <c r="N68" s="8"/>
      <c r="O68" s="6" t="s">
        <v>209</v>
      </c>
      <c r="P68" s="107"/>
      <c r="Q68" s="108"/>
      <c r="R68" s="108"/>
      <c r="S68" s="108"/>
      <c r="T68" s="108"/>
      <c r="U68" s="108"/>
      <c r="V68" s="108"/>
      <c r="W68" s="108"/>
      <c r="X68" s="104"/>
      <c r="AA68" s="146" t="s">
        <v>369</v>
      </c>
      <c r="AB68" s="141">
        <f t="shared" ref="AB68:AJ68" si="42">COUNT(AB63:AB65)</f>
        <v>3</v>
      </c>
      <c r="AC68" s="141">
        <f t="shared" si="42"/>
        <v>3</v>
      </c>
      <c r="AD68" s="141">
        <f t="shared" si="42"/>
        <v>3</v>
      </c>
      <c r="AE68" s="141">
        <f t="shared" si="42"/>
        <v>3</v>
      </c>
      <c r="AF68" s="141">
        <f t="shared" si="42"/>
        <v>3</v>
      </c>
      <c r="AG68" s="141">
        <f t="shared" si="42"/>
        <v>3</v>
      </c>
      <c r="AH68" s="141">
        <f t="shared" si="42"/>
        <v>3</v>
      </c>
      <c r="AI68" s="141">
        <f t="shared" si="42"/>
        <v>3</v>
      </c>
      <c r="AJ68" s="141">
        <f t="shared" si="42"/>
        <v>3</v>
      </c>
      <c r="AL68" s="8"/>
      <c r="AM68" s="8" t="s">
        <v>30</v>
      </c>
      <c r="AN68" s="107">
        <f t="shared" si="38"/>
        <v>46.272523195097001</v>
      </c>
      <c r="AO68" s="108">
        <f t="shared" si="38"/>
        <v>30.76180802421154</v>
      </c>
      <c r="AP68" s="108">
        <f t="shared" si="38"/>
        <v>-2.311268106565096</v>
      </c>
      <c r="AQ68" s="108">
        <f t="shared" si="38"/>
        <v>-8.5175349022032432</v>
      </c>
      <c r="AR68" s="108">
        <f t="shared" si="38"/>
        <v>19.459755822811761</v>
      </c>
      <c r="AS68" s="108">
        <f t="shared" si="38"/>
        <v>-37.250613715708333</v>
      </c>
      <c r="AT68" s="108">
        <f t="shared" si="38"/>
        <v>64.810389022157452</v>
      </c>
      <c r="AU68" s="108">
        <f t="shared" si="38"/>
        <v>97.778256037527427</v>
      </c>
      <c r="AV68" s="104">
        <f t="shared" si="38"/>
        <v>93.934609158773469</v>
      </c>
    </row>
    <row r="69" spans="1:48" x14ac:dyDescent="0.25">
      <c r="A69" s="8"/>
      <c r="B69" s="8" t="s">
        <v>180</v>
      </c>
      <c r="C69" s="96">
        <f t="shared" si="36"/>
        <v>-3.7604423991685012</v>
      </c>
      <c r="D69" s="96">
        <f t="shared" si="36"/>
        <v>-40.687421434258063</v>
      </c>
      <c r="E69" s="96">
        <f t="shared" si="36"/>
        <v>38.44896914781522</v>
      </c>
      <c r="F69" s="96">
        <f t="shared" si="36"/>
        <v>5.7791969826489478</v>
      </c>
      <c r="G69" s="96">
        <f t="shared" si="36"/>
        <v>69.639628028672035</v>
      </c>
      <c r="H69" s="96">
        <f t="shared" si="36"/>
        <v>-44.651303392981468</v>
      </c>
      <c r="I69" s="96"/>
      <c r="J69" s="96"/>
      <c r="K69" s="104"/>
      <c r="N69" s="8"/>
      <c r="O69" s="6" t="s">
        <v>208</v>
      </c>
      <c r="P69" s="107">
        <f t="shared" ref="P69:X71" si="43">(P38-P11)/P11*100</f>
        <v>22.762438107290695</v>
      </c>
      <c r="Q69" s="108">
        <f t="shared" si="43"/>
        <v>21.132830049986374</v>
      </c>
      <c r="R69" s="108">
        <f t="shared" si="43"/>
        <v>-36.411750783092046</v>
      </c>
      <c r="S69" s="108">
        <f t="shared" si="43"/>
        <v>-31.015878841196109</v>
      </c>
      <c r="T69" s="108">
        <f t="shared" si="43"/>
        <v>50.165772677686071</v>
      </c>
      <c r="U69" s="108">
        <f t="shared" si="43"/>
        <v>-27.341908704513795</v>
      </c>
      <c r="V69" s="108">
        <f>(V38-V11)/V11*100</f>
        <v>300.41322314049586</v>
      </c>
      <c r="W69" s="108">
        <f t="shared" si="43"/>
        <v>-25.112989825475481</v>
      </c>
      <c r="X69" s="104">
        <f t="shared" si="43"/>
        <v>82.660756068095409</v>
      </c>
      <c r="AL69" s="8"/>
      <c r="AM69" s="8" t="s">
        <v>32</v>
      </c>
      <c r="AN69" s="107">
        <f t="shared" si="38"/>
        <v>-10.043327310565525</v>
      </c>
      <c r="AO69" s="108">
        <f t="shared" si="38"/>
        <v>-22.644375203380132</v>
      </c>
      <c r="AP69" s="108">
        <f t="shared" si="38"/>
        <v>-27.692427145348354</v>
      </c>
      <c r="AQ69" s="108">
        <f t="shared" si="38"/>
        <v>-18.525621535654981</v>
      </c>
      <c r="AR69" s="108">
        <f t="shared" si="38"/>
        <v>-14.362050760263067</v>
      </c>
      <c r="AS69" s="108">
        <f t="shared" si="38"/>
        <v>-7.8494840088999664</v>
      </c>
      <c r="AT69" s="108">
        <f t="shared" si="38"/>
        <v>160.13840371853493</v>
      </c>
      <c r="AU69" s="108">
        <f t="shared" si="38"/>
        <v>1.600011840975694</v>
      </c>
      <c r="AV69" s="104">
        <f t="shared" si="38"/>
        <v>54.120643473329942</v>
      </c>
    </row>
    <row r="70" spans="1:48" x14ac:dyDescent="0.25">
      <c r="A70" s="8"/>
      <c r="B70" s="8" t="s">
        <v>372</v>
      </c>
      <c r="C70" s="96"/>
      <c r="D70" s="96"/>
      <c r="E70" s="96"/>
      <c r="F70" s="96"/>
      <c r="G70" s="96"/>
      <c r="H70" s="96"/>
      <c r="I70" s="96"/>
      <c r="J70" s="96"/>
      <c r="K70" s="104"/>
      <c r="N70" s="8"/>
      <c r="O70" s="6" t="s">
        <v>207</v>
      </c>
      <c r="P70" s="107">
        <f t="shared" si="43"/>
        <v>45.094452164175351</v>
      </c>
      <c r="Q70" s="108">
        <f t="shared" si="43"/>
        <v>21.381959982191269</v>
      </c>
      <c r="R70" s="108">
        <f t="shared" si="43"/>
        <v>11.938053878261483</v>
      </c>
      <c r="S70" s="108">
        <f t="shared" si="43"/>
        <v>24.002267328195263</v>
      </c>
      <c r="T70" s="108">
        <f t="shared" si="43"/>
        <v>-10.600627187310238</v>
      </c>
      <c r="U70" s="108">
        <f t="shared" si="43"/>
        <v>80.334704655121769</v>
      </c>
      <c r="V70" s="108">
        <f t="shared" si="43"/>
        <v>102.13378520740895</v>
      </c>
      <c r="W70" s="108">
        <f t="shared" si="43"/>
        <v>-26.936560903140993</v>
      </c>
      <c r="X70" s="104">
        <f t="shared" si="43"/>
        <v>72.223105691437723</v>
      </c>
      <c r="AL70" s="8"/>
      <c r="AM70" s="8" t="s">
        <v>34</v>
      </c>
      <c r="AN70" s="107">
        <f t="shared" si="38"/>
        <v>25.114770517165617</v>
      </c>
      <c r="AO70" s="108">
        <f t="shared" si="38"/>
        <v>-14.732933341616592</v>
      </c>
      <c r="AP70" s="108">
        <f t="shared" si="38"/>
        <v>-14.870326158711162</v>
      </c>
      <c r="AQ70" s="108">
        <f t="shared" si="38"/>
        <v>-3.5659245081998949</v>
      </c>
      <c r="AR70" s="108">
        <f t="shared" si="38"/>
        <v>154.92127153363887</v>
      </c>
      <c r="AS70" s="108">
        <f t="shared" si="38"/>
        <v>38.236042177470104</v>
      </c>
      <c r="AT70" s="108">
        <f t="shared" si="38"/>
        <v>479.49990936166864</v>
      </c>
      <c r="AU70" s="108">
        <f t="shared" si="38"/>
        <v>15.74610936356788</v>
      </c>
      <c r="AV70" s="104">
        <f t="shared" si="38"/>
        <v>97.884610912851997</v>
      </c>
    </row>
    <row r="71" spans="1:48" ht="15.75" thickBot="1" x14ac:dyDescent="0.3">
      <c r="A71" s="8"/>
      <c r="B71" s="8" t="s">
        <v>179</v>
      </c>
      <c r="C71" s="96">
        <f t="shared" ref="C71:K83" si="44">(C40-C13)/C13*100</f>
        <v>4.7678307309736478</v>
      </c>
      <c r="D71" s="96">
        <f t="shared" si="44"/>
        <v>-10.133713980633193</v>
      </c>
      <c r="E71" s="96">
        <f t="shared" si="44"/>
        <v>-19.643771174143957</v>
      </c>
      <c r="F71" s="96">
        <f t="shared" si="44"/>
        <v>-4.1755800414818696</v>
      </c>
      <c r="G71" s="96">
        <f t="shared" si="44"/>
        <v>54.136125628954765</v>
      </c>
      <c r="H71" s="96">
        <f t="shared" si="44"/>
        <v>-7.0714898033476112</v>
      </c>
      <c r="I71" s="96">
        <f t="shared" si="44"/>
        <v>121.41645584757077</v>
      </c>
      <c r="J71" s="96">
        <f t="shared" si="44"/>
        <v>2.6003993414169155</v>
      </c>
      <c r="K71" s="104">
        <f t="shared" si="44"/>
        <v>40.439857862295284</v>
      </c>
      <c r="N71" s="8"/>
      <c r="O71" s="12" t="s">
        <v>206</v>
      </c>
      <c r="P71" s="113">
        <f t="shared" si="43"/>
        <v>-17.867686277717223</v>
      </c>
      <c r="Q71" s="105">
        <f t="shared" si="43"/>
        <v>-9.5402323823367432</v>
      </c>
      <c r="R71" s="105">
        <f t="shared" si="43"/>
        <v>-4.7128856003377937</v>
      </c>
      <c r="S71" s="105"/>
      <c r="T71" s="105">
        <f t="shared" si="43"/>
        <v>-7.1292246905321512</v>
      </c>
      <c r="U71" s="105">
        <f t="shared" si="43"/>
        <v>8.9077279817981374</v>
      </c>
      <c r="V71" s="105">
        <f t="shared" si="43"/>
        <v>2.9289279275077811</v>
      </c>
      <c r="W71" s="105">
        <f t="shared" si="43"/>
        <v>8.7039665962100905</v>
      </c>
      <c r="X71" s="106">
        <f t="shared" si="43"/>
        <v>23.044613371995379</v>
      </c>
      <c r="AL71" s="8"/>
      <c r="AM71" s="14" t="s">
        <v>44</v>
      </c>
      <c r="AN71" s="113">
        <f t="shared" si="38"/>
        <v>21.690055952143311</v>
      </c>
      <c r="AO71" s="105">
        <f t="shared" si="38"/>
        <v>59.54564997882629</v>
      </c>
      <c r="AP71" s="105">
        <f t="shared" si="38"/>
        <v>11.906978884421539</v>
      </c>
      <c r="AQ71" s="105">
        <f t="shared" si="38"/>
        <v>24.253825086893688</v>
      </c>
      <c r="AR71" s="105">
        <f t="shared" si="38"/>
        <v>31.561563940779646</v>
      </c>
      <c r="AS71" s="105"/>
      <c r="AT71" s="105">
        <f t="shared" si="38"/>
        <v>53.870538900516507</v>
      </c>
      <c r="AU71" s="105">
        <f t="shared" si="38"/>
        <v>-48.964705419654123</v>
      </c>
      <c r="AV71" s="106">
        <f t="shared" si="38"/>
        <v>20.921877147648448</v>
      </c>
    </row>
    <row r="72" spans="1:48" ht="15.75" x14ac:dyDescent="0.25">
      <c r="A72" s="8"/>
      <c r="B72" s="8" t="s">
        <v>371</v>
      </c>
      <c r="C72" s="96">
        <f t="shared" si="44"/>
        <v>3.3369589416358139</v>
      </c>
      <c r="D72" s="96"/>
      <c r="E72" s="96">
        <f t="shared" si="44"/>
        <v>8.1113901708484857</v>
      </c>
      <c r="F72" s="96">
        <f t="shared" si="44"/>
        <v>39.274270093631351</v>
      </c>
      <c r="G72" s="96">
        <f t="shared" si="44"/>
        <v>82.879914505928625</v>
      </c>
      <c r="H72" s="96">
        <f t="shared" si="44"/>
        <v>-1.689294605897123</v>
      </c>
      <c r="I72" s="96">
        <f t="shared" si="44"/>
        <v>74.163039727842033</v>
      </c>
      <c r="J72" s="96">
        <f t="shared" si="44"/>
        <v>-25.177907865634968</v>
      </c>
      <c r="K72" s="104">
        <f t="shared" si="44"/>
        <v>27.157907127897641</v>
      </c>
      <c r="O72" s="146" t="s">
        <v>367</v>
      </c>
      <c r="P72" s="96">
        <f t="shared" ref="P72:X72" si="45">AVERAGE(P63:P71)</f>
        <v>7.8560201300403856</v>
      </c>
      <c r="Q72" s="96">
        <f t="shared" si="45"/>
        <v>3.8146080670609162</v>
      </c>
      <c r="R72" s="96">
        <f t="shared" si="45"/>
        <v>-17.972689498467023</v>
      </c>
      <c r="S72" s="96">
        <f t="shared" si="45"/>
        <v>-26.477372607007315</v>
      </c>
      <c r="T72" s="96">
        <f t="shared" si="45"/>
        <v>22.558372349119594</v>
      </c>
      <c r="U72" s="96">
        <f t="shared" si="45"/>
        <v>10.014511827750468</v>
      </c>
      <c r="V72" s="96">
        <f t="shared" si="45"/>
        <v>80.571862860433569</v>
      </c>
      <c r="W72" s="96">
        <f t="shared" si="45"/>
        <v>-15.258929709798105</v>
      </c>
      <c r="X72" s="96">
        <f t="shared" si="45"/>
        <v>28.188736516982054</v>
      </c>
      <c r="AM72" s="146" t="s">
        <v>367</v>
      </c>
      <c r="AN72" s="142">
        <f>AVERAGE(AN63:AN71)</f>
        <v>18.968187769249013</v>
      </c>
      <c r="AO72" s="142">
        <f t="shared" ref="AO72:AV72" si="46">AVERAGE(AO63:AO71)</f>
        <v>8.2687805021991192</v>
      </c>
      <c r="AP72" s="142">
        <f t="shared" si="46"/>
        <v>1.6077328987222865</v>
      </c>
      <c r="AQ72" s="142">
        <f t="shared" si="46"/>
        <v>-2.1468091082205665</v>
      </c>
      <c r="AR72" s="142">
        <f t="shared" si="46"/>
        <v>57.119166829382429</v>
      </c>
      <c r="AS72" s="142">
        <f t="shared" si="46"/>
        <v>1.0771781756148064</v>
      </c>
      <c r="AT72" s="142">
        <f t="shared" si="46"/>
        <v>154.20957923740733</v>
      </c>
      <c r="AU72" s="142">
        <f t="shared" si="46"/>
        <v>0.16004216051656961</v>
      </c>
      <c r="AV72" s="142">
        <f t="shared" si="46"/>
        <v>64.522685204938114</v>
      </c>
    </row>
    <row r="73" spans="1:48" ht="15.75" x14ac:dyDescent="0.25">
      <c r="A73" s="8"/>
      <c r="B73" s="8" t="s">
        <v>178</v>
      </c>
      <c r="C73" s="96">
        <f t="shared" si="44"/>
        <v>18.091879757294276</v>
      </c>
      <c r="D73" s="96">
        <f t="shared" si="44"/>
        <v>6.1483105068573192</v>
      </c>
      <c r="E73" s="96">
        <f t="shared" si="44"/>
        <v>-6.6126668433064948</v>
      </c>
      <c r="F73" s="96">
        <f t="shared" si="44"/>
        <v>-4.3504783653918055</v>
      </c>
      <c r="G73" s="96">
        <f t="shared" si="44"/>
        <v>29.322646995836347</v>
      </c>
      <c r="H73" s="96">
        <f t="shared" si="44"/>
        <v>-4.4794867322348972</v>
      </c>
      <c r="I73" s="96">
        <f t="shared" si="44"/>
        <v>55.966295059793772</v>
      </c>
      <c r="J73" s="96">
        <f t="shared" si="44"/>
        <v>-42.039659681649397</v>
      </c>
      <c r="K73" s="104">
        <f t="shared" si="44"/>
        <v>12.579821845448119</v>
      </c>
      <c r="O73" s="146" t="s">
        <v>368</v>
      </c>
      <c r="P73" s="142">
        <f t="shared" ref="P73:X73" si="47">_xlfn.STDEV.S(P63:P71)</f>
        <v>21.358636249476852</v>
      </c>
      <c r="Q73" s="142">
        <f t="shared" si="47"/>
        <v>25.146324457219201</v>
      </c>
      <c r="R73" s="142">
        <f t="shared" si="47"/>
        <v>25.80016343019307</v>
      </c>
      <c r="S73" s="142">
        <f t="shared" si="47"/>
        <v>37.623984255666635</v>
      </c>
      <c r="T73" s="142">
        <f t="shared" si="47"/>
        <v>32.096059842340004</v>
      </c>
      <c r="U73" s="142">
        <f t="shared" si="47"/>
        <v>31.361666360084715</v>
      </c>
      <c r="V73" s="142">
        <f t="shared" si="47"/>
        <v>102.78412369531533</v>
      </c>
      <c r="W73" s="142">
        <f t="shared" si="47"/>
        <v>17.683573773192787</v>
      </c>
      <c r="X73" s="142">
        <f t="shared" si="47"/>
        <v>40.193329162000829</v>
      </c>
      <c r="AM73" s="146" t="s">
        <v>368</v>
      </c>
      <c r="AN73" s="142">
        <f>_xlfn.STDEV.S(AN63:AN71)</f>
        <v>19.019862547851705</v>
      </c>
      <c r="AO73" s="142">
        <f t="shared" ref="AO73:AV73" si="48">_xlfn.STDEV.S(AO63:AO71)</f>
        <v>39.862207687057222</v>
      </c>
      <c r="AP73" s="142">
        <f t="shared" si="48"/>
        <v>17.25277845328965</v>
      </c>
      <c r="AQ73" s="142">
        <f t="shared" si="48"/>
        <v>15.741239413198354</v>
      </c>
      <c r="AR73" s="142">
        <f t="shared" si="48"/>
        <v>67.027900869097493</v>
      </c>
      <c r="AS73" s="142">
        <f t="shared" si="48"/>
        <v>27.817947373683555</v>
      </c>
      <c r="AT73" s="142">
        <f t="shared" si="48"/>
        <v>142.6138033416656</v>
      </c>
      <c r="AU73" s="142">
        <f t="shared" si="48"/>
        <v>44.869690994337923</v>
      </c>
      <c r="AV73" s="142">
        <f t="shared" si="48"/>
        <v>39.093502549555957</v>
      </c>
    </row>
    <row r="74" spans="1:48" ht="15.75" x14ac:dyDescent="0.25">
      <c r="A74" s="8"/>
      <c r="B74" s="8" t="s">
        <v>177</v>
      </c>
      <c r="C74" s="96">
        <f t="shared" si="44"/>
        <v>9.6489139587493735</v>
      </c>
      <c r="D74" s="96">
        <f t="shared" si="44"/>
        <v>17.243733372006826</v>
      </c>
      <c r="E74" s="96">
        <f t="shared" si="44"/>
        <v>22.167166811470278</v>
      </c>
      <c r="F74" s="96">
        <f t="shared" si="44"/>
        <v>-3.1812505456407467</v>
      </c>
      <c r="G74" s="96">
        <f t="shared" si="44"/>
        <v>220.4865514620148</v>
      </c>
      <c r="H74" s="96">
        <f t="shared" si="44"/>
        <v>-26.581973678147659</v>
      </c>
      <c r="I74" s="96">
        <f t="shared" si="44"/>
        <v>155.49524902168113</v>
      </c>
      <c r="J74" s="96">
        <f t="shared" si="44"/>
        <v>-34.625075633119756</v>
      </c>
      <c r="K74" s="104">
        <f t="shared" si="44"/>
        <v>-0.25200728323770077</v>
      </c>
      <c r="O74" s="146" t="s">
        <v>369</v>
      </c>
      <c r="P74" s="141">
        <f t="shared" ref="P74:X74" si="49">COUNT(P63:P71)</f>
        <v>7</v>
      </c>
      <c r="Q74" s="141">
        <f t="shared" si="49"/>
        <v>7</v>
      </c>
      <c r="R74" s="141">
        <f t="shared" si="49"/>
        <v>8</v>
      </c>
      <c r="S74" s="141">
        <f t="shared" si="49"/>
        <v>7</v>
      </c>
      <c r="T74" s="141">
        <f t="shared" si="49"/>
        <v>8</v>
      </c>
      <c r="U74" s="141">
        <f t="shared" si="49"/>
        <v>8</v>
      </c>
      <c r="V74" s="141">
        <f t="shared" si="49"/>
        <v>8</v>
      </c>
      <c r="W74" s="141">
        <f t="shared" si="49"/>
        <v>8</v>
      </c>
      <c r="X74" s="141">
        <f t="shared" si="49"/>
        <v>8</v>
      </c>
      <c r="AM74" s="146" t="s">
        <v>369</v>
      </c>
      <c r="AN74" s="147">
        <f>COUNT(AN63:AN71)</f>
        <v>8</v>
      </c>
      <c r="AO74" s="147">
        <f t="shared" ref="AO74:AV74" si="50">COUNT(AO63:AO71)</f>
        <v>7</v>
      </c>
      <c r="AP74" s="147">
        <f t="shared" si="50"/>
        <v>8</v>
      </c>
      <c r="AQ74" s="147">
        <f t="shared" si="50"/>
        <v>7</v>
      </c>
      <c r="AR74" s="147">
        <f t="shared" si="50"/>
        <v>8</v>
      </c>
      <c r="AS74" s="147">
        <f t="shared" si="50"/>
        <v>7</v>
      </c>
      <c r="AT74" s="147">
        <f t="shared" si="50"/>
        <v>8</v>
      </c>
      <c r="AU74" s="147">
        <f t="shared" si="50"/>
        <v>8</v>
      </c>
      <c r="AV74" s="147">
        <f t="shared" si="50"/>
        <v>8</v>
      </c>
    </row>
    <row r="75" spans="1:48" x14ac:dyDescent="0.25">
      <c r="A75" s="8"/>
      <c r="B75" s="8" t="s">
        <v>176</v>
      </c>
      <c r="C75" s="96">
        <f t="shared" si="44"/>
        <v>7.9152047912537382</v>
      </c>
      <c r="D75" s="96">
        <f t="shared" si="44"/>
        <v>-28.935021646736971</v>
      </c>
      <c r="E75" s="96">
        <f t="shared" si="44"/>
        <v>6.2541031697501523</v>
      </c>
      <c r="F75" s="96">
        <f t="shared" si="44"/>
        <v>9.0136460893882209</v>
      </c>
      <c r="G75" s="96">
        <f t="shared" si="44"/>
        <v>103.35577963260143</v>
      </c>
      <c r="H75" s="96">
        <f t="shared" si="44"/>
        <v>18.698103873801262</v>
      </c>
      <c r="I75" s="96">
        <f t="shared" si="44"/>
        <v>82.010478924902486</v>
      </c>
      <c r="J75" s="96">
        <f t="shared" si="44"/>
        <v>-3.4220707041512601</v>
      </c>
      <c r="K75" s="104">
        <f t="shared" si="44"/>
        <v>70.72441471146621</v>
      </c>
      <c r="AB75" s="17"/>
      <c r="AC75" s="17"/>
      <c r="AD75" s="17"/>
    </row>
    <row r="76" spans="1:48" x14ac:dyDescent="0.25">
      <c r="A76" s="8"/>
      <c r="B76" s="6" t="s">
        <v>175</v>
      </c>
      <c r="C76" s="96">
        <f t="shared" si="44"/>
        <v>15.44507592773326</v>
      </c>
      <c r="D76" s="96">
        <f t="shared" si="44"/>
        <v>-30.679529920787367</v>
      </c>
      <c r="E76" s="96"/>
      <c r="F76" s="96">
        <f t="shared" si="44"/>
        <v>8.415125615300461</v>
      </c>
      <c r="G76" s="96">
        <f t="shared" si="44"/>
        <v>69.264887977631062</v>
      </c>
      <c r="H76" s="96">
        <f t="shared" si="44"/>
        <v>10.211990555390072</v>
      </c>
      <c r="I76" s="96">
        <f t="shared" si="44"/>
        <v>27.458475148933232</v>
      </c>
      <c r="J76" s="96">
        <f t="shared" si="44"/>
        <v>-23.564772635870181</v>
      </c>
      <c r="K76" s="104">
        <f t="shared" si="44"/>
        <v>1.9474272002602231</v>
      </c>
      <c r="P76" s="96"/>
      <c r="Q76" s="96"/>
      <c r="R76" s="96"/>
      <c r="S76" s="96"/>
      <c r="T76" s="96"/>
      <c r="U76" s="96"/>
      <c r="V76" s="96"/>
      <c r="W76" s="96"/>
      <c r="X76" s="96"/>
      <c r="AB76" s="7"/>
      <c r="AC76" s="7"/>
      <c r="AD76" s="7"/>
    </row>
    <row r="77" spans="1:48" ht="15" customHeight="1" x14ac:dyDescent="0.25">
      <c r="A77" s="8"/>
      <c r="B77" s="6" t="s">
        <v>174</v>
      </c>
      <c r="C77" s="96">
        <f t="shared" si="44"/>
        <v>3.0646145522685586</v>
      </c>
      <c r="D77" s="96">
        <f t="shared" si="44"/>
        <v>-45.939459795842183</v>
      </c>
      <c r="E77" s="96">
        <f t="shared" si="44"/>
        <v>-8.1428450212618451</v>
      </c>
      <c r="F77" s="96">
        <f t="shared" si="44"/>
        <v>10.272274670439643</v>
      </c>
      <c r="G77" s="96">
        <f t="shared" si="44"/>
        <v>186.64416834244463</v>
      </c>
      <c r="H77" s="96">
        <f t="shared" si="44"/>
        <v>-22.37308349203056</v>
      </c>
      <c r="I77" s="96">
        <f t="shared" si="44"/>
        <v>139.03417966275987</v>
      </c>
      <c r="J77" s="96">
        <f t="shared" si="44"/>
        <v>-33.212916710567129</v>
      </c>
      <c r="K77" s="104">
        <f t="shared" si="44"/>
        <v>40.922689348257904</v>
      </c>
      <c r="P77" s="96"/>
      <c r="Q77" s="96"/>
      <c r="R77" s="96"/>
      <c r="S77" s="96"/>
      <c r="T77" s="96"/>
      <c r="U77" s="96"/>
      <c r="V77" s="96"/>
      <c r="W77" s="96"/>
      <c r="X77" s="96"/>
      <c r="AB77" s="7"/>
      <c r="AC77" s="7"/>
      <c r="AD77" s="7"/>
    </row>
    <row r="78" spans="1:48" x14ac:dyDescent="0.25">
      <c r="A78" s="8"/>
      <c r="B78" s="6" t="s">
        <v>173</v>
      </c>
      <c r="C78" s="96">
        <f t="shared" si="44"/>
        <v>12.968135368187625</v>
      </c>
      <c r="D78" s="96">
        <f t="shared" si="44"/>
        <v>-30.973177053983996</v>
      </c>
      <c r="E78" s="96">
        <f t="shared" si="44"/>
        <v>9.8655774229483892</v>
      </c>
      <c r="F78" s="96">
        <f t="shared" si="44"/>
        <v>18.026407400039773</v>
      </c>
      <c r="G78" s="96">
        <f t="shared" si="44"/>
        <v>66.402501404878905</v>
      </c>
      <c r="H78" s="96">
        <f t="shared" si="44"/>
        <v>8.2965314411091882</v>
      </c>
      <c r="I78" s="96">
        <f t="shared" si="44"/>
        <v>145.81730522644506</v>
      </c>
      <c r="J78" s="96"/>
      <c r="K78" s="104">
        <f t="shared" si="44"/>
        <v>35.624945077477385</v>
      </c>
      <c r="P78" s="148"/>
      <c r="Q78" s="148"/>
      <c r="R78" s="148"/>
      <c r="S78" s="148"/>
      <c r="T78" s="148"/>
      <c r="U78" s="148"/>
      <c r="V78" s="148"/>
      <c r="W78" s="148"/>
      <c r="X78" s="148"/>
    </row>
    <row r="79" spans="1:48" x14ac:dyDescent="0.25">
      <c r="B79" s="6" t="s">
        <v>172</v>
      </c>
      <c r="C79" s="96">
        <f t="shared" si="44"/>
        <v>8.1845857184777806</v>
      </c>
      <c r="D79" s="96">
        <f t="shared" si="44"/>
        <v>5.3276688636498637</v>
      </c>
      <c r="E79" s="96">
        <f t="shared" si="44"/>
        <v>13.416787639577288</v>
      </c>
      <c r="F79" s="96">
        <f t="shared" si="44"/>
        <v>-12.834279600937332</v>
      </c>
      <c r="G79" s="96">
        <f t="shared" si="44"/>
        <v>-1.6790594078240344</v>
      </c>
      <c r="H79" s="96">
        <f t="shared" si="44"/>
        <v>-12.809471150066495</v>
      </c>
      <c r="I79" s="96">
        <f t="shared" si="44"/>
        <v>46.362542264318229</v>
      </c>
      <c r="J79" s="96">
        <f t="shared" si="44"/>
        <v>-11.036584868355797</v>
      </c>
      <c r="K79" s="104">
        <f t="shared" si="44"/>
        <v>18.668151938779225</v>
      </c>
    </row>
    <row r="80" spans="1:48" x14ac:dyDescent="0.25">
      <c r="B80" s="6" t="s">
        <v>170</v>
      </c>
      <c r="C80" s="96">
        <f t="shared" si="44"/>
        <v>12.471799816721649</v>
      </c>
      <c r="D80" s="96">
        <f t="shared" si="44"/>
        <v>3.0062640512575349</v>
      </c>
      <c r="E80" s="96">
        <f t="shared" si="44"/>
        <v>-2.8024576754162314</v>
      </c>
      <c r="F80" s="96">
        <f t="shared" si="44"/>
        <v>-3.5720290738551377</v>
      </c>
      <c r="G80" s="96">
        <f t="shared" si="44"/>
        <v>22.722829341116714</v>
      </c>
      <c r="H80" s="96">
        <f t="shared" si="44"/>
        <v>5.6753252189145753</v>
      </c>
      <c r="I80" s="96">
        <f t="shared" si="44"/>
        <v>68.909382807180691</v>
      </c>
      <c r="J80" s="96"/>
      <c r="K80" s="104">
        <f t="shared" si="44"/>
        <v>34.579133980468804</v>
      </c>
    </row>
    <row r="81" spans="2:63" ht="16.5" customHeight="1" x14ac:dyDescent="0.25">
      <c r="B81" s="6" t="s">
        <v>169</v>
      </c>
      <c r="C81" s="96">
        <f t="shared" si="44"/>
        <v>19.652718491788608</v>
      </c>
      <c r="D81" s="96">
        <f t="shared" si="44"/>
        <v>26.335139507764527</v>
      </c>
      <c r="E81" s="96">
        <f t="shared" si="44"/>
        <v>-8.4457912356851157</v>
      </c>
      <c r="F81" s="96">
        <f t="shared" si="44"/>
        <v>-14.177619708370775</v>
      </c>
      <c r="G81" s="96">
        <f t="shared" si="44"/>
        <v>57.655502504620358</v>
      </c>
      <c r="H81" s="96">
        <f t="shared" si="44"/>
        <v>-18.681210430133504</v>
      </c>
      <c r="I81" s="96">
        <f t="shared" si="44"/>
        <v>194.85708613331926</v>
      </c>
      <c r="J81" s="96">
        <f t="shared" si="44"/>
        <v>-32.167228639920552</v>
      </c>
      <c r="K81" s="104">
        <f t="shared" si="44"/>
        <v>26.99217250173232</v>
      </c>
    </row>
    <row r="82" spans="2:63" ht="18.75" customHeight="1" x14ac:dyDescent="0.25">
      <c r="B82" s="6" t="s">
        <v>370</v>
      </c>
      <c r="C82" s="96">
        <f t="shared" si="44"/>
        <v>3.6664068306770075</v>
      </c>
      <c r="D82" s="96">
        <f t="shared" si="44"/>
        <v>-51.543259035324297</v>
      </c>
      <c r="E82" s="96">
        <f t="shared" si="44"/>
        <v>-15.386288819662974</v>
      </c>
      <c r="F82" s="96">
        <f t="shared" si="44"/>
        <v>43.148916400367405</v>
      </c>
      <c r="G82" s="96">
        <f t="shared" si="44"/>
        <v>89.576365470908229</v>
      </c>
      <c r="H82" s="96">
        <f t="shared" si="44"/>
        <v>215.03173213792147</v>
      </c>
      <c r="I82" s="96">
        <f t="shared" si="44"/>
        <v>158.07870326818627</v>
      </c>
      <c r="J82" s="96">
        <f t="shared" si="44"/>
        <v>67.739280379641457</v>
      </c>
      <c r="K82" s="104">
        <f t="shared" si="44"/>
        <v>78.708244980576822</v>
      </c>
    </row>
    <row r="83" spans="2:63" ht="18" customHeight="1" thickBot="1" x14ac:dyDescent="0.3">
      <c r="B83" s="34" t="s">
        <v>171</v>
      </c>
      <c r="C83" s="113">
        <f t="shared" si="44"/>
        <v>17.336347606513723</v>
      </c>
      <c r="D83" s="105">
        <f t="shared" si="44"/>
        <v>-63.36025852922679</v>
      </c>
      <c r="E83" s="105">
        <f t="shared" si="44"/>
        <v>21.991920815042278</v>
      </c>
      <c r="F83" s="105">
        <f t="shared" si="44"/>
        <v>-5.5759524061146326</v>
      </c>
      <c r="G83" s="105">
        <f t="shared" si="44"/>
        <v>43.726303493573454</v>
      </c>
      <c r="H83" s="105"/>
      <c r="I83" s="105">
        <f t="shared" si="44"/>
        <v>167.64979460706985</v>
      </c>
      <c r="J83" s="105">
        <f t="shared" si="44"/>
        <v>-0.35645841998492817</v>
      </c>
      <c r="K83" s="106">
        <f t="shared" si="44"/>
        <v>41.071020484038392</v>
      </c>
    </row>
    <row r="84" spans="2:63" ht="15.75" x14ac:dyDescent="0.25">
      <c r="B84" s="146" t="s">
        <v>367</v>
      </c>
      <c r="C84" s="96">
        <f t="shared" ref="C84:K84" si="51">AVERAGE(C63:C83)</f>
        <v>15.728720953037771</v>
      </c>
      <c r="D84" s="96">
        <f t="shared" si="51"/>
        <v>-9.9917593795579993</v>
      </c>
      <c r="E84" s="96">
        <f t="shared" si="51"/>
        <v>3.581496807289271</v>
      </c>
      <c r="F84" s="96">
        <f t="shared" si="51"/>
        <v>6.9664152824614352</v>
      </c>
      <c r="G84" s="96">
        <f t="shared" si="51"/>
        <v>98.78647688757367</v>
      </c>
      <c r="H84" s="96">
        <f t="shared" si="51"/>
        <v>5.2541223991712069</v>
      </c>
      <c r="I84" s="96">
        <f t="shared" si="51"/>
        <v>132.46498861738144</v>
      </c>
      <c r="J84" s="96">
        <f t="shared" si="51"/>
        <v>-4.7551900391175081</v>
      </c>
      <c r="K84" s="96">
        <f t="shared" si="51"/>
        <v>56.691126629985092</v>
      </c>
    </row>
    <row r="85" spans="2:63" ht="15.75" x14ac:dyDescent="0.25">
      <c r="B85" s="146" t="s">
        <v>368</v>
      </c>
      <c r="C85" s="96">
        <f t="shared" ref="C85:K85" si="52">_xlfn.STDEV.S(C63:C83)</f>
        <v>14.848089005587163</v>
      </c>
      <c r="D85" s="96">
        <f t="shared" si="52"/>
        <v>26.976528730855069</v>
      </c>
      <c r="E85" s="96">
        <f t="shared" si="52"/>
        <v>15.438430622802706</v>
      </c>
      <c r="F85" s="96">
        <f t="shared" si="52"/>
        <v>17.545750192422997</v>
      </c>
      <c r="G85" s="96">
        <f t="shared" si="52"/>
        <v>80.720638429129252</v>
      </c>
      <c r="H85" s="96">
        <f t="shared" si="52"/>
        <v>52.938430081952689</v>
      </c>
      <c r="I85" s="96">
        <f t="shared" si="52"/>
        <v>80.173291965198459</v>
      </c>
      <c r="J85" s="96">
        <f t="shared" si="52"/>
        <v>32.26803628273445</v>
      </c>
      <c r="K85" s="96">
        <f t="shared" si="52"/>
        <v>47.900799340885122</v>
      </c>
    </row>
    <row r="86" spans="2:63" ht="15.75" x14ac:dyDescent="0.25">
      <c r="B86" s="146" t="s">
        <v>369</v>
      </c>
      <c r="C86" s="148">
        <f t="shared" ref="C86:K86" si="53">COUNT(C63:C83)</f>
        <v>20</v>
      </c>
      <c r="D86" s="148">
        <f t="shared" si="53"/>
        <v>19</v>
      </c>
      <c r="E86" s="148">
        <f t="shared" si="53"/>
        <v>19</v>
      </c>
      <c r="F86" s="148">
        <f t="shared" si="53"/>
        <v>20</v>
      </c>
      <c r="G86" s="148">
        <f t="shared" si="53"/>
        <v>20</v>
      </c>
      <c r="H86" s="148">
        <f t="shared" si="53"/>
        <v>19</v>
      </c>
      <c r="I86" s="148">
        <f t="shared" si="53"/>
        <v>19</v>
      </c>
      <c r="J86" s="148">
        <f t="shared" si="53"/>
        <v>17</v>
      </c>
      <c r="K86" s="148">
        <f t="shared" si="53"/>
        <v>19</v>
      </c>
    </row>
    <row r="87" spans="2:63" ht="15.75" thickBot="1" x14ac:dyDescent="0.3">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154"/>
      <c r="AR87" s="154"/>
      <c r="AS87" s="154"/>
      <c r="AT87" s="154"/>
      <c r="AU87" s="154"/>
      <c r="AV87" s="154"/>
      <c r="AW87" s="154"/>
      <c r="AX87" s="154"/>
      <c r="AY87" s="154"/>
      <c r="AZ87" s="154"/>
      <c r="BA87" s="154"/>
      <c r="BB87" s="154"/>
      <c r="BC87" s="154"/>
      <c r="BD87" s="154"/>
      <c r="BE87" s="154"/>
      <c r="BF87" s="154"/>
      <c r="BG87" s="154"/>
      <c r="BH87" s="154"/>
      <c r="BI87" s="154"/>
      <c r="BJ87" s="154"/>
      <c r="BK87" s="154"/>
    </row>
    <row r="88" spans="2:63" ht="15.75" thickTop="1" x14ac:dyDescent="0.25"/>
    <row r="89" spans="2:63" ht="18.75" x14ac:dyDescent="0.3">
      <c r="O89" s="145" t="s">
        <v>363</v>
      </c>
      <c r="AA89" s="145" t="s">
        <v>363</v>
      </c>
      <c r="AM89" s="145" t="s">
        <v>363</v>
      </c>
    </row>
    <row r="90" spans="2:63" ht="15.75" thickBot="1" x14ac:dyDescent="0.3">
      <c r="O90" s="14"/>
      <c r="P90" s="157" t="s">
        <v>8</v>
      </c>
      <c r="Q90" s="158" t="s">
        <v>9</v>
      </c>
      <c r="R90" s="158" t="s">
        <v>10</v>
      </c>
      <c r="S90" s="158" t="s">
        <v>11</v>
      </c>
      <c r="T90" s="158" t="s">
        <v>12</v>
      </c>
      <c r="U90" s="159" t="s">
        <v>13</v>
      </c>
      <c r="V90" s="158" t="s">
        <v>14</v>
      </c>
      <c r="W90" s="158" t="s">
        <v>15</v>
      </c>
      <c r="X90" s="160" t="s">
        <v>16</v>
      </c>
      <c r="AA90" s="14"/>
      <c r="AB90" s="157" t="s">
        <v>8</v>
      </c>
      <c r="AC90" s="158" t="s">
        <v>9</v>
      </c>
      <c r="AD90" s="158" t="s">
        <v>10</v>
      </c>
      <c r="AE90" s="158" t="s">
        <v>11</v>
      </c>
      <c r="AF90" s="158" t="s">
        <v>12</v>
      </c>
      <c r="AG90" s="159" t="s">
        <v>13</v>
      </c>
      <c r="AH90" s="158" t="s">
        <v>14</v>
      </c>
      <c r="AI90" s="158" t="s">
        <v>15</v>
      </c>
      <c r="AJ90" s="160" t="s">
        <v>16</v>
      </c>
      <c r="AM90" s="14"/>
      <c r="AN90" s="157" t="s">
        <v>8</v>
      </c>
      <c r="AO90" s="158" t="s">
        <v>9</v>
      </c>
      <c r="AP90" s="158" t="s">
        <v>10</v>
      </c>
      <c r="AQ90" s="158" t="s">
        <v>11</v>
      </c>
      <c r="AR90" s="158" t="s">
        <v>12</v>
      </c>
      <c r="AS90" s="159" t="s">
        <v>13</v>
      </c>
      <c r="AT90" s="158" t="s">
        <v>14</v>
      </c>
      <c r="AU90" s="158" t="s">
        <v>15</v>
      </c>
      <c r="AV90" s="160" t="s">
        <v>16</v>
      </c>
    </row>
    <row r="91" spans="2:63" ht="15.75" x14ac:dyDescent="0.25">
      <c r="O91" s="155" t="s">
        <v>365</v>
      </c>
      <c r="P91" s="162">
        <f t="shared" ref="P91:X91" si="54">_xlfn.T.TEST(P5:P13,C5:C25,2,3)</f>
        <v>3.3947820501389912E-2</v>
      </c>
      <c r="Q91" s="96">
        <f t="shared" si="54"/>
        <v>0.55200968881749157</v>
      </c>
      <c r="R91" s="96">
        <f t="shared" si="54"/>
        <v>0.66656529669483744</v>
      </c>
      <c r="S91" s="96">
        <f t="shared" si="54"/>
        <v>0.91391034743332722</v>
      </c>
      <c r="T91" s="96">
        <f t="shared" si="54"/>
        <v>0.27537722769118167</v>
      </c>
      <c r="U91" s="162">
        <f t="shared" si="54"/>
        <v>1.9258965664176873E-2</v>
      </c>
      <c r="V91" s="96">
        <f t="shared" si="54"/>
        <v>0.33720233641751274</v>
      </c>
      <c r="W91" s="96">
        <f t="shared" si="54"/>
        <v>0.15323393704122976</v>
      </c>
      <c r="X91" s="96">
        <f t="shared" si="54"/>
        <v>0.69109536430092744</v>
      </c>
      <c r="AA91" s="155" t="s">
        <v>365</v>
      </c>
      <c r="AB91" s="165">
        <f t="shared" ref="AB91:AJ91" si="55">_xlfn.T.TEST(AB5:AB7,C5:C25,2,3)</f>
        <v>3.6550398207593454E-2</v>
      </c>
      <c r="AC91" s="17">
        <f t="shared" si="55"/>
        <v>0.62016563882976095</v>
      </c>
      <c r="AD91" s="17">
        <f t="shared" si="55"/>
        <v>0.79542784749365703</v>
      </c>
      <c r="AE91" s="17">
        <f t="shared" si="55"/>
        <v>0.67478155256060968</v>
      </c>
      <c r="AF91" s="17">
        <f t="shared" si="55"/>
        <v>0.98422196824373642</v>
      </c>
      <c r="AG91" s="193">
        <f t="shared" si="55"/>
        <v>1.8599448679406529E-6</v>
      </c>
      <c r="AH91" s="166">
        <f t="shared" si="55"/>
        <v>9.0148070261794291E-2</v>
      </c>
      <c r="AI91" s="166">
        <f t="shared" si="55"/>
        <v>9.157777259662761E-2</v>
      </c>
      <c r="AJ91" s="17">
        <f t="shared" si="55"/>
        <v>0.17552704640193117</v>
      </c>
      <c r="AM91" s="155" t="s">
        <v>365</v>
      </c>
      <c r="AN91" s="164">
        <f t="shared" ref="AN91:AV91" si="56">_xlfn.T.TEST(AN5:AN13,C5:C25,2,3)</f>
        <v>6.8279135622511727E-2</v>
      </c>
      <c r="AO91" s="96">
        <f t="shared" si="56"/>
        <v>0.76562603806069807</v>
      </c>
      <c r="AP91" s="96">
        <f t="shared" si="56"/>
        <v>0.7814285965163702</v>
      </c>
      <c r="AQ91" s="96">
        <f t="shared" si="56"/>
        <v>0.52088889138135319</v>
      </c>
      <c r="AR91" s="96">
        <f t="shared" si="56"/>
        <v>0.46699107602626244</v>
      </c>
      <c r="AS91" s="162">
        <f t="shared" si="56"/>
        <v>5.4774277885497212E-3</v>
      </c>
      <c r="AT91" s="96">
        <f t="shared" si="56"/>
        <v>0.71722336670697717</v>
      </c>
      <c r="AU91" s="162">
        <f t="shared" si="56"/>
        <v>9.900003409702568E-2</v>
      </c>
      <c r="AV91" s="96">
        <f t="shared" si="56"/>
        <v>0.10871821768831838</v>
      </c>
    </row>
    <row r="92" spans="2:63" x14ac:dyDescent="0.25">
      <c r="O92" s="23"/>
      <c r="AA92" s="23"/>
      <c r="AM92" s="23"/>
    </row>
    <row r="93" spans="2:63" ht="18.75" x14ac:dyDescent="0.3">
      <c r="O93" s="152" t="s">
        <v>364</v>
      </c>
      <c r="AA93" s="156" t="s">
        <v>364</v>
      </c>
      <c r="AM93" s="156" t="s">
        <v>364</v>
      </c>
    </row>
    <row r="94" spans="2:63" ht="15.75" thickBot="1" x14ac:dyDescent="0.3">
      <c r="O94" s="8"/>
      <c r="P94" s="157" t="s">
        <v>8</v>
      </c>
      <c r="Q94" s="158" t="s">
        <v>9</v>
      </c>
      <c r="R94" s="158" t="s">
        <v>10</v>
      </c>
      <c r="S94" s="158" t="s">
        <v>11</v>
      </c>
      <c r="T94" s="158" t="s">
        <v>12</v>
      </c>
      <c r="U94" s="159" t="s">
        <v>13</v>
      </c>
      <c r="V94" s="158" t="s">
        <v>14</v>
      </c>
      <c r="W94" s="158" t="s">
        <v>15</v>
      </c>
      <c r="X94" s="160" t="s">
        <v>16</v>
      </c>
      <c r="AA94" s="8"/>
      <c r="AB94" s="157" t="s">
        <v>8</v>
      </c>
      <c r="AC94" s="158" t="s">
        <v>9</v>
      </c>
      <c r="AD94" s="158" t="s">
        <v>10</v>
      </c>
      <c r="AE94" s="158" t="s">
        <v>11</v>
      </c>
      <c r="AF94" s="158" t="s">
        <v>12</v>
      </c>
      <c r="AG94" s="159" t="s">
        <v>13</v>
      </c>
      <c r="AH94" s="158" t="s">
        <v>14</v>
      </c>
      <c r="AI94" s="158" t="s">
        <v>15</v>
      </c>
      <c r="AJ94" s="160" t="s">
        <v>16</v>
      </c>
      <c r="AM94" s="8"/>
      <c r="AN94" s="157" t="s">
        <v>8</v>
      </c>
      <c r="AO94" s="158" t="s">
        <v>9</v>
      </c>
      <c r="AP94" s="158" t="s">
        <v>10</v>
      </c>
      <c r="AQ94" s="158" t="s">
        <v>11</v>
      </c>
      <c r="AR94" s="158" t="s">
        <v>12</v>
      </c>
      <c r="AS94" s="159" t="s">
        <v>13</v>
      </c>
      <c r="AT94" s="158" t="s">
        <v>14</v>
      </c>
      <c r="AU94" s="158" t="s">
        <v>15</v>
      </c>
      <c r="AV94" s="160" t="s">
        <v>16</v>
      </c>
    </row>
    <row r="95" spans="2:63" ht="15.75" x14ac:dyDescent="0.25">
      <c r="O95" s="161" t="s">
        <v>365</v>
      </c>
      <c r="P95" s="162">
        <f t="shared" ref="P95:X95" si="57">_xlfn.T.TEST(P32:P40,C32:C52,2,3)</f>
        <v>5.0121179195901054E-2</v>
      </c>
      <c r="Q95" s="96">
        <f t="shared" si="57"/>
        <v>0.27924071481032342</v>
      </c>
      <c r="R95" s="96">
        <f t="shared" si="57"/>
        <v>0.86738011350951505</v>
      </c>
      <c r="S95" s="96">
        <f t="shared" si="57"/>
        <v>0.39072928117552425</v>
      </c>
      <c r="T95" s="96">
        <f t="shared" si="57"/>
        <v>0.31275101205746847</v>
      </c>
      <c r="U95" s="164">
        <f t="shared" si="57"/>
        <v>6.6423349519287064E-2</v>
      </c>
      <c r="V95" s="96">
        <f t="shared" si="57"/>
        <v>0.50256466783813147</v>
      </c>
      <c r="W95" s="162">
        <f t="shared" si="57"/>
        <v>4.5813257820787837E-2</v>
      </c>
      <c r="X95" s="96">
        <f t="shared" si="57"/>
        <v>0.18791843142089187</v>
      </c>
      <c r="AA95" s="161" t="s">
        <v>365</v>
      </c>
      <c r="AB95" s="17">
        <f t="shared" ref="AB95:AJ95" si="58">_xlfn.T.TEST(AB32:AB34,C32:C52,2,3)</f>
        <v>0.39422719864806161</v>
      </c>
      <c r="AC95" s="17">
        <f t="shared" si="58"/>
        <v>0.99365279934289163</v>
      </c>
      <c r="AD95" s="165">
        <f t="shared" si="58"/>
        <v>1.4677434250665637E-2</v>
      </c>
      <c r="AE95" s="165">
        <f t="shared" si="58"/>
        <v>4.9352826561243984E-2</v>
      </c>
      <c r="AF95" s="17">
        <f t="shared" si="58"/>
        <v>0.81012967137323966</v>
      </c>
      <c r="AG95" s="193">
        <f t="shared" si="58"/>
        <v>6.9358273971972821E-7</v>
      </c>
      <c r="AH95" s="17">
        <f t="shared" si="58"/>
        <v>0.23585967967175042</v>
      </c>
      <c r="AI95" s="17">
        <f t="shared" si="58"/>
        <v>0.64082381209227957</v>
      </c>
      <c r="AJ95" s="17">
        <f t="shared" si="58"/>
        <v>0.35539351129537178</v>
      </c>
      <c r="AM95" s="161" t="s">
        <v>365</v>
      </c>
      <c r="AN95" s="164">
        <f t="shared" ref="AN95:AV95" si="59">_xlfn.T.TEST(AN32:AN40,C32:C52,2,3)</f>
        <v>8.4896199835941669E-2</v>
      </c>
      <c r="AO95" s="96">
        <f t="shared" si="59"/>
        <v>0.56531205728056255</v>
      </c>
      <c r="AP95" s="96">
        <f t="shared" si="59"/>
        <v>0.76048910182224416</v>
      </c>
      <c r="AQ95" s="96">
        <f t="shared" si="59"/>
        <v>0.25573316449957184</v>
      </c>
      <c r="AR95" s="96">
        <f t="shared" si="59"/>
        <v>0.3505916108093009</v>
      </c>
      <c r="AS95" s="162">
        <f t="shared" si="59"/>
        <v>2.6153515682049499E-2</v>
      </c>
      <c r="AT95" s="96">
        <f t="shared" si="59"/>
        <v>0.25792090066531553</v>
      </c>
      <c r="AU95" s="96">
        <f t="shared" si="59"/>
        <v>0.27718090782566152</v>
      </c>
      <c r="AV95" s="96">
        <f t="shared" si="59"/>
        <v>0.26272299905346064</v>
      </c>
    </row>
    <row r="96" spans="2:63" x14ac:dyDescent="0.25">
      <c r="O96" s="23"/>
      <c r="P96" s="108"/>
      <c r="Q96" s="96"/>
      <c r="R96" s="96"/>
      <c r="S96" s="96"/>
      <c r="T96" s="96"/>
      <c r="U96" s="96"/>
      <c r="V96" s="96"/>
      <c r="W96" s="96"/>
      <c r="X96" s="96"/>
      <c r="AA96" s="23"/>
      <c r="AB96" s="108"/>
      <c r="AC96" s="96"/>
      <c r="AD96" s="96"/>
      <c r="AE96" s="96"/>
      <c r="AF96" s="96"/>
      <c r="AG96" s="96"/>
      <c r="AH96" s="96"/>
      <c r="AI96" s="96"/>
      <c r="AJ96" s="96"/>
      <c r="AM96" s="23"/>
      <c r="AN96" s="108"/>
      <c r="AO96" s="96"/>
      <c r="AP96" s="96"/>
      <c r="AQ96" s="96"/>
      <c r="AR96" s="96"/>
      <c r="AS96" s="96"/>
      <c r="AT96" s="96"/>
      <c r="AU96" s="96"/>
      <c r="AV96" s="96"/>
    </row>
    <row r="97" spans="12:48" ht="18.75" x14ac:dyDescent="0.3">
      <c r="L97" s="23"/>
      <c r="M97" s="23"/>
      <c r="O97" s="152" t="s">
        <v>374</v>
      </c>
      <c r="P97" s="23"/>
      <c r="AA97" s="152" t="s">
        <v>374</v>
      </c>
      <c r="AM97" s="152" t="s">
        <v>374</v>
      </c>
    </row>
    <row r="98" spans="12:48" ht="15.75" thickBot="1" x14ac:dyDescent="0.3">
      <c r="O98" s="14"/>
      <c r="P98" s="157" t="s">
        <v>8</v>
      </c>
      <c r="Q98" s="158" t="s">
        <v>9</v>
      </c>
      <c r="R98" s="158" t="s">
        <v>10</v>
      </c>
      <c r="S98" s="158" t="s">
        <v>11</v>
      </c>
      <c r="T98" s="158" t="s">
        <v>12</v>
      </c>
      <c r="U98" s="159" t="s">
        <v>13</v>
      </c>
      <c r="V98" s="158" t="s">
        <v>14</v>
      </c>
      <c r="W98" s="158" t="s">
        <v>15</v>
      </c>
      <c r="X98" s="160" t="s">
        <v>16</v>
      </c>
      <c r="AA98" s="14"/>
      <c r="AB98" s="157" t="s">
        <v>8</v>
      </c>
      <c r="AC98" s="158" t="s">
        <v>9</v>
      </c>
      <c r="AD98" s="158" t="s">
        <v>10</v>
      </c>
      <c r="AE98" s="158" t="s">
        <v>11</v>
      </c>
      <c r="AF98" s="158" t="s">
        <v>12</v>
      </c>
      <c r="AG98" s="159" t="s">
        <v>13</v>
      </c>
      <c r="AH98" s="158" t="s">
        <v>14</v>
      </c>
      <c r="AI98" s="158" t="s">
        <v>15</v>
      </c>
      <c r="AJ98" s="160" t="s">
        <v>16</v>
      </c>
      <c r="AM98" s="14"/>
      <c r="AN98" s="157" t="s">
        <v>8</v>
      </c>
      <c r="AO98" s="158" t="s">
        <v>9</v>
      </c>
      <c r="AP98" s="158" t="s">
        <v>10</v>
      </c>
      <c r="AQ98" s="158" t="s">
        <v>11</v>
      </c>
      <c r="AR98" s="158" t="s">
        <v>12</v>
      </c>
      <c r="AS98" s="159" t="s">
        <v>13</v>
      </c>
      <c r="AT98" s="158" t="s">
        <v>14</v>
      </c>
      <c r="AU98" s="158" t="s">
        <v>15</v>
      </c>
      <c r="AV98" s="160" t="s">
        <v>16</v>
      </c>
    </row>
    <row r="99" spans="12:48" ht="15.75" x14ac:dyDescent="0.25">
      <c r="O99" s="155" t="s">
        <v>365</v>
      </c>
      <c r="P99" s="96">
        <f t="shared" ref="P99:X99" si="60">_xlfn.T.TEST(P63:P71,C63:C83,2,3)</f>
        <v>0.39304432616343932</v>
      </c>
      <c r="Q99" s="96">
        <f t="shared" si="60"/>
        <v>0.24792302537008321</v>
      </c>
      <c r="R99" s="164">
        <f t="shared" si="60"/>
        <v>5.4498788561037494E-2</v>
      </c>
      <c r="S99" s="164">
        <f t="shared" si="60"/>
        <v>5.8068054673999281E-2</v>
      </c>
      <c r="T99" s="162">
        <f t="shared" si="60"/>
        <v>1.4015120553382179E-3</v>
      </c>
      <c r="U99" s="96">
        <f t="shared" si="60"/>
        <v>0.77496689649107853</v>
      </c>
      <c r="V99" s="96">
        <f t="shared" si="60"/>
        <v>0.22943263082902976</v>
      </c>
      <c r="W99" s="96">
        <f t="shared" si="60"/>
        <v>0.30562268216724803</v>
      </c>
      <c r="X99" s="96">
        <f t="shared" si="60"/>
        <v>0.13253307095102118</v>
      </c>
      <c r="AA99" s="155" t="s">
        <v>365</v>
      </c>
      <c r="AB99" s="17">
        <f t="shared" ref="AB99:AJ99" si="61">_xlfn.T.TEST(AB63:AB65,C63:C83,2,3)</f>
        <v>0.28214394363302558</v>
      </c>
      <c r="AC99" s="17">
        <f t="shared" si="61"/>
        <v>0.64301586833253344</v>
      </c>
      <c r="AD99" s="17">
        <f t="shared" si="61"/>
        <v>0.28848949408081731</v>
      </c>
      <c r="AE99" s="17">
        <f t="shared" si="61"/>
        <v>0.45673434324785173</v>
      </c>
      <c r="AF99" s="17">
        <f t="shared" si="61"/>
        <v>0.75022783146077499</v>
      </c>
      <c r="AG99" s="166">
        <f t="shared" si="61"/>
        <v>8.3370345856326397E-2</v>
      </c>
      <c r="AH99" s="17">
        <f t="shared" si="61"/>
        <v>0.25706841898096566</v>
      </c>
      <c r="AI99" s="17">
        <f t="shared" si="61"/>
        <v>0.38666767883662473</v>
      </c>
      <c r="AJ99" s="17">
        <f t="shared" si="61"/>
        <v>0.31774171566025283</v>
      </c>
      <c r="AM99" s="155" t="s">
        <v>365</v>
      </c>
      <c r="AN99" s="96">
        <f t="shared" ref="AN99:AV99" si="62">_xlfn.T.TEST(AN63:AN71,C63:C83,2,3)</f>
        <v>0.6744302881074784</v>
      </c>
      <c r="AO99" s="96">
        <f t="shared" si="62"/>
        <v>0.29430938868918299</v>
      </c>
      <c r="AP99" s="96">
        <f t="shared" si="62"/>
        <v>0.78438013801146078</v>
      </c>
      <c r="AQ99" s="96">
        <f t="shared" si="62"/>
        <v>0.22586337462129477</v>
      </c>
      <c r="AR99" s="96">
        <f t="shared" si="62"/>
        <v>0.18151708866064764</v>
      </c>
      <c r="AS99" s="96">
        <f t="shared" si="62"/>
        <v>0.79743877654780315</v>
      </c>
      <c r="AT99" s="96">
        <f t="shared" si="62"/>
        <v>0.69491206080894419</v>
      </c>
      <c r="AU99" s="96">
        <f t="shared" si="62"/>
        <v>0.78648605937210181</v>
      </c>
      <c r="AV99" s="96">
        <f t="shared" si="62"/>
        <v>0.66328021355632927</v>
      </c>
    </row>
    <row r="105" spans="12:48" ht="21" x14ac:dyDescent="0.35">
      <c r="O105" s="144" t="s">
        <v>377</v>
      </c>
    </row>
    <row r="107" spans="12:48" ht="18.75" x14ac:dyDescent="0.3">
      <c r="O107" s="145" t="s">
        <v>363</v>
      </c>
    </row>
    <row r="108" spans="12:48" ht="15.75" thickBot="1" x14ac:dyDescent="0.3">
      <c r="N108" s="36"/>
      <c r="O108" s="1" t="s">
        <v>0</v>
      </c>
      <c r="P108" s="3" t="s">
        <v>8</v>
      </c>
      <c r="Q108" s="3" t="s">
        <v>9</v>
      </c>
      <c r="R108" s="3" t="s">
        <v>10</v>
      </c>
      <c r="S108" s="3" t="s">
        <v>11</v>
      </c>
      <c r="T108" s="3" t="s">
        <v>12</v>
      </c>
      <c r="U108" s="24" t="s">
        <v>13</v>
      </c>
      <c r="V108" s="3" t="s">
        <v>14</v>
      </c>
      <c r="W108" s="3" t="s">
        <v>15</v>
      </c>
      <c r="X108" s="4" t="s">
        <v>16</v>
      </c>
    </row>
    <row r="109" spans="12:48" ht="15.75" thickTop="1" x14ac:dyDescent="0.25">
      <c r="N109" s="36"/>
      <c r="O109" s="8" t="s">
        <v>54</v>
      </c>
      <c r="P109" s="96">
        <v>2.7801175121740633</v>
      </c>
      <c r="Q109" s="96">
        <v>1.9886231149634266</v>
      </c>
      <c r="R109" s="96">
        <v>0.21740221520732303</v>
      </c>
      <c r="S109" s="96">
        <v>0.16413671699672708</v>
      </c>
      <c r="T109" s="96">
        <v>0.17328457028898378</v>
      </c>
      <c r="U109" s="96">
        <v>0.21404450471840292</v>
      </c>
      <c r="V109" s="96">
        <v>0.47377104219657373</v>
      </c>
      <c r="W109" s="96">
        <v>0.13634975491086282</v>
      </c>
      <c r="X109" s="104">
        <v>0.66465497570163012</v>
      </c>
    </row>
    <row r="110" spans="12:48" x14ac:dyDescent="0.25">
      <c r="N110" s="8"/>
      <c r="O110" s="8" t="s">
        <v>56</v>
      </c>
      <c r="P110" s="96"/>
      <c r="Q110" s="96">
        <v>0.94504849051945394</v>
      </c>
      <c r="R110" s="96">
        <v>1.0838798980723405</v>
      </c>
      <c r="S110" s="96">
        <v>0.7948267828359683</v>
      </c>
      <c r="T110" s="96">
        <v>0.27353348488811041</v>
      </c>
      <c r="U110" s="96">
        <v>0.32714549365366763</v>
      </c>
      <c r="V110" s="96">
        <v>0.53668821698082092</v>
      </c>
      <c r="W110" s="96">
        <v>0.30383833450565334</v>
      </c>
      <c r="X110" s="104">
        <v>0.84633948446066698</v>
      </c>
    </row>
    <row r="111" spans="12:48" x14ac:dyDescent="0.25">
      <c r="N111" s="8"/>
      <c r="O111" s="8" t="s">
        <v>58</v>
      </c>
      <c r="P111" s="96">
        <v>1.9276000000000002</v>
      </c>
      <c r="Q111" s="96">
        <v>0.82972000000000001</v>
      </c>
      <c r="R111" s="96">
        <v>0.14709333333333333</v>
      </c>
      <c r="S111" s="96">
        <v>0.17254</v>
      </c>
      <c r="T111" s="96">
        <v>0.53300666666666663</v>
      </c>
      <c r="U111" s="96">
        <v>0.42238000000000003</v>
      </c>
      <c r="V111" s="96">
        <v>0.57267999999999997</v>
      </c>
      <c r="W111" s="96">
        <v>0.22384666666666667</v>
      </c>
      <c r="X111" s="104">
        <v>1.0158933333333335</v>
      </c>
    </row>
    <row r="112" spans="12:48" x14ac:dyDescent="0.25">
      <c r="N112" s="8" t="s">
        <v>380</v>
      </c>
      <c r="O112" s="8" t="s">
        <v>60</v>
      </c>
      <c r="P112" s="96">
        <v>2.3256387903162534</v>
      </c>
      <c r="Q112" s="96">
        <v>0.73807252886581287</v>
      </c>
      <c r="R112" s="96">
        <v>0.13080641118061087</v>
      </c>
      <c r="S112" s="96">
        <v>0.21875716741747714</v>
      </c>
      <c r="T112" s="96">
        <v>0.3620292467538006</v>
      </c>
      <c r="U112" s="96">
        <v>0.43223938894169484</v>
      </c>
      <c r="V112" s="96">
        <v>0.7236385973170929</v>
      </c>
      <c r="W112" s="96">
        <v>0.28898480527997589</v>
      </c>
      <c r="X112" s="104">
        <v>1.2150920969577483</v>
      </c>
    </row>
    <row r="113" spans="14:24" x14ac:dyDescent="0.25">
      <c r="N113" s="8" t="s">
        <v>380</v>
      </c>
      <c r="O113" s="6" t="s">
        <v>62</v>
      </c>
      <c r="P113" s="96">
        <v>1.3903019077023142</v>
      </c>
      <c r="Q113" s="96"/>
      <c r="R113" s="96">
        <v>0.10120059473958701</v>
      </c>
      <c r="S113" s="96">
        <v>0.17686463612737638</v>
      </c>
      <c r="T113" s="96">
        <v>0.67031270351543593</v>
      </c>
      <c r="U113" s="96">
        <v>0.40894855311630218</v>
      </c>
      <c r="V113" s="96">
        <v>0.45790250413916539</v>
      </c>
      <c r="W113" s="96">
        <v>0.45481833248482745</v>
      </c>
      <c r="X113" s="104">
        <v>1.0848864753723544</v>
      </c>
    </row>
    <row r="114" spans="14:24" x14ac:dyDescent="0.25">
      <c r="N114" s="8"/>
      <c r="O114" s="6" t="s">
        <v>65</v>
      </c>
      <c r="P114" s="96"/>
      <c r="Q114" s="96"/>
      <c r="R114" s="96"/>
      <c r="S114" s="96"/>
      <c r="T114" s="96"/>
      <c r="U114" s="96"/>
      <c r="V114" s="96"/>
      <c r="W114" s="96"/>
      <c r="X114" s="104"/>
    </row>
    <row r="115" spans="14:24" x14ac:dyDescent="0.25">
      <c r="N115" s="8"/>
      <c r="O115" s="6" t="s">
        <v>67</v>
      </c>
      <c r="P115" s="96"/>
      <c r="Q115" s="96"/>
      <c r="R115" s="96"/>
      <c r="S115" s="96"/>
      <c r="T115" s="96"/>
      <c r="U115" s="96"/>
      <c r="V115" s="108"/>
      <c r="W115" s="96"/>
      <c r="X115" s="104"/>
    </row>
    <row r="116" spans="14:24" x14ac:dyDescent="0.25">
      <c r="N116" s="8"/>
      <c r="O116" s="6" t="s">
        <v>69</v>
      </c>
      <c r="P116" s="96"/>
      <c r="Q116" s="96"/>
      <c r="R116" s="96"/>
      <c r="S116" s="96"/>
      <c r="T116" s="96"/>
      <c r="U116" s="142"/>
      <c r="V116" s="96"/>
      <c r="W116" s="96"/>
      <c r="X116" s="104"/>
    </row>
    <row r="117" spans="14:24" ht="15.75" thickBot="1" x14ac:dyDescent="0.3">
      <c r="N117" s="8" t="s">
        <v>380</v>
      </c>
      <c r="O117" s="12" t="s">
        <v>184</v>
      </c>
      <c r="P117" s="105">
        <v>3.6701086150013142</v>
      </c>
      <c r="Q117" s="105">
        <v>1.6415909939238003</v>
      </c>
      <c r="R117" s="105">
        <v>0.62303712283968904</v>
      </c>
      <c r="S117" s="105"/>
      <c r="T117" s="105">
        <v>0.87218598476279652</v>
      </c>
      <c r="U117" s="105">
        <v>1.2592540130867274</v>
      </c>
      <c r="V117" s="105">
        <v>1.2286053094420999</v>
      </c>
      <c r="W117" s="105">
        <v>0.53097906931271788</v>
      </c>
      <c r="X117" s="106">
        <v>1.6642151811585886</v>
      </c>
    </row>
    <row r="118" spans="14:24" ht="15.75" x14ac:dyDescent="0.25">
      <c r="O118" s="146" t="s">
        <v>367</v>
      </c>
      <c r="P118" s="96">
        <f t="shared" ref="P118:X118" si="63">AVERAGE(P109:P117)</f>
        <v>2.4187533650387891</v>
      </c>
      <c r="Q118" s="96">
        <f t="shared" si="63"/>
        <v>1.2286110256544986</v>
      </c>
      <c r="R118" s="96">
        <f t="shared" si="63"/>
        <v>0.3839032625621473</v>
      </c>
      <c r="S118" s="96">
        <f t="shared" si="63"/>
        <v>0.30542506067550979</v>
      </c>
      <c r="T118" s="96">
        <f t="shared" si="63"/>
        <v>0.48072544281263235</v>
      </c>
      <c r="U118" s="96">
        <f t="shared" si="63"/>
        <v>0.51066865891946589</v>
      </c>
      <c r="V118" s="96">
        <f t="shared" si="63"/>
        <v>0.66554761167929211</v>
      </c>
      <c r="W118" s="96">
        <f t="shared" si="63"/>
        <v>0.32313616052678401</v>
      </c>
      <c r="X118" s="96">
        <f t="shared" si="63"/>
        <v>1.081846924497387</v>
      </c>
    </row>
    <row r="119" spans="14:24" ht="15.75" x14ac:dyDescent="0.25">
      <c r="O119" s="146" t="s">
        <v>368</v>
      </c>
      <c r="P119" s="142">
        <f t="shared" ref="P119:X119" si="64">_xlfn.STDEV.S(P109:P117)</f>
        <v>0.86661530689167099</v>
      </c>
      <c r="Q119" s="142">
        <f t="shared" si="64"/>
        <v>0.55414813195549328</v>
      </c>
      <c r="R119" s="142">
        <f t="shared" si="64"/>
        <v>0.39368328623812776</v>
      </c>
      <c r="S119" s="142">
        <f t="shared" si="64"/>
        <v>0.27439660509271635</v>
      </c>
      <c r="T119" s="142">
        <f t="shared" si="64"/>
        <v>0.26208975415987573</v>
      </c>
      <c r="U119" s="142">
        <f t="shared" si="64"/>
        <v>0.37585627336152</v>
      </c>
      <c r="V119" s="142">
        <f t="shared" si="64"/>
        <v>0.29173015401610697</v>
      </c>
      <c r="W119" s="142">
        <f t="shared" si="64"/>
        <v>0.14616781808074927</v>
      </c>
      <c r="X119" s="142">
        <f t="shared" si="64"/>
        <v>0.3437379972770559</v>
      </c>
    </row>
    <row r="120" spans="14:24" ht="15.75" x14ac:dyDescent="0.25">
      <c r="O120" s="146" t="s">
        <v>369</v>
      </c>
      <c r="P120" s="141">
        <f t="shared" ref="P120:X120" si="65">COUNT(P109:P117)</f>
        <v>5</v>
      </c>
      <c r="Q120" s="141">
        <f t="shared" si="65"/>
        <v>5</v>
      </c>
      <c r="R120" s="141">
        <f t="shared" si="65"/>
        <v>6</v>
      </c>
      <c r="S120" s="141">
        <f t="shared" si="65"/>
        <v>5</v>
      </c>
      <c r="T120" s="141">
        <f t="shared" si="65"/>
        <v>6</v>
      </c>
      <c r="U120" s="141">
        <f t="shared" si="65"/>
        <v>6</v>
      </c>
      <c r="V120" s="141">
        <f t="shared" si="65"/>
        <v>6</v>
      </c>
      <c r="W120" s="141">
        <f t="shared" si="65"/>
        <v>6</v>
      </c>
      <c r="X120" s="141">
        <f t="shared" si="65"/>
        <v>6</v>
      </c>
    </row>
    <row r="121" spans="14:24" x14ac:dyDescent="0.25">
      <c r="O121" s="141"/>
      <c r="P121" s="141"/>
      <c r="Q121" s="141"/>
      <c r="R121" s="141"/>
      <c r="S121" s="141"/>
      <c r="T121" s="141"/>
      <c r="U121" s="141"/>
      <c r="V121" s="141"/>
      <c r="W121" s="141"/>
      <c r="X121" s="141"/>
    </row>
    <row r="122" spans="14:24" x14ac:dyDescent="0.25">
      <c r="O122" s="141"/>
      <c r="P122" s="141"/>
      <c r="Q122" s="141"/>
      <c r="R122" s="141"/>
      <c r="S122" s="141"/>
      <c r="T122" s="141"/>
      <c r="U122" s="141"/>
      <c r="V122" s="141"/>
      <c r="W122" s="141"/>
      <c r="X122" s="141"/>
    </row>
    <row r="123" spans="14:24" x14ac:dyDescent="0.25">
      <c r="O123" s="141"/>
      <c r="P123" s="141"/>
      <c r="Q123" s="141"/>
      <c r="R123" s="141"/>
      <c r="S123" s="141"/>
      <c r="T123" s="141"/>
      <c r="U123" s="141"/>
      <c r="V123" s="141"/>
      <c r="W123" s="141"/>
      <c r="X123" s="141"/>
    </row>
    <row r="124" spans="14:24" x14ac:dyDescent="0.25">
      <c r="U124" s="141"/>
      <c r="W124" s="141"/>
      <c r="X124" s="141"/>
    </row>
    <row r="134" spans="14:24" ht="18.75" x14ac:dyDescent="0.3">
      <c r="N134" s="141"/>
      <c r="O134" s="152" t="s">
        <v>364</v>
      </c>
    </row>
    <row r="135" spans="14:24" ht="15.75" thickBot="1" x14ac:dyDescent="0.3">
      <c r="N135" s="143"/>
      <c r="O135" s="1" t="s">
        <v>0</v>
      </c>
      <c r="P135" s="3" t="s">
        <v>8</v>
      </c>
      <c r="Q135" s="3" t="s">
        <v>9</v>
      </c>
      <c r="R135" s="3" t="s">
        <v>10</v>
      </c>
      <c r="S135" s="3" t="s">
        <v>11</v>
      </c>
      <c r="T135" s="3" t="s">
        <v>12</v>
      </c>
      <c r="U135" s="24" t="s">
        <v>13</v>
      </c>
      <c r="V135" s="3" t="s">
        <v>14</v>
      </c>
      <c r="W135" s="3" t="s">
        <v>15</v>
      </c>
      <c r="X135" s="4" t="s">
        <v>16</v>
      </c>
    </row>
    <row r="136" spans="14:24" ht="15.75" thickTop="1" x14ac:dyDescent="0.25">
      <c r="N136" s="36"/>
      <c r="O136" s="8" t="s">
        <v>55</v>
      </c>
      <c r="P136" s="96">
        <v>2.6742450313631205</v>
      </c>
      <c r="Q136" s="96">
        <v>1.6677548603791863</v>
      </c>
      <c r="R136" s="96">
        <v>0.20076470087675097</v>
      </c>
      <c r="S136" s="96">
        <v>0.17103921142180864</v>
      </c>
      <c r="T136" s="96">
        <v>0.19450979907191812</v>
      </c>
      <c r="U136" s="103">
        <v>0.23623528822766829</v>
      </c>
      <c r="V136" s="96">
        <v>0.33928430526622327</v>
      </c>
      <c r="W136" s="96">
        <v>0.1304607810609886</v>
      </c>
      <c r="X136" s="104">
        <v>0.45717645918960104</v>
      </c>
    </row>
    <row r="137" spans="14:24" x14ac:dyDescent="0.25">
      <c r="N137" s="36"/>
      <c r="O137" s="8" t="s">
        <v>57</v>
      </c>
      <c r="P137" s="108"/>
      <c r="Q137" s="108">
        <v>1.3689384347585156</v>
      </c>
      <c r="R137" s="108">
        <v>1.1462692083452659</v>
      </c>
      <c r="S137" s="108">
        <v>0.50795383621696666</v>
      </c>
      <c r="T137" s="108">
        <v>0.32342307059609243</v>
      </c>
      <c r="U137" s="103">
        <v>0.32744614744046757</v>
      </c>
      <c r="V137" s="108">
        <v>1.0824999788235248</v>
      </c>
      <c r="W137" s="108">
        <v>0.21212307277340575</v>
      </c>
      <c r="X137" s="104">
        <v>1.1704769001793938</v>
      </c>
    </row>
    <row r="138" spans="14:24" x14ac:dyDescent="0.25">
      <c r="N138" s="36"/>
      <c r="O138" s="8" t="s">
        <v>59</v>
      </c>
      <c r="P138" s="96">
        <v>1.7324729458917836</v>
      </c>
      <c r="Q138" s="96">
        <v>0.66058316633266534</v>
      </c>
      <c r="R138" s="96">
        <v>0.12976953907815633</v>
      </c>
      <c r="S138" s="96">
        <v>0.15742484969939879</v>
      </c>
      <c r="T138" s="96">
        <v>0.49080961923847694</v>
      </c>
      <c r="U138" s="103">
        <v>0.39327054108216436</v>
      </c>
      <c r="V138" s="96">
        <v>0.56323647294589174</v>
      </c>
      <c r="W138" s="96">
        <v>0.21397394789579158</v>
      </c>
      <c r="X138" s="104">
        <v>0.80064529058116229</v>
      </c>
    </row>
    <row r="139" spans="14:24" x14ac:dyDescent="0.25">
      <c r="N139" s="36"/>
      <c r="O139" s="6" t="s">
        <v>61</v>
      </c>
      <c r="P139" s="108">
        <v>2.5222346487724341</v>
      </c>
      <c r="Q139" s="108">
        <v>0.63026911704225064</v>
      </c>
      <c r="R139" s="108">
        <v>4.561590061704679E-2</v>
      </c>
      <c r="S139" s="108">
        <v>0.11677561123576252</v>
      </c>
      <c r="T139" s="108">
        <v>0.62412255226498359</v>
      </c>
      <c r="U139" s="103">
        <v>0.50061672618408304</v>
      </c>
      <c r="V139" s="108">
        <v>1.3013754997708538</v>
      </c>
      <c r="W139" s="108">
        <v>0.29200742458173495</v>
      </c>
      <c r="X139" s="104">
        <v>1.7368240480642101</v>
      </c>
    </row>
    <row r="140" spans="14:24" x14ac:dyDescent="0.25">
      <c r="N140" s="36"/>
      <c r="O140" s="6" t="s">
        <v>64</v>
      </c>
      <c r="P140" s="108">
        <v>1.5360128226453302</v>
      </c>
      <c r="Q140" s="108"/>
      <c r="R140" s="108">
        <v>6.4977272528465774E-2</v>
      </c>
      <c r="S140" s="108">
        <v>1.5808460670234968E-2</v>
      </c>
      <c r="T140" s="108">
        <v>1.02601102161775</v>
      </c>
      <c r="U140" s="103">
        <v>0.40415873738100722</v>
      </c>
      <c r="V140" s="108">
        <v>0.85900987047526778</v>
      </c>
      <c r="W140" s="108">
        <v>0.2689943535714982</v>
      </c>
      <c r="X140" s="104">
        <v>1.2882924033716483</v>
      </c>
    </row>
    <row r="141" spans="14:24" x14ac:dyDescent="0.25">
      <c r="N141" s="36"/>
      <c r="O141" s="6" t="s">
        <v>66</v>
      </c>
      <c r="P141" s="108"/>
      <c r="Q141" s="108"/>
      <c r="R141" s="108"/>
      <c r="S141" s="108"/>
      <c r="T141" s="108"/>
      <c r="U141" s="103"/>
      <c r="V141" s="108"/>
      <c r="W141" s="108"/>
      <c r="X141" s="104"/>
    </row>
    <row r="142" spans="14:24" x14ac:dyDescent="0.25">
      <c r="N142" s="36"/>
      <c r="O142" s="6" t="s">
        <v>68</v>
      </c>
      <c r="P142" s="108"/>
      <c r="Q142" s="108"/>
      <c r="R142" s="108"/>
      <c r="S142" s="108"/>
      <c r="T142" s="108"/>
      <c r="U142" s="103"/>
      <c r="V142" s="108"/>
      <c r="W142" s="108"/>
      <c r="X142" s="104"/>
    </row>
    <row r="143" spans="14:24" x14ac:dyDescent="0.25">
      <c r="N143" s="36"/>
      <c r="O143" s="6" t="s">
        <v>70</v>
      </c>
      <c r="P143" s="108"/>
      <c r="Q143" s="108"/>
      <c r="R143" s="108"/>
      <c r="S143" s="108"/>
      <c r="T143" s="108"/>
      <c r="U143" s="96"/>
      <c r="V143" s="108"/>
      <c r="W143" s="108"/>
      <c r="X143" s="104"/>
    </row>
    <row r="144" spans="14:24" ht="15.75" thickBot="1" x14ac:dyDescent="0.3">
      <c r="N144" s="36"/>
      <c r="O144" s="12" t="s">
        <v>186</v>
      </c>
      <c r="P144" s="105">
        <v>3.0143451216214068</v>
      </c>
      <c r="Q144" s="105">
        <v>1.4849793983359583</v>
      </c>
      <c r="R144" s="105">
        <v>0.59367409599261844</v>
      </c>
      <c r="S144" s="105"/>
      <c r="T144" s="105">
        <v>0.81000588618972624</v>
      </c>
      <c r="U144" s="114">
        <v>1.3714249351723697</v>
      </c>
      <c r="V144" s="105">
        <v>1.2645902734691929</v>
      </c>
      <c r="W144" s="105">
        <v>0.57719531013856407</v>
      </c>
      <c r="X144" s="106">
        <v>2.0477271353346378</v>
      </c>
    </row>
    <row r="145" spans="14:24" ht="15.75" x14ac:dyDescent="0.25">
      <c r="N145" s="141"/>
      <c r="O145" s="146" t="s">
        <v>367</v>
      </c>
      <c r="P145" s="96">
        <f t="shared" ref="P145:T145" si="66">AVERAGE(P136:P144)</f>
        <v>2.2958621140588149</v>
      </c>
      <c r="Q145" s="96">
        <f t="shared" si="66"/>
        <v>1.1625049953697153</v>
      </c>
      <c r="R145" s="96">
        <f t="shared" si="66"/>
        <v>0.36351178623971742</v>
      </c>
      <c r="S145" s="96">
        <f t="shared" si="66"/>
        <v>0.19380039384883435</v>
      </c>
      <c r="T145" s="96">
        <f t="shared" si="66"/>
        <v>0.57814699149649129</v>
      </c>
      <c r="U145" s="96">
        <f>AVERAGE(U136:U144)</f>
        <v>0.53885872924796008</v>
      </c>
      <c r="V145" s="96">
        <f t="shared" ref="V145:X145" si="67">AVERAGE(V136:V144)</f>
        <v>0.90166606679182582</v>
      </c>
      <c r="W145" s="96">
        <f t="shared" si="67"/>
        <v>0.2824591483369972</v>
      </c>
      <c r="X145" s="96">
        <f t="shared" si="67"/>
        <v>1.2501903727867756</v>
      </c>
    </row>
    <row r="146" spans="14:24" ht="15.75" x14ac:dyDescent="0.25">
      <c r="N146" s="141"/>
      <c r="O146" s="146" t="s">
        <v>368</v>
      </c>
      <c r="P146" s="142">
        <f t="shared" ref="P146:T146" si="68">_xlfn.STDEV.S(P136:P144)</f>
        <v>0.63352472114474179</v>
      </c>
      <c r="Q146" s="142">
        <f t="shared" si="68"/>
        <v>0.48401510415515919</v>
      </c>
      <c r="R146" s="142">
        <f t="shared" si="68"/>
        <v>0.43289411466709193</v>
      </c>
      <c r="S146" s="142">
        <f t="shared" si="68"/>
        <v>0.18584104928852316</v>
      </c>
      <c r="T146" s="142">
        <f t="shared" si="68"/>
        <v>0.3085916643709023</v>
      </c>
      <c r="U146" s="142">
        <f>_xlfn.STDEV.S(U136:U144)</f>
        <v>0.41719184392543723</v>
      </c>
      <c r="V146" s="142">
        <f t="shared" ref="V146:X146" si="69">_xlfn.STDEV.S(V136:V144)</f>
        <v>0.38905267024326146</v>
      </c>
      <c r="W146" s="142">
        <f t="shared" si="69"/>
        <v>0.15484364062535716</v>
      </c>
      <c r="X146" s="142">
        <f t="shared" si="69"/>
        <v>0.5850888944550432</v>
      </c>
    </row>
    <row r="147" spans="14:24" ht="15.75" x14ac:dyDescent="0.25">
      <c r="N147" s="141"/>
      <c r="O147" s="146" t="s">
        <v>369</v>
      </c>
      <c r="P147" s="141">
        <f t="shared" ref="P147:T147" si="70">COUNT(P136:P144)</f>
        <v>5</v>
      </c>
      <c r="Q147" s="141">
        <f t="shared" si="70"/>
        <v>5</v>
      </c>
      <c r="R147" s="141">
        <f t="shared" si="70"/>
        <v>6</v>
      </c>
      <c r="S147" s="141">
        <f t="shared" si="70"/>
        <v>5</v>
      </c>
      <c r="T147" s="141">
        <f t="shared" si="70"/>
        <v>6</v>
      </c>
      <c r="U147" s="141">
        <f>COUNT(U136:U144)</f>
        <v>6</v>
      </c>
      <c r="V147" s="141">
        <f t="shared" ref="V147:X147" si="71">COUNT(V136:V144)</f>
        <v>6</v>
      </c>
      <c r="W147" s="141">
        <f t="shared" si="71"/>
        <v>6</v>
      </c>
      <c r="X147" s="141">
        <f t="shared" si="71"/>
        <v>6</v>
      </c>
    </row>
    <row r="148" spans="14:24" x14ac:dyDescent="0.25">
      <c r="N148" s="141"/>
    </row>
    <row r="149" spans="14:24" ht="15.75" x14ac:dyDescent="0.25">
      <c r="N149" s="141"/>
      <c r="O149" s="146" t="s">
        <v>365</v>
      </c>
      <c r="P149" s="96">
        <f t="shared" ref="P149:X149" si="72">_xlfn.T.TEST(P109:P117,P136:P144,2,1)</f>
        <v>0.46486444901728152</v>
      </c>
      <c r="Q149" s="96">
        <f t="shared" si="72"/>
        <v>0.63169856228689247</v>
      </c>
      <c r="R149" s="96">
        <f t="shared" si="72"/>
        <v>0.34356329147627235</v>
      </c>
      <c r="S149" s="96">
        <f t="shared" si="72"/>
        <v>0.10387710515370245</v>
      </c>
      <c r="T149" s="96">
        <f t="shared" si="72"/>
        <v>0.22254617133795196</v>
      </c>
      <c r="U149" s="96">
        <f t="shared" si="72"/>
        <v>0.24656284212468921</v>
      </c>
      <c r="V149" s="96">
        <f t="shared" si="72"/>
        <v>0.12018347773572476</v>
      </c>
      <c r="W149" s="96">
        <f t="shared" si="72"/>
        <v>0.28891600605680318</v>
      </c>
      <c r="X149" s="96">
        <f t="shared" si="72"/>
        <v>0.24282942347427902</v>
      </c>
    </row>
    <row r="150" spans="14:24" ht="15.75" x14ac:dyDescent="0.25">
      <c r="N150" s="141"/>
      <c r="O150" s="146" t="s">
        <v>366</v>
      </c>
      <c r="P150" s="96">
        <f t="shared" ref="P150:X150" si="73">(P145-P118)/AVERAGE(P119,P146)</f>
        <v>-0.16383970653837029</v>
      </c>
      <c r="Q150" s="96">
        <f t="shared" si="73"/>
        <v>-0.12735189994290538</v>
      </c>
      <c r="R150" s="96">
        <f t="shared" si="73"/>
        <v>-4.9339544730108313E-2</v>
      </c>
      <c r="S150" s="96">
        <f t="shared" si="73"/>
        <v>-0.48507402974990277</v>
      </c>
      <c r="T150" s="96">
        <f t="shared" si="73"/>
        <v>0.3414218354425177</v>
      </c>
      <c r="U150" s="96">
        <f t="shared" si="73"/>
        <v>7.1092963249022798E-2</v>
      </c>
      <c r="V150" s="96">
        <f t="shared" si="73"/>
        <v>0.69366748601335448</v>
      </c>
      <c r="W150" s="96">
        <f t="shared" si="73"/>
        <v>-0.27026886195386962</v>
      </c>
      <c r="X150" s="96">
        <f t="shared" si="73"/>
        <v>0.36248616354218094</v>
      </c>
    </row>
    <row r="165" spans="14:25" ht="18.75" x14ac:dyDescent="0.3">
      <c r="O165" s="152" t="s">
        <v>374</v>
      </c>
    </row>
    <row r="166" spans="14:25" ht="15.75" thickBot="1" x14ac:dyDescent="0.3">
      <c r="N166" s="8"/>
      <c r="O166" s="153" t="s">
        <v>0</v>
      </c>
      <c r="P166" s="149" t="s">
        <v>8</v>
      </c>
      <c r="Q166" s="149" t="s">
        <v>9</v>
      </c>
      <c r="R166" s="149" t="s">
        <v>10</v>
      </c>
      <c r="S166" s="149" t="s">
        <v>11</v>
      </c>
      <c r="T166" s="149" t="s">
        <v>12</v>
      </c>
      <c r="U166" s="151" t="s">
        <v>13</v>
      </c>
      <c r="V166" s="149" t="s">
        <v>14</v>
      </c>
      <c r="W166" s="149" t="s">
        <v>15</v>
      </c>
      <c r="X166" s="150" t="s">
        <v>16</v>
      </c>
    </row>
    <row r="167" spans="14:25" ht="15.75" thickTop="1" x14ac:dyDescent="0.25">
      <c r="N167" s="8"/>
      <c r="O167" s="6" t="s">
        <v>214</v>
      </c>
      <c r="P167" s="109">
        <f>(P136-P109)/P109*100</f>
        <v>-3.8082016442589177</v>
      </c>
      <c r="Q167" s="110">
        <f t="shared" ref="Q167:X167" si="74">(Q136-Q109)/Q109*100</f>
        <v>-16.135196869123263</v>
      </c>
      <c r="R167" s="110">
        <f t="shared" si="74"/>
        <v>-7.652872494747073</v>
      </c>
      <c r="S167" s="110">
        <f t="shared" si="74"/>
        <v>4.2053323298888685</v>
      </c>
      <c r="T167" s="110">
        <f t="shared" si="74"/>
        <v>12.248770186253388</v>
      </c>
      <c r="U167" s="110">
        <f t="shared" si="74"/>
        <v>10.367368944350886</v>
      </c>
      <c r="V167" s="110">
        <f t="shared" si="74"/>
        <v>-28.386440907578763</v>
      </c>
      <c r="W167" s="110">
        <f t="shared" si="74"/>
        <v>-4.3190204879532574</v>
      </c>
      <c r="X167" s="111">
        <f t="shared" si="74"/>
        <v>-31.215972812512</v>
      </c>
      <c r="Y167" t="s">
        <v>386</v>
      </c>
    </row>
    <row r="168" spans="14:25" x14ac:dyDescent="0.25">
      <c r="N168" s="8"/>
      <c r="O168" s="6" t="s">
        <v>213</v>
      </c>
      <c r="P168" s="107"/>
      <c r="Q168" s="108">
        <f t="shared" ref="Q168:X168" si="75">(Q137-Q110)/Q110*100</f>
        <v>44.853777186191465</v>
      </c>
      <c r="R168" s="108">
        <f t="shared" si="75"/>
        <v>5.7561091762919085</v>
      </c>
      <c r="S168" s="108">
        <f t="shared" si="75"/>
        <v>-36.092511326232554</v>
      </c>
      <c r="T168" s="108">
        <f t="shared" si="75"/>
        <v>18.238931781382995</v>
      </c>
      <c r="U168" s="108">
        <f t="shared" si="75"/>
        <v>9.1902163603766324E-2</v>
      </c>
      <c r="V168" s="108">
        <f t="shared" si="75"/>
        <v>101.69997115144582</v>
      </c>
      <c r="W168" s="108">
        <f t="shared" si="75"/>
        <v>-30.185546495134929</v>
      </c>
      <c r="X168" s="104">
        <f t="shared" si="75"/>
        <v>38.298746740533389</v>
      </c>
      <c r="Y168" t="s">
        <v>386</v>
      </c>
    </row>
    <row r="169" spans="14:25" x14ac:dyDescent="0.25">
      <c r="N169" s="8"/>
      <c r="O169" s="6" t="s">
        <v>212</v>
      </c>
      <c r="P169" s="107">
        <f t="shared" ref="P169:X169" si="76">(P138-P111)/P111*100</f>
        <v>-10.122797992748319</v>
      </c>
      <c r="Q169" s="108">
        <f t="shared" si="76"/>
        <v>-20.384808570039851</v>
      </c>
      <c r="R169" s="108">
        <f t="shared" si="76"/>
        <v>-11.777416326489073</v>
      </c>
      <c r="S169" s="108">
        <f t="shared" si="76"/>
        <v>-8.7603745801560251</v>
      </c>
      <c r="T169" s="108">
        <f t="shared" si="76"/>
        <v>-7.9167954299864354</v>
      </c>
      <c r="U169" s="108">
        <f t="shared" si="76"/>
        <v>-6.8917701874699731</v>
      </c>
      <c r="V169" s="108">
        <f t="shared" si="76"/>
        <v>-1.6490059115227047</v>
      </c>
      <c r="W169" s="108">
        <f t="shared" si="76"/>
        <v>-4.4104828174978801</v>
      </c>
      <c r="X169" s="104">
        <f t="shared" si="76"/>
        <v>-21.188055447307907</v>
      </c>
      <c r="Y169" t="s">
        <v>387</v>
      </c>
    </row>
    <row r="170" spans="14:25" x14ac:dyDescent="0.25">
      <c r="N170" s="8"/>
      <c r="O170" s="6" t="s">
        <v>211</v>
      </c>
      <c r="P170" s="107">
        <f t="shared" ref="P170:X170" si="77">(P139-P112)/P112*100</f>
        <v>8.4534132847623535</v>
      </c>
      <c r="Q170" s="108">
        <f t="shared" si="77"/>
        <v>-14.60607292744284</v>
      </c>
      <c r="R170" s="108">
        <f t="shared" si="77"/>
        <v>-65.127167540692881</v>
      </c>
      <c r="S170" s="108">
        <f t="shared" si="77"/>
        <v>-46.61861249423319</v>
      </c>
      <c r="T170" s="108">
        <f t="shared" si="77"/>
        <v>72.395616614207015</v>
      </c>
      <c r="U170" s="108">
        <f t="shared" si="77"/>
        <v>15.819321189076474</v>
      </c>
      <c r="V170" s="108">
        <f t="shared" si="77"/>
        <v>79.837767719374568</v>
      </c>
      <c r="W170" s="108">
        <f t="shared" si="77"/>
        <v>1.0459440242301583</v>
      </c>
      <c r="X170" s="104">
        <f t="shared" si="77"/>
        <v>42.937646653511536</v>
      </c>
      <c r="Y170" t="s">
        <v>386</v>
      </c>
    </row>
    <row r="171" spans="14:25" x14ac:dyDescent="0.25">
      <c r="N171" s="8"/>
      <c r="O171" s="6" t="s">
        <v>210</v>
      </c>
      <c r="P171" s="107">
        <f t="shared" ref="P171" si="78">(P140-P113)/P113*100</f>
        <v>10.480523268778759</v>
      </c>
      <c r="Q171" s="108"/>
      <c r="R171" s="108">
        <f t="shared" ref="R171:X171" si="79">(R140-R113)/R113*100</f>
        <v>-35.793586296930748</v>
      </c>
      <c r="S171" s="108">
        <f t="shared" si="79"/>
        <v>-91.061830665317473</v>
      </c>
      <c r="T171" s="108">
        <f t="shared" si="79"/>
        <v>53.064534841256084</v>
      </c>
      <c r="U171" s="108">
        <f t="shared" si="79"/>
        <v>-1.1712514199635218</v>
      </c>
      <c r="V171" s="108">
        <f t="shared" si="79"/>
        <v>87.596674556337035</v>
      </c>
      <c r="W171" s="108">
        <f t="shared" si="79"/>
        <v>-40.856747769622558</v>
      </c>
      <c r="X171" s="104">
        <f t="shared" si="79"/>
        <v>18.749051870102907</v>
      </c>
      <c r="Y171" t="s">
        <v>385</v>
      </c>
    </row>
    <row r="172" spans="14:25" x14ac:dyDescent="0.25">
      <c r="N172" s="8"/>
      <c r="O172" s="6" t="s">
        <v>209</v>
      </c>
      <c r="P172" s="107"/>
      <c r="Q172" s="108"/>
      <c r="R172" s="108"/>
      <c r="S172" s="108"/>
      <c r="T172" s="108"/>
      <c r="U172" s="108"/>
      <c r="V172" s="108"/>
      <c r="W172" s="108"/>
      <c r="X172" s="104"/>
      <c r="Y172" t="s">
        <v>384</v>
      </c>
    </row>
    <row r="173" spans="14:25" x14ac:dyDescent="0.25">
      <c r="N173" s="8"/>
      <c r="O173" s="6" t="s">
        <v>208</v>
      </c>
      <c r="P173" s="107"/>
      <c r="Q173" s="108"/>
      <c r="R173" s="108"/>
      <c r="S173" s="108"/>
      <c r="T173" s="108"/>
      <c r="U173" s="108"/>
      <c r="V173" s="108"/>
      <c r="W173" s="108"/>
      <c r="X173" s="104"/>
      <c r="Y173" t="s">
        <v>383</v>
      </c>
    </row>
    <row r="174" spans="14:25" x14ac:dyDescent="0.25">
      <c r="N174" s="8"/>
      <c r="O174" s="6" t="s">
        <v>207</v>
      </c>
      <c r="P174" s="107"/>
      <c r="Q174" s="108"/>
      <c r="R174" s="108"/>
      <c r="S174" s="108"/>
      <c r="T174" s="108"/>
      <c r="U174" s="108"/>
      <c r="V174" s="108"/>
      <c r="W174" s="108"/>
      <c r="X174" s="104"/>
      <c r="Y174" t="s">
        <v>383</v>
      </c>
    </row>
    <row r="175" spans="14:25" ht="15.75" thickBot="1" x14ac:dyDescent="0.3">
      <c r="N175" s="8"/>
      <c r="O175" s="12" t="s">
        <v>206</v>
      </c>
      <c r="P175" s="113">
        <f t="shared" ref="P175:X175" si="80">(P144-P117)/P117*100</f>
        <v>-17.867686277717223</v>
      </c>
      <c r="Q175" s="105">
        <f t="shared" si="80"/>
        <v>-9.5402323823367432</v>
      </c>
      <c r="R175" s="105">
        <f t="shared" si="80"/>
        <v>-4.7128856003377937</v>
      </c>
      <c r="S175" s="105"/>
      <c r="T175" s="105">
        <f t="shared" si="80"/>
        <v>-7.1292246905321512</v>
      </c>
      <c r="U175" s="105">
        <f t="shared" si="80"/>
        <v>8.9077279817981374</v>
      </c>
      <c r="V175" s="105">
        <f t="shared" si="80"/>
        <v>2.9289279275077811</v>
      </c>
      <c r="W175" s="105">
        <f t="shared" si="80"/>
        <v>8.7039665962100905</v>
      </c>
      <c r="X175" s="106">
        <f t="shared" si="80"/>
        <v>23.044613371995379</v>
      </c>
      <c r="Y175" t="s">
        <v>382</v>
      </c>
    </row>
    <row r="176" spans="14:25" ht="15.75" x14ac:dyDescent="0.25">
      <c r="O176" s="146" t="s">
        <v>367</v>
      </c>
      <c r="P176" s="96">
        <f t="shared" ref="P176:X176" si="81">AVERAGE(P167:P175)</f>
        <v>-2.572949872236669</v>
      </c>
      <c r="Q176" s="96">
        <f t="shared" si="81"/>
        <v>-3.1625067125502464</v>
      </c>
      <c r="R176" s="96">
        <f t="shared" si="81"/>
        <v>-19.884636513817608</v>
      </c>
      <c r="S176" s="96">
        <f t="shared" si="81"/>
        <v>-35.665599347210076</v>
      </c>
      <c r="T176" s="96">
        <f t="shared" si="81"/>
        <v>23.483638883763486</v>
      </c>
      <c r="U176" s="96">
        <f t="shared" si="81"/>
        <v>4.520549778565961</v>
      </c>
      <c r="V176" s="96">
        <f t="shared" si="81"/>
        <v>40.33798242259396</v>
      </c>
      <c r="W176" s="96">
        <f t="shared" si="81"/>
        <v>-11.670314491628062</v>
      </c>
      <c r="X176" s="96">
        <f t="shared" si="81"/>
        <v>11.771005062720549</v>
      </c>
    </row>
    <row r="177" spans="15:24" ht="15.75" x14ac:dyDescent="0.25">
      <c r="O177" s="146" t="s">
        <v>368</v>
      </c>
      <c r="P177" s="142">
        <f t="shared" ref="P177:X177" si="82">_xlfn.STDEV.S(P167:P175)</f>
        <v>12.087481756030142</v>
      </c>
      <c r="Q177" s="142">
        <f t="shared" si="82"/>
        <v>27.120529507400772</v>
      </c>
      <c r="R177" s="142">
        <f t="shared" si="82"/>
        <v>26.088136125177623</v>
      </c>
      <c r="S177" s="142">
        <f t="shared" si="82"/>
        <v>37.089336431282867</v>
      </c>
      <c r="T177" s="142">
        <f t="shared" si="82"/>
        <v>32.693347609879346</v>
      </c>
      <c r="U177" s="142">
        <f t="shared" si="82"/>
        <v>8.5246164713674908</v>
      </c>
      <c r="V177" s="142">
        <f t="shared" si="82"/>
        <v>55.57751630127742</v>
      </c>
      <c r="W177" s="142">
        <f t="shared" si="82"/>
        <v>19.381552794283817</v>
      </c>
      <c r="X177" s="142">
        <f t="shared" si="82"/>
        <v>30.935571579267808</v>
      </c>
    </row>
    <row r="178" spans="15:24" ht="15.75" x14ac:dyDescent="0.25">
      <c r="O178" s="146" t="s">
        <v>369</v>
      </c>
      <c r="P178" s="141">
        <f t="shared" ref="P178:X178" si="83">COUNT(P167:P175)</f>
        <v>5</v>
      </c>
      <c r="Q178" s="141">
        <f t="shared" si="83"/>
        <v>5</v>
      </c>
      <c r="R178" s="141">
        <f t="shared" si="83"/>
        <v>6</v>
      </c>
      <c r="S178" s="141">
        <f t="shared" si="83"/>
        <v>5</v>
      </c>
      <c r="T178" s="141">
        <f t="shared" si="83"/>
        <v>6</v>
      </c>
      <c r="U178" s="141">
        <f t="shared" si="83"/>
        <v>6</v>
      </c>
      <c r="V178" s="141">
        <f t="shared" si="83"/>
        <v>6</v>
      </c>
      <c r="W178" s="141">
        <f t="shared" si="83"/>
        <v>6</v>
      </c>
      <c r="X178" s="141">
        <f t="shared" si="83"/>
        <v>6</v>
      </c>
    </row>
    <row r="182" spans="15:24" ht="18.75" x14ac:dyDescent="0.3">
      <c r="O182" s="145" t="s">
        <v>363</v>
      </c>
    </row>
    <row r="183" spans="15:24" ht="15.75" thickBot="1" x14ac:dyDescent="0.3">
      <c r="O183" s="14"/>
      <c r="P183" s="157" t="s">
        <v>8</v>
      </c>
      <c r="Q183" s="158" t="s">
        <v>9</v>
      </c>
      <c r="R183" s="158" t="s">
        <v>10</v>
      </c>
      <c r="S183" s="158" t="s">
        <v>11</v>
      </c>
      <c r="T183" s="158" t="s">
        <v>12</v>
      </c>
      <c r="U183" s="159" t="s">
        <v>13</v>
      </c>
      <c r="V183" s="158" t="s">
        <v>14</v>
      </c>
      <c r="W183" s="158" t="s">
        <v>15</v>
      </c>
      <c r="X183" s="160" t="s">
        <v>16</v>
      </c>
    </row>
    <row r="184" spans="15:24" ht="15.75" x14ac:dyDescent="0.25">
      <c r="O184" s="155" t="s">
        <v>365</v>
      </c>
      <c r="P184" s="162">
        <f>_xlfn.T.TEST(P109:P117,C5:C25,2,3)</f>
        <v>3.3614785899123374E-2</v>
      </c>
      <c r="Q184" s="96">
        <f t="shared" ref="Q184:X184" si="84">_xlfn.T.TEST(Q109:Q117,D5:D25,2,3)</f>
        <v>0.67687845942778935</v>
      </c>
      <c r="R184" s="96">
        <f t="shared" si="84"/>
        <v>0.91512207773648857</v>
      </c>
      <c r="S184" s="96">
        <f t="shared" si="84"/>
        <v>0.67789035003772213</v>
      </c>
      <c r="T184" s="96">
        <f t="shared" si="84"/>
        <v>0.76868732820013919</v>
      </c>
      <c r="U184" s="96">
        <f t="shared" si="84"/>
        <v>0.10314149441321585</v>
      </c>
      <c r="V184" s="96">
        <f t="shared" si="84"/>
        <v>0.25603362650693512</v>
      </c>
      <c r="W184" s="164">
        <f t="shared" si="84"/>
        <v>6.1069525446984178E-2</v>
      </c>
      <c r="X184" s="96">
        <f t="shared" si="84"/>
        <v>0.94514387658704213</v>
      </c>
    </row>
    <row r="185" spans="15:24" x14ac:dyDescent="0.25">
      <c r="O185" s="23"/>
    </row>
    <row r="186" spans="15:24" ht="18.75" x14ac:dyDescent="0.3">
      <c r="O186" s="152" t="s">
        <v>364</v>
      </c>
    </row>
    <row r="187" spans="15:24" ht="15.75" thickBot="1" x14ac:dyDescent="0.3">
      <c r="O187" s="8"/>
      <c r="P187" s="157" t="s">
        <v>8</v>
      </c>
      <c r="Q187" s="158" t="s">
        <v>9</v>
      </c>
      <c r="R187" s="158" t="s">
        <v>10</v>
      </c>
      <c r="S187" s="158" t="s">
        <v>11</v>
      </c>
      <c r="T187" s="158" t="s">
        <v>12</v>
      </c>
      <c r="U187" s="159" t="s">
        <v>13</v>
      </c>
      <c r="V187" s="158" t="s">
        <v>14</v>
      </c>
      <c r="W187" s="158" t="s">
        <v>15</v>
      </c>
      <c r="X187" s="160" t="s">
        <v>16</v>
      </c>
    </row>
    <row r="188" spans="15:24" ht="15.75" x14ac:dyDescent="0.25">
      <c r="O188" s="161" t="s">
        <v>365</v>
      </c>
      <c r="P188" s="162">
        <f>_xlfn.T.TEST(P136:P144,C32:C52,2,3)</f>
        <v>5.6300691345250635E-4</v>
      </c>
      <c r="Q188" s="96">
        <f t="shared" ref="Q188:X188" si="85">_xlfn.T.TEST(Q136:Q144,D32:D52,2,3)</f>
        <v>0.61110686786733148</v>
      </c>
      <c r="R188" s="96">
        <f t="shared" si="85"/>
        <v>0.99041632436739468</v>
      </c>
      <c r="S188" s="164">
        <f t="shared" si="85"/>
        <v>7.9869292425003721E-2</v>
      </c>
      <c r="T188" s="96">
        <f t="shared" si="85"/>
        <v>0.11893818143696792</v>
      </c>
      <c r="U188" s="96">
        <f t="shared" si="85"/>
        <v>0.23259042055079632</v>
      </c>
      <c r="V188" s="96">
        <f t="shared" si="85"/>
        <v>0.32239083561874543</v>
      </c>
      <c r="W188" s="164">
        <f t="shared" si="85"/>
        <v>5.5910469315985915E-2</v>
      </c>
      <c r="X188">
        <f t="shared" si="85"/>
        <v>0.2386423020672116</v>
      </c>
    </row>
    <row r="189" spans="15:24" x14ac:dyDescent="0.25">
      <c r="O189" s="23"/>
      <c r="P189" s="108"/>
      <c r="Q189" s="96"/>
      <c r="R189" s="96"/>
      <c r="S189" s="96"/>
      <c r="T189" s="96"/>
      <c r="U189" s="96"/>
      <c r="V189" s="96"/>
      <c r="W189" s="96"/>
      <c r="X189" s="96"/>
    </row>
    <row r="190" spans="15:24" ht="18.75" x14ac:dyDescent="0.3">
      <c r="O190" s="152" t="s">
        <v>374</v>
      </c>
      <c r="P190" s="23"/>
    </row>
    <row r="191" spans="15:24" ht="15.75" thickBot="1" x14ac:dyDescent="0.3">
      <c r="O191" s="14"/>
      <c r="P191" s="157" t="s">
        <v>8</v>
      </c>
      <c r="Q191" s="158" t="s">
        <v>9</v>
      </c>
      <c r="R191" s="158" t="s">
        <v>10</v>
      </c>
      <c r="S191" s="158" t="s">
        <v>11</v>
      </c>
      <c r="T191" s="158" t="s">
        <v>12</v>
      </c>
      <c r="U191" s="159" t="s">
        <v>13</v>
      </c>
      <c r="V191" s="158" t="s">
        <v>14</v>
      </c>
      <c r="W191" s="158" t="s">
        <v>15</v>
      </c>
      <c r="X191" s="160" t="s">
        <v>16</v>
      </c>
    </row>
    <row r="192" spans="15:24" ht="15.75" x14ac:dyDescent="0.25">
      <c r="O192" s="155" t="s">
        <v>365</v>
      </c>
      <c r="P192" s="162">
        <f>_xlfn.T.TEST(P167:P175,C63:C83,2,3)</f>
        <v>2.2222469966970328E-2</v>
      </c>
      <c r="Q192" s="96">
        <f t="shared" ref="Q192:X192" si="86">_xlfn.T.TEST(Q167:Q175,D63:D83,2,3)</f>
        <v>0.63313612911523598</v>
      </c>
      <c r="R192" s="164">
        <f t="shared" si="86"/>
        <v>8.0411707500984156E-2</v>
      </c>
      <c r="S192" s="164">
        <f t="shared" si="86"/>
        <v>6.0346200274817845E-2</v>
      </c>
      <c r="T192" s="162">
        <f t="shared" si="86"/>
        <v>2.962161116206727E-3</v>
      </c>
      <c r="U192" s="96">
        <f t="shared" si="86"/>
        <v>0.95425720310343909</v>
      </c>
      <c r="V192" s="162">
        <f t="shared" si="86"/>
        <v>8.1146946141718163E-3</v>
      </c>
      <c r="W192" s="96">
        <f t="shared" si="86"/>
        <v>0.54365405890641016</v>
      </c>
      <c r="X192" s="162">
        <f t="shared" si="86"/>
        <v>1.8465807529411231E-2</v>
      </c>
    </row>
  </sheetData>
  <conditionalFormatting sqref="AB13:AJ13">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Negative Diagnosis</vt:lpstr>
      <vt:lpstr>Atherosclerosis</vt:lpstr>
      <vt:lpstr>Ischemia</vt:lpstr>
      <vt:lpstr>Ischemia-MALS</vt:lpstr>
      <vt:lpstr>Unknown</vt:lpstr>
      <vt:lpstr>Controls</vt:lpstr>
      <vt:lpstr>....</vt:lpstr>
      <vt:lpstr>Scan Info</vt:lpstr>
      <vt:lpstr>T-test</vt:lpstr>
      <vt:lpstr>Reliability</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Grant Roberts</cp:lastModifiedBy>
  <cp:lastPrinted>2018-05-25T02:30:24Z</cp:lastPrinted>
  <dcterms:created xsi:type="dcterms:W3CDTF">2018-05-22T04:06:14Z</dcterms:created>
  <dcterms:modified xsi:type="dcterms:W3CDTF">2018-08-09T21:03:12Z</dcterms:modified>
</cp:coreProperties>
</file>