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oberts\Documents\MCH_Ischemia\Data\"/>
    </mc:Choice>
  </mc:AlternateContent>
  <bookViews>
    <workbookView xWindow="0" yWindow="0" windowWidth="28800" windowHeight="14100" tabRatio="764" activeTab="6"/>
  </bookViews>
  <sheets>
    <sheet name="Controls" sheetId="6" r:id="rId1"/>
    <sheet name="Ischemia" sheetId="3" r:id="rId2"/>
    <sheet name="Negative Diagnosis" sheetId="11" r:id="rId3"/>
    <sheet name="Unknown" sheetId="5" r:id="rId4"/>
    <sheet name="...." sheetId="7" r:id="rId5"/>
    <sheet name="Scan Info" sheetId="8" r:id="rId6"/>
    <sheet name="T-test (kg)" sheetId="16" r:id="rId7"/>
    <sheet name="Reliability" sheetId="10" r:id="rId8"/>
    <sheet name="Linear Regression" sheetId="17" r:id="rId9"/>
    <sheet name="1D plotting" sheetId="20"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Q108" i="16" l="1"/>
  <c r="BQ112" i="16"/>
  <c r="CF79" i="16" l="1"/>
  <c r="CB69" i="16"/>
  <c r="AC69" i="16"/>
  <c r="AD69" i="16"/>
  <c r="AE69" i="16"/>
  <c r="AF69" i="16"/>
  <c r="AG69" i="16"/>
  <c r="AH69" i="16"/>
  <c r="AI69" i="16"/>
  <c r="AJ69" i="16"/>
  <c r="AC70" i="16"/>
  <c r="AD70" i="16"/>
  <c r="AE70" i="16"/>
  <c r="AF70" i="16"/>
  <c r="AG70" i="16"/>
  <c r="AH70" i="16"/>
  <c r="AI70" i="16"/>
  <c r="AJ70" i="16"/>
  <c r="AD71" i="16"/>
  <c r="AF71" i="16"/>
  <c r="AG71" i="16"/>
  <c r="AH71" i="16"/>
  <c r="AI71" i="16"/>
  <c r="AJ71" i="16"/>
  <c r="AC72" i="16"/>
  <c r="AD72" i="16"/>
  <c r="AE72" i="16"/>
  <c r="AF72" i="16"/>
  <c r="AG72" i="16"/>
  <c r="AH72" i="16"/>
  <c r="AI72" i="16"/>
  <c r="AJ72" i="16"/>
  <c r="AC73" i="16"/>
  <c r="AD73" i="16"/>
  <c r="AE73" i="16"/>
  <c r="AF73" i="16"/>
  <c r="AG73" i="16"/>
  <c r="AH73" i="16"/>
  <c r="AI73" i="16"/>
  <c r="AJ73" i="16"/>
  <c r="AC74" i="16"/>
  <c r="AD74" i="16"/>
  <c r="AE74" i="16"/>
  <c r="AF74" i="16"/>
  <c r="AG74" i="16"/>
  <c r="AH74" i="16"/>
  <c r="AI74" i="16"/>
  <c r="AJ74" i="16"/>
  <c r="AC75" i="16"/>
  <c r="AD75" i="16"/>
  <c r="AE75" i="16"/>
  <c r="AF75" i="16"/>
  <c r="AH75" i="16"/>
  <c r="AI75" i="16"/>
  <c r="AJ75" i="16"/>
  <c r="AC76" i="16"/>
  <c r="AD76" i="16"/>
  <c r="AE76" i="16"/>
  <c r="AF76" i="16"/>
  <c r="AG76" i="16"/>
  <c r="AH76" i="16"/>
  <c r="AI76" i="16"/>
  <c r="AJ76" i="16"/>
  <c r="AC77" i="16"/>
  <c r="AD77" i="16"/>
  <c r="AE77" i="16"/>
  <c r="AF77" i="16"/>
  <c r="AG77" i="16"/>
  <c r="AH77" i="16"/>
  <c r="AI77" i="16"/>
  <c r="AJ77" i="16"/>
  <c r="AC78" i="16"/>
  <c r="AD78" i="16"/>
  <c r="AE78" i="16"/>
  <c r="AF78" i="16"/>
  <c r="AG78" i="16"/>
  <c r="AH78" i="16"/>
  <c r="AI78" i="16"/>
  <c r="AJ78" i="16"/>
  <c r="AC79" i="16"/>
  <c r="AD79" i="16"/>
  <c r="AF79" i="16"/>
  <c r="AG79" i="16"/>
  <c r="AH79" i="16"/>
  <c r="AI79" i="16"/>
  <c r="AJ79" i="16"/>
  <c r="AC80" i="16"/>
  <c r="AD80" i="16"/>
  <c r="AE80" i="16"/>
  <c r="AF80" i="16"/>
  <c r="AG80" i="16"/>
  <c r="AH80" i="16"/>
  <c r="AI80" i="16"/>
  <c r="AJ80" i="16"/>
  <c r="AC81" i="16"/>
  <c r="AD81" i="16"/>
  <c r="AE81" i="16"/>
  <c r="AF81" i="16"/>
  <c r="AG81" i="16"/>
  <c r="AH81" i="16"/>
  <c r="AI81" i="16"/>
  <c r="AJ81" i="16"/>
  <c r="AD68" i="16"/>
  <c r="AE68" i="16"/>
  <c r="AF68" i="16"/>
  <c r="AG68" i="16"/>
  <c r="AH68" i="16"/>
  <c r="AI68" i="16"/>
  <c r="AJ68" i="16"/>
  <c r="Q69" i="16"/>
  <c r="R69" i="16"/>
  <c r="S69" i="16"/>
  <c r="T69" i="16"/>
  <c r="U69" i="16"/>
  <c r="V69" i="16"/>
  <c r="W69" i="16"/>
  <c r="X69" i="16"/>
  <c r="Q70" i="16"/>
  <c r="R70" i="16"/>
  <c r="S70" i="16"/>
  <c r="T70" i="16"/>
  <c r="U70" i="16"/>
  <c r="V70" i="16"/>
  <c r="W70" i="16"/>
  <c r="X70" i="16"/>
  <c r="R71" i="16"/>
  <c r="S71" i="16"/>
  <c r="T71" i="16"/>
  <c r="U71" i="16"/>
  <c r="V71" i="16"/>
  <c r="W71" i="16"/>
  <c r="X71" i="16"/>
  <c r="Q72" i="16"/>
  <c r="R72" i="16"/>
  <c r="T72" i="16"/>
  <c r="U72" i="16"/>
  <c r="V72" i="16"/>
  <c r="W72" i="16"/>
  <c r="X72" i="16"/>
  <c r="R68" i="16"/>
  <c r="S68" i="16"/>
  <c r="T68" i="16"/>
  <c r="U68" i="16"/>
  <c r="V68" i="16"/>
  <c r="W68" i="16"/>
  <c r="X68" i="16"/>
  <c r="D69" i="16"/>
  <c r="E69" i="16"/>
  <c r="F69" i="16"/>
  <c r="G69" i="16"/>
  <c r="H69" i="16"/>
  <c r="I69" i="16"/>
  <c r="J69" i="16"/>
  <c r="K69" i="16"/>
  <c r="D70" i="16"/>
  <c r="E70" i="16"/>
  <c r="F70" i="16"/>
  <c r="G70" i="16"/>
  <c r="H70" i="16"/>
  <c r="I70" i="16"/>
  <c r="J70" i="16"/>
  <c r="K70" i="16"/>
  <c r="D71" i="16"/>
  <c r="E71" i="16"/>
  <c r="F71" i="16"/>
  <c r="G71" i="16"/>
  <c r="H71" i="16"/>
  <c r="I71" i="16"/>
  <c r="J71" i="16"/>
  <c r="K71" i="16"/>
  <c r="D72" i="16"/>
  <c r="E72" i="16"/>
  <c r="F72" i="16"/>
  <c r="G72" i="16"/>
  <c r="H72" i="16"/>
  <c r="I72" i="16"/>
  <c r="J72" i="16"/>
  <c r="K72" i="16"/>
  <c r="D73" i="16"/>
  <c r="E73" i="16"/>
  <c r="F73" i="16"/>
  <c r="G73" i="16"/>
  <c r="H73" i="16"/>
  <c r="D74" i="16"/>
  <c r="E74" i="16"/>
  <c r="F74" i="16"/>
  <c r="G74" i="16"/>
  <c r="H74" i="16"/>
  <c r="I74" i="16"/>
  <c r="J74" i="16"/>
  <c r="K74" i="16"/>
  <c r="E75" i="16"/>
  <c r="F75" i="16"/>
  <c r="G75" i="16"/>
  <c r="H75" i="16"/>
  <c r="I75" i="16"/>
  <c r="J75" i="16"/>
  <c r="K75" i="16"/>
  <c r="D76" i="16"/>
  <c r="E76" i="16"/>
  <c r="F76" i="16"/>
  <c r="G76" i="16"/>
  <c r="H76" i="16"/>
  <c r="I76" i="16"/>
  <c r="J76" i="16"/>
  <c r="K76" i="16"/>
  <c r="D77" i="16"/>
  <c r="E77" i="16"/>
  <c r="F77" i="16"/>
  <c r="G77" i="16"/>
  <c r="H77" i="16"/>
  <c r="I77" i="16"/>
  <c r="J77" i="16"/>
  <c r="K77" i="16"/>
  <c r="D78" i="16"/>
  <c r="E78" i="16"/>
  <c r="F78" i="16"/>
  <c r="G78" i="16"/>
  <c r="H78" i="16"/>
  <c r="I78" i="16"/>
  <c r="J78" i="16"/>
  <c r="K78" i="16"/>
  <c r="D79" i="16"/>
  <c r="F79" i="16"/>
  <c r="G79" i="16"/>
  <c r="H79" i="16"/>
  <c r="I79" i="16"/>
  <c r="J79" i="16"/>
  <c r="K79" i="16"/>
  <c r="D80" i="16"/>
  <c r="E80" i="16"/>
  <c r="F80" i="16"/>
  <c r="G80" i="16"/>
  <c r="H80" i="16"/>
  <c r="I80" i="16"/>
  <c r="J80" i="16"/>
  <c r="K80" i="16"/>
  <c r="D81" i="16"/>
  <c r="E81" i="16"/>
  <c r="F81" i="16"/>
  <c r="G81" i="16"/>
  <c r="H81" i="16"/>
  <c r="I81" i="16"/>
  <c r="K81" i="16"/>
  <c r="D82" i="16"/>
  <c r="E82" i="16"/>
  <c r="F82" i="16"/>
  <c r="G82" i="16"/>
  <c r="H82" i="16"/>
  <c r="I82" i="16"/>
  <c r="J82" i="16"/>
  <c r="K82" i="16"/>
  <c r="D83" i="16"/>
  <c r="E83" i="16"/>
  <c r="F83" i="16"/>
  <c r="G83" i="16"/>
  <c r="H83" i="16"/>
  <c r="I83" i="16"/>
  <c r="K83" i="16"/>
  <c r="D84" i="16"/>
  <c r="E84" i="16"/>
  <c r="F84" i="16"/>
  <c r="G84" i="16"/>
  <c r="H84" i="16"/>
  <c r="I84" i="16"/>
  <c r="J84" i="16"/>
  <c r="K84" i="16"/>
  <c r="D85" i="16"/>
  <c r="E85" i="16"/>
  <c r="F85" i="16"/>
  <c r="G85" i="16"/>
  <c r="H85" i="16"/>
  <c r="I85" i="16"/>
  <c r="J85" i="16"/>
  <c r="K85" i="16"/>
  <c r="E86" i="16"/>
  <c r="F86" i="16"/>
  <c r="G86" i="16"/>
  <c r="I86" i="16"/>
  <c r="J86" i="16"/>
  <c r="K86" i="16"/>
  <c r="E68" i="16"/>
  <c r="F68" i="16"/>
  <c r="G68" i="16"/>
  <c r="H68" i="16"/>
  <c r="I68" i="16"/>
  <c r="J68" i="16"/>
  <c r="K68" i="16"/>
  <c r="D68" i="16"/>
  <c r="C68" i="16"/>
  <c r="AB67" i="16"/>
  <c r="C67" i="16"/>
  <c r="P67" i="16"/>
  <c r="G71" i="6" l="1"/>
  <c r="G23" i="3"/>
  <c r="G25" i="5"/>
  <c r="C45" i="11" l="1"/>
  <c r="C44" i="11"/>
  <c r="M44" i="11"/>
  <c r="M46" i="11" s="1"/>
  <c r="C46" i="11" l="1"/>
  <c r="CF18" i="16"/>
  <c r="BT10" i="16" l="1"/>
  <c r="CF17" i="16"/>
  <c r="CF41" i="16"/>
  <c r="B38" i="8" l="1"/>
  <c r="BG15" i="16" l="1"/>
  <c r="BG14" i="16"/>
  <c r="BG43" i="16"/>
  <c r="BG44" i="16"/>
  <c r="BG21" i="16"/>
  <c r="BG50" i="16"/>
  <c r="CF14" i="16"/>
  <c r="CF43" i="16"/>
  <c r="AV44" i="16"/>
  <c r="AU44" i="16"/>
  <c r="AT44" i="16"/>
  <c r="AS44" i="16"/>
  <c r="AR44" i="16"/>
  <c r="AQ44" i="16"/>
  <c r="AP44" i="16"/>
  <c r="AO44" i="16"/>
  <c r="AN44" i="16"/>
  <c r="AV43" i="16"/>
  <c r="AU43" i="16"/>
  <c r="AT43" i="16"/>
  <c r="AS43" i="16"/>
  <c r="AR43" i="16"/>
  <c r="AQ43" i="16"/>
  <c r="AP43" i="16"/>
  <c r="AO43" i="16"/>
  <c r="AN43" i="16"/>
  <c r="AV42" i="16"/>
  <c r="AU42" i="16"/>
  <c r="AT42" i="16"/>
  <c r="AS42" i="16"/>
  <c r="AR42" i="16"/>
  <c r="AQ42" i="16"/>
  <c r="AP42" i="16"/>
  <c r="AO42" i="16"/>
  <c r="AN42" i="16"/>
  <c r="AV41" i="16"/>
  <c r="AU41" i="16"/>
  <c r="AT41" i="16"/>
  <c r="AS41" i="16"/>
  <c r="AR41" i="16"/>
  <c r="AQ41" i="16"/>
  <c r="AP41" i="16"/>
  <c r="AO41" i="16"/>
  <c r="AN41" i="16"/>
  <c r="AN12" i="16"/>
  <c r="AV15" i="16"/>
  <c r="AU15" i="16"/>
  <c r="AT15" i="16"/>
  <c r="AS15" i="16"/>
  <c r="AR15" i="16"/>
  <c r="AQ15" i="16"/>
  <c r="AP15" i="16"/>
  <c r="AO15" i="16"/>
  <c r="AN15" i="16"/>
  <c r="AV14" i="16"/>
  <c r="AU14" i="16"/>
  <c r="AT14" i="16"/>
  <c r="AS14" i="16"/>
  <c r="AR14" i="16"/>
  <c r="AQ14" i="16"/>
  <c r="AP14" i="16"/>
  <c r="AO14" i="16"/>
  <c r="AN14" i="16"/>
  <c r="AV13" i="16"/>
  <c r="AU13" i="16"/>
  <c r="AT13" i="16"/>
  <c r="AS13" i="16"/>
  <c r="AR13" i="16"/>
  <c r="AQ13" i="16"/>
  <c r="AP13" i="16"/>
  <c r="AO13" i="16"/>
  <c r="AN13" i="16"/>
  <c r="AV12" i="16"/>
  <c r="AU12" i="16"/>
  <c r="AT12" i="16"/>
  <c r="AS12" i="16"/>
  <c r="AR12" i="16"/>
  <c r="AQ12" i="16"/>
  <c r="AP12" i="16"/>
  <c r="AO12" i="16"/>
  <c r="AB50" i="16"/>
  <c r="AJ53" i="16"/>
  <c r="AI53" i="16"/>
  <c r="AH53" i="16"/>
  <c r="AG53" i="16"/>
  <c r="AF53" i="16"/>
  <c r="AE53" i="16"/>
  <c r="AD53" i="16"/>
  <c r="AC53" i="16"/>
  <c r="AB53" i="16"/>
  <c r="AJ52" i="16"/>
  <c r="AI52" i="16"/>
  <c r="AH52" i="16"/>
  <c r="AG52" i="16"/>
  <c r="AF52" i="16"/>
  <c r="AE52" i="16"/>
  <c r="AD52" i="16"/>
  <c r="AC52" i="16"/>
  <c r="AB52" i="16"/>
  <c r="AJ51" i="16"/>
  <c r="AI51" i="16"/>
  <c r="AH51" i="16"/>
  <c r="AG51" i="16"/>
  <c r="AF51" i="16"/>
  <c r="AE51" i="16"/>
  <c r="AD51" i="16"/>
  <c r="AC51" i="16"/>
  <c r="AB51" i="16"/>
  <c r="AJ50" i="16"/>
  <c r="AI50" i="16"/>
  <c r="AH50" i="16"/>
  <c r="AG50" i="16"/>
  <c r="AF50" i="16"/>
  <c r="AE50" i="16"/>
  <c r="AD50" i="16"/>
  <c r="AC50" i="16"/>
  <c r="AC24" i="16"/>
  <c r="AD24" i="16"/>
  <c r="AE24" i="16"/>
  <c r="AF24" i="16"/>
  <c r="AG24" i="16"/>
  <c r="AH24" i="16"/>
  <c r="AI24" i="16"/>
  <c r="AJ24" i="16"/>
  <c r="AC23" i="16"/>
  <c r="AD23" i="16"/>
  <c r="AE23" i="16"/>
  <c r="AF23" i="16"/>
  <c r="AG23" i="16"/>
  <c r="AH23" i="16"/>
  <c r="AI23" i="16"/>
  <c r="AJ23" i="16"/>
  <c r="AC22" i="16"/>
  <c r="AD22" i="16"/>
  <c r="AE22" i="16"/>
  <c r="AF22" i="16"/>
  <c r="AG22" i="16"/>
  <c r="AH22" i="16"/>
  <c r="AI22" i="16"/>
  <c r="AJ22" i="16"/>
  <c r="AC21" i="16"/>
  <c r="AD21" i="16"/>
  <c r="AE21" i="16"/>
  <c r="AF21" i="16"/>
  <c r="AG21" i="16"/>
  <c r="AH21" i="16"/>
  <c r="AI21" i="16"/>
  <c r="AJ21" i="16"/>
  <c r="AB24" i="16"/>
  <c r="AB23" i="16"/>
  <c r="AB22" i="16"/>
  <c r="AB21" i="16"/>
  <c r="P42" i="16"/>
  <c r="X44" i="16"/>
  <c r="W44" i="16"/>
  <c r="V44" i="16"/>
  <c r="U44" i="16"/>
  <c r="T44" i="16"/>
  <c r="S44" i="16"/>
  <c r="R44" i="16"/>
  <c r="Q44" i="16"/>
  <c r="P44" i="16"/>
  <c r="X43" i="16"/>
  <c r="W43" i="16"/>
  <c r="V43" i="16"/>
  <c r="U43" i="16"/>
  <c r="T43" i="16"/>
  <c r="S43" i="16"/>
  <c r="R43" i="16"/>
  <c r="Q43" i="16"/>
  <c r="P43" i="16"/>
  <c r="X42" i="16"/>
  <c r="W42" i="16"/>
  <c r="V42" i="16"/>
  <c r="U42" i="16"/>
  <c r="T42" i="16"/>
  <c r="S42" i="16"/>
  <c r="R42" i="16"/>
  <c r="Q42" i="16"/>
  <c r="X41" i="16"/>
  <c r="W41" i="16"/>
  <c r="V41" i="16"/>
  <c r="U41" i="16"/>
  <c r="T41" i="16"/>
  <c r="S41" i="16"/>
  <c r="R41" i="16"/>
  <c r="Q41" i="16"/>
  <c r="P41" i="16"/>
  <c r="Q15" i="16"/>
  <c r="R15" i="16"/>
  <c r="S15" i="16"/>
  <c r="T15" i="16"/>
  <c r="U15" i="16"/>
  <c r="V15" i="16"/>
  <c r="W15" i="16"/>
  <c r="X15" i="16"/>
  <c r="P15" i="16"/>
  <c r="Q14" i="16"/>
  <c r="R14" i="16"/>
  <c r="S14" i="16"/>
  <c r="T14" i="16"/>
  <c r="U14" i="16"/>
  <c r="V14" i="16"/>
  <c r="W14" i="16"/>
  <c r="X14" i="16"/>
  <c r="P14" i="16"/>
  <c r="Q13" i="16"/>
  <c r="R13" i="16"/>
  <c r="S13" i="16"/>
  <c r="T13" i="16"/>
  <c r="U13" i="16"/>
  <c r="V13" i="16"/>
  <c r="W13" i="16"/>
  <c r="X13" i="16"/>
  <c r="P13" i="16"/>
  <c r="Q12" i="16"/>
  <c r="R12" i="16"/>
  <c r="S12" i="16"/>
  <c r="T12" i="16"/>
  <c r="U12" i="16"/>
  <c r="V12" i="16"/>
  <c r="W12" i="16"/>
  <c r="X12" i="16"/>
  <c r="P12" i="16"/>
  <c r="P46" i="16"/>
  <c r="K58" i="16"/>
  <c r="J58" i="16"/>
  <c r="I58" i="16"/>
  <c r="H58" i="16"/>
  <c r="G58" i="16"/>
  <c r="F58" i="16"/>
  <c r="E58" i="16"/>
  <c r="D58" i="16"/>
  <c r="C58" i="16"/>
  <c r="K57" i="16"/>
  <c r="J57" i="16"/>
  <c r="I57" i="16"/>
  <c r="H57" i="16"/>
  <c r="G57" i="16"/>
  <c r="F57" i="16"/>
  <c r="E57" i="16"/>
  <c r="D57" i="16"/>
  <c r="C57" i="16"/>
  <c r="K56" i="16"/>
  <c r="J56" i="16"/>
  <c r="I56" i="16"/>
  <c r="H56" i="16"/>
  <c r="G56" i="16"/>
  <c r="F56" i="16"/>
  <c r="E56" i="16"/>
  <c r="D56" i="16"/>
  <c r="C56" i="16"/>
  <c r="D28" i="16"/>
  <c r="E28" i="16"/>
  <c r="F28" i="16"/>
  <c r="G28" i="16"/>
  <c r="H28" i="16"/>
  <c r="I28" i="16"/>
  <c r="J28" i="16"/>
  <c r="K28" i="16"/>
  <c r="C28" i="16"/>
  <c r="D27" i="16"/>
  <c r="E27" i="16"/>
  <c r="F27" i="16"/>
  <c r="G27" i="16"/>
  <c r="H27" i="16"/>
  <c r="I27" i="16"/>
  <c r="J27" i="16"/>
  <c r="K27" i="16"/>
  <c r="C27" i="16"/>
  <c r="BG83" i="16" l="1"/>
  <c r="BG76" i="16"/>
  <c r="BG77" i="16"/>
  <c r="CN39" i="16" l="1"/>
  <c r="CO39" i="16"/>
  <c r="CP39" i="16"/>
  <c r="CQ39" i="16"/>
  <c r="CS39" i="16"/>
  <c r="CT39" i="16"/>
  <c r="CU39" i="16"/>
  <c r="CM39" i="16"/>
  <c r="CN10" i="16"/>
  <c r="CN72" i="16" s="1"/>
  <c r="CO10" i="16"/>
  <c r="CP10" i="16"/>
  <c r="CQ10" i="16"/>
  <c r="CS10" i="16"/>
  <c r="CT10" i="16"/>
  <c r="CT72" i="16" s="1"/>
  <c r="CU10" i="16"/>
  <c r="CM10" i="16"/>
  <c r="CM9" i="16"/>
  <c r="CN9" i="16"/>
  <c r="CO9" i="16"/>
  <c r="CP9" i="16"/>
  <c r="CQ9" i="16"/>
  <c r="CR9" i="16"/>
  <c r="CS9" i="16"/>
  <c r="CT9" i="16"/>
  <c r="CU9" i="16"/>
  <c r="CO72" i="16" l="1"/>
  <c r="CQ72" i="16"/>
  <c r="CP72" i="16"/>
  <c r="CS72" i="16"/>
  <c r="CM72" i="16"/>
  <c r="CU72" i="16"/>
  <c r="AO71" i="16"/>
  <c r="AP71" i="16"/>
  <c r="AQ71" i="16"/>
  <c r="AR71" i="16"/>
  <c r="AS71" i="16"/>
  <c r="AT71" i="16"/>
  <c r="AU71" i="16"/>
  <c r="AV71" i="16"/>
  <c r="AO72" i="16"/>
  <c r="AP72" i="16"/>
  <c r="AQ72" i="16"/>
  <c r="AR72" i="16"/>
  <c r="AT72" i="16"/>
  <c r="AU72" i="16"/>
  <c r="AV72" i="16"/>
  <c r="AN72" i="16"/>
  <c r="AO40" i="16"/>
  <c r="AP40" i="16"/>
  <c r="AQ40" i="16"/>
  <c r="AR40" i="16"/>
  <c r="AT40" i="16"/>
  <c r="AU40" i="16"/>
  <c r="AV40" i="16"/>
  <c r="AN40" i="16"/>
  <c r="AO11" i="16"/>
  <c r="AP11" i="16"/>
  <c r="AQ11" i="16"/>
  <c r="AR11" i="16"/>
  <c r="AS11" i="16"/>
  <c r="AT11" i="16"/>
  <c r="AU11" i="16"/>
  <c r="AV11" i="16"/>
  <c r="AN11" i="16"/>
  <c r="AE22" i="5" l="1"/>
  <c r="I20" i="5"/>
  <c r="J20" i="5"/>
  <c r="K20" i="5"/>
  <c r="L20" i="5"/>
  <c r="M20" i="5"/>
  <c r="O20" i="5"/>
  <c r="P20" i="5"/>
  <c r="Q20" i="5"/>
  <c r="J72" i="10" l="1"/>
  <c r="I72" i="10"/>
  <c r="H72" i="10"/>
  <c r="F72" i="10"/>
  <c r="E72" i="10"/>
  <c r="D72" i="10"/>
  <c r="C72" i="10"/>
  <c r="B72" i="10"/>
  <c r="J21" i="5"/>
  <c r="J22" i="5" s="1"/>
  <c r="K21" i="5"/>
  <c r="K22" i="5" s="1"/>
  <c r="L21" i="5"/>
  <c r="L22" i="5" s="1"/>
  <c r="M21" i="5"/>
  <c r="O21" i="5"/>
  <c r="P21" i="5"/>
  <c r="P22" i="5" s="1"/>
  <c r="Q21" i="5"/>
  <c r="I21" i="5"/>
  <c r="I22" i="5" s="1"/>
  <c r="D22" i="5"/>
  <c r="E22" i="5"/>
  <c r="F22" i="5"/>
  <c r="H22" i="5"/>
  <c r="C22" i="5"/>
  <c r="AC22" i="5"/>
  <c r="U22" i="5"/>
  <c r="V22" i="5"/>
  <c r="W22" i="5"/>
  <c r="Z22" i="5"/>
  <c r="AA22" i="5"/>
  <c r="AB22" i="5"/>
  <c r="AD22" i="5"/>
  <c r="AF22" i="5"/>
  <c r="AG22" i="5"/>
  <c r="AH22" i="5"/>
  <c r="T22" i="5"/>
  <c r="Q22" i="5" l="1"/>
  <c r="M22" i="5"/>
  <c r="O22" i="5"/>
  <c r="AB77" i="16"/>
  <c r="C60" i="16"/>
  <c r="N45" i="11"/>
  <c r="D45" i="11" s="1"/>
  <c r="N44" i="11"/>
  <c r="D44" i="11" s="1"/>
  <c r="G44" i="11" s="1"/>
  <c r="G50" i="11" s="1"/>
  <c r="CF19" i="16"/>
  <c r="CF48" i="16"/>
  <c r="U16" i="8"/>
  <c r="W16" i="8" s="1"/>
  <c r="T16" i="8"/>
  <c r="V16" i="8" s="1"/>
  <c r="U14" i="8"/>
  <c r="W14" i="8" s="1"/>
  <c r="T14" i="8"/>
  <c r="V14" i="8" s="1"/>
  <c r="B46" i="8"/>
  <c r="D46" i="11" l="1"/>
  <c r="G45" i="11"/>
  <c r="N46" i="11"/>
  <c r="CF81" i="16"/>
  <c r="BU8" i="16" l="1"/>
  <c r="AB191" i="17" l="1"/>
  <c r="AC191" i="17"/>
  <c r="AD191" i="17"/>
  <c r="AE191" i="17"/>
  <c r="P191" i="17"/>
  <c r="Q191" i="17"/>
  <c r="R191" i="17"/>
  <c r="S191" i="17"/>
  <c r="P190" i="17"/>
  <c r="Q190" i="17"/>
  <c r="R190" i="17"/>
  <c r="S190" i="17"/>
  <c r="C190" i="17"/>
  <c r="C191" i="17"/>
  <c r="D191" i="17"/>
  <c r="E191" i="17"/>
  <c r="F191" i="17"/>
  <c r="D190" i="17"/>
  <c r="E190" i="17"/>
  <c r="F190" i="17"/>
  <c r="AB192" i="17" l="1"/>
  <c r="AD192" i="17"/>
  <c r="AC192" i="17"/>
  <c r="AE192" i="17"/>
  <c r="C291" i="17"/>
  <c r="D291" i="17"/>
  <c r="E291" i="17"/>
  <c r="F291" i="17"/>
  <c r="T143" i="17" l="1"/>
  <c r="V143" i="17"/>
  <c r="T144" i="17"/>
  <c r="V144" i="17"/>
  <c r="T145" i="17"/>
  <c r="V145" i="17"/>
  <c r="T146" i="17"/>
  <c r="V146" i="17"/>
  <c r="T147" i="17"/>
  <c r="V147" i="17"/>
  <c r="T150" i="17"/>
  <c r="V150" i="17"/>
  <c r="T151" i="17"/>
  <c r="V151" i="17"/>
  <c r="T152" i="17"/>
  <c r="V152" i="17"/>
  <c r="T153" i="17"/>
  <c r="V153" i="17"/>
  <c r="T154" i="17"/>
  <c r="V154" i="17"/>
  <c r="V155" i="17"/>
  <c r="T156" i="17"/>
  <c r="V156" i="17"/>
  <c r="T157" i="17"/>
  <c r="T158" i="17"/>
  <c r="V158" i="17"/>
  <c r="T159" i="17"/>
  <c r="T160" i="17"/>
  <c r="V160" i="17"/>
  <c r="T161" i="17"/>
  <c r="V161" i="17"/>
  <c r="V162" i="17"/>
  <c r="T163" i="17"/>
  <c r="V163" i="17"/>
  <c r="V164" i="17"/>
  <c r="T165" i="17"/>
  <c r="V165" i="17"/>
  <c r="T166" i="17"/>
  <c r="V166" i="17"/>
  <c r="T167" i="17"/>
  <c r="V167" i="17"/>
  <c r="V168" i="17"/>
  <c r="T170" i="17"/>
  <c r="V170" i="17"/>
  <c r="T171" i="17"/>
  <c r="V171" i="17"/>
  <c r="T172" i="17"/>
  <c r="V172" i="17"/>
  <c r="V173" i="17"/>
  <c r="T174" i="17"/>
  <c r="V174" i="17"/>
  <c r="T175" i="17"/>
  <c r="V175" i="17"/>
  <c r="T176" i="17"/>
  <c r="V176" i="17"/>
  <c r="V177" i="17"/>
  <c r="T178" i="17"/>
  <c r="V178" i="17"/>
  <c r="T180" i="17"/>
  <c r="V180" i="17"/>
  <c r="V181" i="17"/>
  <c r="T182" i="17"/>
  <c r="V182" i="17"/>
  <c r="T183" i="17"/>
  <c r="V183" i="17"/>
  <c r="T184" i="17"/>
  <c r="V184" i="17"/>
  <c r="T186" i="17"/>
  <c r="V186" i="17"/>
  <c r="T187" i="17"/>
  <c r="V187" i="17"/>
  <c r="T188" i="17"/>
  <c r="V188" i="17"/>
  <c r="T189" i="17"/>
  <c r="V189" i="17"/>
  <c r="V142" i="17"/>
  <c r="T142" i="17"/>
  <c r="I142" i="17"/>
  <c r="I143" i="17"/>
  <c r="I144" i="17"/>
  <c r="I145" i="17"/>
  <c r="I146" i="17"/>
  <c r="I147" i="17"/>
  <c r="I150" i="17"/>
  <c r="I151" i="17"/>
  <c r="I152" i="17"/>
  <c r="I153" i="17"/>
  <c r="I154" i="17"/>
  <c r="I155" i="17"/>
  <c r="I156" i="17"/>
  <c r="I158" i="17"/>
  <c r="I160" i="17"/>
  <c r="I161" i="17"/>
  <c r="I162" i="17"/>
  <c r="I163" i="17"/>
  <c r="I164" i="17"/>
  <c r="I165" i="17"/>
  <c r="I166" i="17"/>
  <c r="I167" i="17"/>
  <c r="I168" i="17"/>
  <c r="I170" i="17"/>
  <c r="I171" i="17"/>
  <c r="I172" i="17"/>
  <c r="I173" i="17"/>
  <c r="I174" i="17"/>
  <c r="I175" i="17"/>
  <c r="I176" i="17"/>
  <c r="I177" i="17"/>
  <c r="I178" i="17"/>
  <c r="I180" i="17"/>
  <c r="I181" i="17"/>
  <c r="I182" i="17"/>
  <c r="I183" i="17"/>
  <c r="I184" i="17"/>
  <c r="I186" i="17"/>
  <c r="I187" i="17"/>
  <c r="I188" i="17"/>
  <c r="I189" i="17"/>
  <c r="G142" i="17"/>
  <c r="G143" i="17"/>
  <c r="G144" i="17"/>
  <c r="G145" i="17"/>
  <c r="G146" i="17"/>
  <c r="G147" i="17"/>
  <c r="G150" i="17"/>
  <c r="G152" i="17"/>
  <c r="G153" i="17"/>
  <c r="G154" i="17"/>
  <c r="G156" i="17"/>
  <c r="G157" i="17"/>
  <c r="G158" i="17"/>
  <c r="G159" i="17"/>
  <c r="G160" i="17"/>
  <c r="G161" i="17"/>
  <c r="G163" i="17"/>
  <c r="G165" i="17"/>
  <c r="G166" i="17"/>
  <c r="G167" i="17"/>
  <c r="G170" i="17"/>
  <c r="G171" i="17"/>
  <c r="G172" i="17"/>
  <c r="G174" i="17"/>
  <c r="G175" i="17"/>
  <c r="G176" i="17"/>
  <c r="G178" i="17"/>
  <c r="G180" i="17"/>
  <c r="G182" i="17"/>
  <c r="G183" i="17"/>
  <c r="G184" i="17"/>
  <c r="G186" i="17"/>
  <c r="G187" i="17"/>
  <c r="G188" i="17"/>
  <c r="G189" i="17"/>
  <c r="I196" i="17"/>
  <c r="I197" i="17"/>
  <c r="I198" i="17"/>
  <c r="I199" i="17"/>
  <c r="I200" i="17"/>
  <c r="I203" i="17"/>
  <c r="I204" i="17"/>
  <c r="I205" i="17"/>
  <c r="I206" i="17"/>
  <c r="I207" i="17"/>
  <c r="I208" i="17"/>
  <c r="I209" i="17"/>
  <c r="I211" i="17"/>
  <c r="I213" i="17"/>
  <c r="I214" i="17"/>
  <c r="I215" i="17"/>
  <c r="I216" i="17"/>
  <c r="I217" i="17"/>
  <c r="I218" i="17"/>
  <c r="I219" i="17"/>
  <c r="I220" i="17"/>
  <c r="I221" i="17"/>
  <c r="I223" i="17"/>
  <c r="I224" i="17"/>
  <c r="I225" i="17"/>
  <c r="I226" i="17"/>
  <c r="I227" i="17"/>
  <c r="I228" i="17"/>
  <c r="I229" i="17"/>
  <c r="I230" i="17"/>
  <c r="I231" i="17"/>
  <c r="I233" i="17"/>
  <c r="I234" i="17"/>
  <c r="I235" i="17"/>
  <c r="I236" i="17"/>
  <c r="I237" i="17"/>
  <c r="I239" i="17"/>
  <c r="I240" i="17"/>
  <c r="I241" i="17"/>
  <c r="I242" i="17"/>
  <c r="I243" i="17"/>
  <c r="I244" i="17"/>
  <c r="I245" i="17"/>
  <c r="I246" i="17"/>
  <c r="I247" i="17"/>
  <c r="I248" i="17"/>
  <c r="I251" i="17"/>
  <c r="I252" i="17"/>
  <c r="I253" i="17"/>
  <c r="I254" i="17"/>
  <c r="I255" i="17"/>
  <c r="I256" i="17"/>
  <c r="I257" i="17"/>
  <c r="I259" i="17"/>
  <c r="I261" i="17"/>
  <c r="I262" i="17"/>
  <c r="I263" i="17"/>
  <c r="I264" i="17"/>
  <c r="I265" i="17"/>
  <c r="I266" i="17"/>
  <c r="I267" i="17"/>
  <c r="I268" i="17"/>
  <c r="I269" i="17"/>
  <c r="I271" i="17"/>
  <c r="I272" i="17"/>
  <c r="I273" i="17"/>
  <c r="I274" i="17"/>
  <c r="I275" i="17"/>
  <c r="I276" i="17"/>
  <c r="I277" i="17"/>
  <c r="I278" i="17"/>
  <c r="I279" i="17"/>
  <c r="I281" i="17"/>
  <c r="I282" i="17"/>
  <c r="I283" i="17"/>
  <c r="I284" i="17"/>
  <c r="I285" i="17"/>
  <c r="I287" i="17"/>
  <c r="I288" i="17"/>
  <c r="I289" i="17"/>
  <c r="I290" i="17"/>
  <c r="I195" i="17"/>
  <c r="G196" i="17"/>
  <c r="G197" i="17"/>
  <c r="G198" i="17"/>
  <c r="G199" i="17"/>
  <c r="G200" i="17"/>
  <c r="G203" i="17"/>
  <c r="G205" i="17"/>
  <c r="G206" i="17"/>
  <c r="G207" i="17"/>
  <c r="G209" i="17"/>
  <c r="G210" i="17"/>
  <c r="G211" i="17"/>
  <c r="G212" i="17"/>
  <c r="G213" i="17"/>
  <c r="G214" i="17"/>
  <c r="G216" i="17"/>
  <c r="G218" i="17"/>
  <c r="G219" i="17"/>
  <c r="G220" i="17"/>
  <c r="G223" i="17"/>
  <c r="G224" i="17"/>
  <c r="G225" i="17"/>
  <c r="G227" i="17"/>
  <c r="G228" i="17"/>
  <c r="G229" i="17"/>
  <c r="G231" i="17"/>
  <c r="G233" i="17"/>
  <c r="G235" i="17"/>
  <c r="G236" i="17"/>
  <c r="G237" i="17"/>
  <c r="G239" i="17"/>
  <c r="G240" i="17"/>
  <c r="G241" i="17"/>
  <c r="G242" i="17"/>
  <c r="G243" i="17"/>
  <c r="G244" i="17"/>
  <c r="G245" i="17"/>
  <c r="G246" i="17"/>
  <c r="G247" i="17"/>
  <c r="G248" i="17"/>
  <c r="G251" i="17"/>
  <c r="G252" i="17"/>
  <c r="G253" i="17"/>
  <c r="G254" i="17"/>
  <c r="G255" i="17"/>
  <c r="G257" i="17"/>
  <c r="G258" i="17"/>
  <c r="G259" i="17"/>
  <c r="G260" i="17"/>
  <c r="G261" i="17"/>
  <c r="G262" i="17"/>
  <c r="G264" i="17"/>
  <c r="G266" i="17"/>
  <c r="G267" i="17"/>
  <c r="G268" i="17"/>
  <c r="G271" i="17"/>
  <c r="G272" i="17"/>
  <c r="G273" i="17"/>
  <c r="G275" i="17"/>
  <c r="G276" i="17"/>
  <c r="G277" i="17"/>
  <c r="G279" i="17"/>
  <c r="G281" i="17"/>
  <c r="G283" i="17"/>
  <c r="G284" i="17"/>
  <c r="G285" i="17"/>
  <c r="G287" i="17"/>
  <c r="G288" i="17"/>
  <c r="G289" i="17"/>
  <c r="G290" i="17"/>
  <c r="G195" i="17"/>
  <c r="G292" i="17" l="1"/>
  <c r="AF143" i="17"/>
  <c r="AF170" i="17"/>
  <c r="I293" i="17"/>
  <c r="G191" i="17"/>
  <c r="AD170" i="17"/>
  <c r="I191" i="17"/>
  <c r="AF163" i="17"/>
  <c r="T191" i="17"/>
  <c r="AD164" i="17"/>
  <c r="I292" i="17"/>
  <c r="AD142" i="17"/>
  <c r="AF164" i="17"/>
  <c r="AD169" i="17"/>
  <c r="G190" i="17"/>
  <c r="G293" i="17"/>
  <c r="AF142" i="17"/>
  <c r="AD163" i="17"/>
  <c r="AF169" i="17"/>
  <c r="V190" i="17"/>
  <c r="V191" i="17"/>
  <c r="AD143" i="17"/>
  <c r="T190" i="17"/>
  <c r="I190" i="17"/>
  <c r="AN91" i="17"/>
  <c r="BG23" i="16"/>
  <c r="N64" i="6"/>
  <c r="BG52" i="16"/>
  <c r="BG85" i="16" l="1"/>
  <c r="U36" i="8"/>
  <c r="W36" i="8" s="1"/>
  <c r="T36" i="8"/>
  <c r="V36" i="8" s="1"/>
  <c r="F45" i="8"/>
  <c r="F44" i="8"/>
  <c r="F43" i="8"/>
  <c r="F42" i="8"/>
  <c r="F41" i="8"/>
  <c r="E42" i="8"/>
  <c r="E41" i="8"/>
  <c r="W33" i="8"/>
  <c r="V33" i="8"/>
  <c r="U97" i="8"/>
  <c r="W97" i="8" s="1"/>
  <c r="T97" i="8"/>
  <c r="V97" i="8" s="1"/>
  <c r="BU5" i="16" l="1"/>
  <c r="BU6" i="16"/>
  <c r="AB96" i="16" l="1"/>
  <c r="BB5" i="16" l="1"/>
  <c r="O34" i="11" l="1"/>
  <c r="CM35" i="16" l="1"/>
  <c r="CN35" i="16"/>
  <c r="CO35" i="16"/>
  <c r="CP35" i="16"/>
  <c r="CQ35" i="16"/>
  <c r="CR35" i="16"/>
  <c r="CS35" i="16"/>
  <c r="CT35" i="16"/>
  <c r="CU35" i="16"/>
  <c r="CM36" i="16"/>
  <c r="CN36" i="16"/>
  <c r="CO36" i="16"/>
  <c r="CP36" i="16"/>
  <c r="CQ36" i="16"/>
  <c r="CS36" i="16"/>
  <c r="CT36" i="16"/>
  <c r="CU36" i="16"/>
  <c r="CM37" i="16"/>
  <c r="CN37" i="16"/>
  <c r="CO37" i="16"/>
  <c r="CP37" i="16"/>
  <c r="CQ37" i="16"/>
  <c r="CR37" i="16"/>
  <c r="CS37" i="16"/>
  <c r="CT37" i="16"/>
  <c r="CU37" i="16"/>
  <c r="CM38" i="16"/>
  <c r="CN38" i="16"/>
  <c r="CN71" i="16" s="1"/>
  <c r="CO38" i="16"/>
  <c r="CO71" i="16" s="1"/>
  <c r="CP38" i="16"/>
  <c r="CP71" i="16" s="1"/>
  <c r="CQ38" i="16"/>
  <c r="CQ71" i="16" s="1"/>
  <c r="CR38" i="16"/>
  <c r="CR71" i="16" s="1"/>
  <c r="CS38" i="16"/>
  <c r="CS71" i="16" s="1"/>
  <c r="CT38" i="16"/>
  <c r="CT71" i="16" s="1"/>
  <c r="CU38" i="16"/>
  <c r="CU71" i="16" s="1"/>
  <c r="CN34" i="16"/>
  <c r="CO34" i="16"/>
  <c r="CP34" i="16"/>
  <c r="CQ34" i="16"/>
  <c r="CR34" i="16"/>
  <c r="CS34" i="16"/>
  <c r="CT34" i="16"/>
  <c r="CU34" i="16"/>
  <c r="CM34" i="16"/>
  <c r="CM6" i="16"/>
  <c r="CM68" i="16" s="1"/>
  <c r="CN6" i="16"/>
  <c r="CN68" i="16" s="1"/>
  <c r="CO6" i="16"/>
  <c r="CP6" i="16"/>
  <c r="CP68" i="16" s="1"/>
  <c r="CQ6" i="16"/>
  <c r="CR6" i="16"/>
  <c r="CS6" i="16"/>
  <c r="CT6" i="16"/>
  <c r="CU6" i="16"/>
  <c r="CU68" i="16" s="1"/>
  <c r="CM7" i="16"/>
  <c r="CM69" i="16" s="1"/>
  <c r="CN7" i="16"/>
  <c r="CO7" i="16"/>
  <c r="CP7" i="16"/>
  <c r="CQ7" i="16"/>
  <c r="CS7" i="16"/>
  <c r="CT7" i="16"/>
  <c r="CU7" i="16"/>
  <c r="CU69" i="16" s="1"/>
  <c r="CM8" i="16"/>
  <c r="CM70" i="16" s="1"/>
  <c r="CN8" i="16"/>
  <c r="CO8" i="16"/>
  <c r="CO70" i="16" s="1"/>
  <c r="CP8" i="16"/>
  <c r="CQ8" i="16"/>
  <c r="CR8" i="16"/>
  <c r="CS8" i="16"/>
  <c r="CT8" i="16"/>
  <c r="CT70" i="16" s="1"/>
  <c r="CU8" i="16"/>
  <c r="CU70" i="16" s="1"/>
  <c r="CN5" i="16"/>
  <c r="CO5" i="16"/>
  <c r="CP5" i="16"/>
  <c r="CQ5" i="16"/>
  <c r="CR5" i="16"/>
  <c r="CS5" i="16"/>
  <c r="CT5" i="16"/>
  <c r="CU5" i="16"/>
  <c r="CM5" i="16"/>
  <c r="AN71" i="16"/>
  <c r="AV70" i="16"/>
  <c r="AU70" i="16"/>
  <c r="AT70" i="16"/>
  <c r="AS70" i="16"/>
  <c r="AR70" i="16"/>
  <c r="AQ70" i="16"/>
  <c r="AP70" i="16"/>
  <c r="AO70" i="16"/>
  <c r="AN70" i="16"/>
  <c r="AV69" i="16"/>
  <c r="AU69" i="16"/>
  <c r="AT69" i="16"/>
  <c r="AR69" i="16"/>
  <c r="AQ69" i="16"/>
  <c r="AP69" i="16"/>
  <c r="AO69" i="16"/>
  <c r="AN69" i="16"/>
  <c r="AV68" i="16"/>
  <c r="AU68" i="16"/>
  <c r="AT68" i="16"/>
  <c r="AS68" i="16"/>
  <c r="AR68" i="16"/>
  <c r="AQ68" i="16"/>
  <c r="AP68" i="16"/>
  <c r="AO68" i="16"/>
  <c r="AN68" i="16"/>
  <c r="AV67" i="16"/>
  <c r="AU67" i="16"/>
  <c r="AT67" i="16"/>
  <c r="AS67" i="16"/>
  <c r="AR67" i="16"/>
  <c r="AQ67" i="16"/>
  <c r="AP67" i="16"/>
  <c r="AO67" i="16"/>
  <c r="AN67" i="16"/>
  <c r="AV47" i="16"/>
  <c r="AU47" i="16"/>
  <c r="AT47" i="16"/>
  <c r="AS47" i="16"/>
  <c r="AR47" i="16"/>
  <c r="AQ47" i="16"/>
  <c r="AP47" i="16"/>
  <c r="AO47" i="16"/>
  <c r="AN47" i="16"/>
  <c r="CO69" i="16" l="1"/>
  <c r="CN70" i="16"/>
  <c r="CN69" i="16"/>
  <c r="CP69" i="16"/>
  <c r="AS75" i="16"/>
  <c r="AS74" i="16"/>
  <c r="AS76" i="16"/>
  <c r="AS77" i="16"/>
  <c r="AT74" i="16"/>
  <c r="AT77" i="16"/>
  <c r="AT76" i="16"/>
  <c r="AT75" i="16"/>
  <c r="AQ77" i="16"/>
  <c r="AQ76" i="16"/>
  <c r="AQ75" i="16"/>
  <c r="AQ74" i="16"/>
  <c r="CO15" i="16"/>
  <c r="CO14" i="16"/>
  <c r="CO13" i="16"/>
  <c r="CO12" i="16"/>
  <c r="CR44" i="16"/>
  <c r="CR43" i="16"/>
  <c r="CR41" i="16"/>
  <c r="CR42" i="16"/>
  <c r="CT14" i="16"/>
  <c r="CT13" i="16"/>
  <c r="CT15" i="16"/>
  <c r="CT12" i="16"/>
  <c r="AU76" i="16"/>
  <c r="AU74" i="16"/>
  <c r="AU75" i="16"/>
  <c r="AU77" i="16"/>
  <c r="AR76" i="16"/>
  <c r="AR75" i="16"/>
  <c r="AR74" i="16"/>
  <c r="AR77" i="16"/>
  <c r="CM15" i="16"/>
  <c r="CM13" i="16"/>
  <c r="CM12" i="16"/>
  <c r="CM14" i="16"/>
  <c r="CN15" i="16"/>
  <c r="CN14" i="16"/>
  <c r="CN12" i="16"/>
  <c r="CN13" i="16"/>
  <c r="CQ44" i="16"/>
  <c r="CQ42" i="16"/>
  <c r="CQ41" i="16"/>
  <c r="CQ43" i="16"/>
  <c r="CP43" i="16"/>
  <c r="CP41" i="16"/>
  <c r="CP42" i="16"/>
  <c r="CP44" i="16"/>
  <c r="CO41" i="16"/>
  <c r="CO44" i="16"/>
  <c r="CO43" i="16"/>
  <c r="CO42" i="16"/>
  <c r="CS12" i="16"/>
  <c r="CS15" i="16"/>
  <c r="CS13" i="16"/>
  <c r="CS14" i="16"/>
  <c r="CM43" i="16"/>
  <c r="CM42" i="16"/>
  <c r="CM41" i="16"/>
  <c r="CM44" i="16"/>
  <c r="CN67" i="16"/>
  <c r="CN42" i="16"/>
  <c r="CN41" i="16"/>
  <c r="CN44" i="16"/>
  <c r="CN43" i="16"/>
  <c r="AN77" i="16"/>
  <c r="AN75" i="16"/>
  <c r="AN74" i="16"/>
  <c r="AN76" i="16"/>
  <c r="AV73" i="16"/>
  <c r="AV77" i="16"/>
  <c r="AV75" i="16"/>
  <c r="AV74" i="16"/>
  <c r="AV76" i="16"/>
  <c r="CR13" i="16"/>
  <c r="CR12" i="16"/>
  <c r="CR14" i="16"/>
  <c r="CR15" i="16"/>
  <c r="CU43" i="16"/>
  <c r="CU42" i="16"/>
  <c r="CU41" i="16"/>
  <c r="CU44" i="16"/>
  <c r="CU15" i="16"/>
  <c r="CU13" i="16"/>
  <c r="CU12" i="16"/>
  <c r="CU14" i="16"/>
  <c r="CQ14" i="16"/>
  <c r="CQ13" i="16"/>
  <c r="CQ12" i="16"/>
  <c r="CQ15" i="16"/>
  <c r="CT44" i="16"/>
  <c r="CT43" i="16"/>
  <c r="CT42" i="16"/>
  <c r="CT41" i="16"/>
  <c r="AO77" i="16"/>
  <c r="AO76" i="16"/>
  <c r="AO74" i="16"/>
  <c r="AO75" i="16"/>
  <c r="AP77" i="16"/>
  <c r="AP76" i="16"/>
  <c r="AP75" i="16"/>
  <c r="AP74" i="16"/>
  <c r="CP15" i="16"/>
  <c r="CP14" i="16"/>
  <c r="CP13" i="16"/>
  <c r="CP12" i="16"/>
  <c r="CS44" i="16"/>
  <c r="CS43" i="16"/>
  <c r="CS42" i="16"/>
  <c r="CS41" i="16"/>
  <c r="CM11" i="16"/>
  <c r="CM67" i="16"/>
  <c r="CO11" i="16"/>
  <c r="CR40" i="16"/>
  <c r="CN11" i="16"/>
  <c r="CQ40" i="16"/>
  <c r="CU11" i="16"/>
  <c r="CP40" i="16"/>
  <c r="CT11" i="16"/>
  <c r="CO40" i="16"/>
  <c r="CS67" i="16"/>
  <c r="CS11" i="16"/>
  <c r="CM40" i="16"/>
  <c r="CN40" i="16"/>
  <c r="CR11" i="16"/>
  <c r="CU40" i="16"/>
  <c r="CQ11" i="16"/>
  <c r="CT40" i="16"/>
  <c r="CP11" i="16"/>
  <c r="CS40" i="16"/>
  <c r="AR73" i="16"/>
  <c r="AU73" i="16"/>
  <c r="AN73" i="16"/>
  <c r="AS73" i="16"/>
  <c r="AT73" i="16"/>
  <c r="AO73" i="16"/>
  <c r="AP73" i="16"/>
  <c r="AQ73" i="16"/>
  <c r="CO67" i="16"/>
  <c r="CT67" i="16"/>
  <c r="CS70" i="16"/>
  <c r="CR46" i="16"/>
  <c r="CQ70" i="16"/>
  <c r="CT69" i="16"/>
  <c r="CT68" i="16"/>
  <c r="CQ46" i="16"/>
  <c r="CM71" i="16"/>
  <c r="CS69" i="16"/>
  <c r="AP48" i="16"/>
  <c r="CP46" i="16"/>
  <c r="CO46" i="16"/>
  <c r="CQ68" i="16"/>
  <c r="CO68" i="16"/>
  <c r="CP67" i="16"/>
  <c r="CN46" i="16"/>
  <c r="CR67" i="16"/>
  <c r="AT48" i="16"/>
  <c r="CQ69" i="16"/>
  <c r="CR68" i="16"/>
  <c r="CQ67" i="16"/>
  <c r="CP70" i="16"/>
  <c r="AN48" i="16"/>
  <c r="AV48" i="16"/>
  <c r="AO48" i="16"/>
  <c r="CS68" i="16"/>
  <c r="AQ48" i="16"/>
  <c r="AU48" i="16"/>
  <c r="AR48" i="16"/>
  <c r="CR70" i="16"/>
  <c r="CT46" i="16"/>
  <c r="CS46" i="16"/>
  <c r="CU46" i="16"/>
  <c r="CU67" i="16"/>
  <c r="CM46" i="16"/>
  <c r="AO95" i="17"/>
  <c r="AN95" i="17"/>
  <c r="AO122" i="17"/>
  <c r="AN122" i="17"/>
  <c r="AN118" i="17"/>
  <c r="AQ123" i="17"/>
  <c r="AP123" i="17"/>
  <c r="AO123" i="17"/>
  <c r="AN123" i="17"/>
  <c r="AQ122" i="17"/>
  <c r="AP122" i="17"/>
  <c r="AQ121" i="17"/>
  <c r="AP121" i="17"/>
  <c r="AO121" i="17"/>
  <c r="AN121" i="17"/>
  <c r="AQ120" i="17"/>
  <c r="AP120" i="17"/>
  <c r="AO120" i="17"/>
  <c r="AN120" i="17"/>
  <c r="AQ118" i="17"/>
  <c r="AP118" i="17"/>
  <c r="AO118" i="17"/>
  <c r="AQ96" i="17"/>
  <c r="AP96" i="17"/>
  <c r="AO96" i="17"/>
  <c r="AN96" i="17"/>
  <c r="AQ95" i="17"/>
  <c r="AP95" i="17"/>
  <c r="AQ94" i="17"/>
  <c r="AP94" i="17"/>
  <c r="AO94" i="17"/>
  <c r="AN94" i="17"/>
  <c r="AQ93" i="17"/>
  <c r="AP93" i="17"/>
  <c r="AO93" i="17"/>
  <c r="AN93" i="17"/>
  <c r="AQ91" i="17"/>
  <c r="AP91" i="17"/>
  <c r="AO91" i="17"/>
  <c r="AE97" i="17"/>
  <c r="AE98" i="17"/>
  <c r="AD97" i="17"/>
  <c r="AD98" i="17"/>
  <c r="AD99" i="17"/>
  <c r="AD100" i="17"/>
  <c r="AC97" i="17"/>
  <c r="AC98" i="17"/>
  <c r="AC100" i="17"/>
  <c r="AC102" i="17"/>
  <c r="AC104" i="17"/>
  <c r="AB100" i="17"/>
  <c r="AB102" i="17"/>
  <c r="AB104" i="17"/>
  <c r="AB97" i="17"/>
  <c r="AB98" i="17"/>
  <c r="AE105" i="17"/>
  <c r="AE118" i="17"/>
  <c r="AE119" i="17"/>
  <c r="AE120" i="17"/>
  <c r="AE121" i="17"/>
  <c r="AE122" i="17"/>
  <c r="AE123" i="17"/>
  <c r="AE124" i="17"/>
  <c r="AE125" i="17"/>
  <c r="AE126" i="17"/>
  <c r="AE128" i="17"/>
  <c r="AE129" i="17"/>
  <c r="AE130" i="17"/>
  <c r="AE131" i="17"/>
  <c r="AD118" i="17"/>
  <c r="AD119" i="17"/>
  <c r="AD120" i="17"/>
  <c r="AD121" i="17"/>
  <c r="AD122" i="17"/>
  <c r="AD123" i="17"/>
  <c r="AD124" i="17"/>
  <c r="AD125" i="17"/>
  <c r="AD126" i="17"/>
  <c r="AD128" i="17"/>
  <c r="AD129" i="17"/>
  <c r="AD130" i="17"/>
  <c r="AD131" i="17"/>
  <c r="AC118" i="17"/>
  <c r="AC119" i="17"/>
  <c r="AC120" i="17"/>
  <c r="AC122" i="17"/>
  <c r="AC123" i="17"/>
  <c r="AC124" i="17"/>
  <c r="AC126" i="17"/>
  <c r="AC128" i="17"/>
  <c r="AC130" i="17"/>
  <c r="AC131" i="17"/>
  <c r="AB118" i="17"/>
  <c r="AB119" i="17"/>
  <c r="AB120" i="17"/>
  <c r="AB122" i="17"/>
  <c r="AB123" i="17"/>
  <c r="AB124" i="17"/>
  <c r="AB126" i="17"/>
  <c r="AB128" i="17"/>
  <c r="AB130" i="17"/>
  <c r="AB131" i="17"/>
  <c r="AD105" i="17"/>
  <c r="AC105" i="17"/>
  <c r="AB105" i="17"/>
  <c r="AE104" i="17"/>
  <c r="AD104" i="17"/>
  <c r="AE103" i="17"/>
  <c r="AD103" i="17"/>
  <c r="AE102" i="17"/>
  <c r="AD102" i="17"/>
  <c r="AE100" i="17"/>
  <c r="AE99" i="17"/>
  <c r="AE96" i="17"/>
  <c r="AD96" i="17"/>
  <c r="AC96" i="17"/>
  <c r="AB96" i="17"/>
  <c r="AE95" i="17"/>
  <c r="AD95" i="17"/>
  <c r="AE94" i="17"/>
  <c r="AD94" i="17"/>
  <c r="AC94" i="17"/>
  <c r="AB94" i="17"/>
  <c r="AE93" i="17"/>
  <c r="AD93" i="17"/>
  <c r="AC93" i="17"/>
  <c r="AB93" i="17"/>
  <c r="AE92" i="17"/>
  <c r="AD92" i="17"/>
  <c r="AC92" i="17"/>
  <c r="AB92" i="17"/>
  <c r="S118" i="17"/>
  <c r="P118" i="17"/>
  <c r="Q118" i="17"/>
  <c r="R118" i="17"/>
  <c r="R119" i="17"/>
  <c r="S119" i="17"/>
  <c r="S120" i="17"/>
  <c r="S121" i="17"/>
  <c r="S122" i="17"/>
  <c r="S123" i="17"/>
  <c r="R120" i="17"/>
  <c r="R121" i="17"/>
  <c r="R122" i="17"/>
  <c r="R123" i="17"/>
  <c r="Q120" i="17"/>
  <c r="Q121" i="17"/>
  <c r="Q122" i="17"/>
  <c r="P122" i="17"/>
  <c r="P120" i="17"/>
  <c r="P121" i="17"/>
  <c r="P91" i="17"/>
  <c r="S96" i="17"/>
  <c r="R96" i="17"/>
  <c r="S95" i="17"/>
  <c r="R95" i="17"/>
  <c r="Q95" i="17"/>
  <c r="P95" i="17"/>
  <c r="S94" i="17"/>
  <c r="R94" i="17"/>
  <c r="Q94" i="17"/>
  <c r="P94" i="17"/>
  <c r="S93" i="17"/>
  <c r="R93" i="17"/>
  <c r="Q93" i="17"/>
  <c r="P93" i="17"/>
  <c r="S92" i="17"/>
  <c r="R92" i="17"/>
  <c r="S91" i="17"/>
  <c r="R91" i="17"/>
  <c r="Q91" i="17"/>
  <c r="F138" i="17"/>
  <c r="E138" i="17"/>
  <c r="F137" i="17"/>
  <c r="E137" i="17"/>
  <c r="D137" i="17"/>
  <c r="C137" i="17"/>
  <c r="F136" i="17"/>
  <c r="E136" i="17"/>
  <c r="D136" i="17"/>
  <c r="C136" i="17"/>
  <c r="D135" i="17"/>
  <c r="C135" i="17"/>
  <c r="F134" i="17"/>
  <c r="E134" i="17"/>
  <c r="D134" i="17"/>
  <c r="C134" i="17"/>
  <c r="D133" i="17"/>
  <c r="C133" i="17"/>
  <c r="F132" i="17"/>
  <c r="E132" i="17"/>
  <c r="D132" i="17"/>
  <c r="C132" i="17"/>
  <c r="F131" i="17"/>
  <c r="E131" i="17"/>
  <c r="F130" i="17"/>
  <c r="E130" i="17"/>
  <c r="D130" i="17"/>
  <c r="C130" i="17"/>
  <c r="F129" i="17"/>
  <c r="E129" i="17"/>
  <c r="D129" i="17"/>
  <c r="C129" i="17"/>
  <c r="F128" i="17"/>
  <c r="E128" i="17"/>
  <c r="D128" i="17"/>
  <c r="C128" i="17"/>
  <c r="F127" i="17"/>
  <c r="E127" i="17"/>
  <c r="D127" i="17"/>
  <c r="C127" i="17"/>
  <c r="F126" i="17"/>
  <c r="E126" i="17"/>
  <c r="D126" i="17"/>
  <c r="C126" i="17"/>
  <c r="F123" i="17"/>
  <c r="E123" i="17"/>
  <c r="D123" i="17"/>
  <c r="C123" i="17"/>
  <c r="F122" i="17"/>
  <c r="E122" i="17"/>
  <c r="D122" i="17"/>
  <c r="C122" i="17"/>
  <c r="F121" i="17"/>
  <c r="E121" i="17"/>
  <c r="D121" i="17"/>
  <c r="C121" i="17"/>
  <c r="F120" i="17"/>
  <c r="E120" i="17"/>
  <c r="D120" i="17"/>
  <c r="C120" i="17"/>
  <c r="F119" i="17"/>
  <c r="E119" i="17"/>
  <c r="D119" i="17"/>
  <c r="C119" i="17"/>
  <c r="F118" i="17"/>
  <c r="E118" i="17"/>
  <c r="D118" i="17"/>
  <c r="C118" i="17"/>
  <c r="F111" i="17"/>
  <c r="E111" i="17"/>
  <c r="F110" i="17"/>
  <c r="E110" i="17"/>
  <c r="D110" i="17"/>
  <c r="C110" i="17"/>
  <c r="F109" i="17"/>
  <c r="E109" i="17"/>
  <c r="D109" i="17"/>
  <c r="C109" i="17"/>
  <c r="D108" i="17"/>
  <c r="C108" i="17"/>
  <c r="F107" i="17"/>
  <c r="E107" i="17"/>
  <c r="D107" i="17"/>
  <c r="C107" i="17"/>
  <c r="D106" i="17"/>
  <c r="C106" i="17"/>
  <c r="F105" i="17"/>
  <c r="E105" i="17"/>
  <c r="D105" i="17"/>
  <c r="C105" i="17"/>
  <c r="F104" i="17"/>
  <c r="E104" i="17"/>
  <c r="F103" i="17"/>
  <c r="E103" i="17"/>
  <c r="D103" i="17"/>
  <c r="C103" i="17"/>
  <c r="F102" i="17"/>
  <c r="E102" i="17"/>
  <c r="D102" i="17"/>
  <c r="C102" i="17"/>
  <c r="F101" i="17"/>
  <c r="E101" i="17"/>
  <c r="D101" i="17"/>
  <c r="C101" i="17"/>
  <c r="F100" i="17"/>
  <c r="E100" i="17"/>
  <c r="F99" i="17"/>
  <c r="E99" i="17"/>
  <c r="D99" i="17"/>
  <c r="C99" i="17"/>
  <c r="F96" i="17"/>
  <c r="E96" i="17"/>
  <c r="D96" i="17"/>
  <c r="C96" i="17"/>
  <c r="F95" i="17"/>
  <c r="E95" i="17"/>
  <c r="D95" i="17"/>
  <c r="C95" i="17"/>
  <c r="F94" i="17"/>
  <c r="E94" i="17"/>
  <c r="D94" i="17"/>
  <c r="C94" i="17"/>
  <c r="F93" i="17"/>
  <c r="E93" i="17"/>
  <c r="D93" i="17"/>
  <c r="C93" i="17"/>
  <c r="F92" i="17"/>
  <c r="E92" i="17"/>
  <c r="D92" i="17"/>
  <c r="C92" i="17"/>
  <c r="F91" i="17"/>
  <c r="E91" i="17"/>
  <c r="D91" i="17"/>
  <c r="C91" i="17"/>
  <c r="CP77" i="16" l="1"/>
  <c r="CP76" i="16"/>
  <c r="CP75" i="16"/>
  <c r="CP74" i="16"/>
  <c r="CQ76" i="16"/>
  <c r="CQ75" i="16"/>
  <c r="CQ74" i="16"/>
  <c r="CQ77" i="16"/>
  <c r="CM77" i="16"/>
  <c r="CM75" i="16"/>
  <c r="CM74" i="16"/>
  <c r="CM76" i="16"/>
  <c r="CR75" i="16"/>
  <c r="CR74" i="16"/>
  <c r="CR77" i="16"/>
  <c r="CR76" i="16"/>
  <c r="CT76" i="16"/>
  <c r="CT77" i="16"/>
  <c r="CT74" i="16"/>
  <c r="CT75" i="16"/>
  <c r="CO77" i="16"/>
  <c r="CO76" i="16"/>
  <c r="CO75" i="16"/>
  <c r="CO74" i="16"/>
  <c r="CU77" i="16"/>
  <c r="CU75" i="16"/>
  <c r="CU74" i="16"/>
  <c r="CU76" i="16"/>
  <c r="CN77" i="16"/>
  <c r="CN76" i="16"/>
  <c r="CN74" i="16"/>
  <c r="CN75" i="16"/>
  <c r="CS74" i="16"/>
  <c r="CS77" i="16"/>
  <c r="CS75" i="16"/>
  <c r="CS76" i="16"/>
  <c r="CO47" i="16"/>
  <c r="CU47" i="16"/>
  <c r="CU73" i="16"/>
  <c r="CN73" i="16"/>
  <c r="CR73" i="16"/>
  <c r="CP73" i="16"/>
  <c r="CT73" i="16"/>
  <c r="CO73" i="16"/>
  <c r="CS73" i="16"/>
  <c r="CQ73" i="16"/>
  <c r="CM73" i="16"/>
  <c r="CP47" i="16"/>
  <c r="CQ47" i="16"/>
  <c r="CT47" i="16"/>
  <c r="CR47" i="16"/>
  <c r="CM47" i="16"/>
  <c r="CN47" i="16"/>
  <c r="CS47" i="16"/>
  <c r="U13" i="8"/>
  <c r="W13" i="8" s="1"/>
  <c r="T13" i="8"/>
  <c r="V13" i="8" s="1"/>
  <c r="U12" i="8"/>
  <c r="W12" i="8" s="1"/>
  <c r="T12" i="8"/>
  <c r="V12" i="8" s="1"/>
  <c r="U11" i="8"/>
  <c r="W11" i="8" s="1"/>
  <c r="T11" i="8"/>
  <c r="V11" i="8" s="1"/>
  <c r="C42" i="8" l="1"/>
  <c r="C41" i="8"/>
  <c r="D39" i="8"/>
  <c r="G39" i="8"/>
  <c r="H39" i="8"/>
  <c r="I39" i="8"/>
  <c r="J39" i="8"/>
  <c r="N39" i="8"/>
  <c r="O39" i="8"/>
  <c r="B39" i="8"/>
  <c r="D40" i="8"/>
  <c r="G40" i="8"/>
  <c r="H40" i="8"/>
  <c r="I40" i="8"/>
  <c r="J40" i="8"/>
  <c r="N40" i="8"/>
  <c r="O40" i="8"/>
  <c r="B40" i="8"/>
  <c r="G38" i="8"/>
  <c r="H38" i="8"/>
  <c r="I38" i="8"/>
  <c r="J38" i="8"/>
  <c r="N38" i="8"/>
  <c r="O38" i="8"/>
  <c r="D38" i="8"/>
  <c r="CA35" i="16" l="1"/>
  <c r="CB35" i="16"/>
  <c r="CC35" i="16"/>
  <c r="CD35" i="16"/>
  <c r="CE35" i="16"/>
  <c r="CF35" i="16"/>
  <c r="CG35" i="16"/>
  <c r="CH35" i="16"/>
  <c r="CI35" i="16"/>
  <c r="CA36" i="16"/>
  <c r="CB36" i="16"/>
  <c r="CC36" i="16"/>
  <c r="CD36" i="16"/>
  <c r="CE36" i="16"/>
  <c r="CF36" i="16"/>
  <c r="CG36" i="16"/>
  <c r="CH36" i="16"/>
  <c r="CI36" i="16"/>
  <c r="CA37" i="16"/>
  <c r="CB37" i="16"/>
  <c r="CC37" i="16"/>
  <c r="CD37" i="16"/>
  <c r="CE37" i="16"/>
  <c r="CF37" i="16"/>
  <c r="CG37" i="16"/>
  <c r="CH37" i="16"/>
  <c r="CI37" i="16"/>
  <c r="CA38" i="16"/>
  <c r="CC38" i="16"/>
  <c r="CE38" i="16"/>
  <c r="CF38" i="16"/>
  <c r="CG38" i="16"/>
  <c r="CH38" i="16"/>
  <c r="CI38" i="16"/>
  <c r="CA39" i="16"/>
  <c r="CB39" i="16"/>
  <c r="CC39" i="16"/>
  <c r="CD39" i="16"/>
  <c r="CE39" i="16"/>
  <c r="CF39" i="16"/>
  <c r="CG39" i="16"/>
  <c r="CH39" i="16"/>
  <c r="CI39" i="16"/>
  <c r="CA40" i="16"/>
  <c r="CB40" i="16"/>
  <c r="CC40" i="16"/>
  <c r="CD40" i="16"/>
  <c r="CE40" i="16"/>
  <c r="CF40" i="16"/>
  <c r="CG40" i="16"/>
  <c r="CH40" i="16"/>
  <c r="CI40" i="16"/>
  <c r="CA41" i="16"/>
  <c r="CB41" i="16"/>
  <c r="CC41" i="16"/>
  <c r="CD41" i="16"/>
  <c r="CE41" i="16"/>
  <c r="CG41" i="16"/>
  <c r="CH41" i="16"/>
  <c r="CI41" i="16"/>
  <c r="CA42" i="16"/>
  <c r="CB42" i="16"/>
  <c r="CC42" i="16"/>
  <c r="CD42" i="16"/>
  <c r="CE42" i="16"/>
  <c r="CG42" i="16"/>
  <c r="CH42" i="16"/>
  <c r="CI42" i="16"/>
  <c r="CA43" i="16"/>
  <c r="CB43" i="16"/>
  <c r="CC43" i="16"/>
  <c r="CD43" i="16"/>
  <c r="CE43" i="16"/>
  <c r="CG43" i="16"/>
  <c r="CH43" i="16"/>
  <c r="CI43" i="16"/>
  <c r="CA45" i="16"/>
  <c r="CB45" i="16"/>
  <c r="CC45" i="16"/>
  <c r="CD45" i="16"/>
  <c r="CE45" i="16"/>
  <c r="CF45" i="16"/>
  <c r="CG45" i="16"/>
  <c r="CH45" i="16"/>
  <c r="CI45" i="16"/>
  <c r="CA46" i="16"/>
  <c r="CB46" i="16"/>
  <c r="CC46" i="16"/>
  <c r="CE46" i="16"/>
  <c r="CF46" i="16"/>
  <c r="CG46" i="16"/>
  <c r="CH46" i="16"/>
  <c r="CI46" i="16"/>
  <c r="CA47" i="16"/>
  <c r="CB47" i="16"/>
  <c r="CC47" i="16"/>
  <c r="CD47" i="16"/>
  <c r="CE47" i="16"/>
  <c r="CF47" i="16"/>
  <c r="CG47" i="16"/>
  <c r="CH47" i="16"/>
  <c r="CI47" i="16"/>
  <c r="CA48" i="16"/>
  <c r="CB48" i="16"/>
  <c r="CC48" i="16"/>
  <c r="CD48" i="16"/>
  <c r="CE48" i="16"/>
  <c r="CG48" i="16"/>
  <c r="CH48" i="16"/>
  <c r="CI48" i="16"/>
  <c r="CA6" i="16"/>
  <c r="CB6" i="16"/>
  <c r="CC6" i="16"/>
  <c r="CD6" i="16"/>
  <c r="CE6" i="16"/>
  <c r="CF6" i="16"/>
  <c r="CG6" i="16"/>
  <c r="CH6" i="16"/>
  <c r="CI6" i="16"/>
  <c r="CA7" i="16"/>
  <c r="CB7" i="16"/>
  <c r="CC7" i="16"/>
  <c r="CD7" i="16"/>
  <c r="CE7" i="16"/>
  <c r="CF7" i="16"/>
  <c r="CG7" i="16"/>
  <c r="CH7" i="16"/>
  <c r="CI7" i="16"/>
  <c r="CA8" i="16"/>
  <c r="CB8" i="16"/>
  <c r="CC8" i="16"/>
  <c r="CD8" i="16"/>
  <c r="CE8" i="16"/>
  <c r="CF8" i="16"/>
  <c r="CG8" i="16"/>
  <c r="CH8" i="16"/>
  <c r="CI8" i="16"/>
  <c r="CA9" i="16"/>
  <c r="CC9" i="16"/>
  <c r="CE9" i="16"/>
  <c r="CF9" i="16"/>
  <c r="CG9" i="16"/>
  <c r="CH9" i="16"/>
  <c r="CI9" i="16"/>
  <c r="CA10" i="16"/>
  <c r="CB10" i="16"/>
  <c r="CC10" i="16"/>
  <c r="CD10" i="16"/>
  <c r="CE10" i="16"/>
  <c r="CF10" i="16"/>
  <c r="CG10" i="16"/>
  <c r="CH10" i="16"/>
  <c r="CI10" i="16"/>
  <c r="CA11" i="16"/>
  <c r="CB11" i="16"/>
  <c r="CC11" i="16"/>
  <c r="CD11" i="16"/>
  <c r="CE11" i="16"/>
  <c r="CF11" i="16"/>
  <c r="CG11" i="16"/>
  <c r="CH11" i="16"/>
  <c r="CI11" i="16"/>
  <c r="CA12" i="16"/>
  <c r="CB12" i="16"/>
  <c r="CC12" i="16"/>
  <c r="CD12" i="16"/>
  <c r="CE12" i="16"/>
  <c r="CF12" i="16"/>
  <c r="CG12" i="16"/>
  <c r="CH12" i="16"/>
  <c r="CI12" i="16"/>
  <c r="CA13" i="16"/>
  <c r="CB13" i="16"/>
  <c r="CC13" i="16"/>
  <c r="CD13" i="16"/>
  <c r="CE13" i="16"/>
  <c r="CG13" i="16"/>
  <c r="CH13" i="16"/>
  <c r="CI13" i="16"/>
  <c r="CA14" i="16"/>
  <c r="CB14" i="16"/>
  <c r="CC14" i="16"/>
  <c r="CD14" i="16"/>
  <c r="CE14" i="16"/>
  <c r="CG14" i="16"/>
  <c r="CH14" i="16"/>
  <c r="CI14" i="16"/>
  <c r="CA16" i="16"/>
  <c r="CB16" i="16"/>
  <c r="CC16" i="16"/>
  <c r="CD16" i="16"/>
  <c r="CE16" i="16"/>
  <c r="CF16" i="16"/>
  <c r="CG16" i="16"/>
  <c r="CH16" i="16"/>
  <c r="CI16" i="16"/>
  <c r="CA17" i="16"/>
  <c r="CB17" i="16"/>
  <c r="CC17" i="16"/>
  <c r="CE17" i="16"/>
  <c r="CG17" i="16"/>
  <c r="CH17" i="16"/>
  <c r="CI17" i="16"/>
  <c r="CA18" i="16"/>
  <c r="CB18" i="16"/>
  <c r="CC18" i="16"/>
  <c r="CD18" i="16"/>
  <c r="CE18" i="16"/>
  <c r="CG18" i="16"/>
  <c r="CH18" i="16"/>
  <c r="CI18" i="16"/>
  <c r="CA19" i="16"/>
  <c r="CB19" i="16"/>
  <c r="CC19" i="16"/>
  <c r="CD19" i="16"/>
  <c r="CE19" i="16"/>
  <c r="CG19" i="16"/>
  <c r="CH19" i="16"/>
  <c r="CI19" i="16"/>
  <c r="BP35" i="16"/>
  <c r="BR35" i="16"/>
  <c r="BS35" i="16"/>
  <c r="BT35" i="16"/>
  <c r="BU35" i="16"/>
  <c r="BV35" i="16"/>
  <c r="BW35" i="16"/>
  <c r="BO36" i="16"/>
  <c r="BP36" i="16"/>
  <c r="BQ36" i="16"/>
  <c r="BR36" i="16"/>
  <c r="BS36" i="16"/>
  <c r="BT36" i="16"/>
  <c r="BU36" i="16"/>
  <c r="BV36" i="16"/>
  <c r="BW36" i="16"/>
  <c r="BO37" i="16"/>
  <c r="BP37" i="16"/>
  <c r="BQ37" i="16"/>
  <c r="BR37" i="16"/>
  <c r="BS37" i="16"/>
  <c r="BT37" i="16"/>
  <c r="BU37" i="16"/>
  <c r="BV37" i="16"/>
  <c r="BW37" i="16"/>
  <c r="BO38" i="16"/>
  <c r="BQ38" i="16"/>
  <c r="BR38" i="16"/>
  <c r="BS38" i="16"/>
  <c r="BT38" i="16"/>
  <c r="BU38" i="16"/>
  <c r="BV38" i="16"/>
  <c r="BW38" i="16"/>
  <c r="BO39" i="16"/>
  <c r="BP39" i="16"/>
  <c r="BQ39" i="16"/>
  <c r="BS39" i="16"/>
  <c r="BT39" i="16"/>
  <c r="BU39" i="16"/>
  <c r="BV39" i="16"/>
  <c r="BW39" i="16"/>
  <c r="BP34" i="16"/>
  <c r="BQ34" i="16"/>
  <c r="BQ40" i="16" s="1"/>
  <c r="BR34" i="16"/>
  <c r="BS34" i="16"/>
  <c r="BT34" i="16"/>
  <c r="BU34" i="16"/>
  <c r="BV34" i="16"/>
  <c r="BW34" i="16"/>
  <c r="BO34" i="16"/>
  <c r="BP6" i="16"/>
  <c r="BR6" i="16"/>
  <c r="BS6" i="16"/>
  <c r="BT6" i="16"/>
  <c r="BV6" i="16"/>
  <c r="BW6" i="16"/>
  <c r="BO7" i="16"/>
  <c r="BP7" i="16"/>
  <c r="BQ7" i="16"/>
  <c r="BR7" i="16"/>
  <c r="BS7" i="16"/>
  <c r="BT7" i="16"/>
  <c r="BU7" i="16"/>
  <c r="BV7" i="16"/>
  <c r="BW7" i="16"/>
  <c r="BO8" i="16"/>
  <c r="BP8" i="16"/>
  <c r="BQ8" i="16"/>
  <c r="BR8" i="16"/>
  <c r="BS8" i="16"/>
  <c r="BT8" i="16"/>
  <c r="BV8" i="16"/>
  <c r="BW8" i="16"/>
  <c r="BO9" i="16"/>
  <c r="BQ9" i="16"/>
  <c r="BR9" i="16"/>
  <c r="BS9" i="16"/>
  <c r="BT9" i="16"/>
  <c r="BU9" i="16"/>
  <c r="BV9" i="16"/>
  <c r="BW9" i="16"/>
  <c r="BO10" i="16"/>
  <c r="BP10" i="16"/>
  <c r="BQ10" i="16"/>
  <c r="BS10" i="16"/>
  <c r="BU10" i="16"/>
  <c r="BV10" i="16"/>
  <c r="BW10" i="16"/>
  <c r="BP5" i="16"/>
  <c r="BQ5" i="16"/>
  <c r="BR5" i="16"/>
  <c r="BS5" i="16"/>
  <c r="BT5" i="16"/>
  <c r="BV5" i="16"/>
  <c r="BW5" i="16"/>
  <c r="BO5" i="16"/>
  <c r="I72" i="6"/>
  <c r="I73" i="6"/>
  <c r="J72" i="6"/>
  <c r="J73" i="6"/>
  <c r="K71" i="6"/>
  <c r="K72" i="6"/>
  <c r="L72" i="6"/>
  <c r="L73" i="6"/>
  <c r="M72" i="6"/>
  <c r="M73" i="6"/>
  <c r="N72" i="6"/>
  <c r="N73" i="6"/>
  <c r="O72" i="6"/>
  <c r="O73" i="6"/>
  <c r="P73" i="6"/>
  <c r="P72" i="6"/>
  <c r="Q73" i="6"/>
  <c r="Q72" i="6"/>
  <c r="Q71" i="6"/>
  <c r="P71" i="6"/>
  <c r="O71" i="6"/>
  <c r="I71" i="6"/>
  <c r="J71" i="6"/>
  <c r="L71" i="6"/>
  <c r="F25" i="16"/>
  <c r="K73" i="6"/>
  <c r="N71" i="6"/>
  <c r="M71" i="6"/>
  <c r="G25" i="16"/>
  <c r="I25" i="16"/>
  <c r="CE73" i="16" l="1"/>
  <c r="CE78" i="16"/>
  <c r="CE76" i="16"/>
  <c r="CE75" i="16"/>
  <c r="BR44" i="16"/>
  <c r="BR43" i="16"/>
  <c r="BR42" i="16"/>
  <c r="BR41" i="16"/>
  <c r="CE24" i="16"/>
  <c r="CE23" i="16"/>
  <c r="CE22" i="16"/>
  <c r="CE21" i="16"/>
  <c r="BP13" i="16"/>
  <c r="BP12" i="16"/>
  <c r="BP15" i="16"/>
  <c r="BP14" i="16"/>
  <c r="BQ44" i="16"/>
  <c r="BQ43" i="16"/>
  <c r="BQ42" i="16"/>
  <c r="BQ41" i="16"/>
  <c r="BT15" i="16"/>
  <c r="BT14" i="16"/>
  <c r="BT12" i="16"/>
  <c r="BT13" i="16"/>
  <c r="BU42" i="16"/>
  <c r="BU41" i="16"/>
  <c r="BU44" i="16"/>
  <c r="BU43" i="16"/>
  <c r="CH21" i="16"/>
  <c r="CH23" i="16"/>
  <c r="CH22" i="16"/>
  <c r="CH24" i="16"/>
  <c r="CH53" i="16"/>
  <c r="CH52" i="16"/>
  <c r="CH51" i="16"/>
  <c r="CH50" i="16"/>
  <c r="BR14" i="16"/>
  <c r="BR13" i="16"/>
  <c r="BR15" i="16"/>
  <c r="BR12" i="16"/>
  <c r="CF53" i="16"/>
  <c r="CF52" i="16"/>
  <c r="CF50" i="16"/>
  <c r="CF51" i="16"/>
  <c r="BQ12" i="16"/>
  <c r="BQ15" i="16"/>
  <c r="BQ13" i="16"/>
  <c r="BQ14" i="16"/>
  <c r="BS15" i="16"/>
  <c r="BS13" i="16"/>
  <c r="BS14" i="16"/>
  <c r="BS12" i="16"/>
  <c r="BT43" i="16"/>
  <c r="BT42" i="16"/>
  <c r="BT41" i="16"/>
  <c r="BT44" i="16"/>
  <c r="CG22" i="16"/>
  <c r="CG21" i="16"/>
  <c r="CG24" i="16"/>
  <c r="CG23" i="16"/>
  <c r="CG53" i="16"/>
  <c r="CG52" i="16"/>
  <c r="CG51" i="16"/>
  <c r="CG50" i="16"/>
  <c r="CD24" i="16"/>
  <c r="CD23" i="16"/>
  <c r="CD22" i="16"/>
  <c r="CD21" i="16"/>
  <c r="CD50" i="16"/>
  <c r="CD52" i="16"/>
  <c r="CD51" i="16"/>
  <c r="CD53" i="16"/>
  <c r="CF23" i="16"/>
  <c r="CF22" i="16"/>
  <c r="CF21" i="16"/>
  <c r="CF24" i="16"/>
  <c r="CE53" i="16"/>
  <c r="CE51" i="16"/>
  <c r="CE50" i="16"/>
  <c r="CE52" i="16"/>
  <c r="BO14" i="16"/>
  <c r="BO13" i="16"/>
  <c r="BO12" i="16"/>
  <c r="BO15" i="16"/>
  <c r="BO44" i="16"/>
  <c r="BO42" i="16"/>
  <c r="BO43" i="16"/>
  <c r="BO41" i="16"/>
  <c r="BP44" i="16"/>
  <c r="BP43" i="16"/>
  <c r="BP41" i="16"/>
  <c r="BP42" i="16"/>
  <c r="CC24" i="16"/>
  <c r="CC23" i="16"/>
  <c r="CC22" i="16"/>
  <c r="CC21" i="16"/>
  <c r="CC51" i="16"/>
  <c r="CC50" i="16"/>
  <c r="CC53" i="16"/>
  <c r="CC52" i="16"/>
  <c r="BS44" i="16"/>
  <c r="BS43" i="16"/>
  <c r="BS42" i="16"/>
  <c r="BS41" i="16"/>
  <c r="BW14" i="16"/>
  <c r="BW13" i="16"/>
  <c r="BW12" i="16"/>
  <c r="BW15" i="16"/>
  <c r="BW44" i="16"/>
  <c r="BW42" i="16"/>
  <c r="BW41" i="16"/>
  <c r="BW43" i="16"/>
  <c r="CB24" i="16"/>
  <c r="CB23" i="16"/>
  <c r="CB21" i="16"/>
  <c r="CB22" i="16"/>
  <c r="CB52" i="16"/>
  <c r="CB51" i="16"/>
  <c r="CB50" i="16"/>
  <c r="CB53" i="16"/>
  <c r="BV15" i="16"/>
  <c r="BV14" i="16"/>
  <c r="BV13" i="16"/>
  <c r="BV12" i="16"/>
  <c r="BU15" i="16"/>
  <c r="BU14" i="16"/>
  <c r="BU13" i="16"/>
  <c r="BU12" i="16"/>
  <c r="BV41" i="16"/>
  <c r="BV43" i="16"/>
  <c r="BV42" i="16"/>
  <c r="BV44" i="16"/>
  <c r="CI24" i="16"/>
  <c r="CI22" i="16"/>
  <c r="CI21" i="16"/>
  <c r="CI23" i="16"/>
  <c r="CA24" i="16"/>
  <c r="CA22" i="16"/>
  <c r="CA21" i="16"/>
  <c r="CA23" i="16"/>
  <c r="CI53" i="16"/>
  <c r="CI52" i="16"/>
  <c r="CI51" i="16"/>
  <c r="CI50" i="16"/>
  <c r="CA53" i="16"/>
  <c r="CA52" i="16"/>
  <c r="CA51" i="16"/>
  <c r="CA50" i="16"/>
  <c r="BR71" i="16"/>
  <c r="BO46" i="16"/>
  <c r="BO108" i="16"/>
  <c r="CB81" i="16"/>
  <c r="CG80" i="16"/>
  <c r="CC80" i="16"/>
  <c r="CH79" i="16"/>
  <c r="CC79" i="16"/>
  <c r="CH78" i="16"/>
  <c r="CD78" i="16"/>
  <c r="CI76" i="16"/>
  <c r="CA76" i="16"/>
  <c r="CA75" i="16"/>
  <c r="CF74" i="16"/>
  <c r="CB74" i="16"/>
  <c r="CG73" i="16"/>
  <c r="CC73" i="16"/>
  <c r="CH72" i="16"/>
  <c r="CD72" i="16"/>
  <c r="CI71" i="16"/>
  <c r="CE71" i="16"/>
  <c r="CH70" i="16"/>
  <c r="CD70" i="16"/>
  <c r="CI69" i="16"/>
  <c r="CE69" i="16"/>
  <c r="CA69" i="16"/>
  <c r="CF68" i="16"/>
  <c r="CB68" i="16"/>
  <c r="CI81" i="16"/>
  <c r="CE81" i="16"/>
  <c r="CA81" i="16"/>
  <c r="CF80" i="16"/>
  <c r="CB80" i="16"/>
  <c r="CG79" i="16"/>
  <c r="CB79" i="16"/>
  <c r="CG78" i="16"/>
  <c r="CC78" i="16"/>
  <c r="CH76" i="16"/>
  <c r="CD76" i="16"/>
  <c r="CI75" i="16"/>
  <c r="CD75" i="16"/>
  <c r="CI74" i="16"/>
  <c r="CE74" i="16"/>
  <c r="CA74" i="16"/>
  <c r="CF73" i="16"/>
  <c r="CB73" i="16"/>
  <c r="CG72" i="16"/>
  <c r="CC72" i="16"/>
  <c r="CH71" i="16"/>
  <c r="CC71" i="16"/>
  <c r="CG70" i="16"/>
  <c r="CC70" i="16"/>
  <c r="CH69" i="16"/>
  <c r="CD69" i="16"/>
  <c r="CI68" i="16"/>
  <c r="CE68" i="16"/>
  <c r="CA68" i="16"/>
  <c r="CH81" i="16"/>
  <c r="CD81" i="16"/>
  <c r="CI80" i="16"/>
  <c r="CE80" i="16"/>
  <c r="CA80" i="16"/>
  <c r="CA79" i="16"/>
  <c r="CF78" i="16"/>
  <c r="CB78" i="16"/>
  <c r="CG76" i="16"/>
  <c r="CC76" i="16"/>
  <c r="CH75" i="16"/>
  <c r="CC75" i="16"/>
  <c r="CH74" i="16"/>
  <c r="CD74" i="16"/>
  <c r="CI73" i="16"/>
  <c r="CA73" i="16"/>
  <c r="CF72" i="16"/>
  <c r="CB72" i="16"/>
  <c r="CG71" i="16"/>
  <c r="CA71" i="16"/>
  <c r="CF70" i="16"/>
  <c r="CB70" i="16"/>
  <c r="CG69" i="16"/>
  <c r="CC69" i="16"/>
  <c r="CH68" i="16"/>
  <c r="CD68" i="16"/>
  <c r="CG81" i="16"/>
  <c r="CC81" i="16"/>
  <c r="CH80" i="16"/>
  <c r="CD80" i="16"/>
  <c r="CI79" i="16"/>
  <c r="CE79" i="16"/>
  <c r="CI78" i="16"/>
  <c r="CA78" i="16"/>
  <c r="CF76" i="16"/>
  <c r="CB76" i="16"/>
  <c r="CG75" i="16"/>
  <c r="CB75" i="16"/>
  <c r="CG74" i="16"/>
  <c r="CC74" i="16"/>
  <c r="CH73" i="16"/>
  <c r="CD73" i="16"/>
  <c r="CI72" i="16"/>
  <c r="CE72" i="16"/>
  <c r="CA72" i="16"/>
  <c r="CF71" i="16"/>
  <c r="CI70" i="16"/>
  <c r="CE70" i="16"/>
  <c r="CA70" i="16"/>
  <c r="CF69" i="16"/>
  <c r="CG68" i="16"/>
  <c r="CC68" i="16"/>
  <c r="BP112" i="16"/>
  <c r="BP108" i="16"/>
  <c r="BS108" i="16"/>
  <c r="BR108" i="16"/>
  <c r="BV108" i="16"/>
  <c r="BT108" i="16"/>
  <c r="BU108" i="16"/>
  <c r="BO112" i="16"/>
  <c r="BR112" i="16"/>
  <c r="BS112" i="16"/>
  <c r="BW112" i="16"/>
  <c r="BT112" i="16"/>
  <c r="BU112" i="16"/>
  <c r="BV112" i="16"/>
  <c r="BW108" i="16"/>
  <c r="CH86" i="16" l="1"/>
  <c r="CH85" i="16"/>
  <c r="CH84" i="16"/>
  <c r="CH83" i="16"/>
  <c r="CB85" i="16"/>
  <c r="CB84" i="16"/>
  <c r="CB83" i="16"/>
  <c r="CB86" i="16"/>
  <c r="CF86" i="16"/>
  <c r="CF85" i="16"/>
  <c r="CF83" i="16"/>
  <c r="CF84" i="16"/>
  <c r="CG86" i="16"/>
  <c r="CG85" i="16"/>
  <c r="CG84" i="16"/>
  <c r="CG83" i="16"/>
  <c r="CE86" i="16"/>
  <c r="CE84" i="16"/>
  <c r="CE83" i="16"/>
  <c r="CE85" i="16"/>
  <c r="CD83" i="16"/>
  <c r="CD85" i="16"/>
  <c r="CD84" i="16"/>
  <c r="CD86" i="16"/>
  <c r="CC84" i="16"/>
  <c r="CC83" i="16"/>
  <c r="CC86" i="16"/>
  <c r="CC85" i="16"/>
  <c r="CA86" i="16"/>
  <c r="CA85" i="16"/>
  <c r="CA84" i="16"/>
  <c r="CA83" i="16"/>
  <c r="CI86" i="16"/>
  <c r="CI85" i="16"/>
  <c r="CI84" i="16"/>
  <c r="CI83" i="16"/>
  <c r="CA82" i="16"/>
  <c r="DI30" i="16"/>
  <c r="DE30" i="16"/>
  <c r="DI31" i="16" l="1"/>
  <c r="DI32" i="16"/>
  <c r="DI33" i="16"/>
  <c r="DI34" i="16"/>
  <c r="DI35" i="16"/>
  <c r="DI38" i="16"/>
  <c r="DI39" i="16"/>
  <c r="DI40" i="16"/>
  <c r="DI41" i="16"/>
  <c r="DI42" i="16"/>
  <c r="DI43" i="16"/>
  <c r="DI44" i="16"/>
  <c r="DI45" i="16"/>
  <c r="DI46" i="16"/>
  <c r="DI47" i="16"/>
  <c r="DI48" i="16"/>
  <c r="DI49" i="16"/>
  <c r="DI50" i="16"/>
  <c r="DE31" i="16"/>
  <c r="DE32" i="16"/>
  <c r="DE33" i="16"/>
  <c r="DE34" i="16"/>
  <c r="DE35" i="16"/>
  <c r="DE38" i="16"/>
  <c r="DE39" i="16"/>
  <c r="DE40" i="16"/>
  <c r="DE41" i="16"/>
  <c r="DE42" i="16"/>
  <c r="DE43" i="16"/>
  <c r="DE44" i="16"/>
  <c r="DE45" i="16"/>
  <c r="DE46" i="16"/>
  <c r="DE47" i="16"/>
  <c r="DE48" i="16"/>
  <c r="DE49" i="16"/>
  <c r="DE50" i="16"/>
  <c r="BB35" i="16"/>
  <c r="BC35" i="16"/>
  <c r="BD35" i="16"/>
  <c r="BE35" i="16"/>
  <c r="BF35" i="16"/>
  <c r="BG35" i="16"/>
  <c r="BH35" i="16"/>
  <c r="BI35" i="16"/>
  <c r="BJ35" i="16"/>
  <c r="BB36" i="16"/>
  <c r="BC36" i="16"/>
  <c r="BD36" i="16"/>
  <c r="BE36" i="16"/>
  <c r="BF36" i="16"/>
  <c r="BG36" i="16"/>
  <c r="BH36" i="16"/>
  <c r="BI36" i="16"/>
  <c r="BJ36" i="16"/>
  <c r="BB37" i="16"/>
  <c r="BC37" i="16"/>
  <c r="BD37" i="16"/>
  <c r="BE37" i="16"/>
  <c r="BF37" i="16"/>
  <c r="BG37" i="16"/>
  <c r="BH37" i="16"/>
  <c r="BI37" i="16"/>
  <c r="BJ37" i="16"/>
  <c r="BB38" i="16"/>
  <c r="BC38" i="16"/>
  <c r="BD38" i="16"/>
  <c r="BE38" i="16"/>
  <c r="BF38" i="16"/>
  <c r="BG38" i="16"/>
  <c r="BH38" i="16"/>
  <c r="BI38" i="16"/>
  <c r="BJ38" i="16"/>
  <c r="BB39" i="16"/>
  <c r="BC39" i="16"/>
  <c r="BD39" i="16"/>
  <c r="BE39" i="16"/>
  <c r="BF39" i="16"/>
  <c r="BG39" i="16"/>
  <c r="BH39" i="16"/>
  <c r="BI39" i="16"/>
  <c r="BJ39" i="16"/>
  <c r="BB40" i="16"/>
  <c r="BC40" i="16"/>
  <c r="BD40" i="16"/>
  <c r="BE40" i="16"/>
  <c r="BF40" i="16"/>
  <c r="BG40" i="16"/>
  <c r="BB41" i="16"/>
  <c r="BC41" i="16"/>
  <c r="BD41" i="16"/>
  <c r="BE41" i="16"/>
  <c r="BF41" i="16"/>
  <c r="BG41" i="16"/>
  <c r="BH41" i="16"/>
  <c r="BI41" i="16"/>
  <c r="BJ41" i="16"/>
  <c r="BB42" i="16"/>
  <c r="BC42" i="16"/>
  <c r="BD42" i="16"/>
  <c r="BE42" i="16"/>
  <c r="BF42" i="16"/>
  <c r="BG42" i="16"/>
  <c r="BH42" i="16"/>
  <c r="BI42" i="16"/>
  <c r="BJ42" i="16"/>
  <c r="BB43" i="16"/>
  <c r="BC43" i="16"/>
  <c r="BD43" i="16"/>
  <c r="BE43" i="16"/>
  <c r="BF43" i="16"/>
  <c r="BH43" i="16"/>
  <c r="BI43" i="16"/>
  <c r="BJ43" i="16"/>
  <c r="BB44" i="16"/>
  <c r="BC44" i="16"/>
  <c r="BD44" i="16"/>
  <c r="BE44" i="16"/>
  <c r="BF44" i="16"/>
  <c r="BH44" i="16"/>
  <c r="BI44" i="16"/>
  <c r="BJ44" i="16"/>
  <c r="BB45" i="16"/>
  <c r="BC45" i="16"/>
  <c r="BD45" i="16"/>
  <c r="BE45" i="16"/>
  <c r="BF45" i="16"/>
  <c r="BG45" i="16"/>
  <c r="BH45" i="16"/>
  <c r="BI45" i="16"/>
  <c r="BJ45" i="16"/>
  <c r="BB46" i="16"/>
  <c r="BC46" i="16"/>
  <c r="BE46" i="16"/>
  <c r="BF46" i="16"/>
  <c r="BG46" i="16"/>
  <c r="BH46" i="16"/>
  <c r="BI46" i="16"/>
  <c r="BJ46" i="16"/>
  <c r="BB47" i="16"/>
  <c r="BC47" i="16"/>
  <c r="BD47" i="16"/>
  <c r="BE47" i="16"/>
  <c r="BF47" i="16"/>
  <c r="BG47" i="16"/>
  <c r="BH47" i="16"/>
  <c r="BI47" i="16"/>
  <c r="BJ47" i="16"/>
  <c r="BB48" i="16"/>
  <c r="BC48" i="16"/>
  <c r="BD48" i="16"/>
  <c r="BE48" i="16"/>
  <c r="BF48" i="16"/>
  <c r="BG48" i="16"/>
  <c r="BH48" i="16"/>
  <c r="BJ48" i="16"/>
  <c r="BB49" i="16"/>
  <c r="BC49" i="16"/>
  <c r="BD49" i="16"/>
  <c r="BE49" i="16"/>
  <c r="BF49" i="16"/>
  <c r="BG49" i="16"/>
  <c r="BH49" i="16"/>
  <c r="BI49" i="16"/>
  <c r="BJ49" i="16"/>
  <c r="BB50" i="16"/>
  <c r="BC50" i="16"/>
  <c r="BD50" i="16"/>
  <c r="BE50" i="16"/>
  <c r="BF50" i="16"/>
  <c r="BH50" i="16"/>
  <c r="BJ50" i="16"/>
  <c r="BB51" i="16"/>
  <c r="BC51" i="16"/>
  <c r="BD51" i="16"/>
  <c r="BE51" i="16"/>
  <c r="BF51" i="16"/>
  <c r="BG51" i="16"/>
  <c r="BH51" i="16"/>
  <c r="BI51" i="16"/>
  <c r="BJ51" i="16"/>
  <c r="BB52" i="16"/>
  <c r="BC52" i="16"/>
  <c r="BD52" i="16"/>
  <c r="BE52" i="16"/>
  <c r="BF52" i="16"/>
  <c r="BH52" i="16"/>
  <c r="BI52" i="16"/>
  <c r="BJ52" i="16"/>
  <c r="BB53" i="16"/>
  <c r="BD53" i="16"/>
  <c r="BE53" i="16"/>
  <c r="BF53" i="16"/>
  <c r="BH53" i="16"/>
  <c r="BI53" i="16"/>
  <c r="BJ53" i="16"/>
  <c r="BC34" i="16"/>
  <c r="BD34" i="16"/>
  <c r="BE34" i="16"/>
  <c r="BF34" i="16"/>
  <c r="BG34" i="16"/>
  <c r="BH34" i="16"/>
  <c r="BI34" i="16"/>
  <c r="BJ34" i="16"/>
  <c r="BB34" i="16"/>
  <c r="BB6" i="16"/>
  <c r="BC6" i="16"/>
  <c r="BD6" i="16"/>
  <c r="BE6" i="16"/>
  <c r="BF6" i="16"/>
  <c r="BG6" i="16"/>
  <c r="BH6" i="16"/>
  <c r="BI6" i="16"/>
  <c r="BJ6" i="16"/>
  <c r="BB7" i="16"/>
  <c r="BC7" i="16"/>
  <c r="BD7" i="16"/>
  <c r="BE7" i="16"/>
  <c r="BF7" i="16"/>
  <c r="BG7" i="16"/>
  <c r="BH7" i="16"/>
  <c r="BI7" i="16"/>
  <c r="BJ7" i="16"/>
  <c r="DI5" i="16" s="1"/>
  <c r="BB8" i="16"/>
  <c r="BC8" i="16"/>
  <c r="BD8" i="16"/>
  <c r="BE8" i="16"/>
  <c r="BF8" i="16"/>
  <c r="BG8" i="16"/>
  <c r="BH8" i="16"/>
  <c r="BI8" i="16"/>
  <c r="BJ8" i="16"/>
  <c r="DI6" i="16" s="1"/>
  <c r="BB9" i="16"/>
  <c r="BC9" i="16"/>
  <c r="BD9" i="16"/>
  <c r="BE9" i="16"/>
  <c r="BF9" i="16"/>
  <c r="BG9" i="16"/>
  <c r="BH9" i="16"/>
  <c r="BI9" i="16"/>
  <c r="BJ9" i="16"/>
  <c r="DI7" i="16" s="1"/>
  <c r="BB10" i="16"/>
  <c r="BC10" i="16"/>
  <c r="BD10" i="16"/>
  <c r="BE10" i="16"/>
  <c r="BF10" i="16"/>
  <c r="BG10" i="16"/>
  <c r="BH10" i="16"/>
  <c r="BI10" i="16"/>
  <c r="BJ10" i="16"/>
  <c r="DI8" i="16" s="1"/>
  <c r="BB11" i="16"/>
  <c r="BC11" i="16"/>
  <c r="BD11" i="16"/>
  <c r="BE11" i="16"/>
  <c r="BF11" i="16"/>
  <c r="BG11" i="16"/>
  <c r="BB12" i="16"/>
  <c r="BC12" i="16"/>
  <c r="BD12" i="16"/>
  <c r="BE12" i="16"/>
  <c r="BF12" i="16"/>
  <c r="BG12" i="16"/>
  <c r="BH12" i="16"/>
  <c r="BI12" i="16"/>
  <c r="BJ12" i="16"/>
  <c r="DI11" i="16" s="1"/>
  <c r="BB13" i="16"/>
  <c r="BD13" i="16"/>
  <c r="BE13" i="16"/>
  <c r="BF13" i="16"/>
  <c r="BG13" i="16"/>
  <c r="BH13" i="16"/>
  <c r="BI13" i="16"/>
  <c r="BJ13" i="16"/>
  <c r="DI12" i="16" s="1"/>
  <c r="BB14" i="16"/>
  <c r="BC14" i="16"/>
  <c r="BD14" i="16"/>
  <c r="BE14" i="16"/>
  <c r="BF14" i="16"/>
  <c r="BH14" i="16"/>
  <c r="BI14" i="16"/>
  <c r="BJ14" i="16"/>
  <c r="DI13" i="16" s="1"/>
  <c r="BB15" i="16"/>
  <c r="BC15" i="16"/>
  <c r="BD15" i="16"/>
  <c r="BE15" i="16"/>
  <c r="BF15" i="16"/>
  <c r="BH15" i="16"/>
  <c r="BI15" i="16"/>
  <c r="BJ15" i="16"/>
  <c r="DI14" i="16" s="1"/>
  <c r="BB16" i="16"/>
  <c r="BC16" i="16"/>
  <c r="BD16" i="16"/>
  <c r="BE16" i="16"/>
  <c r="BF16" i="16"/>
  <c r="BG16" i="16"/>
  <c r="BH16" i="16"/>
  <c r="BI16" i="16"/>
  <c r="BJ16" i="16"/>
  <c r="DI15" i="16" s="1"/>
  <c r="BB17" i="16"/>
  <c r="BC17" i="16"/>
  <c r="BE17" i="16"/>
  <c r="BF17" i="16"/>
  <c r="BG17" i="16"/>
  <c r="BH17" i="16"/>
  <c r="BI17" i="16"/>
  <c r="BJ17" i="16"/>
  <c r="DI16" i="16" s="1"/>
  <c r="BB18" i="16"/>
  <c r="BC18" i="16"/>
  <c r="BD18" i="16"/>
  <c r="BE18" i="16"/>
  <c r="BF18" i="16"/>
  <c r="BG18" i="16"/>
  <c r="BH18" i="16"/>
  <c r="BI18" i="16"/>
  <c r="BJ18" i="16"/>
  <c r="DI17" i="16" s="1"/>
  <c r="BB19" i="16"/>
  <c r="BC19" i="16"/>
  <c r="BD19" i="16"/>
  <c r="BE19" i="16"/>
  <c r="BF19" i="16"/>
  <c r="BG19" i="16"/>
  <c r="BH19" i="16"/>
  <c r="BJ19" i="16"/>
  <c r="DI18" i="16" s="1"/>
  <c r="BB20" i="16"/>
  <c r="BC20" i="16"/>
  <c r="BD20" i="16"/>
  <c r="BE20" i="16"/>
  <c r="BF20" i="16"/>
  <c r="BG20" i="16"/>
  <c r="BH20" i="16"/>
  <c r="BI20" i="16"/>
  <c r="BJ20" i="16"/>
  <c r="DI19" i="16" s="1"/>
  <c r="BB21" i="16"/>
  <c r="BC21" i="16"/>
  <c r="BD21" i="16"/>
  <c r="BE21" i="16"/>
  <c r="BF21" i="16"/>
  <c r="BH21" i="16"/>
  <c r="BI21" i="16"/>
  <c r="BJ21" i="16"/>
  <c r="DI20" i="16" s="1"/>
  <c r="BB22" i="16"/>
  <c r="BC22" i="16"/>
  <c r="BD22" i="16"/>
  <c r="BE22" i="16"/>
  <c r="BF22" i="16"/>
  <c r="BG22" i="16"/>
  <c r="BH22" i="16"/>
  <c r="BI22" i="16"/>
  <c r="BJ22" i="16"/>
  <c r="BB23" i="16"/>
  <c r="BC23" i="16"/>
  <c r="BD23" i="16"/>
  <c r="BE23" i="16"/>
  <c r="BF23" i="16"/>
  <c r="BH23" i="16"/>
  <c r="BI23" i="16"/>
  <c r="BJ23" i="16"/>
  <c r="DI22" i="16" s="1"/>
  <c r="BB24" i="16"/>
  <c r="BD24" i="16"/>
  <c r="BE24" i="16"/>
  <c r="BF24" i="16"/>
  <c r="DC23" i="16" s="1"/>
  <c r="DE23" i="16" s="1"/>
  <c r="BH24" i="16"/>
  <c r="BI24" i="16"/>
  <c r="BJ24" i="16"/>
  <c r="DI23" i="16" s="1"/>
  <c r="BC5" i="16"/>
  <c r="BD5" i="16"/>
  <c r="BE5" i="16"/>
  <c r="BF5" i="16"/>
  <c r="BG5" i="16"/>
  <c r="BH5" i="16"/>
  <c r="BI5" i="16"/>
  <c r="BJ5" i="16"/>
  <c r="BW72" i="16"/>
  <c r="BV72" i="16"/>
  <c r="BU72" i="16"/>
  <c r="BT72" i="16"/>
  <c r="BS72" i="16"/>
  <c r="BQ72" i="16"/>
  <c r="BP72" i="16"/>
  <c r="BO72" i="16"/>
  <c r="BW71" i="16"/>
  <c r="BV71" i="16"/>
  <c r="BU71" i="16"/>
  <c r="BT71" i="16"/>
  <c r="BS71" i="16"/>
  <c r="BQ71" i="16"/>
  <c r="BO71" i="16"/>
  <c r="BW70" i="16"/>
  <c r="BV70" i="16"/>
  <c r="BU70" i="16"/>
  <c r="BT70" i="16"/>
  <c r="BS70" i="16"/>
  <c r="BR70" i="16"/>
  <c r="BQ70" i="16"/>
  <c r="BP70" i="16"/>
  <c r="BO70" i="16"/>
  <c r="BW69" i="16"/>
  <c r="BV69" i="16"/>
  <c r="BU69" i="16"/>
  <c r="BT69" i="16"/>
  <c r="BS69" i="16"/>
  <c r="BR69" i="16"/>
  <c r="BQ69" i="16"/>
  <c r="BP69" i="16"/>
  <c r="BO69" i="16"/>
  <c r="BW68" i="16"/>
  <c r="BV68" i="16"/>
  <c r="BU68" i="16"/>
  <c r="BT68" i="16"/>
  <c r="BS68" i="16"/>
  <c r="BR68" i="16"/>
  <c r="BP68" i="16"/>
  <c r="BW67" i="16"/>
  <c r="BV67" i="16"/>
  <c r="BU67" i="16"/>
  <c r="BT67" i="16"/>
  <c r="BS67" i="16"/>
  <c r="BR67" i="16"/>
  <c r="BQ67" i="16"/>
  <c r="BP67" i="16"/>
  <c r="BO67" i="16"/>
  <c r="CI55" i="16"/>
  <c r="CH55" i="16"/>
  <c r="CG55" i="16"/>
  <c r="CF55" i="16"/>
  <c r="CE55" i="16"/>
  <c r="CD55" i="16"/>
  <c r="CC55" i="16"/>
  <c r="CB55" i="16"/>
  <c r="CA55" i="16"/>
  <c r="CI49" i="16"/>
  <c r="CH49" i="16"/>
  <c r="CG49" i="16"/>
  <c r="CF49" i="16"/>
  <c r="CE49" i="16"/>
  <c r="CD49" i="16"/>
  <c r="CC49" i="16"/>
  <c r="CB49" i="16"/>
  <c r="CA49" i="16"/>
  <c r="BW46" i="16"/>
  <c r="BV46" i="16"/>
  <c r="BU46" i="16"/>
  <c r="BT46" i="16"/>
  <c r="BS46" i="16"/>
  <c r="BR46" i="16"/>
  <c r="BQ46" i="16"/>
  <c r="BP46" i="16"/>
  <c r="BW40" i="16"/>
  <c r="BV40" i="16"/>
  <c r="BU40" i="16"/>
  <c r="BT40" i="16"/>
  <c r="BS40" i="16"/>
  <c r="BR40" i="16"/>
  <c r="BP40" i="16"/>
  <c r="BO40" i="16"/>
  <c r="CI20" i="16"/>
  <c r="CH20" i="16"/>
  <c r="CG20" i="16"/>
  <c r="CF20" i="16"/>
  <c r="CE20" i="16"/>
  <c r="CD20" i="16"/>
  <c r="CC20" i="16"/>
  <c r="CB20" i="16"/>
  <c r="CA20" i="16"/>
  <c r="BW11" i="16"/>
  <c r="BV11" i="16"/>
  <c r="BU11" i="16"/>
  <c r="BT11" i="16"/>
  <c r="BS11" i="16"/>
  <c r="BR11" i="16"/>
  <c r="BQ11" i="16"/>
  <c r="BP11" i="16"/>
  <c r="BO11" i="16"/>
  <c r="X111" i="16"/>
  <c r="W111" i="16"/>
  <c r="V111" i="16"/>
  <c r="U111" i="16"/>
  <c r="T111" i="16"/>
  <c r="S111" i="16"/>
  <c r="R111" i="16"/>
  <c r="Q111" i="16"/>
  <c r="P111" i="16"/>
  <c r="X107" i="16"/>
  <c r="W107" i="16"/>
  <c r="V107" i="16"/>
  <c r="U107" i="16"/>
  <c r="T107" i="16"/>
  <c r="S107" i="16"/>
  <c r="R107" i="16"/>
  <c r="Q107" i="16"/>
  <c r="P107" i="16"/>
  <c r="AJ100" i="16"/>
  <c r="AI100" i="16"/>
  <c r="AH100" i="16"/>
  <c r="AG100" i="16"/>
  <c r="AF100" i="16"/>
  <c r="AE100" i="16"/>
  <c r="AD100" i="16"/>
  <c r="AC100" i="16"/>
  <c r="AB100" i="16"/>
  <c r="X100" i="16"/>
  <c r="W100" i="16"/>
  <c r="V100" i="16"/>
  <c r="U100" i="16"/>
  <c r="T100" i="16"/>
  <c r="S100" i="16"/>
  <c r="R100" i="16"/>
  <c r="Q100" i="16"/>
  <c r="P100" i="16"/>
  <c r="AJ96" i="16"/>
  <c r="AI96" i="16"/>
  <c r="AH96" i="16"/>
  <c r="AG96" i="16"/>
  <c r="AF96" i="16"/>
  <c r="AE96" i="16"/>
  <c r="AD96" i="16"/>
  <c r="AC96" i="16"/>
  <c r="X96" i="16"/>
  <c r="W96" i="16"/>
  <c r="V96" i="16"/>
  <c r="U96" i="16"/>
  <c r="T96" i="16"/>
  <c r="S96" i="16"/>
  <c r="R96" i="16"/>
  <c r="Q96" i="16"/>
  <c r="P96" i="16"/>
  <c r="C86" i="16"/>
  <c r="C85" i="16"/>
  <c r="C84" i="16"/>
  <c r="C83" i="16"/>
  <c r="C82" i="16"/>
  <c r="C81" i="16"/>
  <c r="AB81" i="16"/>
  <c r="C80" i="16"/>
  <c r="AB80" i="16"/>
  <c r="C79" i="16"/>
  <c r="AB79" i="16"/>
  <c r="C78" i="16"/>
  <c r="AB78" i="16"/>
  <c r="C77" i="16"/>
  <c r="C76" i="16"/>
  <c r="AB76" i="16"/>
  <c r="C75" i="16"/>
  <c r="AB75" i="16"/>
  <c r="C74" i="16"/>
  <c r="AB74" i="16"/>
  <c r="AB73" i="16"/>
  <c r="C73" i="16"/>
  <c r="AB72" i="16"/>
  <c r="P72" i="16"/>
  <c r="C72" i="16"/>
  <c r="AB71" i="16"/>
  <c r="P71" i="16"/>
  <c r="C71" i="16"/>
  <c r="AB70" i="16"/>
  <c r="P70" i="16"/>
  <c r="C70" i="16"/>
  <c r="AB69" i="16"/>
  <c r="P69" i="16"/>
  <c r="C69" i="16"/>
  <c r="AC68" i="16"/>
  <c r="AB68" i="16"/>
  <c r="Q68" i="16"/>
  <c r="AJ67" i="16"/>
  <c r="AI67" i="16"/>
  <c r="AH67" i="16"/>
  <c r="AG67" i="16"/>
  <c r="AF67" i="16"/>
  <c r="AE67" i="16"/>
  <c r="AD67" i="16"/>
  <c r="AC67" i="16"/>
  <c r="X67" i="16"/>
  <c r="W67" i="16"/>
  <c r="V67" i="16"/>
  <c r="U67" i="16"/>
  <c r="T67" i="16"/>
  <c r="S67" i="16"/>
  <c r="R67" i="16"/>
  <c r="Q67" i="16"/>
  <c r="K67" i="16"/>
  <c r="J67" i="16"/>
  <c r="I67" i="16"/>
  <c r="H67" i="16"/>
  <c r="G67" i="16"/>
  <c r="F67" i="16"/>
  <c r="E67" i="16"/>
  <c r="D67" i="16"/>
  <c r="K60" i="16"/>
  <c r="J60" i="16"/>
  <c r="I60" i="16"/>
  <c r="H60" i="16"/>
  <c r="G60" i="16"/>
  <c r="F60" i="16"/>
  <c r="E60" i="16"/>
  <c r="D60" i="16"/>
  <c r="K55" i="16"/>
  <c r="J55" i="16"/>
  <c r="I55" i="16"/>
  <c r="H55" i="16"/>
  <c r="G55" i="16"/>
  <c r="F55" i="16"/>
  <c r="E55" i="16"/>
  <c r="D55" i="16"/>
  <c r="C55" i="16"/>
  <c r="K54" i="16"/>
  <c r="J54" i="16"/>
  <c r="I54" i="16"/>
  <c r="H54" i="16"/>
  <c r="G54" i="16"/>
  <c r="F54" i="16"/>
  <c r="E54" i="16"/>
  <c r="D54" i="16"/>
  <c r="C54" i="16"/>
  <c r="AJ55" i="16"/>
  <c r="AI55" i="16"/>
  <c r="AH55" i="16"/>
  <c r="AG55" i="16"/>
  <c r="AF55" i="16"/>
  <c r="AE55" i="16"/>
  <c r="AD55" i="16"/>
  <c r="AC55" i="16"/>
  <c r="AB55" i="16"/>
  <c r="AJ49" i="16"/>
  <c r="AI49" i="16"/>
  <c r="AH49" i="16"/>
  <c r="AG49" i="16"/>
  <c r="AF49" i="16"/>
  <c r="AE49" i="16"/>
  <c r="AD49" i="16"/>
  <c r="AC49" i="16"/>
  <c r="AB49" i="16"/>
  <c r="X46" i="16"/>
  <c r="W46" i="16"/>
  <c r="V46" i="16"/>
  <c r="U46" i="16"/>
  <c r="T46" i="16"/>
  <c r="S46" i="16"/>
  <c r="R46" i="16"/>
  <c r="Q46" i="16"/>
  <c r="X40" i="16"/>
  <c r="W40" i="16"/>
  <c r="V40" i="16"/>
  <c r="U40" i="16"/>
  <c r="T40" i="16"/>
  <c r="S40" i="16"/>
  <c r="R40" i="16"/>
  <c r="Q40" i="16"/>
  <c r="P40" i="16"/>
  <c r="K29" i="16"/>
  <c r="J29" i="16"/>
  <c r="I29" i="16"/>
  <c r="H29" i="16"/>
  <c r="G29" i="16"/>
  <c r="F29" i="16"/>
  <c r="E29" i="16"/>
  <c r="D29" i="16"/>
  <c r="C29" i="16"/>
  <c r="K26" i="16"/>
  <c r="J26" i="16"/>
  <c r="I26" i="16"/>
  <c r="H26" i="16"/>
  <c r="G26" i="16"/>
  <c r="F26" i="16"/>
  <c r="E26" i="16"/>
  <c r="D26" i="16"/>
  <c r="C26" i="16"/>
  <c r="K25" i="16"/>
  <c r="J25" i="16"/>
  <c r="H25" i="16"/>
  <c r="E25" i="16"/>
  <c r="D25" i="16"/>
  <c r="C25" i="16"/>
  <c r="AJ20" i="16"/>
  <c r="AI20" i="16"/>
  <c r="AH20" i="16"/>
  <c r="AG20" i="16"/>
  <c r="AF20" i="16"/>
  <c r="AE20" i="16"/>
  <c r="AD20" i="16"/>
  <c r="AC20" i="16"/>
  <c r="AB20" i="16"/>
  <c r="X11" i="16"/>
  <c r="W11" i="16"/>
  <c r="V11" i="16"/>
  <c r="U11" i="16"/>
  <c r="T11" i="16"/>
  <c r="S11" i="16"/>
  <c r="R11" i="16"/>
  <c r="Q11" i="16"/>
  <c r="P11" i="16"/>
  <c r="BJ77" i="16" l="1"/>
  <c r="BT96" i="16"/>
  <c r="BF83" i="16"/>
  <c r="BG82" i="16"/>
  <c r="BG81" i="16"/>
  <c r="BH80" i="16"/>
  <c r="BI79" i="16"/>
  <c r="BI78" i="16"/>
  <c r="BB77" i="16"/>
  <c r="BC76" i="16"/>
  <c r="BD75" i="16"/>
  <c r="CA96" i="16"/>
  <c r="BG80" i="16"/>
  <c r="P47" i="16"/>
  <c r="BR76" i="16"/>
  <c r="BR75" i="16"/>
  <c r="BR77" i="16"/>
  <c r="BR74" i="16"/>
  <c r="BI29" i="16"/>
  <c r="BI28" i="16"/>
  <c r="BI27" i="16"/>
  <c r="BI26" i="16"/>
  <c r="BB28" i="16"/>
  <c r="BB27" i="16"/>
  <c r="BB26" i="16"/>
  <c r="BB29" i="16"/>
  <c r="BD55" i="16"/>
  <c r="BD58" i="16"/>
  <c r="BD56" i="16"/>
  <c r="BD57" i="16"/>
  <c r="H91" i="16"/>
  <c r="H90" i="16"/>
  <c r="H88" i="16"/>
  <c r="H89" i="16"/>
  <c r="T77" i="16"/>
  <c r="T75" i="16"/>
  <c r="T74" i="16"/>
  <c r="T76" i="16"/>
  <c r="AE86" i="16"/>
  <c r="AE85" i="16"/>
  <c r="AE84" i="16"/>
  <c r="AE83" i="16"/>
  <c r="BS77" i="16"/>
  <c r="BS75" i="16"/>
  <c r="BS76" i="16"/>
  <c r="BS74" i="16"/>
  <c r="BH29" i="16"/>
  <c r="BH28" i="16"/>
  <c r="BH27" i="16"/>
  <c r="BH26" i="16"/>
  <c r="BB57" i="16"/>
  <c r="BB56" i="16"/>
  <c r="BB55" i="16"/>
  <c r="BB58" i="16"/>
  <c r="BC56" i="16"/>
  <c r="BC55" i="16"/>
  <c r="BC58" i="16"/>
  <c r="BC57" i="16"/>
  <c r="BU77" i="16"/>
  <c r="BU76" i="16"/>
  <c r="BU75" i="16"/>
  <c r="BU74" i="16"/>
  <c r="BF29" i="16"/>
  <c r="BF27" i="16"/>
  <c r="BF28" i="16"/>
  <c r="BF26" i="16"/>
  <c r="BI58" i="16"/>
  <c r="BI57" i="16"/>
  <c r="BI56" i="16"/>
  <c r="BI55" i="16"/>
  <c r="G89" i="16"/>
  <c r="G91" i="16"/>
  <c r="G90" i="16"/>
  <c r="G88" i="16"/>
  <c r="AD86" i="16"/>
  <c r="AD85" i="16"/>
  <c r="AD84" i="16"/>
  <c r="AD83" i="16"/>
  <c r="U76" i="16"/>
  <c r="U77" i="16"/>
  <c r="U74" i="16"/>
  <c r="U75" i="16"/>
  <c r="V77" i="16"/>
  <c r="V76" i="16"/>
  <c r="V75" i="16"/>
  <c r="V74" i="16"/>
  <c r="C91" i="16"/>
  <c r="C88" i="16"/>
  <c r="C89" i="16"/>
  <c r="C90" i="16"/>
  <c r="K88" i="16"/>
  <c r="K91" i="16"/>
  <c r="K90" i="16"/>
  <c r="K89" i="16"/>
  <c r="W77" i="16"/>
  <c r="W76" i="16"/>
  <c r="W75" i="16"/>
  <c r="W74" i="16"/>
  <c r="AH83" i="16"/>
  <c r="AH86" i="16"/>
  <c r="AH85" i="16"/>
  <c r="AH84" i="16"/>
  <c r="BV77" i="16"/>
  <c r="BV76" i="16"/>
  <c r="BV75" i="16"/>
  <c r="BV74" i="16"/>
  <c r="BE28" i="16"/>
  <c r="BE26" i="16"/>
  <c r="BE27" i="16"/>
  <c r="BE29" i="16"/>
  <c r="BH58" i="16"/>
  <c r="BH57" i="16"/>
  <c r="BH56" i="16"/>
  <c r="BH55" i="16"/>
  <c r="S76" i="16"/>
  <c r="S77" i="16"/>
  <c r="S75" i="16"/>
  <c r="S74" i="16"/>
  <c r="AF85" i="16"/>
  <c r="AF84" i="16"/>
  <c r="AF83" i="16"/>
  <c r="AF86" i="16"/>
  <c r="BT77" i="16"/>
  <c r="BT76" i="16"/>
  <c r="BT74" i="16"/>
  <c r="BT75" i="16"/>
  <c r="BG29" i="16"/>
  <c r="BG28" i="16"/>
  <c r="BG26" i="16"/>
  <c r="BG27" i="16"/>
  <c r="BJ57" i="16"/>
  <c r="BJ56" i="16"/>
  <c r="BJ55" i="16"/>
  <c r="BJ58" i="16"/>
  <c r="J89" i="16"/>
  <c r="J88" i="16"/>
  <c r="J91" i="16"/>
  <c r="J90" i="16"/>
  <c r="AG84" i="16"/>
  <c r="AG83" i="16"/>
  <c r="AG85" i="16"/>
  <c r="AG86" i="16"/>
  <c r="D90" i="16"/>
  <c r="D91" i="16"/>
  <c r="D89" i="16"/>
  <c r="D88" i="16"/>
  <c r="P76" i="16"/>
  <c r="P75" i="16"/>
  <c r="P74" i="16"/>
  <c r="P77" i="16"/>
  <c r="X76" i="16"/>
  <c r="X75" i="16"/>
  <c r="X74" i="16"/>
  <c r="X77" i="16"/>
  <c r="AI85" i="16"/>
  <c r="AI84" i="16"/>
  <c r="AI86" i="16"/>
  <c r="AI83" i="16"/>
  <c r="BO77" i="16"/>
  <c r="BO76" i="16"/>
  <c r="BO75" i="16"/>
  <c r="BO74" i="16"/>
  <c r="BW77" i="16"/>
  <c r="BW76" i="16"/>
  <c r="BW75" i="16"/>
  <c r="BW74" i="16"/>
  <c r="BD26" i="16"/>
  <c r="BD29" i="16"/>
  <c r="BD28" i="16"/>
  <c r="BD27" i="16"/>
  <c r="BG58" i="16"/>
  <c r="BG57" i="16"/>
  <c r="BG55" i="16"/>
  <c r="BG56" i="16"/>
  <c r="I90" i="16"/>
  <c r="I89" i="16"/>
  <c r="I88" i="16"/>
  <c r="I91" i="16"/>
  <c r="BP76" i="16"/>
  <c r="BP75" i="16"/>
  <c r="BP74" i="16"/>
  <c r="BP77" i="16"/>
  <c r="BC27" i="16"/>
  <c r="BC26" i="16"/>
  <c r="BC28" i="16"/>
  <c r="BC29" i="16"/>
  <c r="BF58" i="16"/>
  <c r="BF56" i="16"/>
  <c r="BF57" i="16"/>
  <c r="BF55" i="16"/>
  <c r="E91" i="16"/>
  <c r="E89" i="16"/>
  <c r="E88" i="16"/>
  <c r="E90" i="16"/>
  <c r="Q75" i="16"/>
  <c r="Q74" i="16"/>
  <c r="Q76" i="16"/>
  <c r="Q77" i="16"/>
  <c r="AB86" i="16"/>
  <c r="AB84" i="16"/>
  <c r="AB83" i="16"/>
  <c r="AB85" i="16"/>
  <c r="AJ86" i="16"/>
  <c r="AJ84" i="16"/>
  <c r="AJ85" i="16"/>
  <c r="AJ83" i="16"/>
  <c r="F90" i="16"/>
  <c r="F91" i="16"/>
  <c r="F88" i="16"/>
  <c r="F89" i="16"/>
  <c r="R74" i="16"/>
  <c r="R77" i="16"/>
  <c r="R75" i="16"/>
  <c r="R76" i="16"/>
  <c r="AC86" i="16"/>
  <c r="AC85" i="16"/>
  <c r="AC83" i="16"/>
  <c r="AC84" i="16"/>
  <c r="BQ74" i="16"/>
  <c r="BQ77" i="16"/>
  <c r="BQ76" i="16"/>
  <c r="BQ75" i="16"/>
  <c r="DI3" i="16"/>
  <c r="BJ28" i="16"/>
  <c r="BJ27" i="16"/>
  <c r="BJ26" i="16"/>
  <c r="BJ29" i="16"/>
  <c r="BE57" i="16"/>
  <c r="BE58" i="16"/>
  <c r="BE55" i="16"/>
  <c r="BE56" i="16"/>
  <c r="BB68" i="16"/>
  <c r="AS40" i="16"/>
  <c r="AS48" i="16" s="1"/>
  <c r="BE67" i="16"/>
  <c r="BC68" i="16"/>
  <c r="BB81" i="16"/>
  <c r="BC80" i="16"/>
  <c r="BD78" i="16"/>
  <c r="BE77" i="16"/>
  <c r="BI84" i="16"/>
  <c r="C61" i="16"/>
  <c r="BH82" i="16"/>
  <c r="BH81" i="16"/>
  <c r="BI80" i="16"/>
  <c r="BB78" i="16"/>
  <c r="BD76" i="16"/>
  <c r="BE75" i="16"/>
  <c r="DC11" i="16"/>
  <c r="DE11" i="16" s="1"/>
  <c r="DC3" i="16"/>
  <c r="DE3" i="16" s="1"/>
  <c r="BD67" i="16"/>
  <c r="BO47" i="16"/>
  <c r="BC67" i="16"/>
  <c r="BO116" i="16"/>
  <c r="BH85" i="16"/>
  <c r="BD81" i="16"/>
  <c r="BE74" i="16"/>
  <c r="BF70" i="16"/>
  <c r="BH68" i="16"/>
  <c r="BP113" i="16"/>
  <c r="BQ113" i="16"/>
  <c r="BR113" i="16"/>
  <c r="BS113" i="16"/>
  <c r="BT113" i="16"/>
  <c r="BU113" i="16"/>
  <c r="BV113" i="16"/>
  <c r="BO113" i="16"/>
  <c r="BW113" i="16"/>
  <c r="BO109" i="16"/>
  <c r="BW109" i="16"/>
  <c r="BP109" i="16"/>
  <c r="BR109" i="16"/>
  <c r="BS109" i="16"/>
  <c r="BT109" i="16"/>
  <c r="BQ109" i="16"/>
  <c r="BU109" i="16"/>
  <c r="BV109" i="16"/>
  <c r="BB60" i="16"/>
  <c r="BF67" i="16"/>
  <c r="BC77" i="16"/>
  <c r="CF96" i="16"/>
  <c r="R47" i="16"/>
  <c r="BG73" i="16"/>
  <c r="BH72" i="16"/>
  <c r="BI71" i="16"/>
  <c r="BJ70" i="16"/>
  <c r="BB70" i="16"/>
  <c r="BC69" i="16"/>
  <c r="BE86" i="16"/>
  <c r="BG84" i="16"/>
  <c r="BB75" i="16"/>
  <c r="BG67" i="16"/>
  <c r="X47" i="16"/>
  <c r="C131" i="16"/>
  <c r="G131" i="16"/>
  <c r="K131" i="16"/>
  <c r="BT116" i="16"/>
  <c r="BI67" i="16"/>
  <c r="BD86" i="16"/>
  <c r="BE85" i="16"/>
  <c r="BF84" i="16"/>
  <c r="BC73" i="16"/>
  <c r="BD72" i="16"/>
  <c r="BE71" i="16"/>
  <c r="BG69" i="16"/>
  <c r="BJ85" i="16"/>
  <c r="H131" i="16"/>
  <c r="BB83" i="16"/>
  <c r="BC82" i="16"/>
  <c r="BE78" i="16"/>
  <c r="BH75" i="16"/>
  <c r="D131" i="16"/>
  <c r="E131" i="16"/>
  <c r="I131" i="16"/>
  <c r="BO73" i="16"/>
  <c r="BW73" i="16"/>
  <c r="BE73" i="16"/>
  <c r="BG71" i="16"/>
  <c r="BH70" i="16"/>
  <c r="BI69" i="16"/>
  <c r="BJ68" i="16"/>
  <c r="BO96" i="16"/>
  <c r="F131" i="16"/>
  <c r="J131" i="16"/>
  <c r="BD83" i="16"/>
  <c r="BG79" i="16"/>
  <c r="BU116" i="16"/>
  <c r="BV116" i="16"/>
  <c r="BW116" i="16"/>
  <c r="BP116" i="16"/>
  <c r="BQ116" i="16"/>
  <c r="BS116" i="16"/>
  <c r="BR116" i="16"/>
  <c r="BU47" i="16"/>
  <c r="DI51" i="16"/>
  <c r="CE100" i="16"/>
  <c r="BJ83" i="16"/>
  <c r="DC17" i="16"/>
  <c r="DE17" i="16" s="1"/>
  <c r="BD54" i="16"/>
  <c r="DC13" i="16"/>
  <c r="DE13" i="16" s="1"/>
  <c r="DC8" i="16"/>
  <c r="DE8" i="16" s="1"/>
  <c r="BD68" i="16"/>
  <c r="DC19" i="16"/>
  <c r="DE19" i="16" s="1"/>
  <c r="DC18" i="16"/>
  <c r="DE18" i="16" s="1"/>
  <c r="DC4" i="16"/>
  <c r="DE4" i="16" s="1"/>
  <c r="BH86" i="16"/>
  <c r="BC79" i="16"/>
  <c r="BG75" i="16"/>
  <c r="BH74" i="16"/>
  <c r="BF73" i="16"/>
  <c r="BG72" i="16"/>
  <c r="BH71" i="16"/>
  <c r="BI70" i="16"/>
  <c r="BF77" i="16"/>
  <c r="BI86" i="16"/>
  <c r="BI85" i="16"/>
  <c r="BJ84" i="16"/>
  <c r="BB84" i="16"/>
  <c r="BI74" i="16"/>
  <c r="BD85" i="16"/>
  <c r="BE84" i="16"/>
  <c r="BE83" i="16"/>
  <c r="BF82" i="16"/>
  <c r="BF81" i="16"/>
  <c r="BH79" i="16"/>
  <c r="BH78" i="16"/>
  <c r="BI77" i="16"/>
  <c r="BJ76" i="16"/>
  <c r="BB76" i="16"/>
  <c r="BD74" i="16"/>
  <c r="BB73" i="16"/>
  <c r="BC72" i="16"/>
  <c r="BD71" i="16"/>
  <c r="BE70" i="16"/>
  <c r="BF69" i="16"/>
  <c r="BG68" i="16"/>
  <c r="BB86" i="16"/>
  <c r="BC85" i="16"/>
  <c r="BD84" i="16"/>
  <c r="BE82" i="16"/>
  <c r="BE81" i="16"/>
  <c r="BF80" i="16"/>
  <c r="BG78" i="16"/>
  <c r="BH77" i="16"/>
  <c r="BI76" i="16"/>
  <c r="BJ75" i="16"/>
  <c r="BC74" i="16"/>
  <c r="BJ72" i="16"/>
  <c r="BB72" i="16"/>
  <c r="BC71" i="16"/>
  <c r="BD70" i="16"/>
  <c r="BE69" i="16"/>
  <c r="BF68" i="16"/>
  <c r="BJ86" i="16"/>
  <c r="BB85" i="16"/>
  <c r="BC84" i="16"/>
  <c r="BE80" i="16"/>
  <c r="BF79" i="16"/>
  <c r="DE52" i="16"/>
  <c r="BP100" i="16"/>
  <c r="BF76" i="16"/>
  <c r="DC21" i="16"/>
  <c r="DE21" i="16" s="1"/>
  <c r="DC6" i="16"/>
  <c r="DE6" i="16" s="1"/>
  <c r="BF72" i="16"/>
  <c r="DC22" i="16"/>
  <c r="DE22" i="16" s="1"/>
  <c r="DI4" i="16"/>
  <c r="BJ79" i="16"/>
  <c r="DC20" i="16"/>
  <c r="DE20" i="16" s="1"/>
  <c r="DC5" i="16"/>
  <c r="DE5" i="16" s="1"/>
  <c r="BB54" i="16"/>
  <c r="DC7" i="16"/>
  <c r="DE7" i="16" s="1"/>
  <c r="BJ78" i="16"/>
  <c r="BI72" i="16"/>
  <c r="BB71" i="16"/>
  <c r="BC70" i="16"/>
  <c r="BQ96" i="16"/>
  <c r="CD96" i="16"/>
  <c r="BH83" i="16"/>
  <c r="BI82" i="16"/>
  <c r="BJ81" i="16"/>
  <c r="BJ80" i="16"/>
  <c r="BB80" i="16"/>
  <c r="BB79" i="16"/>
  <c r="BC78" i="16"/>
  <c r="BQ100" i="16"/>
  <c r="BE76" i="16"/>
  <c r="BF75" i="16"/>
  <c r="BG74" i="16"/>
  <c r="DC12" i="16"/>
  <c r="DE12" i="16" s="1"/>
  <c r="BJ69" i="16"/>
  <c r="BF74" i="16"/>
  <c r="BC83" i="16"/>
  <c r="BD82" i="16"/>
  <c r="DC16" i="16"/>
  <c r="DE16" i="16" s="1"/>
  <c r="DC15" i="16"/>
  <c r="DE15" i="16" s="1"/>
  <c r="DE51" i="16"/>
  <c r="BF85" i="16"/>
  <c r="DC14" i="16"/>
  <c r="DE14" i="16" s="1"/>
  <c r="DC9" i="16"/>
  <c r="BP96" i="16"/>
  <c r="I61" i="16"/>
  <c r="BR47" i="16"/>
  <c r="BJ54" i="16"/>
  <c r="BB69" i="16"/>
  <c r="DI21" i="16"/>
  <c r="BS47" i="16"/>
  <c r="BE68" i="16"/>
  <c r="CC100" i="16"/>
  <c r="CD100" i="16"/>
  <c r="BH54" i="16"/>
  <c r="AF56" i="16"/>
  <c r="K61" i="16"/>
  <c r="BD69" i="16"/>
  <c r="AE56" i="16"/>
  <c r="J61" i="16"/>
  <c r="CC96" i="16"/>
  <c r="BG25" i="16"/>
  <c r="BI25" i="16"/>
  <c r="AG56" i="16"/>
  <c r="CB56" i="16"/>
  <c r="BJ71" i="16"/>
  <c r="AI56" i="16"/>
  <c r="AG82" i="16"/>
  <c r="CA56" i="16"/>
  <c r="CI56" i="16"/>
  <c r="BQ73" i="16"/>
  <c r="BO100" i="16"/>
  <c r="AB56" i="16"/>
  <c r="AJ56" i="16"/>
  <c r="W115" i="16"/>
  <c r="BD77" i="16"/>
  <c r="BE54" i="16"/>
  <c r="BR100" i="16"/>
  <c r="CF100" i="16"/>
  <c r="BF54" i="16"/>
  <c r="BS100" i="16"/>
  <c r="CG100" i="16"/>
  <c r="BG54" i="16"/>
  <c r="BT100" i="16"/>
  <c r="CH100" i="16"/>
  <c r="BF86" i="16"/>
  <c r="BH84" i="16"/>
  <c r="BJ82" i="16"/>
  <c r="BB82" i="16"/>
  <c r="BC81" i="16"/>
  <c r="BD80" i="16"/>
  <c r="BE79" i="16"/>
  <c r="BF78" i="16"/>
  <c r="BH76" i="16"/>
  <c r="BI75" i="16"/>
  <c r="BJ74" i="16"/>
  <c r="BB74" i="16"/>
  <c r="BH69" i="16"/>
  <c r="BV100" i="16"/>
  <c r="BI54" i="16"/>
  <c r="CB100" i="16"/>
  <c r="BU100" i="16"/>
  <c r="BC54" i="16"/>
  <c r="BH67" i="16"/>
  <c r="BW100" i="16"/>
  <c r="CI100" i="16"/>
  <c r="CA100" i="16"/>
  <c r="BC25" i="16"/>
  <c r="BG60" i="16"/>
  <c r="BR96" i="16"/>
  <c r="CE96" i="16"/>
  <c r="BD25" i="16"/>
  <c r="BH60" i="16"/>
  <c r="BG70" i="16"/>
  <c r="BS96" i="16"/>
  <c r="BF60" i="16"/>
  <c r="BE25" i="16"/>
  <c r="BI60" i="16"/>
  <c r="BE72" i="16"/>
  <c r="CG96" i="16"/>
  <c r="BF25" i="16"/>
  <c r="BF71" i="16"/>
  <c r="BD73" i="16"/>
  <c r="BU96" i="16"/>
  <c r="CH96" i="16"/>
  <c r="BC60" i="16"/>
  <c r="BI68" i="16"/>
  <c r="BV96" i="16"/>
  <c r="BH25" i="16"/>
  <c r="BD60" i="16"/>
  <c r="CB96" i="16"/>
  <c r="BE60" i="16"/>
  <c r="BJ60" i="16"/>
  <c r="BJ67" i="16"/>
  <c r="BJ25" i="16"/>
  <c r="BW96" i="16"/>
  <c r="CI96" i="16"/>
  <c r="BB67" i="16"/>
  <c r="BB25" i="16"/>
  <c r="V47" i="16"/>
  <c r="X115" i="16"/>
  <c r="V104" i="16"/>
  <c r="AI82" i="16"/>
  <c r="J87" i="16"/>
  <c r="AH104" i="16"/>
  <c r="CE56" i="16"/>
  <c r="BP73" i="16"/>
  <c r="AC56" i="16"/>
  <c r="E61" i="16"/>
  <c r="P115" i="16"/>
  <c r="W104" i="16"/>
  <c r="BT47" i="16"/>
  <c r="CF56" i="16"/>
  <c r="F61" i="16"/>
  <c r="BQ47" i="16"/>
  <c r="CG56" i="16"/>
  <c r="W47" i="16"/>
  <c r="AD56" i="16"/>
  <c r="AH56" i="16"/>
  <c r="G61" i="16"/>
  <c r="S73" i="16"/>
  <c r="D87" i="16"/>
  <c r="BV47" i="16"/>
  <c r="CH56" i="16"/>
  <c r="S47" i="16"/>
  <c r="H61" i="16"/>
  <c r="T104" i="16"/>
  <c r="AE82" i="16"/>
  <c r="R115" i="16"/>
  <c r="BW47" i="16"/>
  <c r="CD82" i="16"/>
  <c r="U47" i="16"/>
  <c r="D61" i="16"/>
  <c r="R73" i="16"/>
  <c r="Q47" i="16"/>
  <c r="I87" i="16"/>
  <c r="U104" i="16"/>
  <c r="AF104" i="16"/>
  <c r="CC56" i="16"/>
  <c r="BP47" i="16"/>
  <c r="T47" i="16"/>
  <c r="C87" i="16"/>
  <c r="K87" i="16"/>
  <c r="CD56" i="16"/>
  <c r="BR73" i="16"/>
  <c r="CE82" i="16"/>
  <c r="BS73" i="16"/>
  <c r="CF82" i="16"/>
  <c r="BT73" i="16"/>
  <c r="CG82" i="16"/>
  <c r="BU73" i="16"/>
  <c r="CH82" i="16"/>
  <c r="BV73" i="16"/>
  <c r="CI82" i="16"/>
  <c r="CB82" i="16"/>
  <c r="CC82" i="16"/>
  <c r="Q115" i="16"/>
  <c r="V73" i="16"/>
  <c r="P104" i="16"/>
  <c r="X104" i="16"/>
  <c r="AI104" i="16"/>
  <c r="S115" i="16"/>
  <c r="AG104" i="16"/>
  <c r="AH82" i="16"/>
  <c r="W73" i="16"/>
  <c r="AB82" i="16"/>
  <c r="AJ82" i="16"/>
  <c r="E87" i="16"/>
  <c r="Q104" i="16"/>
  <c r="AB104" i="16"/>
  <c r="AJ104" i="16"/>
  <c r="T115" i="16"/>
  <c r="R104" i="16"/>
  <c r="AC104" i="16"/>
  <c r="U115" i="16"/>
  <c r="T73" i="16"/>
  <c r="P73" i="16"/>
  <c r="X73" i="16"/>
  <c r="AC82" i="16"/>
  <c r="F87" i="16"/>
  <c r="Q73" i="16"/>
  <c r="AD82" i="16"/>
  <c r="G87" i="16"/>
  <c r="S104" i="16"/>
  <c r="AD104" i="16"/>
  <c r="V115" i="16"/>
  <c r="AE104" i="16"/>
  <c r="U73" i="16"/>
  <c r="H87" i="16"/>
  <c r="AF82" i="16"/>
  <c r="M41" i="3"/>
  <c r="M43" i="3"/>
  <c r="M44" i="3"/>
  <c r="M46" i="3"/>
  <c r="M47" i="3"/>
  <c r="M49" i="3"/>
  <c r="M50" i="3"/>
  <c r="M52" i="3"/>
  <c r="M53" i="3"/>
  <c r="M55" i="3"/>
  <c r="M56" i="3"/>
  <c r="N50" i="3"/>
  <c r="N52" i="3"/>
  <c r="N53" i="3"/>
  <c r="N55" i="3"/>
  <c r="N56" i="3"/>
  <c r="N41" i="3"/>
  <c r="N43" i="3"/>
  <c r="N44" i="3"/>
  <c r="N46" i="3"/>
  <c r="N47" i="3"/>
  <c r="N49" i="3"/>
  <c r="N40" i="3"/>
  <c r="M40" i="3"/>
  <c r="CB101" i="16" l="1"/>
  <c r="BI90" i="16"/>
  <c r="BI89" i="16"/>
  <c r="BI91" i="16"/>
  <c r="BI88" i="16"/>
  <c r="BE91" i="16"/>
  <c r="BE90" i="16"/>
  <c r="BE89" i="16"/>
  <c r="BE88" i="16"/>
  <c r="BJ91" i="16"/>
  <c r="BJ89" i="16"/>
  <c r="BJ88" i="16"/>
  <c r="BJ90" i="16"/>
  <c r="BC91" i="16"/>
  <c r="BC90" i="16"/>
  <c r="BC88" i="16"/>
  <c r="BC89" i="16"/>
  <c r="BD91" i="16"/>
  <c r="BD90" i="16"/>
  <c r="BD89" i="16"/>
  <c r="BD88" i="16"/>
  <c r="BG89" i="16"/>
  <c r="BG88" i="16"/>
  <c r="BG91" i="16"/>
  <c r="BG90" i="16"/>
  <c r="BB91" i="16"/>
  <c r="BB89" i="16"/>
  <c r="BB90" i="16"/>
  <c r="BB88" i="16"/>
  <c r="BF90" i="16"/>
  <c r="BF89" i="16"/>
  <c r="BF88" i="16"/>
  <c r="BF91" i="16"/>
  <c r="BH88" i="16"/>
  <c r="BH91" i="16"/>
  <c r="BH89" i="16"/>
  <c r="BH90" i="16"/>
  <c r="BR97" i="16"/>
  <c r="BQ97" i="16"/>
  <c r="BV101" i="16"/>
  <c r="BP97" i="16"/>
  <c r="BR101" i="16"/>
  <c r="BS97" i="16"/>
  <c r="BW101" i="16"/>
  <c r="O52" i="3"/>
  <c r="CC97" i="16"/>
  <c r="CA97" i="16"/>
  <c r="BU97" i="16"/>
  <c r="CC101" i="16"/>
  <c r="CG101" i="16"/>
  <c r="CB104" i="16"/>
  <c r="O40" i="3"/>
  <c r="BS101" i="16"/>
  <c r="BO97" i="16"/>
  <c r="CD97" i="16"/>
  <c r="CE101" i="16"/>
  <c r="BO101" i="16"/>
  <c r="BP101" i="16"/>
  <c r="CG97" i="16"/>
  <c r="CE97" i="16"/>
  <c r="CA101" i="16"/>
  <c r="BW97" i="16"/>
  <c r="CD101" i="16"/>
  <c r="BV97" i="16"/>
  <c r="BU101" i="16"/>
  <c r="BQ101" i="16"/>
  <c r="CH97" i="16"/>
  <c r="CI97" i="16"/>
  <c r="CI101" i="16"/>
  <c r="CH101" i="16"/>
  <c r="CB97" i="16"/>
  <c r="BT101" i="16"/>
  <c r="CF101" i="16"/>
  <c r="BT97" i="16"/>
  <c r="CF97" i="16"/>
  <c r="BO117" i="16"/>
  <c r="BP117" i="16"/>
  <c r="BV117" i="16"/>
  <c r="BR117" i="16"/>
  <c r="BW117" i="16"/>
  <c r="BS117" i="16"/>
  <c r="BU117" i="16"/>
  <c r="BT117" i="16"/>
  <c r="BQ117" i="16"/>
  <c r="DE24" i="16"/>
  <c r="O46" i="3"/>
  <c r="BQ104" i="16"/>
  <c r="O56" i="3"/>
  <c r="O50" i="3"/>
  <c r="O44" i="3"/>
  <c r="O49" i="3"/>
  <c r="O55" i="3"/>
  <c r="O43" i="3"/>
  <c r="O53" i="3"/>
  <c r="O47" i="3"/>
  <c r="O41" i="3"/>
  <c r="CG104" i="16"/>
  <c r="DE25" i="16"/>
  <c r="BP104" i="16"/>
  <c r="BU104" i="16"/>
  <c r="CI104" i="16"/>
  <c r="BW104" i="16"/>
  <c r="BH87" i="16"/>
  <c r="BV104" i="16"/>
  <c r="CC104" i="16"/>
  <c r="BJ87" i="16"/>
  <c r="BI87" i="16"/>
  <c r="BD87" i="16"/>
  <c r="CH104" i="16"/>
  <c r="BG87" i="16"/>
  <c r="BC87" i="16"/>
  <c r="BR104" i="16"/>
  <c r="BF87" i="16"/>
  <c r="BH61" i="16"/>
  <c r="BC61" i="16"/>
  <c r="BE61" i="16"/>
  <c r="BO104" i="16"/>
  <c r="BB87" i="16"/>
  <c r="CF104" i="16"/>
  <c r="BJ61" i="16"/>
  <c r="CE104" i="16"/>
  <c r="BF61" i="16"/>
  <c r="CA104" i="16"/>
  <c r="BT104" i="16"/>
  <c r="BS104" i="16"/>
  <c r="BG61" i="16"/>
  <c r="BI61" i="16"/>
  <c r="BD61" i="16"/>
  <c r="CD104" i="16"/>
  <c r="BE87" i="16"/>
  <c r="BB61" i="16"/>
  <c r="CD105" i="16" l="1"/>
  <c r="BU105" i="16"/>
  <c r="CC105" i="16"/>
  <c r="BO105" i="16"/>
  <c r="CE105" i="16"/>
  <c r="BV105" i="16"/>
  <c r="BW105" i="16"/>
  <c r="CI105" i="16"/>
  <c r="CH105" i="16"/>
  <c r="CA105" i="16"/>
  <c r="BQ105" i="16"/>
  <c r="BS105" i="16"/>
  <c r="CG105" i="16"/>
  <c r="BR105" i="16"/>
  <c r="BP105" i="16"/>
  <c r="CB105" i="16"/>
  <c r="BT105" i="16"/>
  <c r="CF105" i="16"/>
  <c r="T75" i="6" l="1"/>
  <c r="U75" i="6"/>
  <c r="V75" i="6"/>
  <c r="W75" i="6"/>
  <c r="X75" i="6"/>
  <c r="Y75" i="6"/>
  <c r="Z75" i="6"/>
  <c r="AA75" i="6"/>
  <c r="AB75" i="6"/>
  <c r="AC75" i="6"/>
  <c r="AD75" i="6"/>
  <c r="AE75" i="6"/>
  <c r="AF75" i="6"/>
  <c r="AG75" i="6"/>
  <c r="AH75" i="6"/>
  <c r="U74" i="6"/>
  <c r="V74" i="6"/>
  <c r="W74" i="6"/>
  <c r="X74" i="6"/>
  <c r="Y74" i="6"/>
  <c r="Z74" i="6"/>
  <c r="AA74" i="6"/>
  <c r="AB74" i="6"/>
  <c r="AC74" i="6"/>
  <c r="AD74" i="6"/>
  <c r="AE74" i="6"/>
  <c r="AF74" i="6"/>
  <c r="AG74" i="6"/>
  <c r="AH74" i="6"/>
  <c r="T74" i="6"/>
  <c r="C75" i="6"/>
  <c r="D75" i="6"/>
  <c r="E75" i="6"/>
  <c r="F75" i="6"/>
  <c r="G75" i="6"/>
  <c r="H75" i="6"/>
  <c r="I75" i="6"/>
  <c r="J75" i="6"/>
  <c r="K75" i="6"/>
  <c r="L75" i="6"/>
  <c r="M75" i="6"/>
  <c r="N75" i="6"/>
  <c r="O75" i="6"/>
  <c r="P75" i="6"/>
  <c r="Q75" i="6"/>
  <c r="C76" i="6"/>
  <c r="D76" i="6"/>
  <c r="E76" i="6"/>
  <c r="F76" i="6"/>
  <c r="I76" i="6"/>
  <c r="J76" i="6"/>
  <c r="K76" i="6"/>
  <c r="L76" i="6"/>
  <c r="M76" i="6"/>
  <c r="N76" i="6"/>
  <c r="O76" i="6"/>
  <c r="P76" i="6"/>
  <c r="Q76" i="6"/>
  <c r="D74" i="6"/>
  <c r="E74" i="6"/>
  <c r="F74" i="6"/>
  <c r="G74" i="6"/>
  <c r="H74" i="6"/>
  <c r="I74" i="6"/>
  <c r="J74" i="6"/>
  <c r="K74" i="6"/>
  <c r="L74" i="6"/>
  <c r="M74" i="6"/>
  <c r="N74" i="6"/>
  <c r="O74" i="6"/>
  <c r="P74" i="6"/>
  <c r="Q74" i="6"/>
  <c r="C74" i="6"/>
  <c r="C72" i="6"/>
  <c r="D72" i="6"/>
  <c r="E72" i="6"/>
  <c r="F72" i="6"/>
  <c r="G72" i="6"/>
  <c r="H72" i="6"/>
  <c r="C73" i="6"/>
  <c r="D73" i="6"/>
  <c r="E73" i="6"/>
  <c r="F73" i="6"/>
  <c r="D71" i="6"/>
  <c r="E71" i="6"/>
  <c r="F71" i="6"/>
  <c r="H71" i="6"/>
  <c r="C71" i="6"/>
  <c r="T72" i="6"/>
  <c r="U72" i="6"/>
  <c r="V72" i="6"/>
  <c r="W72" i="6"/>
  <c r="X72" i="6"/>
  <c r="Y72" i="6"/>
  <c r="Z72" i="6"/>
  <c r="AA72" i="6"/>
  <c r="AB72" i="6"/>
  <c r="AC72" i="6"/>
  <c r="AD72" i="6"/>
  <c r="AE72" i="6"/>
  <c r="AF72" i="6"/>
  <c r="AG72" i="6"/>
  <c r="AH72" i="6"/>
  <c r="U71" i="6"/>
  <c r="V71" i="6"/>
  <c r="W71" i="6"/>
  <c r="X71" i="6"/>
  <c r="Y71" i="6"/>
  <c r="Z71" i="6"/>
  <c r="AA71" i="6"/>
  <c r="AB71" i="6"/>
  <c r="AC71" i="6"/>
  <c r="AD71" i="6"/>
  <c r="AE71" i="6"/>
  <c r="AF71" i="6"/>
  <c r="AG71" i="6"/>
  <c r="AH71" i="6"/>
  <c r="T71" i="6"/>
  <c r="I54" i="11"/>
  <c r="J54" i="11"/>
  <c r="K54" i="11"/>
  <c r="L54" i="11"/>
  <c r="M54" i="11"/>
  <c r="N54" i="11"/>
  <c r="O54" i="11"/>
  <c r="P54" i="11"/>
  <c r="Q54" i="11"/>
  <c r="J53" i="11"/>
  <c r="K53" i="11"/>
  <c r="L53" i="11"/>
  <c r="M53" i="11"/>
  <c r="N53" i="11"/>
  <c r="O53" i="11"/>
  <c r="P53" i="11"/>
  <c r="Q53" i="11"/>
  <c r="I53" i="11"/>
  <c r="I51" i="11"/>
  <c r="J51" i="11"/>
  <c r="K51" i="11"/>
  <c r="L51" i="11"/>
  <c r="M51" i="11"/>
  <c r="N51" i="11"/>
  <c r="O51" i="11"/>
  <c r="P51" i="11"/>
  <c r="Q51" i="11"/>
  <c r="J50" i="11"/>
  <c r="K50" i="11"/>
  <c r="L50" i="11"/>
  <c r="M50" i="11"/>
  <c r="N50" i="11"/>
  <c r="O50" i="11"/>
  <c r="P50" i="11"/>
  <c r="Q50" i="11"/>
  <c r="I50" i="11"/>
  <c r="T27" i="3"/>
  <c r="U27" i="3"/>
  <c r="V27" i="3"/>
  <c r="W27" i="3"/>
  <c r="X27" i="3"/>
  <c r="Y27" i="3"/>
  <c r="Z27" i="3"/>
  <c r="AA27" i="3"/>
  <c r="AB27" i="3"/>
  <c r="AC27" i="3"/>
  <c r="AD27" i="3"/>
  <c r="AE27" i="3"/>
  <c r="AF27" i="3"/>
  <c r="AG27" i="3"/>
  <c r="AH27" i="3"/>
  <c r="U26" i="3"/>
  <c r="V26" i="3"/>
  <c r="W26" i="3"/>
  <c r="X26" i="3"/>
  <c r="Y26" i="3"/>
  <c r="Z26" i="3"/>
  <c r="AA26" i="3"/>
  <c r="AB26" i="3"/>
  <c r="AC26" i="3"/>
  <c r="AD26" i="3"/>
  <c r="AE26" i="3"/>
  <c r="AF26" i="3"/>
  <c r="AG26" i="3"/>
  <c r="AH26" i="3"/>
  <c r="T26" i="3"/>
  <c r="T24" i="3"/>
  <c r="U24" i="3"/>
  <c r="V24" i="3"/>
  <c r="W24" i="3"/>
  <c r="X24" i="3"/>
  <c r="Y24" i="3"/>
  <c r="Z24" i="3"/>
  <c r="AA24" i="3"/>
  <c r="AB24" i="3"/>
  <c r="AC24" i="3"/>
  <c r="AD24" i="3"/>
  <c r="AE24" i="3"/>
  <c r="AF24" i="3"/>
  <c r="AG24" i="3"/>
  <c r="AH24" i="3"/>
  <c r="U23" i="3"/>
  <c r="V23" i="3"/>
  <c r="W23" i="3"/>
  <c r="X23" i="3"/>
  <c r="Y23" i="3"/>
  <c r="Z23" i="3"/>
  <c r="AA23" i="3"/>
  <c r="AB23" i="3"/>
  <c r="AC23" i="3"/>
  <c r="AD23" i="3"/>
  <c r="AE23" i="3"/>
  <c r="AF23" i="3"/>
  <c r="AG23" i="3"/>
  <c r="AH23" i="3"/>
  <c r="T23" i="3"/>
  <c r="C54" i="11"/>
  <c r="D54" i="11"/>
  <c r="E54" i="11"/>
  <c r="F54" i="11"/>
  <c r="G54" i="11"/>
  <c r="H54" i="11"/>
  <c r="D53" i="11"/>
  <c r="E53" i="11"/>
  <c r="F53" i="11"/>
  <c r="G53" i="11"/>
  <c r="C53" i="11"/>
  <c r="C51" i="11"/>
  <c r="D51" i="11"/>
  <c r="E51" i="11"/>
  <c r="F51" i="11"/>
  <c r="G51" i="11"/>
  <c r="H51" i="11"/>
  <c r="D50" i="11"/>
  <c r="E50" i="11"/>
  <c r="F50" i="11"/>
  <c r="C50" i="11"/>
  <c r="AH46" i="11"/>
  <c r="AG46" i="11"/>
  <c r="AF46" i="11"/>
  <c r="AE46" i="11"/>
  <c r="AD46" i="11"/>
  <c r="AC46" i="11"/>
  <c r="AB46" i="11"/>
  <c r="AA46" i="11"/>
  <c r="Z46" i="11"/>
  <c r="W46" i="11"/>
  <c r="V46" i="11"/>
  <c r="U46" i="11"/>
  <c r="T46" i="11"/>
  <c r="AH43" i="11"/>
  <c r="AG43" i="11"/>
  <c r="AF43" i="11"/>
  <c r="AE43" i="11"/>
  <c r="AD43" i="11"/>
  <c r="AC43" i="11"/>
  <c r="AB43" i="11"/>
  <c r="AA43" i="11"/>
  <c r="Z43" i="11"/>
  <c r="W43" i="11"/>
  <c r="V43" i="11"/>
  <c r="U43" i="11"/>
  <c r="T43" i="11"/>
  <c r="O43" i="11"/>
  <c r="I43" i="11"/>
  <c r="Y41" i="11"/>
  <c r="H41" i="11"/>
  <c r="H53" i="11" s="1"/>
  <c r="AH40" i="11"/>
  <c r="AG40" i="11"/>
  <c r="AF40" i="11"/>
  <c r="AE40" i="11"/>
  <c r="AD40" i="11"/>
  <c r="AB40" i="11"/>
  <c r="AA40" i="11"/>
  <c r="Z40" i="11"/>
  <c r="W40" i="11"/>
  <c r="V40" i="11"/>
  <c r="U40" i="11"/>
  <c r="T40" i="11"/>
  <c r="AH37" i="11"/>
  <c r="AG37" i="11"/>
  <c r="AF37" i="11"/>
  <c r="AE37" i="11"/>
  <c r="AD37" i="11"/>
  <c r="AC37" i="11"/>
  <c r="AB37" i="11"/>
  <c r="AA37" i="11"/>
  <c r="Z37" i="11"/>
  <c r="W37" i="11"/>
  <c r="V37" i="11"/>
  <c r="U37" i="11"/>
  <c r="T37" i="11"/>
  <c r="Q37" i="11"/>
  <c r="P37" i="11"/>
  <c r="O37" i="11"/>
  <c r="N37" i="11"/>
  <c r="M37" i="11"/>
  <c r="L37" i="11"/>
  <c r="K37" i="11"/>
  <c r="J37" i="11"/>
  <c r="I37" i="11"/>
  <c r="F37" i="11"/>
  <c r="E37" i="11"/>
  <c r="D37" i="11"/>
  <c r="C37" i="11"/>
  <c r="AH34" i="11"/>
  <c r="AG34" i="11"/>
  <c r="AF34" i="11"/>
  <c r="AE34" i="11"/>
  <c r="AD34" i="11"/>
  <c r="AC34" i="11"/>
  <c r="AB34" i="11"/>
  <c r="AA34" i="11"/>
  <c r="Z34" i="11"/>
  <c r="W34" i="11"/>
  <c r="V34" i="11"/>
  <c r="U34" i="11"/>
  <c r="T34" i="11"/>
  <c r="Q34" i="11"/>
  <c r="P34" i="11"/>
  <c r="M34" i="11"/>
  <c r="L34" i="11"/>
  <c r="K34" i="11"/>
  <c r="J34" i="11"/>
  <c r="I34" i="11"/>
  <c r="F34" i="11"/>
  <c r="E34" i="11"/>
  <c r="D34" i="11"/>
  <c r="C34" i="11"/>
  <c r="AH31" i="11"/>
  <c r="AG31" i="11"/>
  <c r="AF31" i="11"/>
  <c r="AE31" i="11"/>
  <c r="AD31" i="11"/>
  <c r="AC31" i="11"/>
  <c r="AB31" i="11"/>
  <c r="AA31" i="11"/>
  <c r="Z31" i="11"/>
  <c r="W31" i="11"/>
  <c r="V31" i="11"/>
  <c r="U31" i="11"/>
  <c r="T31" i="11"/>
  <c r="Q31" i="11"/>
  <c r="P31" i="11"/>
  <c r="O31" i="11"/>
  <c r="N31" i="11"/>
  <c r="M31" i="11"/>
  <c r="L31" i="11"/>
  <c r="K31" i="11"/>
  <c r="J31" i="11"/>
  <c r="I31" i="11"/>
  <c r="F31" i="11"/>
  <c r="E31" i="11"/>
  <c r="D31" i="11"/>
  <c r="C31" i="11"/>
  <c r="AH54" i="11"/>
  <c r="AG54" i="11"/>
  <c r="AF54" i="11"/>
  <c r="AE54" i="11"/>
  <c r="AD54" i="11"/>
  <c r="AC54" i="11"/>
  <c r="AB54" i="11"/>
  <c r="AA54" i="11"/>
  <c r="Z54" i="11"/>
  <c r="Y54" i="11"/>
  <c r="X54" i="11"/>
  <c r="W54" i="11"/>
  <c r="V54" i="11"/>
  <c r="U54" i="11"/>
  <c r="T54" i="11"/>
  <c r="AH53" i="11"/>
  <c r="AG53" i="11"/>
  <c r="AF53" i="11"/>
  <c r="AE53" i="11"/>
  <c r="AD53" i="11"/>
  <c r="AC53" i="11"/>
  <c r="AB53" i="11"/>
  <c r="AA53" i="11"/>
  <c r="Z53" i="11"/>
  <c r="Y53" i="11"/>
  <c r="X53" i="11"/>
  <c r="W53" i="11"/>
  <c r="V53" i="11"/>
  <c r="U53" i="11"/>
  <c r="T53" i="11"/>
  <c r="AH51" i="11"/>
  <c r="AG51" i="11"/>
  <c r="AF51" i="11"/>
  <c r="AE51" i="11"/>
  <c r="AD51" i="11"/>
  <c r="AC51" i="11"/>
  <c r="AB51" i="11"/>
  <c r="AA51" i="11"/>
  <c r="Z51" i="11"/>
  <c r="Y51" i="11"/>
  <c r="X51" i="11"/>
  <c r="W51" i="11"/>
  <c r="V51" i="11"/>
  <c r="U51" i="11"/>
  <c r="T51" i="11"/>
  <c r="AH50" i="11"/>
  <c r="AG50" i="11"/>
  <c r="AF50" i="11"/>
  <c r="AE50" i="11"/>
  <c r="AD50" i="11"/>
  <c r="AC50" i="11"/>
  <c r="AB50" i="11"/>
  <c r="AA50" i="11"/>
  <c r="Z50" i="11"/>
  <c r="Y50" i="11"/>
  <c r="X50" i="11"/>
  <c r="W50" i="11"/>
  <c r="V50" i="11"/>
  <c r="U50" i="11"/>
  <c r="T50" i="11"/>
  <c r="AH28" i="11"/>
  <c r="AG28" i="11"/>
  <c r="AF28" i="11"/>
  <c r="AD28" i="11"/>
  <c r="AC28" i="11"/>
  <c r="AB28" i="11"/>
  <c r="AA28" i="11"/>
  <c r="Z28" i="11"/>
  <c r="W28" i="11"/>
  <c r="V28" i="11"/>
  <c r="U28" i="11"/>
  <c r="T28" i="11"/>
  <c r="Q28" i="11"/>
  <c r="P28" i="11"/>
  <c r="O28" i="11"/>
  <c r="M28" i="11"/>
  <c r="L28" i="11"/>
  <c r="K28" i="11"/>
  <c r="J28" i="11"/>
  <c r="I28" i="11"/>
  <c r="F28" i="11"/>
  <c r="E28" i="11"/>
  <c r="D28" i="11"/>
  <c r="C28" i="11"/>
  <c r="AH25" i="11"/>
  <c r="AG25" i="11"/>
  <c r="AF25" i="11"/>
  <c r="AE25" i="11"/>
  <c r="AD25" i="11"/>
  <c r="AC25" i="11"/>
  <c r="AB25" i="11"/>
  <c r="AA25" i="11"/>
  <c r="Z25" i="11"/>
  <c r="W25" i="11"/>
  <c r="V25" i="11"/>
  <c r="U25" i="11"/>
  <c r="T25" i="11"/>
  <c r="Q25" i="11"/>
  <c r="P25" i="11"/>
  <c r="O25" i="11"/>
  <c r="N25" i="11"/>
  <c r="M25" i="11"/>
  <c r="L25" i="11"/>
  <c r="K25" i="11"/>
  <c r="J25" i="11"/>
  <c r="I25" i="11"/>
  <c r="F25" i="11"/>
  <c r="E25" i="11"/>
  <c r="D25" i="11"/>
  <c r="C25" i="11"/>
  <c r="AH22" i="11"/>
  <c r="AG22" i="11"/>
  <c r="AF22" i="11"/>
  <c r="AE22" i="11"/>
  <c r="AD22" i="11"/>
  <c r="AC22" i="11"/>
  <c r="AB22" i="11"/>
  <c r="AA22" i="11"/>
  <c r="Z22" i="11"/>
  <c r="W22" i="11"/>
  <c r="V22" i="11"/>
  <c r="U22" i="11"/>
  <c r="T22" i="11"/>
  <c r="Q22" i="11"/>
  <c r="P22" i="11"/>
  <c r="O22" i="11"/>
  <c r="N22" i="11"/>
  <c r="M22" i="11"/>
  <c r="L22" i="11"/>
  <c r="K22" i="11"/>
  <c r="J22" i="11"/>
  <c r="I22" i="11"/>
  <c r="F22" i="11"/>
  <c r="E22" i="11"/>
  <c r="D22" i="11"/>
  <c r="C22" i="11"/>
  <c r="AH19" i="11"/>
  <c r="AG19" i="11"/>
  <c r="AF19" i="11"/>
  <c r="AE19" i="11"/>
  <c r="AD19" i="11"/>
  <c r="AC19" i="11"/>
  <c r="AB19" i="11"/>
  <c r="AA19" i="11"/>
  <c r="Z19" i="11"/>
  <c r="W19" i="11"/>
  <c r="V19" i="11"/>
  <c r="U19" i="11"/>
  <c r="T19" i="11"/>
  <c r="Q19" i="11"/>
  <c r="P19" i="11"/>
  <c r="O19" i="11"/>
  <c r="N19" i="11"/>
  <c r="M19" i="11"/>
  <c r="L19" i="11"/>
  <c r="K19" i="11"/>
  <c r="J19" i="11"/>
  <c r="I19" i="11"/>
  <c r="F19" i="11"/>
  <c r="E19" i="11"/>
  <c r="D19" i="11"/>
  <c r="C19" i="11"/>
  <c r="AH16" i="11"/>
  <c r="AG16" i="11"/>
  <c r="AF16" i="11"/>
  <c r="AE16" i="11"/>
  <c r="AD16" i="11"/>
  <c r="AB16" i="11"/>
  <c r="Z16" i="11"/>
  <c r="W16" i="11"/>
  <c r="V16" i="11"/>
  <c r="U16" i="11"/>
  <c r="T16" i="11"/>
  <c r="Q16" i="11"/>
  <c r="P16" i="11"/>
  <c r="O16" i="11"/>
  <c r="N16" i="11"/>
  <c r="M16" i="11"/>
  <c r="K16" i="11"/>
  <c r="I16" i="11"/>
  <c r="F16" i="11"/>
  <c r="E16" i="11"/>
  <c r="D16" i="11"/>
  <c r="C16" i="11"/>
  <c r="AH13" i="11"/>
  <c r="AG13" i="11"/>
  <c r="AF13" i="11"/>
  <c r="AE13" i="11"/>
  <c r="AD13" i="11"/>
  <c r="AC13" i="11"/>
  <c r="AB13" i="11"/>
  <c r="AA13" i="11"/>
  <c r="Z13" i="11"/>
  <c r="W13" i="11"/>
  <c r="V13" i="11"/>
  <c r="U13" i="11"/>
  <c r="T13" i="11"/>
  <c r="Q13" i="11"/>
  <c r="P13" i="11"/>
  <c r="O13" i="11"/>
  <c r="N13" i="11"/>
  <c r="M13" i="11"/>
  <c r="L13" i="11"/>
  <c r="K13" i="11"/>
  <c r="J13" i="11"/>
  <c r="I13" i="11"/>
  <c r="F13" i="11"/>
  <c r="E13" i="11"/>
  <c r="D13" i="11"/>
  <c r="C13" i="11"/>
  <c r="AH10" i="11"/>
  <c r="AG10" i="11"/>
  <c r="AF10" i="11"/>
  <c r="AE10" i="11"/>
  <c r="AD10" i="11"/>
  <c r="AC10" i="11"/>
  <c r="AB10" i="11"/>
  <c r="AA10" i="11"/>
  <c r="Z10" i="11"/>
  <c r="W10" i="11"/>
  <c r="V10" i="11"/>
  <c r="U10" i="11"/>
  <c r="T10" i="11"/>
  <c r="Q10" i="11"/>
  <c r="P10" i="11"/>
  <c r="O10" i="11"/>
  <c r="N10" i="11"/>
  <c r="M10" i="11"/>
  <c r="L10" i="11"/>
  <c r="K10" i="11"/>
  <c r="J10" i="11"/>
  <c r="I10" i="11"/>
  <c r="F10" i="11"/>
  <c r="E10" i="11"/>
  <c r="D10" i="11"/>
  <c r="C10" i="11"/>
  <c r="AH7" i="11"/>
  <c r="AG7" i="11"/>
  <c r="AF7" i="11"/>
  <c r="AE7" i="11"/>
  <c r="AD7" i="11"/>
  <c r="AC7" i="11"/>
  <c r="AB7" i="11"/>
  <c r="AA7" i="11"/>
  <c r="Z7" i="11"/>
  <c r="W7" i="11"/>
  <c r="V7" i="11"/>
  <c r="U7" i="11"/>
  <c r="T7" i="11"/>
  <c r="Q7" i="11"/>
  <c r="P7" i="11"/>
  <c r="O7" i="11"/>
  <c r="N7" i="11"/>
  <c r="M7" i="11"/>
  <c r="L7" i="11"/>
  <c r="K7" i="11"/>
  <c r="J7" i="11"/>
  <c r="I7" i="11"/>
  <c r="F7" i="11"/>
  <c r="E7" i="11"/>
  <c r="D7" i="11"/>
  <c r="C7" i="11"/>
  <c r="AH4" i="11"/>
  <c r="AG4" i="11"/>
  <c r="AF4" i="11"/>
  <c r="AE4" i="11"/>
  <c r="AD4" i="11"/>
  <c r="AC4" i="11"/>
  <c r="AB4" i="11"/>
  <c r="AA4" i="11"/>
  <c r="Z4" i="11"/>
  <c r="W4" i="11"/>
  <c r="V4" i="11"/>
  <c r="U4" i="11"/>
  <c r="T4" i="11"/>
  <c r="I155" i="10"/>
  <c r="I152" i="10"/>
  <c r="C149" i="10"/>
  <c r="C146" i="10"/>
  <c r="J143" i="10"/>
  <c r="J140" i="10"/>
  <c r="J137" i="10"/>
  <c r="J134" i="10"/>
  <c r="J131" i="10"/>
  <c r="I131" i="10"/>
  <c r="H131" i="10"/>
  <c r="G131" i="10"/>
  <c r="F131" i="10"/>
  <c r="E131" i="10"/>
  <c r="D131" i="10"/>
  <c r="C131" i="10"/>
  <c r="B131" i="10"/>
  <c r="J128" i="10"/>
  <c r="I128" i="10"/>
  <c r="H128" i="10"/>
  <c r="G128" i="10"/>
  <c r="F128" i="10"/>
  <c r="E128" i="10"/>
  <c r="D128" i="10"/>
  <c r="C128" i="10"/>
  <c r="B128" i="10"/>
  <c r="J125" i="10"/>
  <c r="I125" i="10"/>
  <c r="H125" i="10"/>
  <c r="G125" i="10"/>
  <c r="F125" i="10"/>
  <c r="E125" i="10"/>
  <c r="D125" i="10"/>
  <c r="C125" i="10"/>
  <c r="B125" i="10"/>
  <c r="J122" i="10"/>
  <c r="I122" i="10"/>
  <c r="H122" i="10"/>
  <c r="G122" i="10"/>
  <c r="F122" i="10"/>
  <c r="E122" i="10"/>
  <c r="D122" i="10"/>
  <c r="C122" i="10"/>
  <c r="B122" i="10"/>
  <c r="J119" i="10"/>
  <c r="H119" i="10"/>
  <c r="G119" i="10"/>
  <c r="F119" i="10"/>
  <c r="E119" i="10"/>
  <c r="D119" i="10"/>
  <c r="C119" i="10"/>
  <c r="B119" i="10"/>
  <c r="J116" i="10"/>
  <c r="I116" i="10"/>
  <c r="H116" i="10"/>
  <c r="G116" i="10"/>
  <c r="F116" i="10"/>
  <c r="E116" i="10"/>
  <c r="D116" i="10"/>
  <c r="C116" i="10"/>
  <c r="B116" i="10"/>
  <c r="J113" i="10"/>
  <c r="I113" i="10"/>
  <c r="H113" i="10"/>
  <c r="G113" i="10"/>
  <c r="F113" i="10"/>
  <c r="E113" i="10"/>
  <c r="D113" i="10"/>
  <c r="C113" i="10"/>
  <c r="B113" i="10"/>
  <c r="J110" i="10"/>
  <c r="I110" i="10"/>
  <c r="H110" i="10"/>
  <c r="G110" i="10"/>
  <c r="F110" i="10"/>
  <c r="E110" i="10"/>
  <c r="D110" i="10"/>
  <c r="C110" i="10"/>
  <c r="B110" i="10"/>
  <c r="H104" i="10"/>
  <c r="H101" i="10"/>
  <c r="H98" i="10"/>
  <c r="H95" i="10"/>
  <c r="J92" i="10"/>
  <c r="I92" i="10"/>
  <c r="H92" i="10"/>
  <c r="G92" i="10"/>
  <c r="F92" i="10"/>
  <c r="D92" i="10"/>
  <c r="C92" i="10"/>
  <c r="B92" i="10"/>
  <c r="J89" i="10"/>
  <c r="I89" i="10"/>
  <c r="H89" i="10"/>
  <c r="G89" i="10"/>
  <c r="F89" i="10"/>
  <c r="D89" i="10"/>
  <c r="C89" i="10"/>
  <c r="B89" i="10"/>
  <c r="J86" i="10"/>
  <c r="I86" i="10"/>
  <c r="H86" i="10"/>
  <c r="G86" i="10"/>
  <c r="F86" i="10"/>
  <c r="E86" i="10"/>
  <c r="D86" i="10"/>
  <c r="B86" i="10"/>
  <c r="J83" i="10"/>
  <c r="I83" i="10"/>
  <c r="H83" i="10"/>
  <c r="G83" i="10"/>
  <c r="F83" i="10"/>
  <c r="E83" i="10"/>
  <c r="D83" i="10"/>
  <c r="B83" i="10"/>
  <c r="J80" i="10"/>
  <c r="I80" i="10"/>
  <c r="H80" i="10"/>
  <c r="G80" i="10"/>
  <c r="F80" i="10"/>
  <c r="E80" i="10"/>
  <c r="D80" i="10"/>
  <c r="C80" i="10"/>
  <c r="B80" i="10"/>
  <c r="J77" i="10"/>
  <c r="I77" i="10"/>
  <c r="H77" i="10"/>
  <c r="G77" i="10"/>
  <c r="F77" i="10"/>
  <c r="E77" i="10"/>
  <c r="D77" i="10"/>
  <c r="C77" i="10"/>
  <c r="B77" i="10"/>
  <c r="C66" i="10"/>
  <c r="C63" i="10"/>
  <c r="G60" i="10"/>
  <c r="F60" i="10"/>
  <c r="G57" i="10"/>
  <c r="F57" i="10"/>
  <c r="J54" i="10"/>
  <c r="F54" i="10"/>
  <c r="C54" i="10"/>
  <c r="J51" i="10"/>
  <c r="F51" i="10"/>
  <c r="C51" i="10"/>
  <c r="I48" i="10"/>
  <c r="H48" i="10"/>
  <c r="G48" i="10"/>
  <c r="F48" i="10"/>
  <c r="I45" i="10"/>
  <c r="H45" i="10"/>
  <c r="G45" i="10"/>
  <c r="F45"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J27" i="10"/>
  <c r="I27" i="10"/>
  <c r="H27" i="10"/>
  <c r="G27" i="10"/>
  <c r="F27" i="10"/>
  <c r="E27" i="10"/>
  <c r="D27" i="10"/>
  <c r="C27" i="10"/>
  <c r="B27" i="10"/>
  <c r="J22" i="10"/>
  <c r="I22" i="10"/>
  <c r="H22" i="10"/>
  <c r="J19" i="10"/>
  <c r="I19" i="10"/>
  <c r="H19" i="10"/>
  <c r="J16" i="10"/>
  <c r="I16" i="10"/>
  <c r="H16" i="10"/>
  <c r="G16" i="10"/>
  <c r="F16" i="10"/>
  <c r="E16" i="10"/>
  <c r="D16" i="10"/>
  <c r="C16" i="10"/>
  <c r="B16" i="10"/>
  <c r="J13" i="10"/>
  <c r="I13" i="10"/>
  <c r="H13" i="10"/>
  <c r="G13" i="10"/>
  <c r="F13" i="10"/>
  <c r="E13" i="10"/>
  <c r="D13" i="10"/>
  <c r="C13" i="10"/>
  <c r="B13" i="10"/>
  <c r="K7" i="10"/>
  <c r="J7" i="10"/>
  <c r="I7" i="10"/>
  <c r="H7" i="10"/>
  <c r="G7" i="10"/>
  <c r="F7" i="10"/>
  <c r="E7" i="10"/>
  <c r="D7" i="10"/>
  <c r="C7" i="10"/>
  <c r="K4" i="10"/>
  <c r="J4" i="10"/>
  <c r="I4" i="10"/>
  <c r="H4" i="10"/>
  <c r="G4" i="10"/>
  <c r="F4" i="10"/>
  <c r="E4" i="10"/>
  <c r="D4" i="10"/>
  <c r="C4" i="10"/>
  <c r="U95" i="8"/>
  <c r="W95" i="8" s="1"/>
  <c r="T95" i="8"/>
  <c r="V95" i="8" s="1"/>
  <c r="U94" i="8"/>
  <c r="W94" i="8" s="1"/>
  <c r="T94" i="8"/>
  <c r="V94" i="8" s="1"/>
  <c r="U93" i="8"/>
  <c r="W93" i="8" s="1"/>
  <c r="T93" i="8"/>
  <c r="V93" i="8" s="1"/>
  <c r="B81" i="8"/>
  <c r="F80" i="8"/>
  <c r="F79" i="8"/>
  <c r="E79" i="8"/>
  <c r="C79" i="8"/>
  <c r="F78" i="8"/>
  <c r="E78" i="8"/>
  <c r="C78" i="8"/>
  <c r="O77" i="8"/>
  <c r="N77" i="8"/>
  <c r="J77" i="8"/>
  <c r="I77" i="8"/>
  <c r="H77" i="8"/>
  <c r="G77" i="8"/>
  <c r="D77" i="8"/>
  <c r="B77" i="8"/>
  <c r="O76" i="8"/>
  <c r="N76" i="8"/>
  <c r="J76" i="8"/>
  <c r="I76" i="8"/>
  <c r="H76" i="8"/>
  <c r="G76" i="8"/>
  <c r="D76" i="8"/>
  <c r="B76" i="8"/>
  <c r="O75" i="8"/>
  <c r="N75" i="8"/>
  <c r="J75" i="8"/>
  <c r="H75" i="8"/>
  <c r="G75" i="8"/>
  <c r="D75" i="8"/>
  <c r="B75" i="8"/>
  <c r="U73" i="8"/>
  <c r="W73" i="8" s="1"/>
  <c r="T73" i="8"/>
  <c r="V73" i="8" s="1"/>
  <c r="U72" i="8"/>
  <c r="W72" i="8" s="1"/>
  <c r="T72" i="8"/>
  <c r="V72" i="8" s="1"/>
  <c r="U71" i="8"/>
  <c r="W71" i="8" s="1"/>
  <c r="T71" i="8"/>
  <c r="V71" i="8" s="1"/>
  <c r="U70" i="8"/>
  <c r="W70" i="8" s="1"/>
  <c r="T70" i="8"/>
  <c r="V70" i="8" s="1"/>
  <c r="U69" i="8"/>
  <c r="W69" i="8" s="1"/>
  <c r="T69" i="8"/>
  <c r="V69" i="8" s="1"/>
  <c r="U68" i="8"/>
  <c r="W68" i="8" s="1"/>
  <c r="T68" i="8"/>
  <c r="V68" i="8" s="1"/>
  <c r="U67" i="8"/>
  <c r="W67" i="8" s="1"/>
  <c r="T67" i="8"/>
  <c r="V67" i="8" s="1"/>
  <c r="U66" i="8"/>
  <c r="W66" i="8" s="1"/>
  <c r="T66" i="8"/>
  <c r="V66" i="8" s="1"/>
  <c r="U65" i="8"/>
  <c r="W65" i="8" s="1"/>
  <c r="T65" i="8"/>
  <c r="V65" i="8" s="1"/>
  <c r="U64" i="8"/>
  <c r="W64" i="8" s="1"/>
  <c r="T64" i="8"/>
  <c r="V64" i="8" s="1"/>
  <c r="U63" i="8"/>
  <c r="W63" i="8" s="1"/>
  <c r="T63" i="8"/>
  <c r="V63" i="8" s="1"/>
  <c r="U62" i="8"/>
  <c r="W62" i="8" s="1"/>
  <c r="T62" i="8"/>
  <c r="V62" i="8" s="1"/>
  <c r="U61" i="8"/>
  <c r="W61" i="8" s="1"/>
  <c r="T61" i="8"/>
  <c r="V61" i="8" s="1"/>
  <c r="U59" i="8"/>
  <c r="W59" i="8" s="1"/>
  <c r="T59" i="8"/>
  <c r="V59" i="8" s="1"/>
  <c r="U57" i="8"/>
  <c r="W57" i="8" s="1"/>
  <c r="T57" i="8"/>
  <c r="V57" i="8" s="1"/>
  <c r="U55" i="8"/>
  <c r="W55" i="8" s="1"/>
  <c r="T55" i="8"/>
  <c r="V55" i="8" s="1"/>
  <c r="U54" i="8"/>
  <c r="W54" i="8" s="1"/>
  <c r="T54" i="8"/>
  <c r="V54" i="8" s="1"/>
  <c r="U53" i="8"/>
  <c r="W53" i="8" s="1"/>
  <c r="T53" i="8"/>
  <c r="V53" i="8" s="1"/>
  <c r="U52" i="8"/>
  <c r="W52" i="8" s="1"/>
  <c r="T52" i="8"/>
  <c r="V52" i="8" s="1"/>
  <c r="U51" i="8"/>
  <c r="W51" i="8" s="1"/>
  <c r="T51" i="8"/>
  <c r="V51" i="8" s="1"/>
  <c r="U32" i="8"/>
  <c r="W32" i="8" s="1"/>
  <c r="T32" i="8"/>
  <c r="V32" i="8" s="1"/>
  <c r="W31" i="8"/>
  <c r="V31" i="8"/>
  <c r="V30" i="8"/>
  <c r="U30" i="8"/>
  <c r="W30" i="8" s="1"/>
  <c r="U96" i="8"/>
  <c r="W96" i="8" s="1"/>
  <c r="T96" i="8"/>
  <c r="V96" i="8" s="1"/>
  <c r="U29" i="8"/>
  <c r="W29" i="8" s="1"/>
  <c r="T29" i="8"/>
  <c r="V29" i="8" s="1"/>
  <c r="U25" i="8"/>
  <c r="W25" i="8" s="1"/>
  <c r="T25" i="8"/>
  <c r="V25" i="8" s="1"/>
  <c r="U24" i="8"/>
  <c r="W24" i="8" s="1"/>
  <c r="T24" i="8"/>
  <c r="V24" i="8" s="1"/>
  <c r="U23" i="8"/>
  <c r="W23" i="8" s="1"/>
  <c r="T23" i="8"/>
  <c r="V23" i="8" s="1"/>
  <c r="W22" i="8"/>
  <c r="V22" i="8"/>
  <c r="U21" i="8"/>
  <c r="W21" i="8" s="1"/>
  <c r="T21" i="8"/>
  <c r="V21" i="8" s="1"/>
  <c r="U20" i="8"/>
  <c r="W20" i="8" s="1"/>
  <c r="T20" i="8"/>
  <c r="V20" i="8" s="1"/>
  <c r="U10" i="8"/>
  <c r="W10" i="8" s="1"/>
  <c r="T10" i="8"/>
  <c r="V10" i="8" s="1"/>
  <c r="U9" i="8"/>
  <c r="W9" i="8" s="1"/>
  <c r="T9" i="8"/>
  <c r="V9" i="8" s="1"/>
  <c r="W8" i="8"/>
  <c r="V8" i="8"/>
  <c r="U7" i="8"/>
  <c r="W7" i="8" s="1"/>
  <c r="T7" i="8"/>
  <c r="V7" i="8" s="1"/>
  <c r="U6" i="8"/>
  <c r="W6" i="8" s="1"/>
  <c r="T6" i="8"/>
  <c r="V6" i="8" s="1"/>
  <c r="U5" i="8"/>
  <c r="W5" i="8" s="1"/>
  <c r="T5" i="8"/>
  <c r="V5" i="8" s="1"/>
  <c r="U4" i="8"/>
  <c r="W4" i="8" s="1"/>
  <c r="T4" i="8"/>
  <c r="V4" i="8" s="1"/>
  <c r="U3" i="8"/>
  <c r="W3" i="8" s="1"/>
  <c r="T3" i="8"/>
  <c r="V3" i="8" s="1"/>
  <c r="AH67" i="6"/>
  <c r="AG67" i="6"/>
  <c r="AF67" i="6"/>
  <c r="AD67" i="6"/>
  <c r="AC67" i="6"/>
  <c r="AB67" i="6"/>
  <c r="AA67" i="6"/>
  <c r="Z67" i="6"/>
  <c r="W67" i="6"/>
  <c r="V67" i="6"/>
  <c r="U67" i="6"/>
  <c r="T67" i="6"/>
  <c r="AH64" i="6"/>
  <c r="AG64" i="6"/>
  <c r="AF64" i="6"/>
  <c r="AE64" i="6"/>
  <c r="AD64" i="6"/>
  <c r="AC64" i="6"/>
  <c r="AB64" i="6"/>
  <c r="AA64" i="6"/>
  <c r="Z64" i="6"/>
  <c r="W64" i="6"/>
  <c r="V64" i="6"/>
  <c r="U64" i="6"/>
  <c r="T64" i="6"/>
  <c r="AH61" i="6"/>
  <c r="AG61" i="6"/>
  <c r="AF61" i="6"/>
  <c r="AE61" i="6"/>
  <c r="AD61" i="6"/>
  <c r="AC61" i="6"/>
  <c r="AB61" i="6"/>
  <c r="AA61" i="6"/>
  <c r="Z61" i="6"/>
  <c r="W61" i="6"/>
  <c r="V61" i="6"/>
  <c r="U61" i="6"/>
  <c r="T61" i="6"/>
  <c r="AH58" i="6"/>
  <c r="AF58" i="6"/>
  <c r="AE58" i="6"/>
  <c r="AD58" i="6"/>
  <c r="AC58" i="6"/>
  <c r="AB58" i="6"/>
  <c r="AA58" i="6"/>
  <c r="Z58" i="6"/>
  <c r="W58" i="6"/>
  <c r="V58" i="6"/>
  <c r="U58" i="6"/>
  <c r="T58" i="6"/>
  <c r="AH55" i="6"/>
  <c r="AG55" i="6"/>
  <c r="AF55" i="6"/>
  <c r="AE55" i="6"/>
  <c r="AD55" i="6"/>
  <c r="AC55" i="6"/>
  <c r="AB55" i="6"/>
  <c r="AA55" i="6"/>
  <c r="Z55" i="6"/>
  <c r="W55" i="6"/>
  <c r="V55" i="6"/>
  <c r="U55" i="6"/>
  <c r="T55" i="6"/>
  <c r="AH52" i="6"/>
  <c r="AF52" i="6"/>
  <c r="AE52" i="6"/>
  <c r="AD52" i="6"/>
  <c r="AC52" i="6"/>
  <c r="AB52" i="6"/>
  <c r="AA52" i="6"/>
  <c r="Z52" i="6"/>
  <c r="W52" i="6"/>
  <c r="V52" i="6"/>
  <c r="U52" i="6"/>
  <c r="T52" i="6"/>
  <c r="AH49" i="6"/>
  <c r="AG49" i="6"/>
  <c r="AF49" i="6"/>
  <c r="AE49" i="6"/>
  <c r="AD49" i="6"/>
  <c r="AC49" i="6"/>
  <c r="AB49" i="6"/>
  <c r="AA49" i="6"/>
  <c r="Z49" i="6"/>
  <c r="W49" i="6"/>
  <c r="V49" i="6"/>
  <c r="U49" i="6"/>
  <c r="T49" i="6"/>
  <c r="AH46" i="6"/>
  <c r="AG46" i="6"/>
  <c r="AF46" i="6"/>
  <c r="AE46" i="6"/>
  <c r="AD46" i="6"/>
  <c r="AC46" i="6"/>
  <c r="AA46" i="6"/>
  <c r="Z46" i="6"/>
  <c r="W46" i="6"/>
  <c r="V46" i="6"/>
  <c r="U46" i="6"/>
  <c r="T46" i="6"/>
  <c r="AH43" i="6"/>
  <c r="AG43" i="6"/>
  <c r="AF43" i="6"/>
  <c r="AE43" i="6"/>
  <c r="AD43" i="6"/>
  <c r="AC43" i="6"/>
  <c r="AB43" i="6"/>
  <c r="AA43" i="6"/>
  <c r="Z43" i="6"/>
  <c r="W43" i="6"/>
  <c r="V43" i="6"/>
  <c r="U43" i="6"/>
  <c r="T43" i="6"/>
  <c r="AH40" i="6"/>
  <c r="AG40" i="6"/>
  <c r="AF40" i="6"/>
  <c r="AE40" i="6"/>
  <c r="AD40" i="6"/>
  <c r="AC40" i="6"/>
  <c r="AB40" i="6"/>
  <c r="AA40" i="6"/>
  <c r="Z40" i="6"/>
  <c r="W40" i="6"/>
  <c r="V40" i="6"/>
  <c r="U40" i="6"/>
  <c r="T40" i="6"/>
  <c r="AH37" i="6"/>
  <c r="AG37" i="6"/>
  <c r="AF37" i="6"/>
  <c r="AE37" i="6"/>
  <c r="AD37" i="6"/>
  <c r="AC37" i="6"/>
  <c r="AB37" i="6"/>
  <c r="AA37" i="6"/>
  <c r="Z37" i="6"/>
  <c r="W37" i="6"/>
  <c r="V37" i="6"/>
  <c r="U37" i="6"/>
  <c r="T37" i="6"/>
  <c r="AH34" i="6"/>
  <c r="AG34" i="6"/>
  <c r="AF34" i="6"/>
  <c r="AE34" i="6"/>
  <c r="AD34" i="6"/>
  <c r="AC34" i="6"/>
  <c r="AB34" i="6"/>
  <c r="Z34" i="6"/>
  <c r="W34" i="6"/>
  <c r="V34" i="6"/>
  <c r="U34" i="6"/>
  <c r="T34" i="6"/>
  <c r="AH31" i="6"/>
  <c r="AG31" i="6"/>
  <c r="AF31" i="6"/>
  <c r="AE31" i="6"/>
  <c r="AD31" i="6"/>
  <c r="AC31" i="6"/>
  <c r="AB31" i="6"/>
  <c r="AA31" i="6"/>
  <c r="Z31" i="6"/>
  <c r="W31" i="6"/>
  <c r="V31" i="6"/>
  <c r="U31" i="6"/>
  <c r="T31" i="6"/>
  <c r="AE28" i="6"/>
  <c r="AD28" i="6"/>
  <c r="AC28" i="6"/>
  <c r="AB28" i="6"/>
  <c r="AA28" i="6"/>
  <c r="Z28" i="6"/>
  <c r="U28" i="6"/>
  <c r="T28" i="6"/>
  <c r="AH25" i="6"/>
  <c r="AG25" i="6"/>
  <c r="AF25" i="6"/>
  <c r="AE25" i="6"/>
  <c r="AD25" i="6"/>
  <c r="AC25" i="6"/>
  <c r="AB25" i="6"/>
  <c r="AA25" i="6"/>
  <c r="Z25" i="6"/>
  <c r="W25" i="6"/>
  <c r="V25" i="6"/>
  <c r="U25" i="6"/>
  <c r="T25" i="6"/>
  <c r="AH22" i="6"/>
  <c r="AG22" i="6"/>
  <c r="AF22" i="6"/>
  <c r="AE22" i="6"/>
  <c r="AD22" i="6"/>
  <c r="AC22" i="6"/>
  <c r="AB22" i="6"/>
  <c r="AA22" i="6"/>
  <c r="Z22" i="6"/>
  <c r="W22" i="6"/>
  <c r="V22" i="6"/>
  <c r="U22" i="6"/>
  <c r="T22" i="6"/>
  <c r="Q22" i="6"/>
  <c r="P22" i="6"/>
  <c r="O22" i="6"/>
  <c r="N22" i="6"/>
  <c r="M22" i="6"/>
  <c r="L22" i="6"/>
  <c r="K22" i="6"/>
  <c r="J22" i="6"/>
  <c r="I22" i="6"/>
  <c r="F22" i="6"/>
  <c r="E22" i="6"/>
  <c r="D22" i="6"/>
  <c r="C22" i="6"/>
  <c r="AH19" i="6"/>
  <c r="AG19" i="6"/>
  <c r="AF19" i="6"/>
  <c r="AE19" i="6"/>
  <c r="AD19" i="6"/>
  <c r="AC19" i="6"/>
  <c r="AB19" i="6"/>
  <c r="AA19" i="6"/>
  <c r="Z19" i="6"/>
  <c r="W19" i="6"/>
  <c r="V19" i="6"/>
  <c r="U19" i="6"/>
  <c r="T19" i="6"/>
  <c r="AH16" i="6"/>
  <c r="AG16" i="6"/>
  <c r="AF16" i="6"/>
  <c r="AE16" i="6"/>
  <c r="AD16" i="6"/>
  <c r="AC16" i="6"/>
  <c r="AB16" i="6"/>
  <c r="AA16" i="6"/>
  <c r="Z16" i="6"/>
  <c r="W16" i="6"/>
  <c r="V16" i="6"/>
  <c r="U16" i="6"/>
  <c r="T16" i="6"/>
  <c r="AH13" i="6"/>
  <c r="AG13" i="6"/>
  <c r="AF13" i="6"/>
  <c r="AE13" i="6"/>
  <c r="AD13" i="6"/>
  <c r="AC13" i="6"/>
  <c r="AB13" i="6"/>
  <c r="AA13" i="6"/>
  <c r="Z13" i="6"/>
  <c r="W13" i="6"/>
  <c r="V13" i="6"/>
  <c r="U13" i="6"/>
  <c r="T13" i="6"/>
  <c r="AH10" i="6"/>
  <c r="AG10" i="6"/>
  <c r="AF10" i="6"/>
  <c r="AE10" i="6"/>
  <c r="AD10" i="6"/>
  <c r="AC10" i="6"/>
  <c r="AB10" i="6"/>
  <c r="AA10" i="6"/>
  <c r="Z10" i="6"/>
  <c r="W10" i="6"/>
  <c r="V10" i="6"/>
  <c r="U10" i="6"/>
  <c r="T10" i="6"/>
  <c r="AH7" i="6"/>
  <c r="AG7" i="6"/>
  <c r="AF7" i="6"/>
  <c r="AE7" i="6"/>
  <c r="AD7" i="6"/>
  <c r="AC7" i="6"/>
  <c r="AB7" i="6"/>
  <c r="AA7" i="6"/>
  <c r="Z7" i="6"/>
  <c r="W7" i="6"/>
  <c r="V7" i="6"/>
  <c r="U7" i="6"/>
  <c r="T7" i="6"/>
  <c r="Q7" i="6"/>
  <c r="P7" i="6"/>
  <c r="O7" i="6"/>
  <c r="N7" i="6"/>
  <c r="M7" i="6"/>
  <c r="L7" i="6"/>
  <c r="K7" i="6"/>
  <c r="J7" i="6"/>
  <c r="I7" i="6"/>
  <c r="F7" i="6"/>
  <c r="E7" i="6"/>
  <c r="D7" i="6"/>
  <c r="C7" i="6"/>
  <c r="AH4" i="6"/>
  <c r="AG4" i="6"/>
  <c r="AF4" i="6"/>
  <c r="AE4" i="6"/>
  <c r="AD4" i="6"/>
  <c r="AC4" i="6"/>
  <c r="AB4" i="6"/>
  <c r="AA4" i="6"/>
  <c r="Z4" i="6"/>
  <c r="W4" i="6"/>
  <c r="V4" i="6"/>
  <c r="U4" i="6"/>
  <c r="T4" i="6"/>
  <c r="AH29" i="5"/>
  <c r="AG29" i="5"/>
  <c r="AF29" i="5"/>
  <c r="AE29" i="5"/>
  <c r="AD29" i="5"/>
  <c r="AC29" i="5"/>
  <c r="AB29" i="5"/>
  <c r="AA29" i="5"/>
  <c r="Z29" i="5"/>
  <c r="Y29" i="5"/>
  <c r="X29" i="5"/>
  <c r="W29" i="5"/>
  <c r="V29" i="5"/>
  <c r="U29" i="5"/>
  <c r="T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Q28" i="5"/>
  <c r="P28" i="5"/>
  <c r="O28" i="5"/>
  <c r="N28" i="5"/>
  <c r="M28" i="5"/>
  <c r="L28" i="5"/>
  <c r="K28" i="5"/>
  <c r="J28" i="5"/>
  <c r="I28" i="5"/>
  <c r="H28" i="5"/>
  <c r="G28" i="5"/>
  <c r="F28" i="5"/>
  <c r="E28" i="5"/>
  <c r="D28" i="5"/>
  <c r="C28" i="5"/>
  <c r="AH26" i="5"/>
  <c r="AG26" i="5"/>
  <c r="AF26" i="5"/>
  <c r="AE26" i="5"/>
  <c r="AD26" i="5"/>
  <c r="AC26" i="5"/>
  <c r="AB26" i="5"/>
  <c r="AA26" i="5"/>
  <c r="Z26" i="5"/>
  <c r="Y26" i="5"/>
  <c r="X26" i="5"/>
  <c r="W26" i="5"/>
  <c r="V26" i="5"/>
  <c r="U26" i="5"/>
  <c r="T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Q25" i="5"/>
  <c r="P25" i="5"/>
  <c r="O25" i="5"/>
  <c r="N25" i="5"/>
  <c r="M25" i="5"/>
  <c r="L25" i="5"/>
  <c r="K25" i="5"/>
  <c r="J25" i="5"/>
  <c r="I25" i="5"/>
  <c r="H25" i="5"/>
  <c r="F25" i="5"/>
  <c r="E25" i="5"/>
  <c r="D25" i="5"/>
  <c r="C25" i="5"/>
  <c r="AH19" i="5"/>
  <c r="AG19" i="5"/>
  <c r="AF19" i="5"/>
  <c r="AE19" i="5"/>
  <c r="AD19" i="5"/>
  <c r="AC19" i="5"/>
  <c r="AB19" i="5"/>
  <c r="AA19" i="5"/>
  <c r="Z19" i="5"/>
  <c r="W19" i="5"/>
  <c r="V19" i="5"/>
  <c r="U19" i="5"/>
  <c r="T19" i="5"/>
  <c r="AH16" i="5"/>
  <c r="AG16" i="5"/>
  <c r="AF16" i="5"/>
  <c r="AE16" i="5"/>
  <c r="AD16" i="5"/>
  <c r="AC16" i="5"/>
  <c r="AB16" i="5"/>
  <c r="AA16" i="5"/>
  <c r="Z16" i="5"/>
  <c r="W16" i="5"/>
  <c r="V16" i="5"/>
  <c r="U16" i="5"/>
  <c r="T16" i="5"/>
  <c r="AH13" i="5"/>
  <c r="AG13" i="5"/>
  <c r="AF13" i="5"/>
  <c r="AD13" i="5"/>
  <c r="AC13" i="5"/>
  <c r="AB13" i="5"/>
  <c r="AA13" i="5"/>
  <c r="Z13" i="5"/>
  <c r="W13" i="5"/>
  <c r="V13" i="5"/>
  <c r="U13" i="5"/>
  <c r="T13" i="5"/>
  <c r="Q13" i="5"/>
  <c r="P13" i="5"/>
  <c r="O13" i="5"/>
  <c r="M13" i="5"/>
  <c r="L13" i="5"/>
  <c r="K13" i="5"/>
  <c r="J13" i="5"/>
  <c r="I13" i="5"/>
  <c r="F13" i="5"/>
  <c r="E13" i="5"/>
  <c r="D13" i="5"/>
  <c r="C13" i="5"/>
  <c r="AH10" i="5"/>
  <c r="AG10" i="5"/>
  <c r="AF10" i="5"/>
  <c r="AE10" i="5"/>
  <c r="AD10" i="5"/>
  <c r="AC10" i="5"/>
  <c r="AB10" i="5"/>
  <c r="AA10" i="5"/>
  <c r="Z10" i="5"/>
  <c r="W10" i="5"/>
  <c r="V10" i="5"/>
  <c r="U10" i="5"/>
  <c r="T10" i="5"/>
  <c r="AH7" i="5"/>
  <c r="AG7" i="5"/>
  <c r="AF7" i="5"/>
  <c r="AE7" i="5"/>
  <c r="AD7" i="5"/>
  <c r="AC7" i="5"/>
  <c r="AB7" i="5"/>
  <c r="AA7" i="5"/>
  <c r="Z7" i="5"/>
  <c r="W7" i="5"/>
  <c r="V7" i="5"/>
  <c r="U7" i="5"/>
  <c r="T7" i="5"/>
  <c r="AH4" i="5"/>
  <c r="AG4" i="5"/>
  <c r="AF4" i="5"/>
  <c r="AE4" i="5"/>
  <c r="AD4" i="5"/>
  <c r="AC4" i="5"/>
  <c r="AB4" i="5"/>
  <c r="AA4" i="5"/>
  <c r="Z4" i="5"/>
  <c r="W4" i="5"/>
  <c r="V4" i="5"/>
  <c r="U4" i="5"/>
  <c r="T4" i="5"/>
  <c r="Q4" i="5"/>
  <c r="P4" i="5"/>
  <c r="O4" i="5"/>
  <c r="N4" i="5"/>
  <c r="N30" i="5" s="1"/>
  <c r="M4" i="5"/>
  <c r="L4" i="5"/>
  <c r="K4" i="5"/>
  <c r="J4" i="5"/>
  <c r="I4" i="5"/>
  <c r="F4" i="5"/>
  <c r="E4" i="5"/>
  <c r="D4" i="5"/>
  <c r="C4" i="5"/>
  <c r="Q28" i="3"/>
  <c r="P28" i="3"/>
  <c r="O28" i="3"/>
  <c r="N28" i="3"/>
  <c r="M28" i="3"/>
  <c r="L28" i="3"/>
  <c r="K28" i="3"/>
  <c r="J28" i="3"/>
  <c r="I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F23" i="3"/>
  <c r="E23" i="3"/>
  <c r="D23" i="3"/>
  <c r="C23" i="3"/>
  <c r="AH19" i="3"/>
  <c r="AG19" i="3"/>
  <c r="AF19" i="3"/>
  <c r="AE19" i="3"/>
  <c r="AD19" i="3"/>
  <c r="AB19" i="3"/>
  <c r="AA19" i="3"/>
  <c r="Z19" i="3"/>
  <c r="W19" i="3"/>
  <c r="V19" i="3"/>
  <c r="U19" i="3"/>
  <c r="T19" i="3"/>
  <c r="AH16" i="3"/>
  <c r="AG16" i="3"/>
  <c r="AF16" i="3"/>
  <c r="AE16" i="3"/>
  <c r="AD16" i="3"/>
  <c r="AC16" i="3"/>
  <c r="AB16" i="3"/>
  <c r="Z16" i="3"/>
  <c r="W16" i="3"/>
  <c r="V16" i="3"/>
  <c r="U16" i="3"/>
  <c r="T16" i="3"/>
  <c r="AH13" i="3"/>
  <c r="AG13" i="3"/>
  <c r="AF13" i="3"/>
  <c r="AE13" i="3"/>
  <c r="AD13" i="3"/>
  <c r="AC13" i="3"/>
  <c r="AB13" i="3"/>
  <c r="AA13" i="3"/>
  <c r="Z13" i="3"/>
  <c r="W13" i="3"/>
  <c r="V13" i="3"/>
  <c r="U13" i="3"/>
  <c r="T13" i="3"/>
  <c r="AH10" i="3"/>
  <c r="AG10" i="3"/>
  <c r="AF10" i="3"/>
  <c r="AE10" i="3"/>
  <c r="AD10" i="3"/>
  <c r="AC10" i="3"/>
  <c r="AB10" i="3"/>
  <c r="AA10" i="3"/>
  <c r="Z10" i="3"/>
  <c r="W10" i="3"/>
  <c r="V10" i="3"/>
  <c r="U10" i="3"/>
  <c r="T10" i="3"/>
  <c r="AH7" i="3"/>
  <c r="AG7" i="3"/>
  <c r="AF7" i="3"/>
  <c r="AE7" i="3"/>
  <c r="AD7" i="3"/>
  <c r="AC7" i="3"/>
  <c r="AB7" i="3"/>
  <c r="AA7" i="3"/>
  <c r="W7" i="3"/>
  <c r="V7" i="3"/>
  <c r="U7" i="3"/>
  <c r="T7" i="3"/>
  <c r="AH4" i="3"/>
  <c r="AG4" i="3"/>
  <c r="AF4" i="3"/>
  <c r="AE4" i="3"/>
  <c r="AD4" i="3"/>
  <c r="AC4" i="3"/>
  <c r="AB4" i="3"/>
  <c r="AA4" i="3"/>
  <c r="Z4" i="3"/>
  <c r="W4" i="3"/>
  <c r="V4" i="3"/>
  <c r="U4" i="3"/>
  <c r="T4" i="3"/>
  <c r="V17" i="8" l="1"/>
  <c r="V26" i="8"/>
  <c r="V37" i="8"/>
  <c r="W17" i="8"/>
  <c r="W26" i="8"/>
  <c r="W37" i="8"/>
  <c r="D30" i="5"/>
  <c r="O52" i="11"/>
  <c r="O55" i="11"/>
  <c r="U25" i="3"/>
  <c r="AF28" i="3"/>
  <c r="AE76" i="6"/>
  <c r="T73" i="6"/>
  <c r="Z73" i="6"/>
  <c r="AD73" i="6"/>
  <c r="AC25" i="3"/>
  <c r="V28" i="3"/>
  <c r="AB28" i="3"/>
  <c r="AG25" i="3"/>
  <c r="O27" i="5"/>
  <c r="U76" i="6"/>
  <c r="AA76" i="6"/>
  <c r="AF76" i="6"/>
  <c r="D55" i="11"/>
  <c r="F52" i="11"/>
  <c r="L52" i="11"/>
  <c r="P52" i="11"/>
  <c r="L55" i="11"/>
  <c r="P55" i="11"/>
  <c r="AD25" i="3"/>
  <c r="E55" i="11"/>
  <c r="C52" i="11"/>
  <c r="I52" i="11"/>
  <c r="M52" i="11"/>
  <c r="Q52" i="11"/>
  <c r="I55" i="11"/>
  <c r="M55" i="11"/>
  <c r="Q55" i="11"/>
  <c r="W25" i="3"/>
  <c r="AH25" i="3"/>
  <c r="V76" i="6"/>
  <c r="AB76" i="6"/>
  <c r="AG73" i="6"/>
  <c r="T25" i="3"/>
  <c r="Z25" i="3"/>
  <c r="AE25" i="3"/>
  <c r="Q27" i="5"/>
  <c r="AG27" i="5"/>
  <c r="W73" i="6"/>
  <c r="AC73" i="6"/>
  <c r="AH73" i="6"/>
  <c r="F55" i="11"/>
  <c r="D52" i="11"/>
  <c r="J52" i="11"/>
  <c r="N52" i="11"/>
  <c r="J55" i="11"/>
  <c r="N55" i="11"/>
  <c r="AA25" i="3"/>
  <c r="C55" i="11"/>
  <c r="E52" i="11"/>
  <c r="K52" i="11"/>
  <c r="K55" i="11"/>
  <c r="L30" i="5"/>
  <c r="W27" i="5"/>
  <c r="H50" i="11"/>
  <c r="AF25" i="3"/>
  <c r="AB25" i="3"/>
  <c r="V25" i="3"/>
  <c r="AE28" i="3"/>
  <c r="AA28" i="3"/>
  <c r="U28" i="3"/>
  <c r="AF73" i="6"/>
  <c r="AB73" i="6"/>
  <c r="V73" i="6"/>
  <c r="AH76" i="6"/>
  <c r="AD76" i="6"/>
  <c r="Z76" i="6"/>
  <c r="T76" i="6"/>
  <c r="F27" i="5"/>
  <c r="AC27" i="5"/>
  <c r="AH28" i="3"/>
  <c r="AD28" i="3"/>
  <c r="Z28" i="3"/>
  <c r="T28" i="3"/>
  <c r="AE73" i="6"/>
  <c r="AA73" i="6"/>
  <c r="U73" i="6"/>
  <c r="AG76" i="6"/>
  <c r="AC76" i="6"/>
  <c r="W76" i="6"/>
  <c r="AG28" i="3"/>
  <c r="AC28" i="3"/>
  <c r="W28" i="3"/>
  <c r="W74" i="8"/>
  <c r="C27" i="5"/>
  <c r="I27" i="5"/>
  <c r="M27" i="5"/>
  <c r="T27" i="5"/>
  <c r="Z27" i="5"/>
  <c r="AD27" i="5"/>
  <c r="AH27" i="5"/>
  <c r="Z30" i="5"/>
  <c r="AH30" i="5"/>
  <c r="V27" i="5"/>
  <c r="D27" i="5"/>
  <c r="J27" i="5"/>
  <c r="AF27" i="5"/>
  <c r="U30" i="5"/>
  <c r="AA27" i="5"/>
  <c r="AE30" i="5"/>
  <c r="E27" i="5"/>
  <c r="K30" i="5"/>
  <c r="P27" i="5"/>
  <c r="V30" i="5"/>
  <c r="AB27" i="5"/>
  <c r="AF30" i="5"/>
  <c r="L27" i="5"/>
  <c r="V74" i="8"/>
  <c r="W52" i="11"/>
  <c r="W55" i="11"/>
  <c r="AG55" i="11"/>
  <c r="V52" i="11"/>
  <c r="AG52" i="11"/>
  <c r="Z55" i="11"/>
  <c r="AH55" i="11"/>
  <c r="AA55" i="11"/>
  <c r="AA52" i="11"/>
  <c r="AC55" i="11"/>
  <c r="AB52" i="11"/>
  <c r="T55" i="11"/>
  <c r="AD55" i="11"/>
  <c r="AC52" i="11"/>
  <c r="U55" i="11"/>
  <c r="AE52" i="11"/>
  <c r="T52" i="11"/>
  <c r="AD52" i="11"/>
  <c r="AB55" i="11"/>
  <c r="Z52" i="11"/>
  <c r="AH52" i="11"/>
  <c r="V55" i="11"/>
  <c r="AF55" i="11"/>
  <c r="U52" i="11"/>
  <c r="AF52" i="11"/>
  <c r="AE55" i="11"/>
  <c r="K27" i="5"/>
  <c r="U27" i="5"/>
  <c r="AE27" i="5"/>
  <c r="C30" i="5"/>
  <c r="M30" i="5"/>
  <c r="W30" i="5"/>
  <c r="AG30" i="5"/>
  <c r="E30" i="5"/>
  <c r="O30" i="5"/>
  <c r="AA30" i="5"/>
  <c r="N27" i="5"/>
  <c r="F30" i="5"/>
  <c r="P30" i="5"/>
  <c r="AB30" i="5"/>
  <c r="I30" i="5"/>
  <c r="Q30" i="5"/>
  <c r="AC30" i="5"/>
  <c r="J30" i="5"/>
  <c r="T30" i="5"/>
  <c r="AD30" i="5"/>
</calcChain>
</file>

<file path=xl/comments1.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2.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29"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32"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35"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 ref="R38"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41" authorId="0" shapeId="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44" authorId="0" shapeId="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List>
</comments>
</file>

<file path=xl/sharedStrings.xml><?xml version="1.0" encoding="utf-8"?>
<sst xmlns="http://schemas.openxmlformats.org/spreadsheetml/2006/main" count="3190" uniqueCount="471">
  <si>
    <t>Case Name</t>
  </si>
  <si>
    <t>Evaluation Notes</t>
  </si>
  <si>
    <t>arterial_loss (L/min)</t>
  </si>
  <si>
    <t>calc_art_loss</t>
  </si>
  <si>
    <t>true_PV_flow</t>
  </si>
  <si>
    <t>calc_PV_flow</t>
  </si>
  <si>
    <t>err_arterial(%)</t>
  </si>
  <si>
    <t>err_venous(%)</t>
  </si>
  <si>
    <t>SCAo</t>
  </si>
  <si>
    <t>IRAo</t>
  </si>
  <si>
    <t>LRA</t>
  </si>
  <si>
    <t>RRA</t>
  </si>
  <si>
    <t>SMA</t>
  </si>
  <si>
    <t>CA</t>
  </si>
  <si>
    <t>SMV</t>
  </si>
  <si>
    <t>SV</t>
  </si>
  <si>
    <t>PV</t>
  </si>
  <si>
    <t>Clinical notes</t>
  </si>
  <si>
    <t>HR</t>
  </si>
  <si>
    <t>arterial_loss (mL/cycle)</t>
  </si>
  <si>
    <t>mch100416_Pre</t>
  </si>
  <si>
    <t>mch100416_Post</t>
  </si>
  <si>
    <t>Post-prandial Change (%)</t>
  </si>
  <si>
    <t>120328_MCH_Pre</t>
  </si>
  <si>
    <t>120328_MCH_Post</t>
  </si>
  <si>
    <t>120605_MCH_Pre</t>
  </si>
  <si>
    <t>120605_MCH_Post</t>
  </si>
  <si>
    <t>`</t>
  </si>
  <si>
    <t>Average (Pre-Meal)</t>
  </si>
  <si>
    <t>Average (Post-Meal)</t>
  </si>
  <si>
    <t>Average % Change</t>
  </si>
  <si>
    <t>STD (Pre-meal)</t>
  </si>
  <si>
    <t>STD (Post-meal)</t>
  </si>
  <si>
    <t>STD % Change</t>
  </si>
  <si>
    <t>Avg % Change</t>
  </si>
  <si>
    <t xml:space="preserve">HR </t>
  </si>
  <si>
    <t>clin_MCH_0209_Pre</t>
  </si>
  <si>
    <t>clin_MCH_0209_Post</t>
  </si>
  <si>
    <t>mch_0710_Pre</t>
  </si>
  <si>
    <t>SCAo not visualized in FOV. Calculated by adding flow from CA and flow directly below CA.</t>
  </si>
  <si>
    <t>mch_0710_Post</t>
  </si>
  <si>
    <t>MCH_170317_Pre</t>
  </si>
  <si>
    <t>MCH_170317_Post</t>
  </si>
  <si>
    <t>121019_MCH_Pre</t>
  </si>
  <si>
    <t>121019_MCH_Post</t>
  </si>
  <si>
    <t>121026_MCH_Pre</t>
  </si>
  <si>
    <t>Descending aortic dissection</t>
  </si>
  <si>
    <t>121026_MCH_Post</t>
  </si>
  <si>
    <t>120710_MCH_Pre</t>
  </si>
  <si>
    <t>120710_MCH_Post</t>
  </si>
  <si>
    <t>Clinical_120425_Pre</t>
  </si>
  <si>
    <t>RRA not visualized. Later version of 120710_MCH below.</t>
  </si>
  <si>
    <t>Clinical_120425_Post</t>
  </si>
  <si>
    <t>mch0614_Pre</t>
  </si>
  <si>
    <t>mch0614_Post</t>
  </si>
  <si>
    <t>MCH_112715_Pre</t>
  </si>
  <si>
    <t>MCH_112715_Post</t>
  </si>
  <si>
    <t>Clinical Hypothesis (05/25/2018)</t>
  </si>
  <si>
    <t>clin_mch_050614_Pre</t>
  </si>
  <si>
    <t>clin_mch_050614_Post</t>
  </si>
  <si>
    <t>PHTN 7.8_Pre</t>
  </si>
  <si>
    <t>PHTN 7.8_Post</t>
  </si>
  <si>
    <t>MCH_07082013_Pre</t>
  </si>
  <si>
    <t>Narrowing of Celiac Artery. No mesenteric ischemia.</t>
  </si>
  <si>
    <t>MCH_07082013_Post</t>
  </si>
  <si>
    <t>clin_mch_070314_Pre</t>
  </si>
  <si>
    <t>clin_mch_070314_Post</t>
  </si>
  <si>
    <t>mc180511_Pre</t>
  </si>
  <si>
    <t>No mesenteric ischemia.</t>
  </si>
  <si>
    <t>mc180511_Post</t>
  </si>
  <si>
    <t>MCH_101117_Pre</t>
  </si>
  <si>
    <t>Chronic Mesenteric Ischemia (non-compensated)</t>
  </si>
  <si>
    <t>MCH_101117_Post</t>
  </si>
  <si>
    <t>Case File</t>
  </si>
  <si>
    <t>Notes</t>
  </si>
  <si>
    <t>130503_E5725_S600 (H1)</t>
  </si>
  <si>
    <t>130503_E5725_S900</t>
  </si>
  <si>
    <t>130510_E5777_S200 (H2)</t>
  </si>
  <si>
    <t>RELIABILITY (Post-prandial)</t>
  </si>
  <si>
    <t>130510_E5777_S300</t>
  </si>
  <si>
    <t>Change (%)</t>
  </si>
  <si>
    <t>130510_E5776_S1100 (H2)</t>
  </si>
  <si>
    <t>130510_E5777_S200</t>
  </si>
  <si>
    <t>130517_E5823_S1100 (H3)</t>
  </si>
  <si>
    <t>130517_E5823_S1400</t>
  </si>
  <si>
    <t>130531_E5893_S900 (H4)</t>
  </si>
  <si>
    <t>130531_E5893_S1200</t>
  </si>
  <si>
    <t>130625_E6029_S800 (H5)</t>
  </si>
  <si>
    <t>130625_E6029_S1100</t>
  </si>
  <si>
    <t>130708_E6079_S800 (H6)</t>
  </si>
  <si>
    <t>RELIABILITY (Pre-prandial)</t>
  </si>
  <si>
    <t>130708_E6079_S900</t>
  </si>
  <si>
    <t xml:space="preserve"> Change (%)</t>
  </si>
  <si>
    <t>130715_E6116_S800 (H7)</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</si>
  <si>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</si>
  <si>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</si>
  <si>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</si>
  <si>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</si>
  <si>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</si>
  <si>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</si>
  <si>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MCH4_120315_Pre</t>
  </si>
  <si>
    <t>MCH4_120315_Post</t>
  </si>
  <si>
    <t>MCH5_120327_Pre</t>
  </si>
  <si>
    <t xml:space="preserve">IRAo is not visualized well on pre-prandial images. The velocity values as seen in the Freiburg tool are highly unusual. </t>
  </si>
  <si>
    <t>MCH5_120327_Post</t>
  </si>
  <si>
    <t>MCH6_120423_Pre</t>
  </si>
  <si>
    <t>MCH6_120423_Post</t>
  </si>
  <si>
    <t>MCH7_120601_Pre</t>
  </si>
  <si>
    <t>MCH7_120601_Post</t>
  </si>
  <si>
    <t>MCH8_120702_Pre</t>
  </si>
  <si>
    <t>MCH8_120702_Post</t>
  </si>
  <si>
    <t>MCH9_121105_Pre</t>
  </si>
  <si>
    <t>LRA could not be visualized</t>
  </si>
  <si>
    <t>MCH9_121105_Post</t>
  </si>
  <si>
    <t>MCH10_121106_Pre</t>
  </si>
  <si>
    <t>Beautiful Case</t>
  </si>
  <si>
    <t>MCH10_121106_Post</t>
  </si>
  <si>
    <t>MCH11_121126_Pre</t>
  </si>
  <si>
    <t>Venous system poorly visualized</t>
  </si>
  <si>
    <t>MCH11_121126_Post</t>
  </si>
  <si>
    <t>MCH12_121217_Pre</t>
  </si>
  <si>
    <t>MCH12_121217_Post</t>
  </si>
  <si>
    <t>MCH13_130418_Pre</t>
  </si>
  <si>
    <t>SV could not be visualized well</t>
  </si>
  <si>
    <t>MCH13_130418_Post</t>
  </si>
  <si>
    <t>MCH14_130424_Pre</t>
  </si>
  <si>
    <t>MCH14_130424_Post</t>
  </si>
  <si>
    <t>Clinical_053012_Pre</t>
  </si>
  <si>
    <t>Clinical_053012_Post</t>
  </si>
  <si>
    <t>BEN_Pre</t>
  </si>
  <si>
    <t>CA not visualized</t>
  </si>
  <si>
    <t>BEN_Post</t>
  </si>
  <si>
    <t>Negative Diagnosis</t>
  </si>
  <si>
    <t>Age</t>
  </si>
  <si>
    <t>Sex</t>
  </si>
  <si>
    <t>Weight</t>
  </si>
  <si>
    <t>B-field</t>
  </si>
  <si>
    <t>Coil</t>
  </si>
  <si>
    <t>TR</t>
  </si>
  <si>
    <t>TE</t>
  </si>
  <si>
    <t>Venc</t>
  </si>
  <si>
    <t>Tip</t>
  </si>
  <si>
    <t>Xres</t>
  </si>
  <si>
    <t>Yres</t>
  </si>
  <si>
    <t>Zres</t>
  </si>
  <si>
    <t>Nproj</t>
  </si>
  <si>
    <t>Scan Time</t>
  </si>
  <si>
    <t>Date</t>
  </si>
  <si>
    <t>Frames</t>
  </si>
  <si>
    <t>TimeRes Pre</t>
  </si>
  <si>
    <t>TimeRes Post</t>
  </si>
  <si>
    <t>Cycle Time Pre</t>
  </si>
  <si>
    <t>Cycle Time Post</t>
  </si>
  <si>
    <t>HR Pre</t>
  </si>
  <si>
    <t>HR Post</t>
  </si>
  <si>
    <t>Clin_MCH_0612</t>
  </si>
  <si>
    <t>clin_mch_1111</t>
  </si>
  <si>
    <t>F</t>
  </si>
  <si>
    <t>8Ch Body</t>
  </si>
  <si>
    <t>1000/1200</t>
  </si>
  <si>
    <t>11/11/2014</t>
  </si>
  <si>
    <t>MCH_010313</t>
  </si>
  <si>
    <t>32Ch Torso</t>
  </si>
  <si>
    <t>1/3/2013</t>
  </si>
  <si>
    <t>mch_032715</t>
  </si>
  <si>
    <t>8CARDIAC Series</t>
  </si>
  <si>
    <t>MCH_041613</t>
  </si>
  <si>
    <t>M</t>
  </si>
  <si>
    <t>4/16/2013</t>
  </si>
  <si>
    <t>MCH_101013</t>
  </si>
  <si>
    <t>10/10/2013</t>
  </si>
  <si>
    <t>MCH030717</t>
  </si>
  <si>
    <t>HD BodyFull</t>
  </si>
  <si>
    <t>MCH160804</t>
  </si>
  <si>
    <t>clin_mch_042214</t>
  </si>
  <si>
    <t>800/1200</t>
  </si>
  <si>
    <t>04/22/2014</t>
  </si>
  <si>
    <t>mch100416</t>
  </si>
  <si>
    <t>120328_MCH</t>
  </si>
  <si>
    <t>600/1000</t>
  </si>
  <si>
    <t>03/28/2012</t>
  </si>
  <si>
    <t>120605_MCH</t>
  </si>
  <si>
    <t>06/05/2012</t>
  </si>
  <si>
    <t>Ischemia</t>
  </si>
  <si>
    <t>clin_MCH_0209</t>
  </si>
  <si>
    <t>Body 24Ch</t>
  </si>
  <si>
    <t>02/09/2015</t>
  </si>
  <si>
    <t>mch_0710</t>
  </si>
  <si>
    <t>MCH_170317</t>
  </si>
  <si>
    <t>121019_MCH</t>
  </si>
  <si>
    <t>10/19/2012</t>
  </si>
  <si>
    <t>121026_MCH</t>
  </si>
  <si>
    <t>1500/1700</t>
  </si>
  <si>
    <t>10/26/2012</t>
  </si>
  <si>
    <t>Clinical_120425</t>
  </si>
  <si>
    <t>04/25/2012</t>
  </si>
  <si>
    <t>mch0614</t>
  </si>
  <si>
    <t>MCH_112715</t>
  </si>
  <si>
    <t>Body 24</t>
  </si>
  <si>
    <t>120710_MCH</t>
  </si>
  <si>
    <t>07/10/2012</t>
  </si>
  <si>
    <t>Unknown</t>
  </si>
  <si>
    <t>clin_mch_050614</t>
  </si>
  <si>
    <t>PHTN 7.8</t>
  </si>
  <si>
    <t>06/13/112</t>
  </si>
  <si>
    <t>MCH_07082013</t>
  </si>
  <si>
    <t>07/08/2013</t>
  </si>
  <si>
    <t>clin_mch_070314</t>
  </si>
  <si>
    <t>07/03/2014</t>
  </si>
  <si>
    <t>mc180511</t>
  </si>
  <si>
    <t>MCH_101117</t>
  </si>
  <si>
    <t>AVERAGE</t>
  </si>
  <si>
    <t>HIGH</t>
  </si>
  <si>
    <t>LOW</t>
  </si>
  <si>
    <t>COUNT</t>
  </si>
  <si>
    <t>Controls</t>
  </si>
  <si>
    <t>130503_E5725 (H1)</t>
  </si>
  <si>
    <t>130510_E5776 (H2)</t>
  </si>
  <si>
    <t>5/3/2013</t>
  </si>
  <si>
    <t>130517_E5823 (H3)</t>
  </si>
  <si>
    <t>5/10/2013</t>
  </si>
  <si>
    <t>130531_E5893 (H4)</t>
  </si>
  <si>
    <t>5/17/2013</t>
  </si>
  <si>
    <t>130625_E6029 (H5)</t>
  </si>
  <si>
    <t>1000/1250</t>
  </si>
  <si>
    <t>5/31/2013</t>
  </si>
  <si>
    <t>130708_E6079 (H6)</t>
  </si>
  <si>
    <t>6/25/2013</t>
  </si>
  <si>
    <t>130715_E6116 (H7)</t>
  </si>
  <si>
    <t>MCH2_111115</t>
  </si>
  <si>
    <t>7/15/2013</t>
  </si>
  <si>
    <t>7/8/2013</t>
  </si>
  <si>
    <t>MCH4_120315</t>
  </si>
  <si>
    <t>4/12/2012</t>
  </si>
  <si>
    <t>MCH6_120423</t>
  </si>
  <si>
    <t>MCH7_120601</t>
  </si>
  <si>
    <t>4/23/2012</t>
  </si>
  <si>
    <t>MCH8_120702</t>
  </si>
  <si>
    <t>6/1/2012</t>
  </si>
  <si>
    <t>MCH9_121105</t>
  </si>
  <si>
    <t>7/2/2012</t>
  </si>
  <si>
    <t>MCH10_121106</t>
  </si>
  <si>
    <t>11/5/2012</t>
  </si>
  <si>
    <t>MCH11_121126</t>
  </si>
  <si>
    <t>11/6/2012</t>
  </si>
  <si>
    <t>MCH12_121217</t>
  </si>
  <si>
    <t>11/26/2012</t>
  </si>
  <si>
    <t>MCH13_130418</t>
  </si>
  <si>
    <t>12/17/2012</t>
  </si>
  <si>
    <t>MCH14_130424</t>
  </si>
  <si>
    <t>4/18/2013</t>
  </si>
  <si>
    <t>4/24/2013</t>
  </si>
  <si>
    <t>BEN</t>
  </si>
  <si>
    <t>5/30/2012</t>
  </si>
  <si>
    <t>3/19/2012</t>
  </si>
  <si>
    <t>CONTROLS (20)</t>
  </si>
  <si>
    <t>Pre-prandial</t>
  </si>
  <si>
    <t>Clin_MCH_0612_Pre</t>
  </si>
  <si>
    <t>Retest</t>
  </si>
  <si>
    <t>clin_mch_1111_Pre</t>
  </si>
  <si>
    <t>MCH_010313_Pre</t>
  </si>
  <si>
    <t>Average</t>
  </si>
  <si>
    <t>mch_032715_Pre</t>
  </si>
  <si>
    <t>Standard Deviation</t>
  </si>
  <si>
    <t>MCH_041613_Pre</t>
  </si>
  <si>
    <t>Count</t>
  </si>
  <si>
    <t>MCH_101013_Pre</t>
  </si>
  <si>
    <t>MCH030717_Pre</t>
  </si>
  <si>
    <t>MCH160804_Pre</t>
  </si>
  <si>
    <t>clin_mch_042214_Pre</t>
  </si>
  <si>
    <t>Post-prandial</t>
  </si>
  <si>
    <t>Clin_MCH_0612_Post</t>
  </si>
  <si>
    <t>clin_mch_1111_Post</t>
  </si>
  <si>
    <t>MCH_010313_Post</t>
  </si>
  <si>
    <t>mch_032715_Post</t>
  </si>
  <si>
    <t>MCH_041613_Post</t>
  </si>
  <si>
    <t>MCH_101013_Post</t>
  </si>
  <si>
    <t>MCH030717_Post</t>
  </si>
  <si>
    <t>T-test</t>
  </si>
  <si>
    <t>MCH160804_Post</t>
  </si>
  <si>
    <t>Effect Size</t>
  </si>
  <si>
    <t>clin_mch_042214_Post</t>
  </si>
  <si>
    <t>Percent Change</t>
  </si>
  <si>
    <t>130510_E5777 (H2)</t>
  </si>
  <si>
    <t>MCH3_111201</t>
  </si>
  <si>
    <t>MCH5_120327</t>
  </si>
  <si>
    <t>Clinical_053012</t>
  </si>
  <si>
    <t>Percent Difference (%)</t>
  </si>
  <si>
    <t>130708_E6079_S800</t>
  </si>
  <si>
    <t>Narrowing CA</t>
  </si>
  <si>
    <t>Very noisy preprandial images.</t>
  </si>
  <si>
    <t>120328_MCH_Pre + 60 days</t>
  </si>
  <si>
    <t>Difference (%)</t>
  </si>
  <si>
    <t>120328_MCH_Post + 60 days</t>
  </si>
  <si>
    <t>Preprandial images are very noisy. Post images are much better but still noisy.</t>
  </si>
  <si>
    <t>mch100416_Pre + 214 days</t>
  </si>
  <si>
    <t>mch100416_Post + 214 days</t>
  </si>
  <si>
    <t>Negative</t>
  </si>
  <si>
    <t>clin_mch_0612_Pre</t>
  </si>
  <si>
    <t xml:space="preserve">clin_mch_0612_Pre + </t>
  </si>
  <si>
    <t>clin_mch_0612_Post</t>
  </si>
  <si>
    <t xml:space="preserve">clin_mch_0612_Post + </t>
  </si>
  <si>
    <t xml:space="preserve">MCH_101013_Pre + </t>
  </si>
  <si>
    <t xml:space="preserve">MCH_101013_Post + </t>
  </si>
  <si>
    <t>MCH_030717_Pre</t>
  </si>
  <si>
    <t xml:space="preserve">MCH_030717_Pre + </t>
  </si>
  <si>
    <t>MCH_030717_Post</t>
  </si>
  <si>
    <t>MCH_160804_Pre</t>
  </si>
  <si>
    <t>MCH_160804_Pre +</t>
  </si>
  <si>
    <t>MCH_160804_Post</t>
  </si>
  <si>
    <t>MCH_160804_Post +</t>
  </si>
  <si>
    <t xml:space="preserve">clin_mch_042214_Pre + </t>
  </si>
  <si>
    <t xml:space="preserve">clin_mch_042214_Post + </t>
  </si>
  <si>
    <t xml:space="preserve">clin_mch_1111_Pre + </t>
  </si>
  <si>
    <t xml:space="preserve">clin_mch_1111_Post + </t>
  </si>
  <si>
    <t xml:space="preserve">MCH_010313_Pre + </t>
  </si>
  <si>
    <t xml:space="preserve">MCH_010313_Post + </t>
  </si>
  <si>
    <t>121019_Pre</t>
  </si>
  <si>
    <t xml:space="preserve">121019_Pre + </t>
  </si>
  <si>
    <t xml:space="preserve">121019_Post </t>
  </si>
  <si>
    <t xml:space="preserve">121019_Post + </t>
  </si>
  <si>
    <t>121026_Pre</t>
  </si>
  <si>
    <t xml:space="preserve">121026_Pre + </t>
  </si>
  <si>
    <t xml:space="preserve">121026_Post </t>
  </si>
  <si>
    <t xml:space="preserve">121026_Post + </t>
  </si>
  <si>
    <t>120710_Pre</t>
  </si>
  <si>
    <t xml:space="preserve">120710_Pre + </t>
  </si>
  <si>
    <t xml:space="preserve">120710_Post </t>
  </si>
  <si>
    <t>120710_Post +</t>
  </si>
  <si>
    <t>mch0614_Pre + 51 days</t>
  </si>
  <si>
    <t xml:space="preserve">mch0614_Post </t>
  </si>
  <si>
    <t>Patient has MALS. Post images had to reconstructed due to image artifact.</t>
  </si>
  <si>
    <t>mch0614_Post + 51 days</t>
  </si>
  <si>
    <t>mch0710_Pre</t>
  </si>
  <si>
    <t>mch0614_Pre + 254 days</t>
  </si>
  <si>
    <t xml:space="preserve">mch0710_Post </t>
  </si>
  <si>
    <t>mch0614_Post + 254 days</t>
  </si>
  <si>
    <t>Control</t>
  </si>
  <si>
    <t>MCH12_Pre</t>
  </si>
  <si>
    <t>MCH12_Pre + 60 days</t>
  </si>
  <si>
    <t>MCH12_Post</t>
  </si>
  <si>
    <t>MCH12_Post + 60 days</t>
  </si>
  <si>
    <t>MCH13_Pre</t>
  </si>
  <si>
    <t>MCH13_Pre + 61 days</t>
  </si>
  <si>
    <t>MCH13_Post</t>
  </si>
  <si>
    <t>MCH13_Post + 61 days</t>
  </si>
  <si>
    <t>H2_Pre</t>
  </si>
  <si>
    <t>H2_Pre + 209 days</t>
  </si>
  <si>
    <t>H2_Post</t>
  </si>
  <si>
    <t>H2_Post + 209 days</t>
  </si>
  <si>
    <t>clinical_053012_Pre</t>
  </si>
  <si>
    <t>clinical_053012_Pre + 12 days</t>
  </si>
  <si>
    <t>clinical_053012_Post</t>
  </si>
  <si>
    <t>clinical_053012_Post + 12 days</t>
  </si>
  <si>
    <t>PV seems very large.</t>
  </si>
  <si>
    <t>MCH7_Pre</t>
  </si>
  <si>
    <t>MCH7_Pre + 58 days</t>
  </si>
  <si>
    <t>MCH7_Post</t>
  </si>
  <si>
    <t>MCH7_Post + 58 days</t>
  </si>
  <si>
    <t>MCH9_Pre</t>
  </si>
  <si>
    <t>MCH9_Pre + 57 days</t>
  </si>
  <si>
    <t>MCH9_Post</t>
  </si>
  <si>
    <t>MCH9_Post + 57 days</t>
  </si>
  <si>
    <t>Noise in inferior portion of image (IRAo)</t>
  </si>
  <si>
    <t>MCH14_Pre</t>
  </si>
  <si>
    <t>MCH14_Pre + 53 days</t>
  </si>
  <si>
    <t>MCH14_Post</t>
  </si>
  <si>
    <t>MCH14_Post + 53 days</t>
  </si>
  <si>
    <t>H3_Pre</t>
  </si>
  <si>
    <t>H3_Pre + 204 days</t>
  </si>
  <si>
    <t>H3_Post</t>
  </si>
  <si>
    <t>H3_Post + 204 days</t>
  </si>
  <si>
    <t>Patient does not have IRAo (Francois). RRA not visualized.</t>
  </si>
  <si>
    <t>Post MALS surgery.</t>
  </si>
  <si>
    <t>CA not visualized.</t>
  </si>
  <si>
    <t>NEGATIVE DIAGNOSIS</t>
  </si>
  <si>
    <t>CONTROLS</t>
  </si>
  <si>
    <t>NEGATIVE DIAGNOSIS (15)</t>
  </si>
  <si>
    <t>ISCHEMIA (6)</t>
  </si>
  <si>
    <t>130715_E6116</t>
  </si>
  <si>
    <t>130625_E6029</t>
  </si>
  <si>
    <t>130531_E5893</t>
  </si>
  <si>
    <t>130517_E5823</t>
  </si>
  <si>
    <t>130510_E5777</t>
  </si>
  <si>
    <t>130503_E5725</t>
  </si>
  <si>
    <t>130531_E5893(H4)</t>
  </si>
  <si>
    <t>Ischemia Group Compared to Controls                                   T-test assuming unequal variance</t>
  </si>
  <si>
    <t>Ischemia Group Compared to Negative Diagnosis                                 T-test assuming unequal variance</t>
  </si>
  <si>
    <t>RRA not visualized. Earlier version of Clinical 120425.</t>
  </si>
  <si>
    <t>new PV</t>
  </si>
  <si>
    <t>Arterial (SMA+CA)</t>
  </si>
  <si>
    <t>PRE</t>
  </si>
  <si>
    <t>ratio SMA/PV</t>
  </si>
  <si>
    <t>Ratio (PV/Art)</t>
  </si>
  <si>
    <t>Ratio (SMA/SMV)</t>
  </si>
  <si>
    <t>Unknown (6)</t>
  </si>
  <si>
    <t>Art Loss</t>
  </si>
  <si>
    <t>Art Branch</t>
  </si>
  <si>
    <t>Ven Branch</t>
  </si>
  <si>
    <t>Average Flow Augmentation (%)</t>
  </si>
  <si>
    <t>15.7 ± 14.8</t>
  </si>
  <si>
    <t>-9.99 ± 27.0</t>
  </si>
  <si>
    <t>3.58 ± 15.4</t>
  </si>
  <si>
    <t>6.97 ± 17.5</t>
  </si>
  <si>
    <t>98.8 ± 80.7</t>
  </si>
  <si>
    <t>5.25 ± 52.9</t>
  </si>
  <si>
    <t>133 ± 80.2</t>
  </si>
  <si>
    <t xml:space="preserve">-4.76 ± 32.3 </t>
  </si>
  <si>
    <t>56.7 ± 47.9</t>
  </si>
  <si>
    <r>
      <t>Neg. Diag.</t>
    </r>
    <r>
      <rPr>
        <sz val="10"/>
        <color theme="1"/>
        <rFont val="Times New Roman"/>
        <family val="1"/>
      </rPr>
      <t xml:space="preserve"> </t>
    </r>
  </si>
  <si>
    <t>41.5 ± 90.6</t>
  </si>
  <si>
    <t xml:space="preserve">36.2 ± 81.0 </t>
  </si>
  <si>
    <t>11.8 ± 68.1</t>
  </si>
  <si>
    <t>-1.50 ± 23.7</t>
  </si>
  <si>
    <t>134 ± 268</t>
  </si>
  <si>
    <t>7.30 ± 69.3</t>
  </si>
  <si>
    <t>207 ± 183</t>
  </si>
  <si>
    <t>-4.78 ± 35.8</t>
  </si>
  <si>
    <t>82.3 ± 61.8</t>
  </si>
  <si>
    <t xml:space="preserve">CMI </t>
  </si>
  <si>
    <t>-2.57 ± 12.1</t>
  </si>
  <si>
    <t>-3.16 ± 27.1</t>
  </si>
  <si>
    <t>-19.9 ± 26.1</t>
  </si>
  <si>
    <t>-35.7 ± 37.1</t>
  </si>
  <si>
    <t>23.5 ± 32.7</t>
  </si>
  <si>
    <t>4.52 ± 8.52</t>
  </si>
  <si>
    <t>40.3 ± 55.6</t>
  </si>
  <si>
    <t>-11.7 ± 19.4</t>
  </si>
  <si>
    <t>11.8 ± 30.9</t>
  </si>
  <si>
    <t>NEGATIVE DIAGNOSIS (14)</t>
  </si>
  <si>
    <t>Unknown (5)</t>
  </si>
  <si>
    <t>Excluded</t>
  </si>
  <si>
    <t>120318_MCH</t>
  </si>
  <si>
    <t>Noise</t>
  </si>
  <si>
    <t>Inconsistent flow</t>
  </si>
  <si>
    <t>Recon Error</t>
  </si>
  <si>
    <t>Bad data</t>
  </si>
  <si>
    <t>Hypertension</t>
  </si>
  <si>
    <t>Dissection</t>
  </si>
  <si>
    <t>NEGATIVE DIAGNOSIS (13)</t>
  </si>
  <si>
    <t>NOISE (PREPR.)</t>
  </si>
  <si>
    <t>UNRELIABLE FLOW</t>
  </si>
  <si>
    <t>MCH1_111114</t>
  </si>
  <si>
    <t>RECON ERROR</t>
  </si>
  <si>
    <t>ECG CORRUPTION</t>
  </si>
  <si>
    <t>HYPERTENSION PT</t>
  </si>
  <si>
    <t>clin_mch_072116</t>
  </si>
  <si>
    <t>NO DATA</t>
  </si>
  <si>
    <t>CA not visualized well on postprandial images</t>
  </si>
  <si>
    <t>120813_Pre</t>
  </si>
  <si>
    <t>120813_Post</t>
  </si>
  <si>
    <t xml:space="preserve">120813_Pre + </t>
  </si>
  <si>
    <t xml:space="preserve">120813_Post + </t>
  </si>
  <si>
    <t>Occluded CA. Collateral from PDA as seen in Ensight.</t>
  </si>
  <si>
    <t>120813_</t>
  </si>
  <si>
    <t>Max</t>
  </si>
  <si>
    <t>Min</t>
  </si>
  <si>
    <t xml:space="preserve">  </t>
  </si>
  <si>
    <t>PDA collateral visualized</t>
  </si>
  <si>
    <t>MALS. No mesenteric ischemia.</t>
  </si>
  <si>
    <t>???</t>
  </si>
  <si>
    <t>POST MALS</t>
  </si>
  <si>
    <t>PRE MALS</t>
  </si>
  <si>
    <t>SMA OCCLUSION</t>
  </si>
  <si>
    <t>CA NARROWING</t>
  </si>
  <si>
    <t>CA STENOSIS</t>
  </si>
  <si>
    <t>SMA OCCLUSION+</t>
  </si>
  <si>
    <t>THROWN OUT</t>
  </si>
  <si>
    <t>MALS</t>
  </si>
  <si>
    <t>CA+SMA</t>
  </si>
  <si>
    <t>SMA syndrome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</si>
</sst>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 \±\ ###"/>
    <numFmt numFmtId="168" formatCode="#.##\ \±\ #.##"/>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1"/>
      <name val="Calibri"/>
      <family val="2"/>
      <scheme val="minor"/>
    </font>
    <font>
      <u/>
      <sz val="14"/>
      <color theme="1"/>
      <name val="Calibri"/>
      <family val="2"/>
      <scheme val="minor"/>
    </font>
    <font>
      <i/>
      <sz val="12"/>
      <color theme="1"/>
      <name val="Calibri"/>
      <family val="2"/>
      <scheme val="minor"/>
    </font>
    <font>
      <sz val="11"/>
      <color theme="1"/>
      <name val="Calibri"/>
      <family val="2"/>
    </font>
    <font>
      <b/>
      <sz val="12"/>
      <color theme="1"/>
      <name val="Times New Roman"/>
      <family val="1"/>
    </font>
    <font>
      <sz val="10"/>
      <color theme="1"/>
      <name val="Times New Roman"/>
      <family val="1"/>
    </font>
    <font>
      <b/>
      <sz val="10"/>
      <color theme="1"/>
      <name val="Times New Roman"/>
      <family val="1"/>
    </font>
    <font>
      <sz val="9"/>
      <color theme="1"/>
      <name val="Times New Roman"/>
      <family val="1"/>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theme="9" tint="0.79998168889431442"/>
        <bgColor indexed="65"/>
      </patternFill>
    </fill>
  </fills>
  <borders count="10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style="double">
        <color auto="1"/>
      </top>
      <bottom/>
      <diagonal/>
    </border>
    <border>
      <left/>
      <right style="medium">
        <color indexed="64"/>
      </right>
      <top style="double">
        <color auto="1"/>
      </top>
      <bottom/>
      <diagonal/>
    </border>
    <border>
      <left/>
      <right style="thin">
        <color indexed="64"/>
      </right>
      <top/>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right style="thin">
        <color indexed="64"/>
      </right>
      <top style="medium">
        <color auto="1"/>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auto="1"/>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auto="1"/>
      </right>
      <top/>
      <bottom style="thin">
        <color auto="1"/>
      </bottom>
      <diagonal/>
    </border>
    <border>
      <left/>
      <right style="thin">
        <color indexed="64"/>
      </right>
      <top/>
      <bottom style="thin">
        <color indexed="64"/>
      </bottom>
      <diagonal/>
    </border>
    <border>
      <left style="medium">
        <color indexed="64"/>
      </left>
      <right style="medium">
        <color auto="1"/>
      </right>
      <top/>
      <bottom style="thin">
        <color auto="1"/>
      </bottom>
      <diagonal/>
    </border>
    <border>
      <left/>
      <right/>
      <top style="medium">
        <color indexed="64"/>
      </top>
      <bottom style="medium">
        <color indexed="64"/>
      </bottom>
      <diagonal/>
    </border>
    <border>
      <left/>
      <right style="thin">
        <color indexed="64"/>
      </right>
      <top/>
      <bottom style="double">
        <color auto="1"/>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thin">
        <color indexed="64"/>
      </right>
      <top style="medium">
        <color auto="1"/>
      </top>
      <bottom style="thin">
        <color rgb="FFB2B2B2"/>
      </bottom>
      <diagonal/>
    </border>
    <border>
      <left style="thin">
        <color rgb="FFB2B2B2"/>
      </left>
      <right style="thin">
        <color indexed="64"/>
      </right>
      <top style="thin">
        <color rgb="FFB2B2B2"/>
      </top>
      <bottom style="thin">
        <color rgb="FFB2B2B2"/>
      </bottom>
      <diagonal/>
    </border>
    <border>
      <left style="thin">
        <color rgb="FF7F7F7F"/>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auto="1"/>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thin">
        <color rgb="FFB2B2B2"/>
      </left>
      <right style="medium">
        <color indexed="64"/>
      </right>
      <top style="medium">
        <color auto="1"/>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top style="medium">
        <color auto="1"/>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indexed="64"/>
      </right>
      <top style="thin">
        <color rgb="FFB2B2B2"/>
      </top>
      <bottom style="medium">
        <color indexed="64"/>
      </bottom>
      <diagonal/>
    </border>
    <border>
      <left/>
      <right/>
      <top/>
      <bottom style="thick">
        <color indexed="64"/>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rgb="FFB2B2B2"/>
      </right>
      <top/>
      <bottom style="thin">
        <color rgb="FFB2B2B2"/>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thin">
        <color rgb="FFB2B2B2"/>
      </left>
      <right style="thin">
        <color indexed="64"/>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ck">
        <color indexed="64"/>
      </top>
      <bottom style="thin">
        <color indexed="64"/>
      </bottom>
      <diagonal/>
    </border>
    <border>
      <left/>
      <right style="medium">
        <color indexed="64"/>
      </right>
      <top/>
      <bottom style="thick">
        <color indexed="64"/>
      </bottom>
      <diagonal/>
    </border>
    <border>
      <left style="medium">
        <color auto="1"/>
      </left>
      <right style="medium">
        <color indexed="64"/>
      </right>
      <top style="double">
        <color auto="1"/>
      </top>
      <bottom/>
      <diagonal/>
    </border>
    <border>
      <left style="thin">
        <color indexed="64"/>
      </left>
      <right style="medium">
        <color auto="1"/>
      </right>
      <top/>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style="thick">
        <color indexed="64"/>
      </right>
      <top/>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rgb="FFB2B2B2"/>
      </left>
      <right style="thin">
        <color indexed="64"/>
      </right>
      <top style="thin">
        <color rgb="FFB2B2B2"/>
      </top>
      <bottom/>
      <diagonal/>
    </border>
    <border>
      <left style="thin">
        <color rgb="FFB2B2B2"/>
      </left>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thin">
        <color rgb="FFB2B2B2"/>
      </bottom>
      <diagonal/>
    </border>
    <border>
      <left style="medium">
        <color indexed="64"/>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style="thin">
        <color rgb="FFB2B2B2"/>
      </top>
      <bottom style="thin">
        <color rgb="FFB2B2B2"/>
      </bottom>
      <diagonal/>
    </border>
    <border>
      <left/>
      <right style="medium">
        <color auto="1"/>
      </right>
      <top style="thin">
        <color rgb="FFB2B2B2"/>
      </top>
      <bottom style="medium">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9" borderId="0" applyNumberFormat="0" applyBorder="0" applyAlignment="0" applyProtection="0"/>
    <xf numFmtId="0" fontId="1" fillId="10" borderId="0" applyNumberFormat="0" applyBorder="0" applyAlignment="0" applyProtection="0"/>
  </cellStyleXfs>
  <cellXfs count="377">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164" fontId="0" fillId="0" borderId="0" xfId="0" applyNumberFormat="1"/>
    <xf numFmtId="164" fontId="0" fillId="0" borderId="6" xfId="0" applyNumberFormat="1" applyBorder="1"/>
    <xf numFmtId="164" fontId="0" fillId="0" borderId="8" xfId="0" applyNumberFormat="1" applyBorder="1"/>
    <xf numFmtId="164" fontId="0" fillId="0" borderId="9" xfId="0" applyNumberFormat="1" applyBorder="1"/>
    <xf numFmtId="0" fontId="0" fillId="0" borderId="6" xfId="0" applyBorder="1"/>
    <xf numFmtId="164" fontId="0" fillId="0" borderId="10" xfId="0" applyNumberFormat="1" applyBorder="1"/>
    <xf numFmtId="0" fontId="0" fillId="0" borderId="11" xfId="0" applyBorder="1" applyAlignment="1">
      <alignment horizontal="right"/>
    </xf>
    <xf numFmtId="0" fontId="0" fillId="0" borderId="12" xfId="0" applyBorder="1"/>
    <xf numFmtId="164" fontId="0" fillId="0" borderId="13" xfId="0" applyNumberFormat="1" applyBorder="1"/>
    <xf numFmtId="164" fontId="0" fillId="0" borderId="11" xfId="0" applyNumberFormat="1" applyBorder="1"/>
    <xf numFmtId="164" fontId="0" fillId="0" borderId="14" xfId="0" applyNumberFormat="1" applyBorder="1"/>
    <xf numFmtId="164" fontId="6" fillId="0" borderId="0" xfId="0" applyNumberFormat="1" applyFont="1"/>
    <xf numFmtId="164" fontId="6" fillId="0" borderId="6" xfId="0" applyNumberFormat="1" applyFont="1" applyBorder="1"/>
    <xf numFmtId="164" fontId="0" fillId="0" borderId="0" xfId="0" applyNumberFormat="1" applyAlignment="1">
      <alignment vertical="center" wrapText="1"/>
    </xf>
    <xf numFmtId="164" fontId="0" fillId="0" borderId="15" xfId="0" applyNumberFormat="1" applyBorder="1" applyAlignment="1">
      <alignment vertical="center" wrapText="1"/>
    </xf>
    <xf numFmtId="164" fontId="0" fillId="0" borderId="6" xfId="0" applyNumberFormat="1" applyBorder="1" applyAlignment="1">
      <alignment vertical="center" wrapText="1"/>
    </xf>
    <xf numFmtId="164" fontId="0" fillId="0" borderId="10" xfId="0" applyNumberFormat="1" applyBorder="1" applyAlignment="1">
      <alignment vertical="center" wrapText="1"/>
    </xf>
    <xf numFmtId="164" fontId="0" fillId="0" borderId="16" xfId="0" applyNumberFormat="1" applyBorder="1"/>
    <xf numFmtId="0" fontId="0" fillId="0" borderId="0" xfId="0" applyAlignment="1">
      <alignment vertical="center" wrapText="1"/>
    </xf>
    <xf numFmtId="0" fontId="0" fillId="0" borderId="13" xfId="0" applyBorder="1"/>
    <xf numFmtId="164" fontId="0" fillId="0" borderId="17" xfId="0" applyNumberFormat="1" applyBorder="1"/>
    <xf numFmtId="164" fontId="0" fillId="0" borderId="15" xfId="0" applyNumberFormat="1" applyBorder="1"/>
    <xf numFmtId="0" fontId="0" fillId="0" borderId="18" xfId="0"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0" xfId="0" applyNumberFormat="1" applyBorder="1"/>
    <xf numFmtId="0" fontId="0" fillId="0" borderId="22" xfId="0"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7" borderId="26" xfId="0" applyFill="1" applyBorder="1"/>
    <xf numFmtId="164" fontId="0" fillId="0" borderId="22" xfId="0" applyNumberFormat="1" applyBorder="1"/>
    <xf numFmtId="0" fontId="0" fillId="7" borderId="12" xfId="0" applyFill="1" applyBorder="1"/>
    <xf numFmtId="0" fontId="0" fillId="0" borderId="27" xfId="0" applyBorder="1"/>
    <xf numFmtId="164" fontId="0" fillId="0" borderId="27" xfId="0" applyNumberFormat="1" applyBorder="1"/>
    <xf numFmtId="0" fontId="0" fillId="0" borderId="26" xfId="0" applyBorder="1"/>
    <xf numFmtId="0" fontId="0" fillId="0" borderId="3" xfId="0" applyBorder="1"/>
    <xf numFmtId="0" fontId="0" fillId="0" borderId="28" xfId="0" applyBorder="1" applyAlignment="1">
      <alignment wrapText="1"/>
    </xf>
    <xf numFmtId="0" fontId="0" fillId="0" borderId="0" xfId="0" applyFill="1" applyBorder="1"/>
    <xf numFmtId="164" fontId="0" fillId="0" borderId="0" xfId="0" applyNumberFormat="1" applyFont="1"/>
    <xf numFmtId="164" fontId="0" fillId="6" borderId="2" xfId="5" applyNumberFormat="1" applyFont="1"/>
    <xf numFmtId="164" fontId="0" fillId="0" borderId="6" xfId="0" applyNumberFormat="1" applyFont="1" applyBorder="1"/>
    <xf numFmtId="0" fontId="0" fillId="0" borderId="11" xfId="0" applyBorder="1"/>
    <xf numFmtId="164" fontId="0" fillId="6" borderId="32" xfId="5" applyNumberFormat="1" applyFont="1" applyBorder="1"/>
    <xf numFmtId="164" fontId="0" fillId="0" borderId="17" xfId="0" applyNumberFormat="1" applyBorder="1" applyAlignment="1">
      <alignment vertical="center" wrapText="1"/>
    </xf>
    <xf numFmtId="0" fontId="0" fillId="0" borderId="0" xfId="0" applyAlignment="1">
      <alignment horizontal="right"/>
    </xf>
    <xf numFmtId="0" fontId="3" fillId="3" borderId="6" xfId="2" applyBorder="1"/>
    <xf numFmtId="0" fontId="3" fillId="3" borderId="11" xfId="2" applyBorder="1" applyAlignment="1">
      <alignment horizontal="right"/>
    </xf>
    <xf numFmtId="0" fontId="0" fillId="0" borderId="0" xfId="0" applyBorder="1"/>
    <xf numFmtId="0" fontId="0" fillId="0" borderId="6" xfId="0" applyBorder="1" applyAlignment="1"/>
    <xf numFmtId="0" fontId="0" fillId="0" borderId="21" xfId="0" applyBorder="1"/>
    <xf numFmtId="0" fontId="0" fillId="0" borderId="13" xfId="0" applyBorder="1" applyAlignment="1">
      <alignment horizontal="right"/>
    </xf>
    <xf numFmtId="0" fontId="0" fillId="0" borderId="12" xfId="0" applyBorder="1" applyAlignment="1"/>
    <xf numFmtId="0" fontId="0" fillId="0" borderId="15" xfId="0" applyBorder="1"/>
    <xf numFmtId="0" fontId="0" fillId="0" borderId="10" xfId="0" applyBorder="1"/>
    <xf numFmtId="0" fontId="0" fillId="0" borderId="20" xfId="0" applyBorder="1"/>
    <xf numFmtId="0" fontId="3" fillId="3" borderId="0" xfId="2"/>
    <xf numFmtId="0" fontId="0" fillId="0" borderId="18" xfId="0" applyBorder="1" applyAlignment="1"/>
    <xf numFmtId="164" fontId="6" fillId="0" borderId="6" xfId="0" applyNumberFormat="1" applyFont="1" applyBorder="1" applyAlignment="1">
      <alignment vertical="center" wrapText="1"/>
    </xf>
    <xf numFmtId="0" fontId="6" fillId="0" borderId="0" xfId="0" applyFont="1" applyAlignment="1">
      <alignment vertical="center" wrapText="1"/>
    </xf>
    <xf numFmtId="0" fontId="0" fillId="0" borderId="7" xfId="0" applyBorder="1" applyAlignment="1"/>
    <xf numFmtId="0" fontId="0" fillId="0" borderId="17" xfId="0" applyBorder="1"/>
    <xf numFmtId="164" fontId="0" fillId="6" borderId="34" xfId="5" applyNumberFormat="1" applyFont="1" applyBorder="1"/>
    <xf numFmtId="164" fontId="0" fillId="6" borderId="35" xfId="5" applyNumberFormat="1" applyFont="1" applyBorder="1" applyAlignment="1">
      <alignment vertical="center" wrapText="1"/>
    </xf>
    <xf numFmtId="164" fontId="0" fillId="0" borderId="0" xfId="0" applyNumberFormat="1" applyFill="1" applyBorder="1" applyAlignment="1">
      <alignment vertical="center" wrapText="1"/>
    </xf>
    <xf numFmtId="164" fontId="6" fillId="0" borderId="0" xfId="0" applyNumberFormat="1" applyFont="1" applyAlignment="1">
      <alignment vertical="center" wrapText="1"/>
    </xf>
    <xf numFmtId="165" fontId="0" fillId="0" borderId="0" xfId="0" applyNumberFormat="1"/>
    <xf numFmtId="165" fontId="0" fillId="0" borderId="6" xfId="0" applyNumberFormat="1" applyBorder="1"/>
    <xf numFmtId="0" fontId="0" fillId="0" borderId="5" xfId="0" applyBorder="1"/>
    <xf numFmtId="0" fontId="0" fillId="0" borderId="28" xfId="0" applyBorder="1"/>
    <xf numFmtId="0" fontId="0" fillId="0" borderId="9" xfId="0" applyBorder="1"/>
    <xf numFmtId="164" fontId="0" fillId="0" borderId="9" xfId="0" applyNumberFormat="1" applyBorder="1" applyAlignment="1">
      <alignment vertical="center" wrapText="1"/>
    </xf>
    <xf numFmtId="164" fontId="0" fillId="0" borderId="0" xfId="0" applyNumberFormat="1" applyBorder="1" applyAlignment="1">
      <alignment vertical="center" wrapText="1"/>
    </xf>
    <xf numFmtId="0" fontId="5" fillId="5" borderId="36" xfId="4" applyBorder="1"/>
    <xf numFmtId="0" fontId="5" fillId="5" borderId="39" xfId="4" applyBorder="1" applyAlignment="1">
      <alignment horizontal="right"/>
    </xf>
    <xf numFmtId="0" fontId="0" fillId="0" borderId="6" xfId="0" applyBorder="1" applyAlignment="1">
      <alignment horizontal="right"/>
    </xf>
    <xf numFmtId="0" fontId="0" fillId="0" borderId="18" xfId="0" applyBorder="1" applyAlignment="1">
      <alignment horizontal="left"/>
    </xf>
    <xf numFmtId="164" fontId="6" fillId="0" borderId="20" xfId="0" applyNumberFormat="1" applyFont="1" applyBorder="1" applyAlignment="1">
      <alignment vertical="center" wrapText="1"/>
    </xf>
    <xf numFmtId="164" fontId="0" fillId="6" borderId="42" xfId="5" applyNumberFormat="1" applyFont="1" applyBorder="1"/>
    <xf numFmtId="164" fontId="0" fillId="0" borderId="20" xfId="0" applyNumberFormat="1" applyBorder="1" applyAlignment="1">
      <alignment vertical="center" wrapText="1"/>
    </xf>
    <xf numFmtId="164" fontId="0" fillId="6" borderId="43" xfId="5" applyNumberFormat="1" applyFont="1" applyBorder="1" applyAlignment="1">
      <alignment vertical="center" wrapText="1"/>
    </xf>
    <xf numFmtId="164" fontId="0" fillId="6" borderId="42" xfId="5" applyNumberFormat="1" applyFont="1" applyBorder="1" applyAlignment="1">
      <alignment vertical="center" wrapText="1"/>
    </xf>
    <xf numFmtId="164" fontId="6" fillId="0" borderId="0" xfId="0" applyNumberFormat="1" applyFont="1" applyBorder="1" applyAlignment="1">
      <alignment vertical="center" wrapText="1"/>
    </xf>
    <xf numFmtId="164" fontId="0" fillId="6" borderId="44" xfId="5" applyNumberFormat="1" applyFont="1" applyBorder="1"/>
    <xf numFmtId="164" fontId="0" fillId="6" borderId="2" xfId="5" applyNumberFormat="1" applyFont="1" applyBorder="1" applyAlignment="1">
      <alignment vertical="center" wrapText="1"/>
    </xf>
    <xf numFmtId="164" fontId="0" fillId="6" borderId="44" xfId="5" applyNumberFormat="1" applyFont="1" applyBorder="1" applyAlignment="1">
      <alignment vertical="center" wrapText="1"/>
    </xf>
    <xf numFmtId="0" fontId="0" fillId="0" borderId="12" xfId="0" applyBorder="1" applyAlignment="1">
      <alignment horizontal="right"/>
    </xf>
    <xf numFmtId="164" fontId="0" fillId="6" borderId="45" xfId="5" applyNumberFormat="1" applyFont="1" applyBorder="1"/>
    <xf numFmtId="164" fontId="0" fillId="6" borderId="2" xfId="5" applyNumberFormat="1" applyFont="1" applyAlignment="1">
      <alignment vertical="center" wrapText="1"/>
    </xf>
    <xf numFmtId="0" fontId="0" fillId="0" borderId="18" xfId="0" applyBorder="1" applyAlignment="1">
      <alignment horizontal="right"/>
    </xf>
    <xf numFmtId="0" fontId="0" fillId="0" borderId="7" xfId="0" applyBorder="1" applyAlignment="1">
      <alignment horizontal="right"/>
    </xf>
    <xf numFmtId="0" fontId="0" fillId="0" borderId="26" xfId="0" applyBorder="1" applyAlignment="1">
      <alignment horizontal="right"/>
    </xf>
    <xf numFmtId="0" fontId="0" fillId="7" borderId="12" xfId="0" applyFill="1" applyBorder="1" applyAlignment="1">
      <alignment horizontal="right"/>
    </xf>
    <xf numFmtId="0" fontId="6" fillId="0" borderId="6" xfId="0" applyFont="1" applyBorder="1"/>
    <xf numFmtId="49" fontId="0" fillId="0" borderId="0" xfId="0" applyNumberFormat="1" applyBorder="1"/>
    <xf numFmtId="164" fontId="0" fillId="0" borderId="0" xfId="0" applyNumberFormat="1" applyFill="1" applyBorder="1"/>
    <xf numFmtId="0" fontId="0" fillId="0" borderId="0" xfId="0" applyFill="1" applyBorder="1" applyAlignment="1">
      <alignment vertical="center" wrapText="1"/>
    </xf>
    <xf numFmtId="0" fontId="0" fillId="0" borderId="0" xfId="0" applyBorder="1" applyAlignment="1">
      <alignment vertical="center" wrapText="1"/>
    </xf>
    <xf numFmtId="49" fontId="0" fillId="0" borderId="6" xfId="0" applyNumberFormat="1" applyBorder="1" applyAlignment="1">
      <alignment vertical="center" wrapText="1"/>
    </xf>
    <xf numFmtId="14" fontId="0" fillId="0" borderId="6" xfId="0" applyNumberFormat="1" applyBorder="1" applyAlignment="1">
      <alignment vertical="center" wrapText="1"/>
    </xf>
    <xf numFmtId="14" fontId="0" fillId="0" borderId="6" xfId="0" applyNumberFormat="1" applyBorder="1"/>
    <xf numFmtId="0" fontId="3" fillId="3" borderId="7" xfId="2" applyBorder="1"/>
    <xf numFmtId="0" fontId="0" fillId="0" borderId="16" xfId="0" applyBorder="1"/>
    <xf numFmtId="0" fontId="0" fillId="0" borderId="13" xfId="0" applyBorder="1" applyAlignment="1">
      <alignment vertical="center" wrapText="1"/>
    </xf>
    <xf numFmtId="14" fontId="0" fillId="0" borderId="0" xfId="0" applyNumberFormat="1" applyBorder="1" applyAlignment="1">
      <alignment vertical="center" wrapText="1"/>
    </xf>
    <xf numFmtId="14" fontId="0" fillId="0" borderId="17" xfId="0" applyNumberFormat="1" applyBorder="1"/>
    <xf numFmtId="49" fontId="0" fillId="0" borderId="6" xfId="0" applyNumberFormat="1" applyBorder="1"/>
    <xf numFmtId="0" fontId="0" fillId="0" borderId="46" xfId="0" applyBorder="1"/>
    <xf numFmtId="0" fontId="0" fillId="0" borderId="47" xfId="0" applyBorder="1"/>
    <xf numFmtId="0" fontId="0" fillId="0" borderId="48" xfId="0" applyBorder="1" applyAlignment="1">
      <alignment vertical="center" wrapText="1"/>
    </xf>
    <xf numFmtId="0" fontId="0" fillId="0" borderId="50" xfId="0" applyBorder="1"/>
    <xf numFmtId="0" fontId="0" fillId="0" borderId="10" xfId="0" applyBorder="1" applyAlignment="1">
      <alignment vertical="center" wrapText="1"/>
    </xf>
    <xf numFmtId="0" fontId="0" fillId="0" borderId="51" xfId="0" applyBorder="1"/>
    <xf numFmtId="0" fontId="0" fillId="0" borderId="23" xfId="0" applyBorder="1" applyAlignment="1">
      <alignment vertical="center" wrapText="1"/>
    </xf>
    <xf numFmtId="0" fontId="0" fillId="0" borderId="23" xfId="0" applyBorder="1"/>
    <xf numFmtId="0" fontId="0" fillId="0" borderId="25" xfId="0" applyBorder="1"/>
    <xf numFmtId="0" fontId="6" fillId="0" borderId="50" xfId="0" applyFont="1" applyBorder="1"/>
    <xf numFmtId="0" fontId="6" fillId="0" borderId="0" xfId="0" applyFont="1" applyBorder="1"/>
    <xf numFmtId="0" fontId="6" fillId="0" borderId="47" xfId="0" applyFont="1" applyBorder="1"/>
    <xf numFmtId="0" fontId="0" fillId="0" borderId="48" xfId="0" applyBorder="1"/>
    <xf numFmtId="0" fontId="0" fillId="0" borderId="49" xfId="0" applyBorder="1"/>
    <xf numFmtId="0" fontId="6" fillId="0" borderId="51" xfId="0" applyFont="1" applyBorder="1"/>
    <xf numFmtId="0" fontId="9" fillId="0" borderId="0" xfId="0" applyFont="1"/>
    <xf numFmtId="0" fontId="10" fillId="0" borderId="0" xfId="0" applyFont="1"/>
    <xf numFmtId="0" fontId="0" fillId="0" borderId="0" xfId="0" applyFill="1" applyBorder="1" applyAlignment="1"/>
    <xf numFmtId="0" fontId="0" fillId="0" borderId="4" xfId="0" applyFont="1" applyBorder="1"/>
    <xf numFmtId="164" fontId="0" fillId="0" borderId="5" xfId="0" applyNumberFormat="1" applyBorder="1" applyAlignment="1">
      <alignment wrapText="1"/>
    </xf>
    <xf numFmtId="164" fontId="0" fillId="0" borderId="3" xfId="0" applyNumberFormat="1" applyBorder="1" applyAlignment="1">
      <alignment wrapText="1"/>
    </xf>
    <xf numFmtId="0" fontId="0" fillId="0" borderId="0" xfId="0" applyAlignment="1"/>
    <xf numFmtId="0" fontId="0" fillId="0" borderId="0" xfId="0" applyBorder="1" applyAlignment="1">
      <alignment wrapText="1"/>
    </xf>
    <xf numFmtId="0" fontId="0" fillId="0" borderId="10" xfId="0" applyBorder="1" applyAlignment="1">
      <alignment wrapText="1"/>
    </xf>
    <xf numFmtId="0" fontId="0" fillId="0" borderId="6" xfId="0" applyBorder="1" applyAlignment="1">
      <alignment wrapText="1"/>
    </xf>
    <xf numFmtId="0" fontId="11" fillId="0" borderId="0" xfId="0" applyFont="1"/>
    <xf numFmtId="164" fontId="0" fillId="0" borderId="0" xfId="0" applyNumberFormat="1" applyAlignment="1"/>
    <xf numFmtId="1" fontId="0" fillId="0" borderId="0" xfId="0" applyNumberFormat="1" applyAlignment="1"/>
    <xf numFmtId="0" fontId="10" fillId="0" borderId="0" xfId="0" applyFont="1" applyBorder="1"/>
    <xf numFmtId="0" fontId="0" fillId="0" borderId="0" xfId="0" applyBorder="1" applyAlignment="1"/>
    <xf numFmtId="164" fontId="0" fillId="6" borderId="2" xfId="5" applyNumberFormat="1" applyFont="1" applyBorder="1"/>
    <xf numFmtId="164" fontId="4" fillId="4" borderId="0" xfId="3" applyNumberFormat="1"/>
    <xf numFmtId="164" fontId="2" fillId="2" borderId="0" xfId="1" applyNumberFormat="1"/>
    <xf numFmtId="164" fontId="0" fillId="6" borderId="52" xfId="5" applyNumberFormat="1" applyFont="1" applyBorder="1"/>
    <xf numFmtId="1" fontId="0" fillId="0" borderId="0" xfId="0" applyNumberFormat="1"/>
    <xf numFmtId="0" fontId="0" fillId="0" borderId="14" xfId="0" applyBorder="1"/>
    <xf numFmtId="0" fontId="0" fillId="0" borderId="53" xfId="0" applyBorder="1"/>
    <xf numFmtId="0" fontId="6" fillId="0" borderId="0" xfId="0" applyFont="1" applyAlignment="1">
      <alignment horizontal="center"/>
    </xf>
    <xf numFmtId="0" fontId="2" fillId="2" borderId="1" xfId="1" applyBorder="1"/>
    <xf numFmtId="0" fontId="2" fillId="2" borderId="1" xfId="1" applyBorder="1" applyAlignment="1">
      <alignment horizontal="right"/>
    </xf>
    <xf numFmtId="164" fontId="0" fillId="0" borderId="63" xfId="0" applyNumberFormat="1" applyBorder="1"/>
    <xf numFmtId="0" fontId="0" fillId="0" borderId="64" xfId="0" applyBorder="1"/>
    <xf numFmtId="0" fontId="2" fillId="2" borderId="17" xfId="1" applyBorder="1"/>
    <xf numFmtId="0" fontId="0" fillId="0" borderId="8" xfId="0" applyBorder="1"/>
    <xf numFmtId="0" fontId="2" fillId="2" borderId="6" xfId="1" applyBorder="1"/>
    <xf numFmtId="0" fontId="0" fillId="0" borderId="6" xfId="0" applyBorder="1" applyAlignment="1">
      <alignment vertical="center" wrapText="1"/>
    </xf>
    <xf numFmtId="0" fontId="2" fillId="2" borderId="24" xfId="1" applyBorder="1" applyAlignment="1">
      <alignment horizontal="right"/>
    </xf>
    <xf numFmtId="0" fontId="2" fillId="2" borderId="11" xfId="1" applyBorder="1" applyAlignment="1">
      <alignment horizontal="right"/>
    </xf>
    <xf numFmtId="0" fontId="2" fillId="2" borderId="6" xfId="1" applyBorder="1" applyAlignment="1">
      <alignment horizontal="right"/>
    </xf>
    <xf numFmtId="0" fontId="2" fillId="2" borderId="64" xfId="1" applyBorder="1"/>
    <xf numFmtId="0" fontId="0" fillId="0" borderId="24" xfId="0" applyBorder="1"/>
    <xf numFmtId="0" fontId="0" fillId="0" borderId="24" xfId="0" applyBorder="1" applyAlignment="1">
      <alignment horizontal="right"/>
    </xf>
    <xf numFmtId="0" fontId="0" fillId="0" borderId="15" xfId="0" applyBorder="1" applyAlignment="1">
      <alignment vertical="center" wrapText="1"/>
    </xf>
    <xf numFmtId="0" fontId="6" fillId="0" borderId="13" xfId="0" applyFont="1" applyBorder="1" applyAlignment="1">
      <alignment horizontal="center"/>
    </xf>
    <xf numFmtId="164" fontId="12" fillId="0" borderId="0" xfId="0" applyNumberFormat="1" applyFont="1" applyFill="1" applyBorder="1"/>
    <xf numFmtId="0" fontId="3" fillId="3" borderId="9" xfId="2" applyBorder="1"/>
    <xf numFmtId="164" fontId="0" fillId="6" borderId="65" xfId="5" applyNumberFormat="1" applyFont="1" applyBorder="1"/>
    <xf numFmtId="164" fontId="0" fillId="6" borderId="67" xfId="5" applyNumberFormat="1" applyFont="1" applyBorder="1"/>
    <xf numFmtId="164" fontId="0" fillId="6" borderId="68" xfId="5" applyNumberFormat="1" applyFont="1" applyBorder="1"/>
    <xf numFmtId="164" fontId="0" fillId="6" borderId="35" xfId="5" applyNumberFormat="1" applyFont="1" applyBorder="1"/>
    <xf numFmtId="0" fontId="6" fillId="0" borderId="0" xfId="0" applyFont="1"/>
    <xf numFmtId="0" fontId="0" fillId="6" borderId="2" xfId="5" applyFont="1"/>
    <xf numFmtId="0" fontId="0" fillId="6" borderId="67" xfId="5" applyFont="1" applyBorder="1" applyAlignment="1">
      <alignment horizontal="right"/>
    </xf>
    <xf numFmtId="164" fontId="0" fillId="0" borderId="6" xfId="0" applyNumberFormat="1" applyBorder="1" applyAlignment="1"/>
    <xf numFmtId="0" fontId="11" fillId="0" borderId="70" xfId="0" applyFont="1" applyBorder="1"/>
    <xf numFmtId="11" fontId="2" fillId="2" borderId="48" xfId="1" applyNumberFormat="1" applyBorder="1"/>
    <xf numFmtId="164" fontId="0" fillId="0" borderId="48" xfId="0" applyNumberFormat="1" applyBorder="1"/>
    <xf numFmtId="164" fontId="4" fillId="4" borderId="48" xfId="3" applyNumberFormat="1" applyBorder="1"/>
    <xf numFmtId="11" fontId="2" fillId="2" borderId="49" xfId="1" applyNumberFormat="1" applyBorder="1"/>
    <xf numFmtId="0" fontId="11" fillId="0" borderId="71" xfId="0" applyFont="1" applyBorder="1"/>
    <xf numFmtId="164" fontId="2" fillId="2" borderId="23" xfId="1" applyNumberFormat="1" applyBorder="1"/>
    <xf numFmtId="164" fontId="2" fillId="2" borderId="25" xfId="1" applyNumberFormat="1" applyBorder="1"/>
    <xf numFmtId="164" fontId="4" fillId="4" borderId="23" xfId="3" applyNumberFormat="1" applyBorder="1"/>
    <xf numFmtId="0" fontId="10" fillId="0" borderId="74" xfId="0" applyFont="1" applyBorder="1"/>
    <xf numFmtId="0" fontId="0" fillId="0" borderId="75" xfId="0" applyBorder="1" applyAlignment="1">
      <alignment wrapText="1"/>
    </xf>
    <xf numFmtId="0" fontId="0" fillId="0" borderId="73" xfId="0" applyBorder="1" applyAlignment="1">
      <alignment wrapText="1"/>
    </xf>
    <xf numFmtId="0" fontId="10" fillId="0" borderId="69" xfId="0" applyFont="1" applyBorder="1"/>
    <xf numFmtId="0" fontId="11" fillId="0" borderId="51" xfId="0" applyFont="1" applyBorder="1"/>
    <xf numFmtId="0" fontId="0" fillId="0" borderId="74" xfId="0" applyBorder="1" applyAlignment="1">
      <alignment wrapText="1"/>
    </xf>
    <xf numFmtId="164" fontId="2" fillId="2" borderId="74" xfId="1" applyNumberFormat="1" applyBorder="1"/>
    <xf numFmtId="164" fontId="2" fillId="2" borderId="71" xfId="1" applyNumberFormat="1" applyBorder="1"/>
    <xf numFmtId="0" fontId="10" fillId="0" borderId="51" xfId="0" applyFont="1" applyBorder="1"/>
    <xf numFmtId="0" fontId="0" fillId="0" borderId="23" xfId="0" applyBorder="1" applyAlignment="1">
      <alignment wrapText="1"/>
    </xf>
    <xf numFmtId="0" fontId="0" fillId="0" borderId="25" xfId="0" applyBorder="1" applyAlignment="1">
      <alignment wrapText="1"/>
    </xf>
    <xf numFmtId="0" fontId="0" fillId="0" borderId="76" xfId="0" applyBorder="1"/>
    <xf numFmtId="164" fontId="4" fillId="4" borderId="25" xfId="3" applyNumberFormat="1" applyBorder="1"/>
    <xf numFmtId="164" fontId="2" fillId="2" borderId="73" xfId="1" applyNumberFormat="1" applyBorder="1"/>
    <xf numFmtId="164" fontId="0" fillId="0" borderId="71" xfId="0" applyNumberFormat="1" applyBorder="1"/>
    <xf numFmtId="0" fontId="0" fillId="0" borderId="77" xfId="0" applyBorder="1"/>
    <xf numFmtId="0" fontId="11" fillId="0" borderId="69" xfId="0" applyFont="1" applyBorder="1"/>
    <xf numFmtId="0" fontId="10" fillId="0" borderId="10" xfId="0" applyFont="1" applyBorder="1"/>
    <xf numFmtId="164" fontId="0" fillId="0" borderId="73" xfId="0" applyNumberFormat="1" applyBorder="1"/>
    <xf numFmtId="0" fontId="0" fillId="0" borderId="78" xfId="0" applyBorder="1"/>
    <xf numFmtId="0" fontId="6" fillId="0" borderId="11" xfId="0" applyFont="1" applyBorder="1"/>
    <xf numFmtId="164" fontId="0" fillId="0" borderId="5" xfId="0" applyNumberFormat="1" applyBorder="1"/>
    <xf numFmtId="0" fontId="6" fillId="0" borderId="18" xfId="0" applyFont="1" applyBorder="1"/>
    <xf numFmtId="0" fontId="6" fillId="0" borderId="7" xfId="0" applyFont="1" applyBorder="1"/>
    <xf numFmtId="0" fontId="6" fillId="0" borderId="12" xfId="0" applyFont="1" applyBorder="1"/>
    <xf numFmtId="164" fontId="0" fillId="0" borderId="0" xfId="0" applyNumberFormat="1" applyFill="1" applyBorder="1" applyAlignment="1"/>
    <xf numFmtId="0" fontId="0" fillId="0" borderId="79" xfId="0" applyBorder="1"/>
    <xf numFmtId="0" fontId="0" fillId="0" borderId="19" xfId="0" applyBorder="1"/>
    <xf numFmtId="164" fontId="4" fillId="4" borderId="71" xfId="3" applyNumberFormat="1" applyBorder="1"/>
    <xf numFmtId="164" fontId="0" fillId="0" borderId="74" xfId="0" applyNumberFormat="1" applyBorder="1" applyAlignment="1">
      <alignment wrapText="1"/>
    </xf>
    <xf numFmtId="164" fontId="0" fillId="0" borderId="75" xfId="0" applyNumberFormat="1" applyBorder="1" applyAlignment="1">
      <alignment wrapText="1"/>
    </xf>
    <xf numFmtId="164" fontId="0" fillId="0" borderId="73" xfId="0" applyNumberFormat="1" applyBorder="1" applyAlignment="1">
      <alignment wrapText="1"/>
    </xf>
    <xf numFmtId="164" fontId="0" fillId="0" borderId="76" xfId="0" applyNumberFormat="1" applyBorder="1"/>
    <xf numFmtId="164" fontId="0" fillId="0" borderId="23" xfId="0" applyNumberFormat="1" applyBorder="1" applyAlignment="1">
      <alignment wrapText="1"/>
    </xf>
    <xf numFmtId="164" fontId="0" fillId="0" borderId="25" xfId="0" applyNumberFormat="1" applyBorder="1" applyAlignment="1">
      <alignment wrapText="1"/>
    </xf>
    <xf numFmtId="164" fontId="0" fillId="0" borderId="74" xfId="0" applyNumberFormat="1" applyBorder="1"/>
    <xf numFmtId="164" fontId="0" fillId="0" borderId="75" xfId="0" applyNumberFormat="1" applyBorder="1"/>
    <xf numFmtId="0" fontId="0" fillId="0" borderId="80" xfId="0" applyBorder="1"/>
    <xf numFmtId="0" fontId="0" fillId="6" borderId="2" xfId="5" applyFont="1" applyAlignment="1">
      <alignment vertical="center" wrapText="1"/>
    </xf>
    <xf numFmtId="0" fontId="0" fillId="0" borderId="71" xfId="0" applyBorder="1"/>
    <xf numFmtId="164" fontId="2" fillId="2" borderId="49" xfId="1" applyNumberFormat="1" applyBorder="1"/>
    <xf numFmtId="0" fontId="0" fillId="0" borderId="81" xfId="0" applyBorder="1" applyAlignment="1">
      <alignment wrapText="1"/>
    </xf>
    <xf numFmtId="2" fontId="0" fillId="0" borderId="48" xfId="0" applyNumberFormat="1" applyBorder="1" applyAlignment="1">
      <alignment vertical="center" wrapText="1"/>
    </xf>
    <xf numFmtId="1" fontId="0" fillId="0" borderId="48" xfId="0" applyNumberFormat="1" applyBorder="1" applyAlignment="1">
      <alignment vertical="center" wrapText="1"/>
    </xf>
    <xf numFmtId="2" fontId="0" fillId="0" borderId="0" xfId="0" applyNumberFormat="1" applyBorder="1" applyAlignment="1">
      <alignment vertical="center" wrapText="1"/>
    </xf>
    <xf numFmtId="1" fontId="0" fillId="0" borderId="23" xfId="0" applyNumberFormat="1" applyBorder="1" applyAlignment="1">
      <alignment vertical="center" wrapText="1"/>
    </xf>
    <xf numFmtId="14" fontId="0" fillId="0" borderId="11" xfId="0" applyNumberFormat="1" applyBorder="1"/>
    <xf numFmtId="164" fontId="0" fillId="0" borderId="82" xfId="0" applyNumberFormat="1" applyBorder="1"/>
    <xf numFmtId="164" fontId="0" fillId="0" borderId="84" xfId="0" applyNumberFormat="1" applyBorder="1"/>
    <xf numFmtId="164" fontId="0" fillId="0" borderId="85" xfId="0" applyNumberFormat="1" applyBorder="1"/>
    <xf numFmtId="164" fontId="0" fillId="0" borderId="86" xfId="0" applyNumberFormat="1" applyBorder="1"/>
    <xf numFmtId="0" fontId="0" fillId="0" borderId="86" xfId="0" applyBorder="1"/>
    <xf numFmtId="0" fontId="0" fillId="0" borderId="87" xfId="0" applyBorder="1"/>
    <xf numFmtId="0" fontId="9" fillId="0" borderId="0" xfId="0" applyFont="1" applyBorder="1"/>
    <xf numFmtId="0" fontId="11" fillId="0" borderId="0" xfId="0" applyFont="1" applyBorder="1"/>
    <xf numFmtId="164" fontId="0" fillId="0" borderId="0" xfId="0" applyNumberFormat="1" applyBorder="1" applyAlignment="1"/>
    <xf numFmtId="164" fontId="2" fillId="2" borderId="0" xfId="1" applyNumberFormat="1" applyBorder="1"/>
    <xf numFmtId="165" fontId="0" fillId="0" borderId="0" xfId="0" applyNumberFormat="1" applyBorder="1"/>
    <xf numFmtId="0" fontId="0" fillId="0" borderId="88" xfId="0" applyBorder="1"/>
    <xf numFmtId="164" fontId="0" fillId="0" borderId="0" xfId="0" applyNumberFormat="1" applyFill="1" applyBorder="1" applyAlignment="1">
      <alignment wrapText="1"/>
    </xf>
    <xf numFmtId="0" fontId="3" fillId="3" borderId="21" xfId="2" applyBorder="1"/>
    <xf numFmtId="164" fontId="4" fillId="4" borderId="75" xfId="3" applyNumberFormat="1" applyBorder="1"/>
    <xf numFmtId="0" fontId="0" fillId="0" borderId="89" xfId="0" applyBorder="1"/>
    <xf numFmtId="2" fontId="0" fillId="0" borderId="0" xfId="0" applyNumberFormat="1"/>
    <xf numFmtId="166" fontId="0" fillId="0" borderId="0" xfId="0" applyNumberFormat="1"/>
    <xf numFmtId="2" fontId="0" fillId="0" borderId="0" xfId="0" applyNumberFormat="1" applyAlignment="1"/>
    <xf numFmtId="166" fontId="0" fillId="0" borderId="0" xfId="0" applyNumberFormat="1" applyAlignment="1"/>
    <xf numFmtId="0" fontId="14" fillId="0" borderId="90" xfId="0" applyFont="1" applyBorder="1" applyAlignment="1">
      <alignment vertical="center" wrapText="1"/>
    </xf>
    <xf numFmtId="0" fontId="14" fillId="0" borderId="78" xfId="0" applyFont="1" applyBorder="1" applyAlignment="1">
      <alignment horizontal="center" vertical="center" wrapText="1"/>
    </xf>
    <xf numFmtId="0" fontId="15" fillId="0" borderId="91" xfId="0" applyFont="1" applyBorder="1" applyAlignment="1">
      <alignment horizontal="center" vertical="center" wrapText="1"/>
    </xf>
    <xf numFmtId="167" fontId="0" fillId="0" borderId="0" xfId="0" applyNumberFormat="1"/>
    <xf numFmtId="168" fontId="16" fillId="0" borderId="11" xfId="0" applyNumberFormat="1" applyFont="1" applyBorder="1" applyAlignment="1">
      <alignment horizontal="center" vertical="center" wrapText="1"/>
    </xf>
    <xf numFmtId="0" fontId="11" fillId="0" borderId="47" xfId="0" applyFont="1" applyBorder="1"/>
    <xf numFmtId="0" fontId="0" fillId="0" borderId="74" xfId="0" applyBorder="1"/>
    <xf numFmtId="0" fontId="11" fillId="0" borderId="89" xfId="0" applyFont="1" applyBorder="1"/>
    <xf numFmtId="164" fontId="2" fillId="2" borderId="70" xfId="1" applyNumberFormat="1" applyBorder="1"/>
    <xf numFmtId="0" fontId="0" fillId="0" borderId="69" xfId="0" applyBorder="1"/>
    <xf numFmtId="0" fontId="10" fillId="0" borderId="92" xfId="0" applyFont="1" applyBorder="1"/>
    <xf numFmtId="0" fontId="3" fillId="3" borderId="20" xfId="2" applyBorder="1" applyAlignment="1">
      <alignment vertical="center" wrapText="1"/>
    </xf>
    <xf numFmtId="14" fontId="3" fillId="3" borderId="17" xfId="2" applyNumberFormat="1" applyBorder="1" applyAlignment="1">
      <alignment vertical="center" wrapText="1"/>
    </xf>
    <xf numFmtId="0" fontId="3" fillId="3" borderId="0" xfId="2" applyBorder="1" applyAlignment="1">
      <alignment vertical="center" wrapText="1"/>
    </xf>
    <xf numFmtId="164" fontId="3" fillId="3" borderId="0" xfId="2" applyNumberFormat="1" applyBorder="1" applyAlignment="1">
      <alignment vertical="center" wrapText="1"/>
    </xf>
    <xf numFmtId="164" fontId="3" fillId="3" borderId="0" xfId="2" applyNumberFormat="1"/>
    <xf numFmtId="0" fontId="3" fillId="3" borderId="18" xfId="2" applyBorder="1"/>
    <xf numFmtId="0" fontId="3" fillId="3" borderId="0" xfId="2" applyBorder="1"/>
    <xf numFmtId="0" fontId="3" fillId="3" borderId="0" xfId="2" applyAlignment="1">
      <alignment vertical="center" wrapText="1"/>
    </xf>
    <xf numFmtId="0" fontId="0" fillId="0" borderId="21" xfId="0" applyFill="1" applyBorder="1"/>
    <xf numFmtId="49" fontId="0" fillId="0" borderId="11" xfId="0" applyNumberFormat="1" applyBorder="1"/>
    <xf numFmtId="0" fontId="3" fillId="3" borderId="17" xfId="2" applyBorder="1"/>
    <xf numFmtId="0" fontId="3" fillId="3" borderId="19" xfId="2" applyBorder="1" applyAlignment="1">
      <alignment vertical="center" wrapText="1"/>
    </xf>
    <xf numFmtId="0" fontId="0" fillId="0" borderId="12" xfId="0" applyFont="1" applyBorder="1"/>
    <xf numFmtId="11" fontId="2" fillId="2" borderId="0" xfId="1" applyNumberFormat="1"/>
    <xf numFmtId="165" fontId="2" fillId="2" borderId="0" xfId="1" applyNumberFormat="1"/>
    <xf numFmtId="1" fontId="0" fillId="0" borderId="0" xfId="0" applyNumberFormat="1" applyFill="1" applyBorder="1"/>
    <xf numFmtId="1" fontId="0" fillId="0" borderId="0" xfId="0" applyNumberFormat="1" applyFill="1" applyBorder="1" applyAlignment="1"/>
    <xf numFmtId="0" fontId="3" fillId="3" borderId="2" xfId="2" applyBorder="1"/>
    <xf numFmtId="49" fontId="3" fillId="3" borderId="6" xfId="2" applyNumberFormat="1" applyBorder="1"/>
    <xf numFmtId="164" fontId="0" fillId="6" borderId="93" xfId="5" applyNumberFormat="1" applyFont="1" applyBorder="1"/>
    <xf numFmtId="164" fontId="0" fillId="0" borderId="20" xfId="0" applyNumberFormat="1" applyBorder="1" applyAlignment="1"/>
    <xf numFmtId="1" fontId="0" fillId="0" borderId="0" xfId="0" applyNumberFormat="1" applyFill="1" applyBorder="1" applyAlignment="1">
      <alignment wrapText="1"/>
    </xf>
    <xf numFmtId="164" fontId="0" fillId="6" borderId="94" xfId="5" applyNumberFormat="1" applyFont="1" applyBorder="1"/>
    <xf numFmtId="0" fontId="0" fillId="0" borderId="0" xfId="0"/>
    <xf numFmtId="0" fontId="0" fillId="0" borderId="6" xfId="0" applyBorder="1"/>
    <xf numFmtId="0" fontId="0" fillId="0" borderId="11" xfId="0" applyBorder="1"/>
    <xf numFmtId="164" fontId="0" fillId="8" borderId="0" xfId="0" applyNumberFormat="1" applyFill="1"/>
    <xf numFmtId="164" fontId="0" fillId="0" borderId="83" xfId="0" applyNumberFormat="1" applyBorder="1"/>
    <xf numFmtId="164" fontId="0" fillId="0" borderId="95" xfId="0" applyNumberFormat="1" applyBorder="1"/>
    <xf numFmtId="0" fontId="0" fillId="0" borderId="17" xfId="0" applyBorder="1"/>
    <xf numFmtId="0" fontId="0" fillId="0" borderId="6" xfId="0" applyBorder="1"/>
    <xf numFmtId="164" fontId="0" fillId="0" borderId="16" xfId="0" applyNumberFormat="1" applyBorder="1" applyAlignment="1">
      <alignment vertical="center" wrapText="1"/>
    </xf>
    <xf numFmtId="164" fontId="0" fillId="0" borderId="13" xfId="0" applyNumberFormat="1" applyBorder="1" applyAlignment="1">
      <alignment vertical="center" wrapText="1"/>
    </xf>
    <xf numFmtId="164" fontId="0" fillId="0" borderId="11" xfId="0" applyNumberFormat="1" applyBorder="1" applyAlignment="1">
      <alignment vertical="center" wrapText="1"/>
    </xf>
    <xf numFmtId="0" fontId="0" fillId="6" borderId="32" xfId="5" applyFont="1" applyBorder="1"/>
    <xf numFmtId="0" fontId="0" fillId="0" borderId="6" xfId="0" applyBorder="1"/>
    <xf numFmtId="0" fontId="0" fillId="0" borderId="11" xfId="0" applyBorder="1"/>
    <xf numFmtId="0" fontId="6" fillId="0" borderId="0" xfId="0" applyFont="1" applyBorder="1" applyAlignment="1">
      <alignment horizontal="center" wrapText="1"/>
    </xf>
    <xf numFmtId="0" fontId="6" fillId="0" borderId="0" xfId="0" applyFont="1" applyAlignment="1">
      <alignment horizontal="center" wrapText="1"/>
    </xf>
    <xf numFmtId="0" fontId="6" fillId="0" borderId="10" xfId="0" applyFont="1" applyBorder="1" applyAlignment="1">
      <alignment horizontal="center" wrapText="1"/>
    </xf>
    <xf numFmtId="164" fontId="0" fillId="6" borderId="97" xfId="5" applyNumberFormat="1" applyFont="1" applyBorder="1"/>
    <xf numFmtId="164" fontId="0" fillId="6" borderId="96" xfId="5" applyNumberFormat="1" applyFont="1" applyBorder="1"/>
    <xf numFmtId="0" fontId="11" fillId="0" borderId="23" xfId="0" applyFont="1" applyBorder="1"/>
    <xf numFmtId="164" fontId="0" fillId="0" borderId="23" xfId="0" applyNumberFormat="1" applyBorder="1" applyAlignment="1"/>
    <xf numFmtId="0" fontId="0" fillId="0" borderId="98" xfId="0" applyBorder="1"/>
    <xf numFmtId="0" fontId="0" fillId="0" borderId="99" xfId="0" applyBorder="1"/>
    <xf numFmtId="0" fontId="0" fillId="0" borderId="100" xfId="0" applyBorder="1"/>
    <xf numFmtId="166" fontId="0" fillId="0" borderId="48" xfId="0" applyNumberFormat="1" applyBorder="1" applyAlignment="1">
      <alignment vertical="center" wrapText="1"/>
    </xf>
    <xf numFmtId="2" fontId="0" fillId="0" borderId="48" xfId="0" applyNumberFormat="1" applyBorder="1"/>
    <xf numFmtId="0" fontId="0" fillId="0" borderId="6" xfId="0" applyBorder="1"/>
    <xf numFmtId="0" fontId="0" fillId="0" borderId="11" xfId="0" applyBorder="1" applyAlignment="1"/>
    <xf numFmtId="164" fontId="0" fillId="6" borderId="34" xfId="5" applyNumberFormat="1" applyFont="1" applyBorder="1" applyAlignment="1">
      <alignment vertical="center" wrapText="1"/>
    </xf>
    <xf numFmtId="165" fontId="0" fillId="6" borderId="35" xfId="5" applyNumberFormat="1" applyFont="1" applyBorder="1"/>
    <xf numFmtId="0" fontId="3" fillId="3" borderId="0" xfId="2" applyAlignment="1">
      <alignment horizontal="right"/>
    </xf>
    <xf numFmtId="0" fontId="1" fillId="9" borderId="0" xfId="6" applyAlignment="1">
      <alignment horizontal="right"/>
    </xf>
    <xf numFmtId="0" fontId="0" fillId="9" borderId="0" xfId="6" applyFont="1" applyAlignment="1">
      <alignment horizontal="right"/>
    </xf>
    <xf numFmtId="0" fontId="1" fillId="10" borderId="0" xfId="7"/>
    <xf numFmtId="0" fontId="1" fillId="9" borderId="0" xfId="6"/>
    <xf numFmtId="0" fontId="0" fillId="9" borderId="0" xfId="6" applyFont="1"/>
    <xf numFmtId="0" fontId="0" fillId="10" borderId="0" xfId="7" applyFont="1"/>
    <xf numFmtId="0" fontId="5" fillId="5" borderId="37" xfId="4" applyBorder="1" applyAlignment="1">
      <alignment horizontal="center" wrapText="1"/>
    </xf>
    <xf numFmtId="0" fontId="5" fillId="5" borderId="38" xfId="4" applyBorder="1" applyAlignment="1">
      <alignment horizontal="center" wrapText="1"/>
    </xf>
    <xf numFmtId="0" fontId="5" fillId="5" borderId="40" xfId="4" applyBorder="1" applyAlignment="1">
      <alignment horizontal="center" wrapText="1"/>
    </xf>
    <xf numFmtId="0" fontId="5" fillId="5" borderId="41" xfId="4" applyBorder="1" applyAlignment="1">
      <alignment horizontal="center" wrapText="1"/>
    </xf>
    <xf numFmtId="0" fontId="0" fillId="6" borderId="29" xfId="5" applyFont="1" applyBorder="1" applyAlignment="1">
      <alignment horizontal="center" wrapText="1"/>
    </xf>
    <xf numFmtId="0" fontId="0" fillId="6" borderId="30" xfId="5" applyFont="1" applyBorder="1" applyAlignment="1">
      <alignment horizontal="center" wrapText="1"/>
    </xf>
    <xf numFmtId="0" fontId="0" fillId="6" borderId="31" xfId="5" applyFont="1" applyBorder="1" applyAlignment="1">
      <alignment horizontal="center" wrapText="1"/>
    </xf>
    <xf numFmtId="0" fontId="0" fillId="6" borderId="33" xfId="5" applyFont="1" applyBorder="1" applyAlignment="1">
      <alignment horizontal="center" wrapText="1"/>
    </xf>
    <xf numFmtId="0" fontId="0" fillId="6" borderId="7" xfId="5" applyFont="1" applyBorder="1" applyAlignment="1">
      <alignment horizontal="center" vertical="center" wrapText="1"/>
    </xf>
    <xf numFmtId="0" fontId="0" fillId="6" borderId="12" xfId="5" applyFont="1" applyBorder="1" applyAlignment="1">
      <alignment horizontal="center" vertical="center" wrapText="1"/>
    </xf>
    <xf numFmtId="0" fontId="0" fillId="6" borderId="18" xfId="5" applyFont="1" applyBorder="1" applyAlignment="1">
      <alignment horizontal="center"/>
    </xf>
    <xf numFmtId="0" fontId="0" fillId="6" borderId="7" xfId="5" applyFont="1" applyBorder="1" applyAlignment="1">
      <alignment horizontal="center"/>
    </xf>
    <xf numFmtId="0" fontId="0" fillId="6" borderId="12" xfId="5" applyFont="1" applyBorder="1" applyAlignment="1">
      <alignment horizontal="center"/>
    </xf>
    <xf numFmtId="0" fontId="0" fillId="6" borderId="29" xfId="5" applyFont="1" applyBorder="1" applyAlignment="1">
      <alignment horizontal="center" vertical="center" wrapText="1"/>
    </xf>
    <xf numFmtId="0" fontId="0" fillId="6" borderId="30" xfId="5" applyFont="1" applyBorder="1" applyAlignment="1">
      <alignment horizontal="center" vertical="center" wrapText="1"/>
    </xf>
    <xf numFmtId="0" fontId="0" fillId="6" borderId="31" xfId="5" applyFont="1" applyBorder="1" applyAlignment="1">
      <alignment horizontal="center" vertical="center" wrapText="1"/>
    </xf>
    <xf numFmtId="0" fontId="0" fillId="6" borderId="18" xfId="5" applyFont="1" applyBorder="1" applyAlignment="1">
      <alignment horizontal="center" wrapText="1"/>
    </xf>
    <xf numFmtId="0" fontId="0" fillId="6" borderId="7" xfId="5" applyFont="1" applyBorder="1" applyAlignment="1">
      <alignment horizontal="center" wrapText="1"/>
    </xf>
    <xf numFmtId="0" fontId="0" fillId="6" borderId="12" xfId="5" applyFont="1" applyBorder="1" applyAlignment="1">
      <alignment horizontal="center" wrapText="1"/>
    </xf>
    <xf numFmtId="0" fontId="0" fillId="6" borderId="66" xfId="5" applyFont="1" applyBorder="1" applyAlignment="1">
      <alignment horizontal="center" wrapText="1"/>
    </xf>
    <xf numFmtId="0" fontId="0" fillId="6" borderId="33" xfId="5" applyFont="1" applyBorder="1" applyAlignment="1">
      <alignment horizontal="center"/>
    </xf>
    <xf numFmtId="0" fontId="0" fillId="6" borderId="30" xfId="5" applyFont="1" applyBorder="1" applyAlignment="1">
      <alignment horizontal="center"/>
    </xf>
    <xf numFmtId="0" fontId="0" fillId="6" borderId="31" xfId="5" applyFont="1" applyBorder="1" applyAlignment="1">
      <alignment horizontal="center"/>
    </xf>
    <xf numFmtId="0" fontId="0" fillId="6" borderId="96" xfId="5" applyFont="1" applyBorder="1" applyAlignment="1">
      <alignment horizontal="center" wrapText="1"/>
    </xf>
    <xf numFmtId="0" fontId="0" fillId="6" borderId="58" xfId="5" applyFont="1" applyBorder="1" applyAlignment="1">
      <alignment horizontal="center" wrapText="1"/>
    </xf>
    <xf numFmtId="0" fontId="0" fillId="0" borderId="21" xfId="0" applyBorder="1" applyAlignment="1">
      <alignment horizontal="center" wrapText="1"/>
    </xf>
    <xf numFmtId="0" fontId="0" fillId="0" borderId="17" xfId="0" applyBorder="1"/>
    <xf numFmtId="0" fontId="0" fillId="0" borderId="6" xfId="0" applyBorder="1"/>
    <xf numFmtId="0" fontId="0" fillId="0" borderId="11" xfId="0" applyBorder="1"/>
    <xf numFmtId="0" fontId="0" fillId="0" borderId="21" xfId="0" applyBorder="1" applyAlignment="1">
      <alignment horizontal="center"/>
    </xf>
    <xf numFmtId="0" fontId="0" fillId="6" borderId="101" xfId="5" applyFont="1" applyBorder="1" applyAlignment="1">
      <alignment horizontal="center"/>
    </xf>
    <xf numFmtId="0" fontId="0" fillId="6" borderId="102" xfId="5" applyFont="1" applyBorder="1" applyAlignment="1">
      <alignment horizontal="center"/>
    </xf>
    <xf numFmtId="0" fontId="6" fillId="0" borderId="0" xfId="0" applyFont="1" applyAlignment="1">
      <alignment horizontal="center" wrapText="1"/>
    </xf>
    <xf numFmtId="0" fontId="6" fillId="0" borderId="10" xfId="0" applyFont="1" applyBorder="1" applyAlignment="1">
      <alignment horizontal="center" wrapText="1"/>
    </xf>
    <xf numFmtId="0" fontId="6" fillId="0" borderId="72"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13" fillId="0" borderId="82"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83" xfId="0" applyFont="1" applyBorder="1" applyAlignment="1">
      <alignment horizontal="center" vertical="center" wrapText="1"/>
    </xf>
    <xf numFmtId="0" fontId="0" fillId="6" borderId="56" xfId="5" applyFont="1" applyBorder="1" applyAlignment="1">
      <alignment horizontal="center" wrapText="1"/>
    </xf>
    <xf numFmtId="0" fontId="0" fillId="6" borderId="57" xfId="5" applyFont="1" applyBorder="1" applyAlignment="1">
      <alignment horizontal="center" wrapText="1"/>
    </xf>
    <xf numFmtId="0" fontId="0" fillId="6" borderId="21" xfId="5" applyFont="1" applyBorder="1" applyAlignment="1">
      <alignment horizontal="center" wrapText="1"/>
    </xf>
    <xf numFmtId="0" fontId="0" fillId="6" borderId="0" xfId="5" applyFont="1" applyBorder="1" applyAlignment="1">
      <alignment horizontal="center" wrapText="1"/>
    </xf>
    <xf numFmtId="0" fontId="0" fillId="6" borderId="59" xfId="5" applyFont="1" applyBorder="1" applyAlignment="1">
      <alignment horizontal="center" wrapText="1"/>
    </xf>
    <xf numFmtId="0" fontId="0" fillId="6" borderId="60" xfId="5" applyFont="1" applyBorder="1" applyAlignment="1">
      <alignment horizontal="center" wrapText="1"/>
    </xf>
    <xf numFmtId="0" fontId="0" fillId="6" borderId="61" xfId="5" applyFont="1" applyBorder="1" applyAlignment="1">
      <alignment horizontal="center" wrapText="1"/>
    </xf>
    <xf numFmtId="0" fontId="0" fillId="6" borderId="62" xfId="5" applyFont="1" applyBorder="1" applyAlignment="1">
      <alignment horizontal="center" wrapText="1"/>
    </xf>
    <xf numFmtId="0" fontId="5" fillId="5" borderId="54" xfId="4" applyBorder="1" applyAlignment="1">
      <alignment horizontal="center" wrapText="1"/>
    </xf>
    <xf numFmtId="0" fontId="5" fillId="5" borderId="55" xfId="4" applyBorder="1" applyAlignment="1">
      <alignment horizontal="center" wrapText="1"/>
    </xf>
    <xf numFmtId="0" fontId="0" fillId="6" borderId="2" xfId="5" applyFont="1" applyAlignment="1">
      <alignment horizontal="center" wrapText="1"/>
    </xf>
  </cellXfs>
  <cellStyles count="8">
    <cellStyle name="20% - Accent1" xfId="6" builtinId="30"/>
    <cellStyle name="20% - Accent6" xfId="7" builtinId="50"/>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0.24884552703144225</c:v>
                </c:pt>
                <c:pt idx="3">
                  <c:v>0.21188880283904968</c:v>
                </c:pt>
                <c:pt idx="4">
                  <c:v>0.61578317834333729</c:v>
                </c:pt>
                <c:pt idx="5">
                  <c:v>0.58861554044984932</c:v>
                </c:pt>
                <c:pt idx="6">
                  <c:v>0.66554761167929211</c:v>
                </c:pt>
                <c:pt idx="7">
                  <c:v>0.32313616052678401</c:v>
                </c:pt>
                <c:pt idx="8">
                  <c:v>1.081846924497387</c:v>
                </c:pt>
              </c:numCache>
            </c:numRef>
          </c:val>
          <c:extLst>
            <c:ext xmlns:c16="http://schemas.microsoft.com/office/drawing/2014/chart" uri="{C3380CC4-5D6E-409C-BE32-E72D297353CC}">
              <c16:uniqueId val="{00000000-5C0F-4BBE-A689-6D5DA5196EC1}"/>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0.22637076328152181</c:v>
                </c:pt>
                <c:pt idx="3">
                  <c:v>0.15769885609353448</c:v>
                </c:pt>
                <c:pt idx="4">
                  <c:v>0.71528801445468682</c:v>
                </c:pt>
                <c:pt idx="5">
                  <c:v>0.56894334404404312</c:v>
                </c:pt>
                <c:pt idx="6">
                  <c:v>0.90166606679182559</c:v>
                </c:pt>
                <c:pt idx="7">
                  <c:v>0.2824591483369972</c:v>
                </c:pt>
                <c:pt idx="8">
                  <c:v>1.2501903727867756</c:v>
                </c:pt>
              </c:numCache>
            </c:numRef>
          </c:val>
          <c:extLst>
            <c:ext xmlns:c16="http://schemas.microsoft.com/office/drawing/2014/chart" uri="{C3380CC4-5D6E-409C-BE32-E72D297353CC}">
              <c16:uniqueId val="{00000001-5C0F-4BBE-A689-6D5DA5196EC1}"/>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plus>
            <c:min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minus>
            <c:spPr>
              <a:noFill/>
              <a:ln w="9525" cap="flat" cmpd="sng" algn="ctr">
                <a:solidFill>
                  <a:schemeClr val="lt1">
                    <a:lumMod val="95000"/>
                  </a:schemeClr>
                </a:solidFill>
                <a:round/>
              </a:ln>
              <a:effectLst/>
            </c:spPr>
          </c:errBars>
          <c:val>
            <c:numRef>
              <c:f>Ischemia!$I$30:$Q$30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C0F-4BBE-A689-6D5DA5196EC1}"/>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plus>
            <c:min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3.431385580340129</c:v>
                </c:pt>
                <c:pt idx="1">
                  <c:v>1.0539709673861093</c:v>
                </c:pt>
                <c:pt idx="2">
                  <c:v>0.3472104741042345</c:v>
                </c:pt>
                <c:pt idx="3">
                  <c:v>0.34391725227952524</c:v>
                </c:pt>
                <c:pt idx="4">
                  <c:v>0.42462456288892803</c:v>
                </c:pt>
                <c:pt idx="5">
                  <c:v>0.790771277722501</c:v>
                </c:pt>
                <c:pt idx="6">
                  <c:v>0.48124123234066946</c:v>
                </c:pt>
                <c:pt idx="7">
                  <c:v>0.46220308541343291</c:v>
                </c:pt>
                <c:pt idx="8">
                  <c:v>1.0168711424594858</c:v>
                </c:pt>
              </c:numCache>
            </c:numRef>
          </c:val>
          <c:extLst>
            <c:ext xmlns:c16="http://schemas.microsoft.com/office/drawing/2014/chart" uri="{C3380CC4-5D6E-409C-BE32-E72D297353CC}">
              <c16:uniqueId val="{00000003-5C0F-4BBE-A689-6D5DA5196EC1}"/>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3815048118985127"/>
          <c:y val="0.12959630911188005"/>
          <c:w val="0.81229396325459313"/>
          <c:h val="0.73312204373510914"/>
        </c:manualLayout>
      </c:layout>
      <c:scatterChart>
        <c:scatterStyle val="lineMarker"/>
        <c:varyColors val="0"/>
        <c:ser>
          <c:idx val="0"/>
          <c:order val="0"/>
          <c:tx>
            <c:v>TOTAL</c:v>
          </c:tx>
          <c:spPr>
            <a:ln w="19050" cap="rnd">
              <a:noFill/>
              <a:round/>
            </a:ln>
            <a:effectLst/>
          </c:spPr>
          <c:marker>
            <c:symbol val="circle"/>
            <c:size val="5"/>
            <c:spPr>
              <a:noFill/>
              <a:ln w="9525">
                <a:noFill/>
              </a:ln>
              <a:effectLst/>
            </c:spPr>
          </c:marker>
          <c:trendline>
            <c:spPr>
              <a:ln w="19050" cap="rnd">
                <a:solidFill>
                  <a:schemeClr val="accent5">
                    <a:lumMod val="50000"/>
                  </a:schemeClr>
                </a:solidFill>
                <a:prstDash val="solid"/>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0E28-4428-BF83-EDEEAD7F53C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3">
                    <a:lumMod val="60000"/>
                    <a:lumOff val="40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4-37E5-4FD4-BFCD-B46FA9A9A444}"/>
            </c:ext>
          </c:extLst>
        </c:ser>
        <c:ser>
          <c:idx val="2"/>
          <c:order val="2"/>
          <c:tx>
            <c:v>Preprandial</c:v>
          </c:tx>
          <c:spPr>
            <a:ln w="25400" cap="rnd">
              <a:noFill/>
              <a:round/>
            </a:ln>
            <a:effectLst/>
          </c:spPr>
          <c:marker>
            <c:symbol val="circle"/>
            <c:size val="5"/>
            <c:spPr>
              <a:solidFill>
                <a:schemeClr val="tx1"/>
              </a:solidFill>
              <a:ln w="9525">
                <a:noFill/>
              </a:ln>
              <a:effectLst/>
            </c:spPr>
          </c:marker>
          <c:xVal>
            <c:numRef>
              <c:f>'Linear Regression'!$C$195:$C$242</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Regression'!$D$195:$D$242</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2A04-495F-9EF6-E003FAD1F6EB}"/>
            </c:ext>
          </c:extLst>
        </c:ser>
        <c:ser>
          <c:idx val="3"/>
          <c:order val="3"/>
          <c:tx>
            <c:v>Postprandial</c:v>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'Linear Regression'!$C$243:$C$290</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Regression'!$D$243:$D$290</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1-2A04-495F-9EF6-E003FAD1F6EB}"/>
            </c:ext>
          </c:extLst>
        </c:ser>
        <c:dLbls>
          <c:showLegendKey val="0"/>
          <c:showVal val="0"/>
          <c:showCatName val="0"/>
          <c:showSerName val="0"/>
          <c:showPercent val="0"/>
          <c:showBubbleSize val="0"/>
        </c:dLbls>
        <c:axId val="2043694367"/>
        <c:axId val="2043689375"/>
      </c:scatterChart>
      <c:valAx>
        <c:axId val="2043694367"/>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𝑙𝑜𝑠𝑠</a:t>
                </a:r>
                <a:r>
                  <a:rPr lang="en-US" sz="1200" b="0" i="0" baseline="0">
                    <a:effectLst/>
                    <a:latin typeface="Times New Roman" panose="02020603050405020304" pitchFamily="18" charset="0"/>
                  </a:rPr>
                  <a:t> (mL/min/kg)</a:t>
                </a:r>
                <a:r>
                  <a:rPr lang="en-US" sz="1200" b="0" i="0" baseline="-25000">
                    <a:effectLst/>
                    <a:latin typeface="Times New Roman" panose="02020603050405020304" pitchFamily="18" charset="0"/>
                  </a:rPr>
                  <a:t>   </a:t>
                </a:r>
                <a:endParaRPr lang="en-US" sz="70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𝑏𝑟𝑎𝑛𝑐ℎ</a:t>
                </a:r>
                <a:r>
                  <a:rPr lang="en-US" sz="1200" b="0" i="0" baseline="0">
                    <a:effectLst/>
                    <a:latin typeface="Times New Roman" panose="02020603050405020304" pitchFamily="18" charset="0"/>
                  </a:rPr>
                  <a:t> (mL/min/kg)</a:t>
                </a:r>
                <a:endParaRPr lang="en-US" sz="700">
                  <a:effectLst/>
                  <a:latin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F6D8-4DA4-9753-477524A2F14B}"/>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E3D8-4CBE-91E7-8D1D165AEB12}"/>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62DB-4691-AB3A-0BBE0740DC6A}"/>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35A3-49B6-B13A-DF36542C4A48}"/>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Arterial</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Regression'!$D$194</c:f>
              <c:strCache>
                <c:ptCount val="1"/>
                <c:pt idx="0">
                  <c:v>Art Branch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724125109361335"/>
                  <c:y val="-7.97776319626713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5C30-4BC1-8AAE-7D3BA5C026F1}"/>
            </c:ext>
          </c:extLst>
        </c:ser>
        <c:dLbls>
          <c:showLegendKey val="0"/>
          <c:showVal val="0"/>
          <c:showCatName val="0"/>
          <c:showSerName val="0"/>
          <c:showPercent val="0"/>
          <c:showBubbleSize val="0"/>
        </c:dLbls>
        <c:axId val="2043694367"/>
        <c:axId val="2043689375"/>
      </c:scatterChart>
      <c:valAx>
        <c:axId val="204369436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Venous</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Preprandial</c:v>
          </c:tx>
          <c:spPr>
            <a:ln w="25400" cap="rnd">
              <a:noFill/>
              <a:round/>
            </a:ln>
            <a:effectLst/>
          </c:spPr>
          <c:marker>
            <c:symbol val="circle"/>
            <c:size val="5"/>
            <c:spPr>
              <a:solidFill>
                <a:schemeClr val="tx1"/>
              </a:solidFill>
              <a:ln w="9525">
                <a:solidFill>
                  <a:schemeClr val="tx1"/>
                </a:solidFill>
              </a:ln>
              <a:effectLst/>
            </c:spPr>
          </c:marker>
          <c:xVal>
            <c:numRef>
              <c:f>'Linear Regression'!$F$195:$F$242</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xVal>
          <c:yVal>
            <c:numRef>
              <c:f>'Linear Regression'!$E$195:$E$242</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yVal>
          <c:smooth val="0"/>
          <c:extLst>
            <c:ext xmlns:c16="http://schemas.microsoft.com/office/drawing/2014/chart" uri="{C3380CC4-5D6E-409C-BE32-E72D297353CC}">
              <c16:uniqueId val="{00000000-4665-4A8F-BC7C-308529F0D40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bg2">
                    <a:lumMod val="75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1-4665-4A8F-BC7C-308529F0D409}"/>
            </c:ext>
          </c:extLst>
        </c:ser>
        <c:ser>
          <c:idx val="2"/>
          <c:order val="2"/>
          <c:tx>
            <c:v>Postprandial</c:v>
          </c:tx>
          <c:spPr>
            <a:ln w="25400" cap="rnd">
              <a:noFill/>
              <a:round/>
            </a:ln>
            <a:effectLst/>
          </c:spPr>
          <c:marker>
            <c:symbol val="circle"/>
            <c:size val="5"/>
            <c:spPr>
              <a:solidFill>
                <a:schemeClr val="accent1">
                  <a:lumMod val="75000"/>
                </a:schemeClr>
              </a:solidFill>
              <a:ln w="9525">
                <a:noFill/>
              </a:ln>
              <a:effectLst/>
            </c:spPr>
          </c:marker>
          <c:xVal>
            <c:numRef>
              <c:f>'Linear Regression'!$F$243:$F$290</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xVal>
          <c:yVal>
            <c:numRef>
              <c:f>'Linear Regression'!$E$243:$E$290</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yVal>
          <c:smooth val="0"/>
          <c:extLst>
            <c:ext xmlns:c16="http://schemas.microsoft.com/office/drawing/2014/chart" uri="{C3380CC4-5D6E-409C-BE32-E72D297353CC}">
              <c16:uniqueId val="{00000002-4665-4A8F-BC7C-308529F0D409}"/>
            </c:ext>
          </c:extLst>
        </c:ser>
        <c:ser>
          <c:idx val="3"/>
          <c:order val="3"/>
          <c:tx>
            <c:v>TOTAL</c:v>
          </c:tx>
          <c:spPr>
            <a:ln w="25400" cap="rnd">
              <a:noFill/>
              <a:round/>
            </a:ln>
            <a:effectLst/>
          </c:spPr>
          <c:marker>
            <c:symbol val="none"/>
          </c:marker>
          <c:trendline>
            <c:spPr>
              <a:ln w="19050" cap="rnd">
                <a:solidFill>
                  <a:schemeClr val="accent5">
                    <a:lumMod val="50000"/>
                  </a:schemeClr>
                </a:solidFill>
                <a:prstDash val="solid"/>
              </a:ln>
              <a:effectLst/>
            </c:spPr>
            <c:trendlineType val="linear"/>
            <c:dispRSqr val="1"/>
            <c:dispEq val="1"/>
            <c:trendlineLbl>
              <c:layout>
                <c:manualLayout>
                  <c:x val="-0.49149671916010501"/>
                  <c:y val="4.2880260657073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rendlineLbl>
          </c:trendline>
          <c:xVal>
            <c:numRef>
              <c:f>'Linear Regression'!$F$195:$F$290</c:f>
              <c:numCache>
                <c:formatCode>0.000</c:formatCode>
                <c:ptCount val="96"/>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pt idx="48">
                  <c:v>27.887643642467488</c:v>
                </c:pt>
                <c:pt idx="49">
                  <c:v>12.685944517505622</c:v>
                </c:pt>
                <c:pt idx="50">
                  <c:v>26.195181432089427</c:v>
                </c:pt>
                <c:pt idx="51">
                  <c:v>25.820787432006728</c:v>
                </c:pt>
                <c:pt idx="52">
                  <c:v>22.823300691244235</c:v>
                </c:pt>
                <c:pt idx="53">
                  <c:v>23.370222282461373</c:v>
                </c:pt>
                <c:pt idx="56">
                  <c:v>16.509645510688575</c:v>
                </c:pt>
                <c:pt idx="57">
                  <c:v>20.904390236343954</c:v>
                </c:pt>
                <c:pt idx="58">
                  <c:v>24.728957174285281</c:v>
                </c:pt>
                <c:pt idx="59">
                  <c:v>30.863012328927759</c:v>
                </c:pt>
                <c:pt idx="60">
                  <c:v>28.641455374114347</c:v>
                </c:pt>
                <c:pt idx="61">
                  <c:v>15.642106567809739</c:v>
                </c:pt>
                <c:pt idx="62">
                  <c:v>22.804066308482632</c:v>
                </c:pt>
                <c:pt idx="64">
                  <c:v>17.55090094192618</c:v>
                </c:pt>
                <c:pt idx="66">
                  <c:v>16.288004414319097</c:v>
                </c:pt>
                <c:pt idx="67">
                  <c:v>19.327303741332042</c:v>
                </c:pt>
                <c:pt idx="68">
                  <c:v>13.823445938751645</c:v>
                </c:pt>
                <c:pt idx="69">
                  <c:v>5.7870437872101395</c:v>
                </c:pt>
                <c:pt idx="70">
                  <c:v>25.445150003899862</c:v>
                </c:pt>
                <c:pt idx="71">
                  <c:v>16.012905811623245</c:v>
                </c:pt>
                <c:pt idx="72">
                  <c:v>36.953703150302346</c:v>
                </c:pt>
                <c:pt idx="73">
                  <c:v>18.945476520171297</c:v>
                </c:pt>
                <c:pt idx="74">
                  <c:v>21.555022477206716</c:v>
                </c:pt>
                <c:pt idx="76">
                  <c:v>24.983996204125084</c:v>
                </c:pt>
                <c:pt idx="77">
                  <c:v>14.685663172805336</c:v>
                </c:pt>
                <c:pt idx="78">
                  <c:v>21.029730818193975</c:v>
                </c:pt>
                <c:pt idx="79">
                  <c:v>19.915754328443217</c:v>
                </c:pt>
                <c:pt idx="80">
                  <c:v>22.552804446258456</c:v>
                </c:pt>
                <c:pt idx="81">
                  <c:v>12.049158249158246</c:v>
                </c:pt>
                <c:pt idx="82">
                  <c:v>30.852080734031244</c:v>
                </c:pt>
                <c:pt idx="83">
                  <c:v>23.872334746822986</c:v>
                </c:pt>
                <c:pt idx="84">
                  <c:v>21.757784359681029</c:v>
                </c:pt>
                <c:pt idx="86">
                  <c:v>18.408266211437514</c:v>
                </c:pt>
                <c:pt idx="87">
                  <c:v>20.813552772038936</c:v>
                </c:pt>
                <c:pt idx="88">
                  <c:v>24.321053536725515</c:v>
                </c:pt>
                <c:pt idx="89">
                  <c:v>31.713263917528309</c:v>
                </c:pt>
                <c:pt idx="90">
                  <c:v>25.70963181173537</c:v>
                </c:pt>
                <c:pt idx="92">
                  <c:v>22.462064218222299</c:v>
                </c:pt>
                <c:pt idx="93">
                  <c:v>31.260652255404224</c:v>
                </c:pt>
                <c:pt idx="94">
                  <c:v>23.619111590709021</c:v>
                </c:pt>
                <c:pt idx="95">
                  <c:v>22.352799139130205</c:v>
                </c:pt>
              </c:numCache>
            </c:numRef>
          </c:xVal>
          <c:yVal>
            <c:numRef>
              <c:f>'Linear Regression'!$E$195:$E$290</c:f>
              <c:numCache>
                <c:formatCode>0.000</c:formatCode>
                <c:ptCount val="96"/>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pt idx="48">
                  <c:v>24.534709082298093</c:v>
                </c:pt>
                <c:pt idx="49">
                  <c:v>12.892070039061224</c:v>
                </c:pt>
                <c:pt idx="50">
                  <c:v>23.065481619037435</c:v>
                </c:pt>
                <c:pt idx="51">
                  <c:v>25.362173365133359</c:v>
                </c:pt>
                <c:pt idx="52">
                  <c:v>21.057354943443649</c:v>
                </c:pt>
                <c:pt idx="53">
                  <c:v>25.139129845486579</c:v>
                </c:pt>
                <c:pt idx="56">
                  <c:v>16.014440078492022</c:v>
                </c:pt>
                <c:pt idx="57">
                  <c:v>17.789811117988116</c:v>
                </c:pt>
                <c:pt idx="58">
                  <c:v>21.835088679614429</c:v>
                </c:pt>
                <c:pt idx="59">
                  <c:v>28.131548085797029</c:v>
                </c:pt>
                <c:pt idx="60">
                  <c:v>22.886491255513285</c:v>
                </c:pt>
                <c:pt idx="61">
                  <c:v>15.27963318638119</c:v>
                </c:pt>
                <c:pt idx="62">
                  <c:v>22.6078194901303</c:v>
                </c:pt>
                <c:pt idx="64">
                  <c:v>15.089636485137301</c:v>
                </c:pt>
                <c:pt idx="66">
                  <c:v>18.476408027951912</c:v>
                </c:pt>
                <c:pt idx="67">
                  <c:v>21.978757507884378</c:v>
                </c:pt>
                <c:pt idx="68">
                  <c:v>13.499579361199782</c:v>
                </c:pt>
                <c:pt idx="69">
                  <c:v>5.9461403332558458</c:v>
                </c:pt>
                <c:pt idx="70">
                  <c:v>28.143979382541968</c:v>
                </c:pt>
                <c:pt idx="71">
                  <c:v>15.544208416833667</c:v>
                </c:pt>
                <c:pt idx="72">
                  <c:v>33.901764347927426</c:v>
                </c:pt>
                <c:pt idx="73">
                  <c:v>16.588297412452441</c:v>
                </c:pt>
                <c:pt idx="74">
                  <c:v>19.387216669555336</c:v>
                </c:pt>
                <c:pt idx="76">
                  <c:v>21.676429364208417</c:v>
                </c:pt>
                <c:pt idx="77">
                  <c:v>13.811447202668381</c:v>
                </c:pt>
                <c:pt idx="78">
                  <c:v>19.639391041086057</c:v>
                </c:pt>
                <c:pt idx="79">
                  <c:v>18.878001953671326</c:v>
                </c:pt>
                <c:pt idx="80">
                  <c:v>19.33944017426505</c:v>
                </c:pt>
                <c:pt idx="81">
                  <c:v>10.278226711560045</c:v>
                </c:pt>
                <c:pt idx="82">
                  <c:v>29.678383496889573</c:v>
                </c:pt>
                <c:pt idx="83">
                  <c:v>24.880907467727166</c:v>
                </c:pt>
                <c:pt idx="84">
                  <c:v>19.682244505242842</c:v>
                </c:pt>
                <c:pt idx="86">
                  <c:v>17.581080731430692</c:v>
                </c:pt>
                <c:pt idx="87">
                  <c:v>20.568112338018661</c:v>
                </c:pt>
                <c:pt idx="88">
                  <c:v>24.824518904809064</c:v>
                </c:pt>
                <c:pt idx="89">
                  <c:v>38.104077080025895</c:v>
                </c:pt>
                <c:pt idx="90">
                  <c:v>24.794372079410724</c:v>
                </c:pt>
                <c:pt idx="92">
                  <c:v>21.962505984001385</c:v>
                </c:pt>
                <c:pt idx="93">
                  <c:v>23.893539922529051</c:v>
                </c:pt>
                <c:pt idx="94">
                  <c:v>20.641174911411792</c:v>
                </c:pt>
                <c:pt idx="95">
                  <c:v>18.207238655153407</c:v>
                </c:pt>
              </c:numCache>
            </c:numRef>
          </c:yVal>
          <c:smooth val="0"/>
          <c:extLst>
            <c:ext xmlns:c16="http://schemas.microsoft.com/office/drawing/2014/chart" uri="{C3380CC4-5D6E-409C-BE32-E72D297353CC}">
              <c16:uniqueId val="{00000003-4665-4A8F-BC7C-308529F0D409}"/>
            </c:ext>
          </c:extLst>
        </c:ser>
        <c:dLbls>
          <c:showLegendKey val="0"/>
          <c:showVal val="0"/>
          <c:showCatName val="0"/>
          <c:showSerName val="0"/>
          <c:showPercent val="0"/>
          <c:showBubbleSize val="0"/>
        </c:dLbls>
        <c:axId val="2052793391"/>
        <c:axId val="2052797967"/>
      </c:scatterChart>
      <c:valAx>
        <c:axId val="2052793391"/>
        <c:scaling>
          <c:orientation val="minMax"/>
          <c:max val="4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𝑄</a:t>
                </a:r>
                <a:r>
                  <a:rPr lang="en-US" sz="1200" b="0" i="0" baseline="-25000">
                    <a:effectLst/>
                  </a:rPr>
                  <a:t>𝑃𝑉</a:t>
                </a:r>
                <a:r>
                  <a:rPr lang="en-US" sz="1200" b="0" i="0" baseline="0">
                    <a:effectLst/>
                  </a:rPr>
                  <a:t> (mL/min/kg)</a:t>
                </a:r>
                <a:endParaRPr lang="en-US"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7967"/>
        <c:crosses val="autoZero"/>
        <c:crossBetween val="midCat"/>
      </c:valAx>
      <c:valAx>
        <c:axId val="2052797967"/>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𝑄</a:t>
                </a:r>
                <a:r>
                  <a:rPr lang="en-US" sz="1100" b="0" i="0" baseline="-25000">
                    <a:effectLst/>
                  </a:rPr>
                  <a:t>𝑆𝑉</a:t>
                </a:r>
                <a:r>
                  <a:rPr lang="en-US" sz="1100" b="0" i="0" baseline="0">
                    <a:effectLst/>
                  </a:rPr>
                  <a:t> + 𝑄</a:t>
                </a:r>
                <a:r>
                  <a:rPr lang="en-US" sz="1100" b="0" i="0" baseline="-25000">
                    <a:effectLst/>
                  </a:rPr>
                  <a:t>𝑆𝑀𝑉</a:t>
                </a:r>
                <a:r>
                  <a:rPr lang="en-US" sz="1100" b="0" i="0" baseline="0">
                    <a:effectLst/>
                  </a:rPr>
                  <a:t> (mL/min/kg)</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Postprandial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plotting'!$AV$34,'1D plotting'!$BG$34,'1D plotting'!$BR$34,'1D plotting'!$CC$34)</c:f>
              <c:numCache>
                <c:formatCode>0.000</c:formatCode>
                <c:ptCount val="4"/>
                <c:pt idx="0">
                  <c:v>61.601201562945214</c:v>
                </c:pt>
                <c:pt idx="1">
                  <c:v>33.851202928647091</c:v>
                </c:pt>
                <c:pt idx="3">
                  <c:v>53.340475728026391</c:v>
                </c:pt>
              </c:numCache>
            </c:numRef>
          </c:val>
          <c:smooth val="0"/>
          <c:extLst>
            <c:ext xmlns:c16="http://schemas.microsoft.com/office/drawing/2014/chart" uri="{C3380CC4-5D6E-409C-BE32-E72D297353CC}">
              <c16:uniqueId val="{00000000-4610-4655-81EC-647112518F87}"/>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plotting'!$AV$35,'1D plotting'!$BG$35,'1D plotting'!$BR$35,'1D plotting'!$CC$35)</c:f>
              <c:numCache>
                <c:formatCode>0.000</c:formatCode>
                <c:ptCount val="4"/>
                <c:pt idx="0">
                  <c:v>39.564187134317834</c:v>
                </c:pt>
                <c:pt idx="2">
                  <c:v>54.965053748749497</c:v>
                </c:pt>
                <c:pt idx="3">
                  <c:v>38.429871391572711</c:v>
                </c:pt>
              </c:numCache>
            </c:numRef>
          </c:val>
          <c:smooth val="0"/>
          <c:extLst>
            <c:ext xmlns:c16="http://schemas.microsoft.com/office/drawing/2014/chart" uri="{C3380CC4-5D6E-409C-BE32-E72D297353CC}">
              <c16:uniqueId val="{00000001-4610-4655-81EC-647112518F87}"/>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plotting'!$AV$36,'1D plotting'!$BG$36,'1D plotting'!$BR$36,'1D plotting'!$CC$36)</c:f>
              <c:numCache>
                <c:formatCode>0.000</c:formatCode>
                <c:ptCount val="4"/>
                <c:pt idx="0">
                  <c:v>62.676144759489681</c:v>
                </c:pt>
                <c:pt idx="1">
                  <c:v>34.649458917835666</c:v>
                </c:pt>
                <c:pt idx="2">
                  <c:v>34.666449873790235</c:v>
                </c:pt>
                <c:pt idx="3">
                  <c:v>88.306759965013114</c:v>
                </c:pt>
              </c:numCache>
            </c:numRef>
          </c:val>
          <c:smooth val="0"/>
          <c:extLst>
            <c:ext xmlns:c16="http://schemas.microsoft.com/office/drawing/2014/chart" uri="{C3380CC4-5D6E-409C-BE32-E72D297353CC}">
              <c16:uniqueId val="{00000002-4610-4655-81EC-647112518F87}"/>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plotting'!$AV$37,'1D plotting'!$BG$37,'1D plotting'!$BR$37,'1D plotting'!$CC$37)</c:f>
              <c:numCache>
                <c:formatCode>0.000</c:formatCode>
                <c:ptCount val="4"/>
                <c:pt idx="0">
                  <c:v>49.25277329379913</c:v>
                </c:pt>
                <c:pt idx="1">
                  <c:v>53.664566995158175</c:v>
                </c:pt>
                <c:pt idx="2">
                  <c:v>49.809388176839228</c:v>
                </c:pt>
                <c:pt idx="3">
                  <c:v>49.679953172151855</c:v>
                </c:pt>
              </c:numCache>
            </c:numRef>
          </c:val>
          <c:smooth val="0"/>
          <c:extLst>
            <c:ext xmlns:c16="http://schemas.microsoft.com/office/drawing/2014/chart" uri="{C3380CC4-5D6E-409C-BE32-E72D297353CC}">
              <c16:uniqueId val="{00000003-4610-4655-81EC-647112518F87}"/>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plotting'!$AV$38,'1D plotting'!$BG$38,'1D plotting'!$BR$38,'1D plotting'!$CC$38)</c:f>
              <c:numCache>
                <c:formatCode>0.000</c:formatCode>
                <c:ptCount val="4"/>
                <c:pt idx="0">
                  <c:v>53.537193653121065</c:v>
                </c:pt>
                <c:pt idx="1">
                  <c:v>22.588423862431327</c:v>
                </c:pt>
                <c:pt idx="2">
                  <c:v>29.034625116432913</c:v>
                </c:pt>
                <c:pt idx="3">
                  <c:v>79.110364557360711</c:v>
                </c:pt>
              </c:numCache>
            </c:numRef>
          </c:val>
          <c:smooth val="0"/>
          <c:extLst>
            <c:ext xmlns:c16="http://schemas.microsoft.com/office/drawing/2014/chart" uri="{C3380CC4-5D6E-409C-BE32-E72D297353CC}">
              <c16:uniqueId val="{00000004-4610-4655-81EC-647112518F87}"/>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plotting'!$AV$39,'1D plotting'!$BG$39,'1D plotting'!$BR$39,'1D plotting'!$CC$39)</c:f>
              <c:numCache>
                <c:formatCode>0.000</c:formatCode>
                <c:ptCount val="4"/>
                <c:pt idx="0">
                  <c:v>53.35768500948766</c:v>
                </c:pt>
                <c:pt idx="1">
                  <c:v>31.729948648646388</c:v>
                </c:pt>
                <c:pt idx="2">
                  <c:v>60.513542042153553</c:v>
                </c:pt>
                <c:pt idx="3">
                  <c:v>39.649440712642125</c:v>
                </c:pt>
              </c:numCache>
            </c:numRef>
          </c:val>
          <c:smooth val="0"/>
          <c:extLst>
            <c:ext xmlns:c16="http://schemas.microsoft.com/office/drawing/2014/chart" uri="{C3380CC4-5D6E-409C-BE32-E72D297353CC}">
              <c16:uniqueId val="{00000005-4610-4655-81EC-647112518F87}"/>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plotting'!$AV$40,'1D plotting'!$BG$40,'1D plotting'!$BR$40,'1D plotting'!$CC$40)</c:f>
              <c:numCache>
                <c:formatCode>General</c:formatCode>
                <c:ptCount val="4"/>
                <c:pt idx="0" formatCode="0.000">
                  <c:v>41.332258768640678</c:v>
                </c:pt>
                <c:pt idx="2" formatCode="0.000">
                  <c:v>46.872053872053868</c:v>
                </c:pt>
              </c:numCache>
            </c:numRef>
          </c:val>
          <c:smooth val="0"/>
          <c:extLst>
            <c:ext xmlns:c16="http://schemas.microsoft.com/office/drawing/2014/chart" uri="{C3380CC4-5D6E-409C-BE32-E72D297353CC}">
              <c16:uniqueId val="{00000006-4610-4655-81EC-647112518F87}"/>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plotting'!$AV$41,'1D plotting'!$BG$41,'1D plotting'!$BR$41,'1D plotting'!$CC$41)</c:f>
              <c:numCache>
                <c:formatCode>General</c:formatCode>
                <c:ptCount val="4"/>
                <c:pt idx="0" formatCode="0.000">
                  <c:v>32.736492348572476</c:v>
                </c:pt>
                <c:pt idx="2" formatCode="0.000">
                  <c:v>72.973254062305216</c:v>
                </c:pt>
              </c:numCache>
            </c:numRef>
          </c:val>
          <c:smooth val="0"/>
          <c:extLst>
            <c:ext xmlns:c16="http://schemas.microsoft.com/office/drawing/2014/chart" uri="{C3380CC4-5D6E-409C-BE32-E72D297353CC}">
              <c16:uniqueId val="{00000007-4610-4655-81EC-647112518F87}"/>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plotting'!$AV$42,'1D plotting'!$BG$42,'1D plotting'!$BR$42,'1D plotting'!$CC$42)</c:f>
              <c:numCache>
                <c:formatCode>General</c:formatCode>
                <c:ptCount val="4"/>
                <c:pt idx="0" formatCode="0.000">
                  <c:v>34.296932442605595</c:v>
                </c:pt>
                <c:pt idx="2" formatCode="0.000">
                  <c:v>62.926086996932128</c:v>
                </c:pt>
              </c:numCache>
            </c:numRef>
          </c:val>
          <c:smooth val="0"/>
          <c:extLst>
            <c:ext xmlns:c16="http://schemas.microsoft.com/office/drawing/2014/chart" uri="{C3380CC4-5D6E-409C-BE32-E72D297353CC}">
              <c16:uniqueId val="{00000008-4610-4655-81EC-647112518F87}"/>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plotting'!$AV$43,'1D plotting'!$BG$43,'1D plotting'!$BR$43,'1D plotting'!$CC$43)</c:f>
              <c:numCache>
                <c:formatCode>General</c:formatCode>
                <c:ptCount val="4"/>
                <c:pt idx="0" formatCode="0.000">
                  <c:v>108.78441844820615</c:v>
                </c:pt>
                <c:pt idx="2" formatCode="0.000">
                  <c:v>40.417602490661203</c:v>
                </c:pt>
              </c:numCache>
            </c:numRef>
          </c:val>
          <c:smooth val="0"/>
          <c:extLst>
            <c:ext xmlns:c16="http://schemas.microsoft.com/office/drawing/2014/chart" uri="{C3380CC4-5D6E-409C-BE32-E72D297353CC}">
              <c16:uniqueId val="{00000009-4610-4655-81EC-647112518F87}"/>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plotting'!$AV$44,'1D plotting'!$BG$44,'1D plotting'!$BR$44,'1D plotting'!$CC$44)</c:f>
              <c:numCache>
                <c:formatCode>General</c:formatCode>
                <c:ptCount val="4"/>
                <c:pt idx="0" formatCode="0.000">
                  <c:v>78.457034902796707</c:v>
                </c:pt>
              </c:numCache>
            </c:numRef>
          </c:val>
          <c:smooth val="0"/>
          <c:extLst>
            <c:ext xmlns:c16="http://schemas.microsoft.com/office/drawing/2014/chart" uri="{C3380CC4-5D6E-409C-BE32-E72D297353CC}">
              <c16:uniqueId val="{0000000A-4610-4655-81EC-647112518F87}"/>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plotting'!$AV$45,'1D plotting'!$BG$45,'1D plotting'!$BR$45,'1D plotting'!$CC$45)</c:f>
              <c:numCache>
                <c:formatCode>General</c:formatCode>
                <c:ptCount val="4"/>
                <c:pt idx="0" formatCode="0.000">
                  <c:v>79.758706898082835</c:v>
                </c:pt>
                <c:pt idx="2" formatCode="0.000">
                  <c:v>44.591895173270601</c:v>
                </c:pt>
              </c:numCache>
            </c:numRef>
          </c:val>
          <c:smooth val="0"/>
          <c:extLst>
            <c:ext xmlns:c16="http://schemas.microsoft.com/office/drawing/2014/chart" uri="{C3380CC4-5D6E-409C-BE32-E72D297353CC}">
              <c16:uniqueId val="{0000000B-4610-4655-81EC-647112518F87}"/>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plotting'!$AV$46,'1D plotting'!$BG$46,'1D plotting'!$BR$46,'1D plotting'!$CC$46)</c:f>
              <c:numCache>
                <c:formatCode>General</c:formatCode>
                <c:ptCount val="4"/>
                <c:pt idx="0" formatCode="0.000">
                  <c:v>39.394524778434885</c:v>
                </c:pt>
                <c:pt idx="2" formatCode="0.000">
                  <c:v>28.46803083955653</c:v>
                </c:pt>
              </c:numCache>
            </c:numRef>
          </c:val>
          <c:smooth val="0"/>
          <c:extLst>
            <c:ext xmlns:c16="http://schemas.microsoft.com/office/drawing/2014/chart" uri="{C3380CC4-5D6E-409C-BE32-E72D297353CC}">
              <c16:uniqueId val="{0000000C-4610-4655-81EC-647112518F87}"/>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plotting'!$AV$47,'1D plotting'!$BG$47,'1D plotting'!$BR$47,'1D plotting'!$CC$47)</c:f>
              <c:numCache>
                <c:formatCode>General</c:formatCode>
                <c:ptCount val="4"/>
                <c:pt idx="0" formatCode="0.000">
                  <c:v>51.211769848676028</c:v>
                </c:pt>
                <c:pt idx="2" formatCode="0.000">
                  <c:v>68.601928098700753</c:v>
                </c:pt>
              </c:numCache>
            </c:numRef>
          </c:val>
          <c:smooth val="0"/>
          <c:extLst>
            <c:ext xmlns:c16="http://schemas.microsoft.com/office/drawing/2014/chart" uri="{C3380CC4-5D6E-409C-BE32-E72D297353CC}">
              <c16:uniqueId val="{0000000D-4610-4655-81EC-647112518F87}"/>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plotting'!$AV$48,'1D plotting'!$BG$48,'1D plotting'!$BR$48,'1D plotting'!$CC$48)</c:f>
              <c:numCache>
                <c:formatCode>General</c:formatCode>
                <c:ptCount val="4"/>
                <c:pt idx="0" formatCode="0.000">
                  <c:v>37.05217685079522</c:v>
                </c:pt>
                <c:pt idx="2" formatCode="0.000">
                  <c:v>111.38919579743394</c:v>
                </c:pt>
              </c:numCache>
            </c:numRef>
          </c:val>
          <c:smooth val="0"/>
          <c:extLst>
            <c:ext xmlns:c16="http://schemas.microsoft.com/office/drawing/2014/chart" uri="{C3380CC4-5D6E-409C-BE32-E72D297353CC}">
              <c16:uniqueId val="{0000000E-4610-4655-81EC-647112518F87}"/>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plotting'!$AV$49,'1D plotting'!$BG$49,'1D plotting'!$BR$49,'1D plotting'!$CC$49)</c:f>
              <c:numCache>
                <c:formatCode>General</c:formatCode>
                <c:ptCount val="4"/>
                <c:pt idx="0" formatCode="0.000">
                  <c:v>60.455570693376451</c:v>
                </c:pt>
              </c:numCache>
            </c:numRef>
          </c:val>
          <c:smooth val="0"/>
          <c:extLst>
            <c:ext xmlns:c16="http://schemas.microsoft.com/office/drawing/2014/chart" uri="{C3380CC4-5D6E-409C-BE32-E72D297353CC}">
              <c16:uniqueId val="{0000000F-4610-4655-81EC-647112518F87}"/>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plotting'!$AV$50,'1D plotting'!$BG$50,'1D plotting'!$BR$50,'1D plotting'!$CC$50)</c:f>
              <c:numCache>
                <c:formatCode>General</c:formatCode>
                <c:ptCount val="4"/>
                <c:pt idx="0" formatCode="0.000">
                  <c:v>79.112420697160076</c:v>
                </c:pt>
              </c:numCache>
            </c:numRef>
          </c:val>
          <c:smooth val="0"/>
          <c:extLst>
            <c:ext xmlns:c16="http://schemas.microsoft.com/office/drawing/2014/chart" uri="{C3380CC4-5D6E-409C-BE32-E72D297353CC}">
              <c16:uniqueId val="{00000010-4610-4655-81EC-647112518F87}"/>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plotting'!$AV$51,'1D plotting'!$BG$51,'1D plotting'!$BR$51,'1D plotting'!$CC$51)</c:f>
              <c:numCache>
                <c:formatCode>General</c:formatCode>
                <c:ptCount val="4"/>
                <c:pt idx="0" formatCode="0.000">
                  <c:v>44.210008224631522</c:v>
                </c:pt>
              </c:numCache>
            </c:numRef>
          </c:val>
          <c:smooth val="0"/>
          <c:extLst>
            <c:ext xmlns:c16="http://schemas.microsoft.com/office/drawing/2014/chart" uri="{C3380CC4-5D6E-409C-BE32-E72D297353CC}">
              <c16:uniqueId val="{00000011-4610-4655-81EC-647112518F87}"/>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plotting'!$AV$52,'1D plotting'!$BG$52,'1D plotting'!$BR$52,'1D plotting'!$CC$52)</c:f>
              <c:numCache>
                <c:formatCode>General</c:formatCode>
                <c:ptCount val="4"/>
                <c:pt idx="0" formatCode="0.000">
                  <c:v>66.839760378541484</c:v>
                </c:pt>
              </c:numCache>
            </c:numRef>
          </c:val>
          <c:smooth val="0"/>
          <c:extLst>
            <c:ext xmlns:c16="http://schemas.microsoft.com/office/drawing/2014/chart" uri="{C3380CC4-5D6E-409C-BE32-E72D297353CC}">
              <c16:uniqueId val="{00000012-4610-4655-81EC-647112518F87}"/>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plotting'!$AV$53,'1D plotting'!$BG$53,'1D plotting'!$BR$53,'1D plotting'!$CC$53)</c:f>
              <c:numCache>
                <c:formatCode>General</c:formatCode>
                <c:ptCount val="4"/>
                <c:pt idx="0" formatCode="0.000">
                  <c:v>32.626179925179642</c:v>
                </c:pt>
              </c:numCache>
            </c:numRef>
          </c:val>
          <c:smooth val="0"/>
          <c:extLst>
            <c:ext xmlns:c16="http://schemas.microsoft.com/office/drawing/2014/chart" uri="{C3380CC4-5D6E-409C-BE32-E72D297353CC}">
              <c16:uniqueId val="{00000013-4610-4655-81EC-647112518F87}"/>
            </c:ext>
          </c:extLst>
        </c:ser>
        <c:dLbls>
          <c:showLegendKey val="0"/>
          <c:showVal val="0"/>
          <c:showCatName val="0"/>
          <c:showSerName val="0"/>
          <c:showPercent val="0"/>
          <c:showBubbleSize val="0"/>
        </c:dLbls>
        <c:marker val="1"/>
        <c:smooth val="0"/>
        <c:axId val="1842777648"/>
        <c:axId val="1842774320"/>
      </c:lineChart>
      <c:catAx>
        <c:axId val="184277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320"/>
        <c:crosses val="autoZero"/>
        <c:auto val="1"/>
        <c:lblAlgn val="ctr"/>
        <c:lblOffset val="100"/>
        <c:noMultiLvlLbl val="0"/>
      </c:catAx>
      <c:valAx>
        <c:axId val="1842774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plotting'!$AV$67,'1D plotting'!$BG$67,'1D plotting'!$BR$67,'1D plotting'!$CC$67)</c:f>
              <c:numCache>
                <c:formatCode>0.000</c:formatCode>
                <c:ptCount val="4"/>
                <c:pt idx="0">
                  <c:v>48.341511737565895</c:v>
                </c:pt>
                <c:pt idx="1">
                  <c:v>-3.8082016442589279</c:v>
                </c:pt>
                <c:pt idx="3">
                  <c:v>88.13576217692308</c:v>
                </c:pt>
              </c:numCache>
            </c:numRef>
          </c:val>
          <c:smooth val="0"/>
          <c:extLst>
            <c:ext xmlns:c16="http://schemas.microsoft.com/office/drawing/2014/chart" uri="{C3380CC4-5D6E-409C-BE32-E72D297353CC}">
              <c16:uniqueId val="{00000000-7182-47BF-87F4-A208362128E4}"/>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plotting'!$AV$68,'1D plotting'!$BG$68,'1D plotting'!$BR$68,'1D plotting'!$CC$68)</c:f>
              <c:numCache>
                <c:formatCode>0.000</c:formatCode>
                <c:ptCount val="4"/>
                <c:pt idx="0">
                  <c:v>2.6069704449076845</c:v>
                </c:pt>
                <c:pt idx="2">
                  <c:v>-3.792971536428412</c:v>
                </c:pt>
                <c:pt idx="3">
                  <c:v>31.059200689377885</c:v>
                </c:pt>
              </c:numCache>
            </c:numRef>
          </c:val>
          <c:smooth val="0"/>
          <c:extLst>
            <c:ext xmlns:c16="http://schemas.microsoft.com/office/drawing/2014/chart" uri="{C3380CC4-5D6E-409C-BE32-E72D297353CC}">
              <c16:uniqueId val="{00000001-7182-47BF-87F4-A208362128E4}"/>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plotting'!$AV$69,'1D plotting'!$BG$69,'1D plotting'!$BR$69,'1D plotting'!$CC$69)</c:f>
              <c:numCache>
                <c:formatCode>0.000</c:formatCode>
                <c:ptCount val="4"/>
                <c:pt idx="0">
                  <c:v>38.075356723540118</c:v>
                </c:pt>
                <c:pt idx="1">
                  <c:v>-10.122797992748323</c:v>
                </c:pt>
                <c:pt idx="2">
                  <c:v>36.210639415623469</c:v>
                </c:pt>
                <c:pt idx="3">
                  <c:v>49.82577785471603</c:v>
                </c:pt>
              </c:numCache>
            </c:numRef>
          </c:val>
          <c:smooth val="0"/>
          <c:extLst>
            <c:ext xmlns:c16="http://schemas.microsoft.com/office/drawing/2014/chart" uri="{C3380CC4-5D6E-409C-BE32-E72D297353CC}">
              <c16:uniqueId val="{00000002-7182-47BF-87F4-A208362128E4}"/>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plotting'!$AV$70,'1D plotting'!$BG$70,'1D plotting'!$BR$70,'1D plotting'!$CC$70)</c:f>
              <c:numCache>
                <c:formatCode>0.000</c:formatCode>
                <c:ptCount val="4"/>
                <c:pt idx="0">
                  <c:v>50.454615212952348</c:v>
                </c:pt>
                <c:pt idx="1">
                  <c:v>8.4534132847623678</c:v>
                </c:pt>
                <c:pt idx="2">
                  <c:v>24.595971547205576</c:v>
                </c:pt>
                <c:pt idx="3">
                  <c:v>27.124071285552954</c:v>
                </c:pt>
              </c:numCache>
            </c:numRef>
          </c:val>
          <c:smooth val="0"/>
          <c:extLst>
            <c:ext xmlns:c16="http://schemas.microsoft.com/office/drawing/2014/chart" uri="{C3380CC4-5D6E-409C-BE32-E72D297353CC}">
              <c16:uniqueId val="{00000003-7182-47BF-87F4-A208362128E4}"/>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plotting'!$AV$71,'1D plotting'!$BG$71,'1D plotting'!$BR$71,'1D plotting'!$CC$71)</c:f>
              <c:numCache>
                <c:formatCode>0.000</c:formatCode>
                <c:ptCount val="4"/>
                <c:pt idx="0">
                  <c:v>17.105624700452111</c:v>
                </c:pt>
                <c:pt idx="1">
                  <c:v>10.480523268778748</c:v>
                </c:pt>
                <c:pt idx="2">
                  <c:v>11.69784037375104</c:v>
                </c:pt>
                <c:pt idx="3">
                  <c:v>4.9555210610484437</c:v>
                </c:pt>
              </c:numCache>
            </c:numRef>
          </c:val>
          <c:smooth val="0"/>
          <c:extLst>
            <c:ext xmlns:c16="http://schemas.microsoft.com/office/drawing/2014/chart" uri="{C3380CC4-5D6E-409C-BE32-E72D297353CC}">
              <c16:uniqueId val="{00000004-7182-47BF-87F4-A208362128E4}"/>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plotting'!$AV$72,'1D plotting'!$BG$72,'1D plotting'!$BR$72,'1D plotting'!$CC$72)</c:f>
              <c:numCache>
                <c:formatCode>0.000</c:formatCode>
                <c:ptCount val="4"/>
                <c:pt idx="0">
                  <c:v>25.200310148230692</c:v>
                </c:pt>
                <c:pt idx="1">
                  <c:v>-17.867686277717219</c:v>
                </c:pt>
                <c:pt idx="2">
                  <c:v>46.272523195097001</c:v>
                </c:pt>
                <c:pt idx="3">
                  <c:v>-10.221947159232329</c:v>
                </c:pt>
              </c:numCache>
            </c:numRef>
          </c:val>
          <c:smooth val="0"/>
          <c:extLst>
            <c:ext xmlns:c16="http://schemas.microsoft.com/office/drawing/2014/chart" uri="{C3380CC4-5D6E-409C-BE32-E72D297353CC}">
              <c16:uniqueId val="{00000005-7182-47BF-87F4-A208362128E4}"/>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plotting'!$AV$73,'1D plotting'!$BG$73,'1D plotting'!$BR$73,'1D plotting'!$CC$73)</c:f>
              <c:numCache>
                <c:formatCode>General</c:formatCode>
                <c:ptCount val="4"/>
                <c:pt idx="0" formatCode="0.000">
                  <c:v>-3.7604423991685163</c:v>
                </c:pt>
                <c:pt idx="2" formatCode="0.000">
                  <c:v>-10.043327310565523</c:v>
                </c:pt>
              </c:numCache>
            </c:numRef>
          </c:val>
          <c:smooth val="0"/>
          <c:extLst>
            <c:ext xmlns:c16="http://schemas.microsoft.com/office/drawing/2014/chart" uri="{C3380CC4-5D6E-409C-BE32-E72D297353CC}">
              <c16:uniqueId val="{00000006-7182-47BF-87F4-A208362128E4}"/>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plotting'!$AV$74,'1D plotting'!$BG$74,'1D plotting'!$BR$74,'1D plotting'!$CC$74)</c:f>
              <c:numCache>
                <c:formatCode>General</c:formatCode>
                <c:ptCount val="4"/>
                <c:pt idx="0" formatCode="0.000">
                  <c:v>4.7678307309736594</c:v>
                </c:pt>
                <c:pt idx="2" formatCode="0.000">
                  <c:v>25.114770517165603</c:v>
                </c:pt>
              </c:numCache>
            </c:numRef>
          </c:val>
          <c:smooth val="0"/>
          <c:extLst>
            <c:ext xmlns:c16="http://schemas.microsoft.com/office/drawing/2014/chart" uri="{C3380CC4-5D6E-409C-BE32-E72D297353CC}">
              <c16:uniqueId val="{00000007-7182-47BF-87F4-A208362128E4}"/>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plotting'!$AV$75,'1D plotting'!$BG$75,'1D plotting'!$BR$75,'1D plotting'!$CC$75)</c:f>
              <c:numCache>
                <c:formatCode>General</c:formatCode>
                <c:ptCount val="4"/>
                <c:pt idx="0" formatCode="0.000">
                  <c:v>3.3369589416358161</c:v>
                </c:pt>
                <c:pt idx="2" formatCode="0.000">
                  <c:v>21.690055952143318</c:v>
                </c:pt>
              </c:numCache>
            </c:numRef>
          </c:val>
          <c:smooth val="0"/>
          <c:extLst>
            <c:ext xmlns:c16="http://schemas.microsoft.com/office/drawing/2014/chart" uri="{C3380CC4-5D6E-409C-BE32-E72D297353CC}">
              <c16:uniqueId val="{00000008-7182-47BF-87F4-A208362128E4}"/>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plotting'!$AV$76,'1D plotting'!$BG$76,'1D plotting'!$BR$76,'1D plotting'!$CC$76)</c:f>
              <c:numCache>
                <c:formatCode>General</c:formatCode>
                <c:ptCount val="4"/>
                <c:pt idx="0" formatCode="0.000">
                  <c:v>18.091879757294276</c:v>
                </c:pt>
                <c:pt idx="2" formatCode="0.000">
                  <c:v>26.071950910029024</c:v>
                </c:pt>
              </c:numCache>
            </c:numRef>
          </c:val>
          <c:smooth val="0"/>
          <c:extLst>
            <c:ext xmlns:c16="http://schemas.microsoft.com/office/drawing/2014/chart" uri="{C3380CC4-5D6E-409C-BE32-E72D297353CC}">
              <c16:uniqueId val="{00000009-7182-47BF-87F4-A208362128E4}"/>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plotting'!$AV$77,'1D plotting'!$BG$77,'1D plotting'!$BR$77,'1D plotting'!$CC$77)</c:f>
              <c:numCache>
                <c:formatCode>General</c:formatCode>
                <c:ptCount val="4"/>
                <c:pt idx="0" formatCode="0.000">
                  <c:v>9.6489139587493504</c:v>
                </c:pt>
              </c:numCache>
            </c:numRef>
          </c:val>
          <c:smooth val="0"/>
          <c:extLst>
            <c:ext xmlns:c16="http://schemas.microsoft.com/office/drawing/2014/chart" uri="{C3380CC4-5D6E-409C-BE32-E72D297353CC}">
              <c16:uniqueId val="{0000000A-7182-47BF-87F4-A208362128E4}"/>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plotting'!$AV$78,'1D plotting'!$BG$78,'1D plotting'!$BR$78,'1D plotting'!$CC$78)</c:f>
              <c:numCache>
                <c:formatCode>0.0</c:formatCode>
                <c:ptCount val="4"/>
                <c:pt idx="0" formatCode="0.000">
                  <c:v>7.9152047912537382</c:v>
                </c:pt>
                <c:pt idx="2" formatCode="0.000">
                  <c:v>18.313347068805189</c:v>
                </c:pt>
              </c:numCache>
            </c:numRef>
          </c:val>
          <c:smooth val="0"/>
          <c:extLst>
            <c:ext xmlns:c16="http://schemas.microsoft.com/office/drawing/2014/chart" uri="{C3380CC4-5D6E-409C-BE32-E72D297353CC}">
              <c16:uniqueId val="{0000000B-7182-47BF-87F4-A208362128E4}"/>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plotting'!$AV$79,'1D plotting'!$BG$79,'1D plotting'!$BR$79,'1D plotting'!$CC$79)</c:f>
              <c:numCache>
                <c:formatCode>0</c:formatCode>
                <c:ptCount val="4"/>
                <c:pt idx="0" formatCode="0.000">
                  <c:v>15.445075927733253</c:v>
                </c:pt>
                <c:pt idx="2" formatCode="0.000">
                  <c:v>9.8165820526489735</c:v>
                </c:pt>
              </c:numCache>
            </c:numRef>
          </c:val>
          <c:smooth val="0"/>
          <c:extLst>
            <c:ext xmlns:c16="http://schemas.microsoft.com/office/drawing/2014/chart" uri="{C3380CC4-5D6E-409C-BE32-E72D297353CC}">
              <c16:uniqueId val="{0000000C-7182-47BF-87F4-A208362128E4}"/>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plotting'!$AV$80,'1D plotting'!$BG$80,'1D plotting'!$BR$80,'1D plotting'!$CC$80)</c:f>
              <c:numCache>
                <c:formatCode>0.00</c:formatCode>
                <c:ptCount val="4"/>
                <c:pt idx="0" formatCode="0.000">
                  <c:v>3.0646145522685697</c:v>
                </c:pt>
                <c:pt idx="2" formatCode="0.000">
                  <c:v>22.762438107290681</c:v>
                </c:pt>
              </c:numCache>
            </c:numRef>
          </c:val>
          <c:smooth val="0"/>
          <c:extLst>
            <c:ext xmlns:c16="http://schemas.microsoft.com/office/drawing/2014/chart" uri="{C3380CC4-5D6E-409C-BE32-E72D297353CC}">
              <c16:uniqueId val="{0000000D-7182-47BF-87F4-A208362128E4}"/>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plotting'!$AV$81,'1D plotting'!$BG$81,'1D plotting'!$BR$81,'1D plotting'!$CC$81)</c:f>
              <c:numCache>
                <c:formatCode>General</c:formatCode>
                <c:ptCount val="4"/>
                <c:pt idx="0" formatCode="0.000">
                  <c:v>12.96813536818766</c:v>
                </c:pt>
                <c:pt idx="2" formatCode="0.000">
                  <c:v>45.094452164175344</c:v>
                </c:pt>
              </c:numCache>
            </c:numRef>
          </c:val>
          <c:smooth val="0"/>
          <c:extLst>
            <c:ext xmlns:c16="http://schemas.microsoft.com/office/drawing/2014/chart" uri="{C3380CC4-5D6E-409C-BE32-E72D297353CC}">
              <c16:uniqueId val="{0000000E-7182-47BF-87F4-A208362128E4}"/>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plotting'!$AV$82,'1D plotting'!$BG$82,'1D plotting'!$BR$82,'1D plotting'!$CC$82)</c:f>
              <c:numCache>
                <c:formatCode>General</c:formatCode>
                <c:ptCount val="4"/>
                <c:pt idx="0" formatCode="0.000">
                  <c:v>8.1845857184777859</c:v>
                </c:pt>
              </c:numCache>
            </c:numRef>
          </c:val>
          <c:smooth val="0"/>
          <c:extLst>
            <c:ext xmlns:c16="http://schemas.microsoft.com/office/drawing/2014/chart" uri="{C3380CC4-5D6E-409C-BE32-E72D297353CC}">
              <c16:uniqueId val="{0000000F-7182-47BF-87F4-A208362128E4}"/>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plotting'!$AV$83,'1D plotting'!$BG$83,'1D plotting'!$BR$83,'1D plotting'!$CC$83)</c:f>
              <c:numCache>
                <c:formatCode>General</c:formatCode>
                <c:ptCount val="4"/>
                <c:pt idx="0" formatCode="0.000">
                  <c:v>12.471799816721672</c:v>
                </c:pt>
              </c:numCache>
            </c:numRef>
          </c:val>
          <c:smooth val="0"/>
          <c:extLst>
            <c:ext xmlns:c16="http://schemas.microsoft.com/office/drawing/2014/chart" uri="{C3380CC4-5D6E-409C-BE32-E72D297353CC}">
              <c16:uniqueId val="{00000010-7182-47BF-87F4-A208362128E4}"/>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plotting'!$AV$84,'1D plotting'!$BG$84,'1D plotting'!$BR$84,'1D plotting'!$CC$84)</c:f>
              <c:numCache>
                <c:formatCode>General</c:formatCode>
                <c:ptCount val="4"/>
                <c:pt idx="0" formatCode="0.000">
                  <c:v>19.652718491788594</c:v>
                </c:pt>
              </c:numCache>
            </c:numRef>
          </c:val>
          <c:smooth val="0"/>
          <c:extLst>
            <c:ext xmlns:c16="http://schemas.microsoft.com/office/drawing/2014/chart" uri="{C3380CC4-5D6E-409C-BE32-E72D297353CC}">
              <c16:uniqueId val="{00000011-7182-47BF-87F4-A208362128E4}"/>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plotting'!$AV$85,'1D plotting'!$BG$85,'1D plotting'!$BR$85,'1D plotting'!$CC$85)</c:f>
              <c:numCache>
                <c:formatCode>General</c:formatCode>
                <c:ptCount val="4"/>
                <c:pt idx="0" formatCode="0.000">
                  <c:v>3.6664068306770008</c:v>
                </c:pt>
              </c:numCache>
            </c:numRef>
          </c:val>
          <c:smooth val="0"/>
          <c:extLst>
            <c:ext xmlns:c16="http://schemas.microsoft.com/office/drawing/2014/chart" uri="{C3380CC4-5D6E-409C-BE32-E72D297353CC}">
              <c16:uniqueId val="{00000012-7182-47BF-87F4-A208362128E4}"/>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plotting'!$AV$86,'1D plotting'!$BG$86,'1D plotting'!$BR$86,'1D plotting'!$CC$86)</c:f>
              <c:numCache>
                <c:formatCode>General</c:formatCode>
                <c:ptCount val="4"/>
                <c:pt idx="0" formatCode="0.000">
                  <c:v>17.336347606513726</c:v>
                </c:pt>
              </c:numCache>
            </c:numRef>
          </c:val>
          <c:smooth val="0"/>
          <c:extLst>
            <c:ext xmlns:c16="http://schemas.microsoft.com/office/drawing/2014/chart" uri="{C3380CC4-5D6E-409C-BE32-E72D297353CC}">
              <c16:uniqueId val="{00000013-7182-47BF-87F4-A208362128E4}"/>
            </c:ext>
          </c:extLst>
        </c:ser>
        <c:dLbls>
          <c:showLegendKey val="0"/>
          <c:showVal val="0"/>
          <c:showCatName val="0"/>
          <c:showSerName val="0"/>
          <c:showPercent val="0"/>
          <c:showBubbleSize val="0"/>
        </c:dLbls>
        <c:marker val="1"/>
        <c:smooth val="0"/>
        <c:axId val="1842770992"/>
        <c:axId val="1842772240"/>
      </c:lineChart>
      <c:catAx>
        <c:axId val="18427709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2240"/>
        <c:crosses val="autoZero"/>
        <c:auto val="1"/>
        <c:lblAlgn val="ctr"/>
        <c:lblOffset val="100"/>
        <c:noMultiLvlLbl val="0"/>
      </c:catAx>
      <c:valAx>
        <c:axId val="1842772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plotting'!$BA$5,'1D plotting'!$BL$5,'1D plotting'!$BW$5,'1D plotting'!$CH$5)</c:f>
              <c:numCache>
                <c:formatCode>0.000</c:formatCode>
                <c:ptCount val="4"/>
                <c:pt idx="0">
                  <c:v>8.5630397070319226</c:v>
                </c:pt>
                <c:pt idx="1">
                  <c:v>2.7094241103595307</c:v>
                </c:pt>
                <c:pt idx="3">
                  <c:v>9.5036164835599042</c:v>
                </c:pt>
              </c:numCache>
            </c:numRef>
          </c:val>
          <c:smooth val="0"/>
          <c:extLst>
            <c:ext xmlns:c16="http://schemas.microsoft.com/office/drawing/2014/chart" uri="{C3380CC4-5D6E-409C-BE32-E72D297353CC}">
              <c16:uniqueId val="{00000000-5484-4FD7-8A3D-DC82613B969D}"/>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plotting'!$BA$6,'1D plotting'!$BL$6,'1D plotting'!$BW$6,'1D plotting'!$CH$6)</c:f>
              <c:numCache>
                <c:formatCode>0.000</c:formatCode>
                <c:ptCount val="4"/>
                <c:pt idx="0">
                  <c:v>6.626235199054177</c:v>
                </c:pt>
                <c:pt idx="1">
                  <c:v>7.1118585576884268</c:v>
                </c:pt>
                <c:pt idx="2">
                  <c:v>8.9853897147238388</c:v>
                </c:pt>
                <c:pt idx="3">
                  <c:v>12.249704751595271</c:v>
                </c:pt>
              </c:numCache>
            </c:numRef>
          </c:val>
          <c:smooth val="0"/>
          <c:extLst>
            <c:ext xmlns:c16="http://schemas.microsoft.com/office/drawing/2014/chart" uri="{C3380CC4-5D6E-409C-BE32-E72D297353CC}">
              <c16:uniqueId val="{00000001-5484-4FD7-8A3D-DC82613B969D}"/>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plotting'!$BA$7,'1D plotting'!$BL$7,'1D plotting'!$BW$7,'1D plotting'!$CH$7)</c:f>
              <c:numCache>
                <c:formatCode>0.000</c:formatCode>
                <c:ptCount val="4"/>
                <c:pt idx="0">
                  <c:v>8.2555045919980579</c:v>
                </c:pt>
                <c:pt idx="1">
                  <c:v>8.4476000000000013</c:v>
                </c:pt>
                <c:pt idx="2">
                  <c:v>9.420108174279477</c:v>
                </c:pt>
              </c:numCache>
            </c:numRef>
          </c:val>
          <c:smooth val="0"/>
          <c:extLst>
            <c:ext xmlns:c16="http://schemas.microsoft.com/office/drawing/2014/chart" uri="{C3380CC4-5D6E-409C-BE32-E72D297353CC}">
              <c16:uniqueId val="{00000002-5484-4FD7-8A3D-DC82613B969D}"/>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plotting'!$BA$8,'1D plotting'!$BL$8,'1D plotting'!$BW$8,'1D plotting'!$CH$8)</c:f>
              <c:numCache>
                <c:formatCode>0.000</c:formatCode>
                <c:ptCount val="4"/>
                <c:pt idx="0">
                  <c:v>9.8716480778284108</c:v>
                </c:pt>
                <c:pt idx="1">
                  <c:v>9.1965827434403167</c:v>
                </c:pt>
                <c:pt idx="2">
                  <c:v>5.4933158068499361</c:v>
                </c:pt>
                <c:pt idx="3">
                  <c:v>2.7630601794643126</c:v>
                </c:pt>
              </c:numCache>
            </c:numRef>
          </c:val>
          <c:smooth val="0"/>
          <c:extLst>
            <c:ext xmlns:c16="http://schemas.microsoft.com/office/drawing/2014/chart" uri="{C3380CC4-5D6E-409C-BE32-E72D297353CC}">
              <c16:uniqueId val="{00000003-5484-4FD7-8A3D-DC82613B969D}"/>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plotting'!$BA$9,'1D plotting'!$BL$9,'1D plotting'!$BW$9,'1D plotting'!$CH$9)</c:f>
              <c:numCache>
                <c:formatCode>0.000</c:formatCode>
                <c:ptCount val="4"/>
                <c:pt idx="0">
                  <c:v>13.651160941771947</c:v>
                </c:pt>
                <c:pt idx="1">
                  <c:v>6.0139493105338557</c:v>
                </c:pt>
                <c:pt idx="2">
                  <c:v>9.1534574033624772</c:v>
                </c:pt>
                <c:pt idx="3">
                  <c:v>5.1962937656241293</c:v>
                </c:pt>
              </c:numCache>
            </c:numRef>
          </c:val>
          <c:smooth val="0"/>
          <c:extLst>
            <c:ext xmlns:c16="http://schemas.microsoft.com/office/drawing/2014/chart" uri="{C3380CC4-5D6E-409C-BE32-E72D297353CC}">
              <c16:uniqueId val="{00000004-5484-4FD7-8A3D-DC82613B969D}"/>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plotting'!$BA$10,'1D plotting'!$BL$10,'1D plotting'!$BW$10,'1D plotting'!$CH$10)</c:f>
              <c:numCache>
                <c:formatCode>0.000</c:formatCode>
                <c:ptCount val="4"/>
                <c:pt idx="0">
                  <c:v>6.8021766083482591</c:v>
                </c:pt>
                <c:pt idx="1">
                  <c:v>13.255305400912919</c:v>
                </c:pt>
                <c:pt idx="2">
                  <c:v>2.3459118728409374</c:v>
                </c:pt>
              </c:numCache>
            </c:numRef>
          </c:val>
          <c:smooth val="0"/>
          <c:extLst>
            <c:ext xmlns:c16="http://schemas.microsoft.com/office/drawing/2014/chart" uri="{C3380CC4-5D6E-409C-BE32-E72D297353CC}">
              <c16:uniqueId val="{00000005-5484-4FD7-8A3D-DC82613B969D}"/>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plotting'!$BA$11,'1D plotting'!$BL$11,'1D plotting'!$BW$11,'1D plotting'!$CH$11)</c:f>
              <c:numCache>
                <c:formatCode>0.000</c:formatCode>
                <c:ptCount val="4"/>
                <c:pt idx="0">
                  <c:v>9.3258767711493178</c:v>
                </c:pt>
                <c:pt idx="2">
                  <c:v>6.8769547325102867</c:v>
                </c:pt>
              </c:numCache>
            </c:numRef>
          </c:val>
          <c:smooth val="0"/>
          <c:extLst>
            <c:ext xmlns:c16="http://schemas.microsoft.com/office/drawing/2014/chart" uri="{C3380CC4-5D6E-409C-BE32-E72D297353CC}">
              <c16:uniqueId val="{00000006-5484-4FD7-8A3D-DC82613B969D}"/>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plotting'!$BA$12,'1D plotting'!$BL$12,'1D plotting'!$BW$12,'1D plotting'!$CH$12)</c:f>
              <c:numCache>
                <c:formatCode>General</c:formatCode>
                <c:ptCount val="4"/>
                <c:pt idx="0" formatCode="0.000">
                  <c:v>6.4787210452940815</c:v>
                </c:pt>
                <c:pt idx="2" formatCode="0.000">
                  <c:v>10.975560494854449</c:v>
                </c:pt>
              </c:numCache>
            </c:numRef>
          </c:val>
          <c:smooth val="0"/>
          <c:extLst>
            <c:ext xmlns:c16="http://schemas.microsoft.com/office/drawing/2014/chart" uri="{C3380CC4-5D6E-409C-BE32-E72D297353CC}">
              <c16:uniqueId val="{00000007-5484-4FD7-8A3D-DC82613B969D}"/>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plotting'!$BA$13,'1D plotting'!$BL$13,'1D plotting'!$BW$13,'1D plotting'!$CH$13)</c:f>
              <c:numCache>
                <c:formatCode>General</c:formatCode>
                <c:ptCount val="4"/>
                <c:pt idx="0" formatCode="0.000">
                  <c:v>4.5124718920203444</c:v>
                </c:pt>
              </c:numCache>
            </c:numRef>
          </c:val>
          <c:smooth val="0"/>
          <c:extLst>
            <c:ext xmlns:c16="http://schemas.microsoft.com/office/drawing/2014/chart" uri="{C3380CC4-5D6E-409C-BE32-E72D297353CC}">
              <c16:uniqueId val="{00000008-5484-4FD7-8A3D-DC82613B969D}"/>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plotting'!$BA$14,'1D plotting'!$BL$14,'1D plotting'!$BW$14,'1D plotting'!$CH$14)</c:f>
              <c:numCache>
                <c:formatCode>General</c:formatCode>
                <c:ptCount val="4"/>
                <c:pt idx="0" formatCode="0.000">
                  <c:v>27.177346237899869</c:v>
                </c:pt>
                <c:pt idx="2" formatCode="0.000">
                  <c:v>2.4581093103016487</c:v>
                </c:pt>
              </c:numCache>
            </c:numRef>
          </c:val>
          <c:smooth val="0"/>
          <c:extLst>
            <c:ext xmlns:c16="http://schemas.microsoft.com/office/drawing/2014/chart" uri="{C3380CC4-5D6E-409C-BE32-E72D297353CC}">
              <c16:uniqueId val="{00000009-5484-4FD7-8A3D-DC82613B969D}"/>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plotting'!$BA$15,'1D plotting'!$BL$15,'1D plotting'!$BW$15,'1D plotting'!$CH$15)</c:f>
              <c:numCache>
                <c:formatCode>0</c:formatCode>
                <c:ptCount val="4"/>
                <c:pt idx="0" formatCode="0.000">
                  <c:v>31.894632430505666</c:v>
                </c:pt>
              </c:numCache>
            </c:numRef>
          </c:val>
          <c:smooth val="0"/>
          <c:extLst>
            <c:ext xmlns:c16="http://schemas.microsoft.com/office/drawing/2014/chart" uri="{C3380CC4-5D6E-409C-BE32-E72D297353CC}">
              <c16:uniqueId val="{0000000A-5484-4FD7-8A3D-DC82613B969D}"/>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plotting'!$BA$16,'1D plotting'!$BL$16,'1D plotting'!$BW$16,'1D plotting'!$CH$16)</c:f>
              <c:numCache>
                <c:formatCode>General</c:formatCode>
                <c:ptCount val="4"/>
                <c:pt idx="0" formatCode="0.000">
                  <c:v>13.252320495025934</c:v>
                </c:pt>
                <c:pt idx="2" formatCode="0.000">
                  <c:v>3.0852746003576672</c:v>
                </c:pt>
              </c:numCache>
            </c:numRef>
          </c:val>
          <c:smooth val="0"/>
          <c:extLst>
            <c:ext xmlns:c16="http://schemas.microsoft.com/office/drawing/2014/chart" uri="{C3380CC4-5D6E-409C-BE32-E72D297353CC}">
              <c16:uniqueId val="{0000000B-5484-4FD7-8A3D-DC82613B969D}"/>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plotting'!$BA$17,'1D plotting'!$BL$17,'1D plotting'!$BW$17,'1D plotting'!$CH$17)</c:f>
              <c:numCache>
                <c:formatCode>General</c:formatCode>
                <c:ptCount val="4"/>
                <c:pt idx="0" formatCode="0.000">
                  <c:v>9.9169336182721608</c:v>
                </c:pt>
                <c:pt idx="2" formatCode="0.000">
                  <c:v>13.808717097283147</c:v>
                </c:pt>
              </c:numCache>
            </c:numRef>
          </c:val>
          <c:smooth val="0"/>
          <c:extLst>
            <c:ext xmlns:c16="http://schemas.microsoft.com/office/drawing/2014/chart" uri="{C3380CC4-5D6E-409C-BE32-E72D297353CC}">
              <c16:uniqueId val="{0000000C-5484-4FD7-8A3D-DC82613B969D}"/>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plotting'!$BA$18,'1D plotting'!$BL$18,'1D plotting'!$BW$18,'1D plotting'!$CH$18)</c:f>
              <c:numCache>
                <c:formatCode>General</c:formatCode>
                <c:ptCount val="4"/>
                <c:pt idx="0" formatCode="0.000">
                  <c:v>14.723352419269927</c:v>
                </c:pt>
                <c:pt idx="2" formatCode="0.000">
                  <c:v>4.358077081916413</c:v>
                </c:pt>
              </c:numCache>
            </c:numRef>
          </c:val>
          <c:smooth val="0"/>
          <c:extLst>
            <c:ext xmlns:c16="http://schemas.microsoft.com/office/drawing/2014/chart" uri="{C3380CC4-5D6E-409C-BE32-E72D297353CC}">
              <c16:uniqueId val="{0000000D-5484-4FD7-8A3D-DC82613B969D}"/>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plotting'!$BA$19,'1D plotting'!$BL$19,'1D plotting'!$BW$19,'1D plotting'!$CH$19)</c:f>
              <c:numCache>
                <c:formatCode>General</c:formatCode>
                <c:ptCount val="4"/>
                <c:pt idx="0" formatCode="0.000">
                  <c:v>6.2022224088015134</c:v>
                </c:pt>
                <c:pt idx="2" formatCode="0.000">
                  <c:v>4.2886940941560532</c:v>
                </c:pt>
              </c:numCache>
            </c:numRef>
          </c:val>
          <c:smooth val="0"/>
          <c:extLst>
            <c:ext xmlns:c16="http://schemas.microsoft.com/office/drawing/2014/chart" uri="{C3380CC4-5D6E-409C-BE32-E72D297353CC}">
              <c16:uniqueId val="{0000000E-5484-4FD7-8A3D-DC82613B969D}"/>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plotting'!$BA$20,'1D plotting'!$BL$20,'1D plotting'!$BW$20,'1D plotting'!$CH$20)</c:f>
              <c:numCache>
                <c:formatCode>General</c:formatCode>
                <c:ptCount val="4"/>
                <c:pt idx="0" formatCode="0.000">
                  <c:v>4.3117881594205212</c:v>
                </c:pt>
              </c:numCache>
            </c:numRef>
          </c:val>
          <c:smooth val="0"/>
          <c:extLst>
            <c:ext xmlns:c16="http://schemas.microsoft.com/office/drawing/2014/chart" uri="{C3380CC4-5D6E-409C-BE32-E72D297353CC}">
              <c16:uniqueId val="{0000000F-5484-4FD7-8A3D-DC82613B969D}"/>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plotting'!$BA$21,'1D plotting'!$BL$21,'1D plotting'!$BW$21,'1D plotting'!$CH$21)</c:f>
              <c:numCache>
                <c:formatCode>General</c:formatCode>
                <c:ptCount val="4"/>
                <c:pt idx="0" formatCode="0.000">
                  <c:v>23.819976499284</c:v>
                </c:pt>
              </c:numCache>
            </c:numRef>
          </c:val>
          <c:smooth val="0"/>
          <c:extLst>
            <c:ext xmlns:c16="http://schemas.microsoft.com/office/drawing/2014/chart" uri="{C3380CC4-5D6E-409C-BE32-E72D297353CC}">
              <c16:uniqueId val="{00000010-5484-4FD7-8A3D-DC82613B969D}"/>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plotting'!$BA$22,'1D plotting'!$BL$22,'1D plotting'!$BW$22,'1D plotting'!$CH$22)</c:f>
              <c:numCache>
                <c:formatCode>General</c:formatCode>
                <c:ptCount val="4"/>
                <c:pt idx="0" formatCode="0.000">
                  <c:v>14.860084133637285</c:v>
                </c:pt>
              </c:numCache>
            </c:numRef>
          </c:val>
          <c:smooth val="0"/>
          <c:extLst>
            <c:ext xmlns:c16="http://schemas.microsoft.com/office/drawing/2014/chart" uri="{C3380CC4-5D6E-409C-BE32-E72D297353CC}">
              <c16:uniqueId val="{00000011-5484-4FD7-8A3D-DC82613B969D}"/>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plotting'!$BA$23,'1D plotting'!$BL$23,'1D plotting'!$BW$23,'1D plotting'!$CH$23)</c:f>
              <c:numCache>
                <c:formatCode>General</c:formatCode>
                <c:ptCount val="4"/>
                <c:pt idx="0" formatCode="0.000">
                  <c:v>4.5070702669037601</c:v>
                </c:pt>
              </c:numCache>
            </c:numRef>
          </c:val>
          <c:smooth val="0"/>
          <c:extLst>
            <c:ext xmlns:c16="http://schemas.microsoft.com/office/drawing/2014/chart" uri="{C3380CC4-5D6E-409C-BE32-E72D297353CC}">
              <c16:uniqueId val="{00000012-5484-4FD7-8A3D-DC82613B969D}"/>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plotting'!$BA$24,'1D plotting'!$BL$24,'1D plotting'!$BW$24,'1D plotting'!$CH$24)</c:f>
              <c:numCache>
                <c:formatCode>General</c:formatCode>
                <c:ptCount val="4"/>
              </c:numCache>
            </c:numRef>
          </c:val>
          <c:smooth val="0"/>
          <c:extLst>
            <c:ext xmlns:c16="http://schemas.microsoft.com/office/drawing/2014/chart" uri="{C3380CC4-5D6E-409C-BE32-E72D297353CC}">
              <c16:uniqueId val="{00000013-5484-4FD7-8A3D-DC82613B969D}"/>
            </c:ext>
          </c:extLst>
        </c:ser>
        <c:dLbls>
          <c:showLegendKey val="0"/>
          <c:showVal val="0"/>
          <c:showCatName val="0"/>
          <c:showSerName val="0"/>
          <c:showPercent val="0"/>
          <c:showBubbleSize val="0"/>
        </c:dLbls>
        <c:marker val="1"/>
        <c:smooth val="0"/>
        <c:axId val="1842780144"/>
        <c:axId val="1842756016"/>
      </c:lineChart>
      <c:catAx>
        <c:axId val="18427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6016"/>
        <c:crosses val="autoZero"/>
        <c:auto val="1"/>
        <c:lblAlgn val="ctr"/>
        <c:lblOffset val="100"/>
        <c:noMultiLvlLbl val="0"/>
      </c:catAx>
      <c:valAx>
        <c:axId val="18427560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-17.804166079635763</c:v>
                </c:pt>
                <c:pt idx="3">
                  <c:v>-28.428716649242809</c:v>
                </c:pt>
                <c:pt idx="4">
                  <c:v>21.403168449581639</c:v>
                </c:pt>
                <c:pt idx="5">
                  <c:v>-1.5101858030734252</c:v>
                </c:pt>
                <c:pt idx="6">
                  <c:v>40.33798242259396</c:v>
                </c:pt>
                <c:pt idx="7">
                  <c:v>-11.670314491628062</c:v>
                </c:pt>
                <c:pt idx="8">
                  <c:v>11.771005062720553</c:v>
                </c:pt>
              </c:numCache>
            </c:numRef>
          </c:val>
          <c:extLst>
            <c:ext xmlns:c16="http://schemas.microsoft.com/office/drawing/2014/chart" uri="{C3380CC4-5D6E-409C-BE32-E72D297353CC}">
              <c16:uniqueId val="{00000000-7544-45E2-9AD6-372F228542AE}"/>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plus>
            <c:min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minus>
            <c:spPr>
              <a:noFill/>
              <a:ln w="9525" cap="flat" cmpd="sng" algn="ctr">
                <a:solidFill>
                  <a:schemeClr val="lt1">
                    <a:lumMod val="95000"/>
                  </a:schemeClr>
                </a:solidFill>
                <a:round/>
              </a:ln>
              <a:effectLst/>
            </c:spPr>
          </c:errBars>
          <c:val>
            <c:numRef>
              <c:f>Ischemia!$I$32:$Q$32</c:f>
              <c:numCache>
                <c:formatCode>0.000</c:formatCode>
                <c:ptCount val="9"/>
                <c:pt idx="0">
                  <c:v>3.9538969250335834</c:v>
                </c:pt>
                <c:pt idx="1">
                  <c:v>0.98128220965724444</c:v>
                </c:pt>
                <c:pt idx="2">
                  <c:v>0.34748370538045104</c:v>
                </c:pt>
                <c:pt idx="3">
                  <c:v>0.36821237896605136</c:v>
                </c:pt>
                <c:pt idx="4">
                  <c:v>0.79090238941973301</c:v>
                </c:pt>
                <c:pt idx="5">
                  <c:v>0.7430542723252167</c:v>
                </c:pt>
                <c:pt idx="6">
                  <c:v>1.0387375758455122</c:v>
                </c:pt>
                <c:pt idx="7">
                  <c:v>0.41893122251422893</c:v>
                </c:pt>
                <c:pt idx="8">
                  <c:v>1.5078470408835616</c:v>
                </c:pt>
              </c:numCache>
            </c:numRef>
          </c:val>
          <c:extLst>
            <c:ext xmlns:c16="http://schemas.microsoft.com/office/drawing/2014/chart" uri="{C3380CC4-5D6E-409C-BE32-E72D297353CC}">
              <c16:uniqueId val="{00000001-7544-45E2-9AD6-372F228542AE}"/>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plotting'!$BB$5,'1D plotting'!$BM$5,'1D plotting'!$BX$5,'1D plotting'!$CI$5)</c:f>
              <c:numCache>
                <c:formatCode>0.000</c:formatCode>
                <c:ptCount val="4"/>
                <c:pt idx="0">
                  <c:v>8.1524025648857474</c:v>
                </c:pt>
                <c:pt idx="1">
                  <c:v>5.9971017999566296</c:v>
                </c:pt>
                <c:pt idx="3">
                  <c:v>5.0529434589542435</c:v>
                </c:pt>
              </c:numCache>
            </c:numRef>
          </c:val>
          <c:smooth val="0"/>
          <c:extLst>
            <c:ext xmlns:c16="http://schemas.microsoft.com/office/drawing/2014/chart" uri="{C3380CC4-5D6E-409C-BE32-E72D297353CC}">
              <c16:uniqueId val="{00000000-3C90-4ABA-B56F-3BC01005A9C0}"/>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plotting'!$BB$6,'1D plotting'!$BM$6,'1D plotting'!$BX$6,'1D plotting'!$CI$6)</c:f>
              <c:numCache>
                <c:formatCode>0.000</c:formatCode>
                <c:ptCount val="4"/>
                <c:pt idx="0">
                  <c:v>3.5721028176927523</c:v>
                </c:pt>
                <c:pt idx="1">
                  <c:v>11.667135151756977</c:v>
                </c:pt>
                <c:pt idx="2">
                  <c:v>10.751443548950562</c:v>
                </c:pt>
                <c:pt idx="3">
                  <c:v>2.6682067352474408</c:v>
                </c:pt>
              </c:numCache>
            </c:numRef>
          </c:val>
          <c:smooth val="0"/>
          <c:extLst>
            <c:ext xmlns:c16="http://schemas.microsoft.com/office/drawing/2014/chart" uri="{C3380CC4-5D6E-409C-BE32-E72D297353CC}">
              <c16:uniqueId val="{00000001-3C90-4ABA-B56F-3BC01005A9C0}"/>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plotting'!$BB$7,'1D plotting'!$BM$7,'1D plotting'!$BX$7,'1D plotting'!$CI$7)</c:f>
              <c:numCache>
                <c:formatCode>0.000</c:formatCode>
                <c:ptCount val="4"/>
                <c:pt idx="0">
                  <c:v>6.9079270574994851</c:v>
                </c:pt>
                <c:pt idx="1">
                  <c:v>11.4536</c:v>
                </c:pt>
                <c:pt idx="2">
                  <c:v>4.3246170053734003</c:v>
                </c:pt>
                <c:pt idx="3">
                  <c:v>5.3967417155541453</c:v>
                </c:pt>
              </c:numCache>
            </c:numRef>
          </c:val>
          <c:smooth val="0"/>
          <c:extLst>
            <c:ext xmlns:c16="http://schemas.microsoft.com/office/drawing/2014/chart" uri="{C3380CC4-5D6E-409C-BE32-E72D297353CC}">
              <c16:uniqueId val="{00000002-3C90-4ABA-B56F-3BC01005A9C0}"/>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plotting'!$BB$8,'1D plotting'!$BM$8,'1D plotting'!$BX$8,'1D plotting'!$CI$8)</c:f>
              <c:numCache>
                <c:formatCode>0.000</c:formatCode>
                <c:ptCount val="4"/>
                <c:pt idx="0">
                  <c:v>4.1308524194194742</c:v>
                </c:pt>
                <c:pt idx="1">
                  <c:v>15.396565900363679</c:v>
                </c:pt>
                <c:pt idx="2">
                  <c:v>6.1452504129339403</c:v>
                </c:pt>
                <c:pt idx="3">
                  <c:v>12.353073807741977</c:v>
                </c:pt>
              </c:numCache>
            </c:numRef>
          </c:val>
          <c:smooth val="0"/>
          <c:extLst>
            <c:ext xmlns:c16="http://schemas.microsoft.com/office/drawing/2014/chart" uri="{C3380CC4-5D6E-409C-BE32-E72D297353CC}">
              <c16:uniqueId val="{00000003-3C90-4ABA-B56F-3BC01005A9C0}"/>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plotting'!$BB$9,'1D plotting'!$BM$9,'1D plotting'!$BX$9,'1D plotting'!$CI$9)</c:f>
              <c:numCache>
                <c:formatCode>0.000</c:formatCode>
                <c:ptCount val="4"/>
                <c:pt idx="0">
                  <c:v>7.4736077230212361</c:v>
                </c:pt>
                <c:pt idx="1">
                  <c:v>6.7338603549877263</c:v>
                </c:pt>
                <c:pt idx="2">
                  <c:v>7.3717630054865264</c:v>
                </c:pt>
                <c:pt idx="3">
                  <c:v>15.355409586996597</c:v>
                </c:pt>
              </c:numCache>
            </c:numRef>
          </c:val>
          <c:smooth val="0"/>
          <c:extLst>
            <c:ext xmlns:c16="http://schemas.microsoft.com/office/drawing/2014/chart" uri="{C3380CC4-5D6E-409C-BE32-E72D297353CC}">
              <c16:uniqueId val="{00000000-5609-490D-AF96-879462C213A2}"/>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plotting'!$BB$10,'1D plotting'!$BM$10,'1D plotting'!$BX$10,'1D plotting'!$CI$10)</c:f>
              <c:numCache>
                <c:formatCode>0.000</c:formatCode>
                <c:ptCount val="4"/>
                <c:pt idx="0">
                  <c:v>9.057377049180328</c:v>
                </c:pt>
                <c:pt idx="1">
                  <c:v>12.932687467811578</c:v>
                </c:pt>
                <c:pt idx="2">
                  <c:v>8.7134705351097939</c:v>
                </c:pt>
                <c:pt idx="3">
                  <c:v>4.68747056309636</c:v>
                </c:pt>
              </c:numCache>
            </c:numRef>
          </c:val>
          <c:smooth val="0"/>
          <c:extLst>
            <c:ext xmlns:c16="http://schemas.microsoft.com/office/drawing/2014/chart" uri="{C3380CC4-5D6E-409C-BE32-E72D297353CC}">
              <c16:uniqueId val="{00000001-5609-490D-AF96-879462C213A2}"/>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plotting'!$BB$11,'1D plotting'!$BM$11,'1D plotting'!$BX$11,'1D plotting'!$CI$11)</c:f>
              <c:numCache>
                <c:formatCode>0.000</c:formatCode>
                <c:ptCount val="4"/>
                <c:pt idx="2">
                  <c:v>2.9638888888888886</c:v>
                </c:pt>
              </c:numCache>
            </c:numRef>
          </c:val>
          <c:smooth val="0"/>
          <c:extLst>
            <c:ext xmlns:c16="http://schemas.microsoft.com/office/drawing/2014/chart" uri="{C3380CC4-5D6E-409C-BE32-E72D297353CC}">
              <c16:uniqueId val="{00000002-5609-490D-AF96-879462C213A2}"/>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plotting'!$BB$12,'1D plotting'!$BM$12,'1D plotting'!$BX$12,'1D plotting'!$CI$12)</c:f>
              <c:numCache>
                <c:formatCode>General</c:formatCode>
                <c:ptCount val="4"/>
                <c:pt idx="0" formatCode="0.000">
                  <c:v>4.9780698010965185</c:v>
                </c:pt>
                <c:pt idx="2" formatCode="0.000">
                  <c:v>2.4374999105929716</c:v>
                </c:pt>
              </c:numCache>
            </c:numRef>
          </c:val>
          <c:smooth val="0"/>
          <c:extLst>
            <c:ext xmlns:c16="http://schemas.microsoft.com/office/drawing/2014/chart" uri="{C3380CC4-5D6E-409C-BE32-E72D297353CC}">
              <c16:uniqueId val="{00000003-5609-490D-AF96-879462C213A2}"/>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plotting'!$BB$13,'1D plotting'!$BM$13,'1D plotting'!$BX$13,'1D plotting'!$CI$13)</c:f>
              <c:numCache>
                <c:formatCode>General</c:formatCode>
                <c:ptCount val="4"/>
                <c:pt idx="0" formatCode="0.000">
                  <c:v>7.1089026846068366</c:v>
                </c:pt>
                <c:pt idx="2" formatCode="0.000">
                  <c:v>14.517577984969339</c:v>
                </c:pt>
              </c:numCache>
            </c:numRef>
          </c:val>
          <c:smooth val="0"/>
          <c:extLst>
            <c:ext xmlns:c16="http://schemas.microsoft.com/office/drawing/2014/chart" uri="{C3380CC4-5D6E-409C-BE32-E72D297353CC}">
              <c16:uniqueId val="{00000004-5609-490D-AF96-879462C213A2}"/>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plotting'!$BB$14,'1D plotting'!$BM$14,'1D plotting'!$BX$14,'1D plotting'!$CI$14)</c:f>
              <c:numCache>
                <c:formatCode>General</c:formatCode>
                <c:ptCount val="4"/>
                <c:pt idx="0" formatCode="0.000">
                  <c:v>12.219963568093792</c:v>
                </c:pt>
                <c:pt idx="2" formatCode="0.000">
                  <c:v>2.6605267640880657</c:v>
                </c:pt>
              </c:numCache>
            </c:numRef>
          </c:val>
          <c:smooth val="0"/>
          <c:extLst>
            <c:ext xmlns:c16="http://schemas.microsoft.com/office/drawing/2014/chart" uri="{C3380CC4-5D6E-409C-BE32-E72D297353CC}">
              <c16:uniqueId val="{00000005-5609-490D-AF96-879462C213A2}"/>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plotting'!$BB$15,'1D plotting'!$BM$15,'1D plotting'!$BX$15,'1D plotting'!$CI$15)</c:f>
              <c:numCache>
                <c:formatCode>0</c:formatCode>
                <c:ptCount val="4"/>
                <c:pt idx="0" formatCode="0.000">
                  <c:v>5.5647602280561124</c:v>
                </c:pt>
              </c:numCache>
            </c:numRef>
          </c:val>
          <c:smooth val="0"/>
          <c:extLst>
            <c:ext xmlns:c16="http://schemas.microsoft.com/office/drawing/2014/chart" uri="{C3380CC4-5D6E-409C-BE32-E72D297353CC}">
              <c16:uniqueId val="{00000006-5609-490D-AF96-879462C213A2}"/>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plotting'!$BB$16,'1D plotting'!$BM$16,'1D plotting'!$BX$16,'1D plotting'!$CI$16)</c:f>
              <c:numCache>
                <c:formatCode>General</c:formatCode>
                <c:ptCount val="4"/>
                <c:pt idx="0" formatCode="0.000">
                  <c:v>9.6107539285502472</c:v>
                </c:pt>
                <c:pt idx="2" formatCode="0.000">
                  <c:v>5.7849362345268638</c:v>
                </c:pt>
              </c:numCache>
            </c:numRef>
          </c:val>
          <c:smooth val="0"/>
          <c:extLst>
            <c:ext xmlns:c16="http://schemas.microsoft.com/office/drawing/2014/chart" uri="{C3380CC4-5D6E-409C-BE32-E72D297353CC}">
              <c16:uniqueId val="{00000007-5609-490D-AF96-879462C213A2}"/>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plotting'!$BB$17,'1D plotting'!$BM$17,'1D plotting'!$BX$17,'1D plotting'!$CI$17)</c:f>
              <c:numCache>
                <c:formatCode>General</c:formatCode>
                <c:ptCount val="4"/>
                <c:pt idx="0" formatCode="0.000">
                  <c:v>8.6261217420037326</c:v>
                </c:pt>
                <c:pt idx="2" formatCode="0.000">
                  <c:v>4.983088909621789</c:v>
                </c:pt>
              </c:numCache>
            </c:numRef>
          </c:val>
          <c:smooth val="0"/>
          <c:extLst>
            <c:ext xmlns:c16="http://schemas.microsoft.com/office/drawing/2014/chart" uri="{C3380CC4-5D6E-409C-BE32-E72D297353CC}">
              <c16:uniqueId val="{00000008-5609-490D-AF96-879462C213A2}"/>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plotting'!$BB$18,'1D plotting'!$BM$18,'1D plotting'!$BX$18,'1D plotting'!$CI$18)</c:f>
              <c:numCache>
                <c:formatCode>General</c:formatCode>
                <c:ptCount val="4"/>
                <c:pt idx="0" formatCode="0.000">
                  <c:v>6.8006341806151811</c:v>
                </c:pt>
                <c:pt idx="2" formatCode="0.000">
                  <c:v>4.2456140350877192</c:v>
                </c:pt>
              </c:numCache>
            </c:numRef>
          </c:val>
          <c:smooth val="0"/>
          <c:extLst>
            <c:ext xmlns:c16="http://schemas.microsoft.com/office/drawing/2014/chart" uri="{C3380CC4-5D6E-409C-BE32-E72D297353CC}">
              <c16:uniqueId val="{00000009-5609-490D-AF96-879462C213A2}"/>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plotting'!$BB$19,'1D plotting'!$BM$19,'1D plotting'!$BX$19,'1D plotting'!$CI$19)</c:f>
              <c:numCache>
                <c:formatCode>General</c:formatCode>
                <c:ptCount val="4"/>
                <c:pt idx="0" formatCode="0.000">
                  <c:v>2.2580594800318026</c:v>
                </c:pt>
                <c:pt idx="2" formatCode="0.000">
                  <c:v>15.477888642046365</c:v>
                </c:pt>
              </c:numCache>
            </c:numRef>
          </c:val>
          <c:smooth val="0"/>
          <c:extLst>
            <c:ext xmlns:c16="http://schemas.microsoft.com/office/drawing/2014/chart" uri="{C3380CC4-5D6E-409C-BE32-E72D297353CC}">
              <c16:uniqueId val="{0000000A-5609-490D-AF96-879462C213A2}"/>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plotting'!$BB$20,'1D plotting'!$BM$20,'1D plotting'!$BX$20,'1D plotting'!$CI$20)</c:f>
              <c:numCache>
                <c:formatCode>General</c:formatCode>
                <c:ptCount val="4"/>
                <c:pt idx="0" formatCode="0.000">
                  <c:v>6.707407567096543</c:v>
                </c:pt>
              </c:numCache>
            </c:numRef>
          </c:val>
          <c:smooth val="0"/>
          <c:extLst>
            <c:ext xmlns:c16="http://schemas.microsoft.com/office/drawing/2014/chart" uri="{C3380CC4-5D6E-409C-BE32-E72D297353CC}">
              <c16:uniqueId val="{0000000B-5609-490D-AF96-879462C213A2}"/>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plotting'!$BB$21,'1D plotting'!$BM$21,'1D plotting'!$BX$21,'1D plotting'!$CI$21)</c:f>
              <c:numCache>
                <c:formatCode>General</c:formatCode>
                <c:ptCount val="4"/>
                <c:pt idx="0" formatCode="0.000">
                  <c:v>10.190020197880358</c:v>
                </c:pt>
              </c:numCache>
            </c:numRef>
          </c:val>
          <c:smooth val="0"/>
          <c:extLst>
            <c:ext xmlns:c16="http://schemas.microsoft.com/office/drawing/2014/chart" uri="{C3380CC4-5D6E-409C-BE32-E72D297353CC}">
              <c16:uniqueId val="{0000000C-5609-490D-AF96-879462C213A2}"/>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plotting'!$BB$22,'1D plotting'!$BM$22,'1D plotting'!$BX$22,'1D plotting'!$CI$22)</c:f>
              <c:numCache>
                <c:formatCode>General</c:formatCode>
                <c:ptCount val="4"/>
                <c:pt idx="0" formatCode="0.000">
                  <c:v>3.8125610673600114</c:v>
                </c:pt>
              </c:numCache>
            </c:numRef>
          </c:val>
          <c:smooth val="0"/>
          <c:extLst>
            <c:ext xmlns:c16="http://schemas.microsoft.com/office/drawing/2014/chart" uri="{C3380CC4-5D6E-409C-BE32-E72D297353CC}">
              <c16:uniqueId val="{0000000D-5609-490D-AF96-879462C213A2}"/>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plotting'!$BB$23,'1D plotting'!$BM$23,'1D plotting'!$BX$23,'1D plotting'!$CI$23)</c:f>
              <c:numCache>
                <c:formatCode>General</c:formatCode>
                <c:ptCount val="4"/>
                <c:pt idx="0" formatCode="0.000">
                  <c:v>5.5490979599806876</c:v>
                </c:pt>
              </c:numCache>
            </c:numRef>
          </c:val>
          <c:smooth val="0"/>
          <c:extLst>
            <c:ext xmlns:c16="http://schemas.microsoft.com/office/drawing/2014/chart" uri="{C3380CC4-5D6E-409C-BE32-E72D297353CC}">
              <c16:uniqueId val="{0000000E-5609-490D-AF96-879462C213A2}"/>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plotting'!$BB$24,'1D plotting'!$BM$24,'1D plotting'!$BX$24,'1D plotting'!$CI$24)</c:f>
              <c:numCache>
                <c:formatCode>General</c:formatCode>
                <c:ptCount val="4"/>
                <c:pt idx="0" formatCode="0.000">
                  <c:v>2.9199318344944034</c:v>
                </c:pt>
              </c:numCache>
            </c:numRef>
          </c:val>
          <c:smooth val="0"/>
          <c:extLst>
            <c:ext xmlns:c16="http://schemas.microsoft.com/office/drawing/2014/chart" uri="{C3380CC4-5D6E-409C-BE32-E72D297353CC}">
              <c16:uniqueId val="{0000000F-5609-490D-AF96-879462C213A2}"/>
            </c:ext>
          </c:extLst>
        </c:ser>
        <c:dLbls>
          <c:showLegendKey val="0"/>
          <c:showVal val="0"/>
          <c:showCatName val="0"/>
          <c:showSerName val="0"/>
          <c:showPercent val="0"/>
          <c:showBubbleSize val="0"/>
        </c:dLbls>
        <c:marker val="1"/>
        <c:smooth val="0"/>
        <c:axId val="1748495616"/>
        <c:axId val="1748498112"/>
      </c:lineChart>
      <c:catAx>
        <c:axId val="1748495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8112"/>
        <c:crosses val="autoZero"/>
        <c:auto val="1"/>
        <c:lblAlgn val="ctr"/>
        <c:lblOffset val="100"/>
        <c:noMultiLvlLbl val="0"/>
      </c:catAx>
      <c:valAx>
        <c:axId val="174849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plotting'!$AZ$67,'1D plotting'!$BK$67,'1D plotting'!$BV$67,'1D plotting'!$CG$67)</c:f>
              <c:numCache>
                <c:formatCode>0.000</c:formatCode>
                <c:ptCount val="4"/>
                <c:pt idx="0">
                  <c:v>139.926201058793</c:v>
                </c:pt>
                <c:pt idx="1">
                  <c:v>12.248770186253379</c:v>
                </c:pt>
                <c:pt idx="3">
                  <c:v>144.76694921665205</c:v>
                </c:pt>
              </c:numCache>
            </c:numRef>
          </c:val>
          <c:smooth val="0"/>
          <c:extLst>
            <c:ext xmlns:c16="http://schemas.microsoft.com/office/drawing/2014/chart" uri="{C3380CC4-5D6E-409C-BE32-E72D297353CC}">
              <c16:uniqueId val="{00000000-96A5-49AB-9C64-C68378B78F2F}"/>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plotting'!$AZ$68,'1D plotting'!$BK$68,'1D plotting'!$BV$68,'1D plotting'!$CG$68)</c:f>
              <c:numCache>
                <c:formatCode>0.000</c:formatCode>
                <c:ptCount val="4"/>
                <c:pt idx="0">
                  <c:v>34.609779306217241</c:v>
                </c:pt>
                <c:pt idx="1">
                  <c:v>18.238931781382988</c:v>
                </c:pt>
                <c:pt idx="2">
                  <c:v>-34.990520377574867</c:v>
                </c:pt>
                <c:pt idx="3">
                  <c:v>439.08095909754979</c:v>
                </c:pt>
              </c:numCache>
            </c:numRef>
          </c:val>
          <c:smooth val="0"/>
          <c:extLst>
            <c:ext xmlns:c16="http://schemas.microsoft.com/office/drawing/2014/chart" uri="{C3380CC4-5D6E-409C-BE32-E72D297353CC}">
              <c16:uniqueId val="{00000001-96A5-49AB-9C64-C68378B78F2F}"/>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plotting'!$AZ$69,'1D plotting'!$BK$69,'1D plotting'!$BV$69,'1D plotting'!$CG$69)</c:f>
              <c:numCache>
                <c:formatCode>0.000</c:formatCode>
                <c:ptCount val="4"/>
                <c:pt idx="0">
                  <c:v>151.06064154113673</c:v>
                </c:pt>
                <c:pt idx="1">
                  <c:v>-7.9167954299864407</c:v>
                </c:pt>
                <c:pt idx="2">
                  <c:v>85.598200406892673</c:v>
                </c:pt>
                <c:pt idx="3">
                  <c:v>103.76061136040316</c:v>
                </c:pt>
              </c:numCache>
            </c:numRef>
          </c:val>
          <c:smooth val="0"/>
          <c:extLst>
            <c:ext xmlns:c16="http://schemas.microsoft.com/office/drawing/2014/chart" uri="{C3380CC4-5D6E-409C-BE32-E72D297353CC}">
              <c16:uniqueId val="{00000002-96A5-49AB-9C64-C68378B78F2F}"/>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plotting'!$AZ$70,'1D plotting'!$BK$70,'1D plotting'!$BV$70,'1D plotting'!$CG$70)</c:f>
              <c:numCache>
                <c:formatCode>0.000</c:formatCode>
                <c:ptCount val="4"/>
                <c:pt idx="0">
                  <c:v>342.92925896987003</c:v>
                </c:pt>
                <c:pt idx="1">
                  <c:v>72.395616614207015</c:v>
                </c:pt>
                <c:pt idx="2">
                  <c:v>120.70305605460779</c:v>
                </c:pt>
                <c:pt idx="3">
                  <c:v>130.68552337543724</c:v>
                </c:pt>
              </c:numCache>
            </c:numRef>
          </c:val>
          <c:smooth val="0"/>
          <c:extLst>
            <c:ext xmlns:c16="http://schemas.microsoft.com/office/drawing/2014/chart" uri="{C3380CC4-5D6E-409C-BE32-E72D297353CC}">
              <c16:uniqueId val="{00000003-96A5-49AB-9C64-C68378B78F2F}"/>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plotting'!$AZ$71,'1D plotting'!$BK$71,'1D plotting'!$BV$71,'1D plotting'!$CG$71)</c:f>
              <c:numCache>
                <c:formatCode>0.000</c:formatCode>
                <c:ptCount val="4"/>
                <c:pt idx="0">
                  <c:v>71.524226082575964</c:v>
                </c:pt>
                <c:pt idx="1">
                  <c:v>53.064534841256105</c:v>
                </c:pt>
                <c:pt idx="2">
                  <c:v>94.06205801416661</c:v>
                </c:pt>
                <c:pt idx="3">
                  <c:v>3.5643531867942566</c:v>
                </c:pt>
              </c:numCache>
            </c:numRef>
          </c:val>
          <c:smooth val="0"/>
          <c:extLst>
            <c:ext xmlns:c16="http://schemas.microsoft.com/office/drawing/2014/chart" uri="{C3380CC4-5D6E-409C-BE32-E72D297353CC}">
              <c16:uniqueId val="{00000004-96A5-49AB-9C64-C68378B78F2F}"/>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plotting'!$AZ$72,'1D plotting'!$BK$72,'1D plotting'!$BV$72,'1D plotting'!$CG$72)</c:f>
              <c:numCache>
                <c:formatCode>0.000</c:formatCode>
                <c:ptCount val="4"/>
                <c:pt idx="0">
                  <c:v>141.54528541152294</c:v>
                </c:pt>
                <c:pt idx="1">
                  <c:v>-7.1292246905321486</c:v>
                </c:pt>
                <c:pt idx="2">
                  <c:v>19.459755822811744</c:v>
                </c:pt>
                <c:pt idx="3">
                  <c:v>33.697444450220942</c:v>
                </c:pt>
              </c:numCache>
            </c:numRef>
          </c:val>
          <c:smooth val="0"/>
          <c:extLst>
            <c:ext xmlns:c16="http://schemas.microsoft.com/office/drawing/2014/chart" uri="{C3380CC4-5D6E-409C-BE32-E72D297353CC}">
              <c16:uniqueId val="{00000005-96A5-49AB-9C64-C68378B78F2F}"/>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plotting'!$AZ$73,'1D plotting'!$BK$73,'1D plotting'!$BV$73,'1D plotting'!$CG$73)</c:f>
              <c:numCache>
                <c:formatCode>General</c:formatCode>
                <c:ptCount val="4"/>
                <c:pt idx="0" formatCode="0.000">
                  <c:v>69.639628028672035</c:v>
                </c:pt>
                <c:pt idx="2" formatCode="0.000">
                  <c:v>-14.362050760263061</c:v>
                </c:pt>
              </c:numCache>
            </c:numRef>
          </c:val>
          <c:smooth val="0"/>
          <c:extLst>
            <c:ext xmlns:c16="http://schemas.microsoft.com/office/drawing/2014/chart" uri="{C3380CC4-5D6E-409C-BE32-E72D297353CC}">
              <c16:uniqueId val="{00000006-96A5-49AB-9C64-C68378B78F2F}"/>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plotting'!$AZ$74,'1D plotting'!$BK$74,'1D plotting'!$BV$74,'1D plotting'!$CG$74)</c:f>
              <c:numCache>
                <c:formatCode>General</c:formatCode>
                <c:ptCount val="4"/>
                <c:pt idx="0" formatCode="0.000">
                  <c:v>54.136125628954787</c:v>
                </c:pt>
                <c:pt idx="2" formatCode="0.000">
                  <c:v>154.9212715336389</c:v>
                </c:pt>
              </c:numCache>
            </c:numRef>
          </c:val>
          <c:smooth val="0"/>
          <c:extLst>
            <c:ext xmlns:c16="http://schemas.microsoft.com/office/drawing/2014/chart" uri="{C3380CC4-5D6E-409C-BE32-E72D297353CC}">
              <c16:uniqueId val="{00000007-96A5-49AB-9C64-C68378B78F2F}"/>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plotting'!$AZ$75,'1D plotting'!$BK$75,'1D plotting'!$BV$75,'1D plotting'!$CG$75)</c:f>
              <c:numCache>
                <c:formatCode>General</c:formatCode>
                <c:ptCount val="4"/>
                <c:pt idx="0" formatCode="0.000">
                  <c:v>82.879914505928625</c:v>
                </c:pt>
                <c:pt idx="2" formatCode="0.000">
                  <c:v>31.561563940779624</c:v>
                </c:pt>
              </c:numCache>
            </c:numRef>
          </c:val>
          <c:smooth val="0"/>
          <c:extLst>
            <c:ext xmlns:c16="http://schemas.microsoft.com/office/drawing/2014/chart" uri="{C3380CC4-5D6E-409C-BE32-E72D297353CC}">
              <c16:uniqueId val="{00000008-96A5-49AB-9C64-C68378B78F2F}"/>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plotting'!$AZ$76,'1D plotting'!$BK$76,'1D plotting'!$BV$76,'1D plotting'!$CG$76)</c:f>
              <c:numCache>
                <c:formatCode>General</c:formatCode>
                <c:ptCount val="4"/>
                <c:pt idx="0" formatCode="0.000">
                  <c:v>29.322646995836372</c:v>
                </c:pt>
                <c:pt idx="2" formatCode="0.000">
                  <c:v>33.200052132966547</c:v>
                </c:pt>
              </c:numCache>
            </c:numRef>
          </c:val>
          <c:smooth val="0"/>
          <c:extLst>
            <c:ext xmlns:c16="http://schemas.microsoft.com/office/drawing/2014/chart" uri="{C3380CC4-5D6E-409C-BE32-E72D297353CC}">
              <c16:uniqueId val="{00000009-96A5-49AB-9C64-C68378B78F2F}"/>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plotting'!$AZ$77,'1D plotting'!$BK$77,'1D plotting'!$BV$77,'1D plotting'!$CG$77)</c:f>
              <c:numCache>
                <c:formatCode>General</c:formatCode>
                <c:ptCount val="4"/>
                <c:pt idx="0" formatCode="0.000">
                  <c:v>220.4865514620148</c:v>
                </c:pt>
              </c:numCache>
            </c:numRef>
          </c:val>
          <c:smooth val="0"/>
          <c:extLst>
            <c:ext xmlns:c16="http://schemas.microsoft.com/office/drawing/2014/chart" uri="{C3380CC4-5D6E-409C-BE32-E72D297353CC}">
              <c16:uniqueId val="{0000000A-96A5-49AB-9C64-C68378B78F2F}"/>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plotting'!$AZ$78,'1D plotting'!$BK$78,'1D plotting'!$BV$78,'1D plotting'!$CG$78)</c:f>
              <c:numCache>
                <c:formatCode>0.0</c:formatCode>
                <c:ptCount val="4"/>
                <c:pt idx="0" formatCode="0.000">
                  <c:v>103.35577963260141</c:v>
                </c:pt>
                <c:pt idx="2" formatCode="0.000">
                  <c:v>38.519704705873878</c:v>
                </c:pt>
              </c:numCache>
            </c:numRef>
          </c:val>
          <c:smooth val="0"/>
          <c:extLst>
            <c:ext xmlns:c16="http://schemas.microsoft.com/office/drawing/2014/chart" uri="{C3380CC4-5D6E-409C-BE32-E72D297353CC}">
              <c16:uniqueId val="{0000000B-96A5-49AB-9C64-C68378B78F2F}"/>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plotting'!$AZ$79,'1D plotting'!$BK$79,'1D plotting'!$BV$79,'1D plotting'!$CG$79)</c:f>
              <c:numCache>
                <c:formatCode>0</c:formatCode>
                <c:ptCount val="4"/>
                <c:pt idx="0" formatCode="0.000">
                  <c:v>69.264887977631076</c:v>
                </c:pt>
                <c:pt idx="2" formatCode="0.000">
                  <c:v>200.72705671940381</c:v>
                </c:pt>
              </c:numCache>
            </c:numRef>
          </c:val>
          <c:smooth val="0"/>
          <c:extLst>
            <c:ext xmlns:c16="http://schemas.microsoft.com/office/drawing/2014/chart" uri="{C3380CC4-5D6E-409C-BE32-E72D297353CC}">
              <c16:uniqueId val="{0000000C-96A5-49AB-9C64-C68378B78F2F}"/>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plotting'!$AZ$80,'1D plotting'!$BK$80,'1D plotting'!$BV$80,'1D plotting'!$CG$80)</c:f>
              <c:numCache>
                <c:formatCode>0.00</c:formatCode>
                <c:ptCount val="4"/>
                <c:pt idx="0" formatCode="0.000">
                  <c:v>186.64416834244463</c:v>
                </c:pt>
                <c:pt idx="2" formatCode="0.000">
                  <c:v>50.165772677686057</c:v>
                </c:pt>
              </c:numCache>
            </c:numRef>
          </c:val>
          <c:smooth val="0"/>
          <c:extLst>
            <c:ext xmlns:c16="http://schemas.microsoft.com/office/drawing/2014/chart" uri="{C3380CC4-5D6E-409C-BE32-E72D297353CC}">
              <c16:uniqueId val="{0000000D-96A5-49AB-9C64-C68378B78F2F}"/>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plotting'!$AZ$81,'1D plotting'!$BK$81,'1D plotting'!$BV$81,'1D plotting'!$CG$81)</c:f>
              <c:numCache>
                <c:formatCode>General</c:formatCode>
                <c:ptCount val="4"/>
                <c:pt idx="0" formatCode="0.000">
                  <c:v>66.402501404878905</c:v>
                </c:pt>
                <c:pt idx="2" formatCode="0.000">
                  <c:v>-10.600627187310248</c:v>
                </c:pt>
              </c:numCache>
            </c:numRef>
          </c:val>
          <c:smooth val="0"/>
          <c:extLst>
            <c:ext xmlns:c16="http://schemas.microsoft.com/office/drawing/2014/chart" uri="{C3380CC4-5D6E-409C-BE32-E72D297353CC}">
              <c16:uniqueId val="{0000000E-96A5-49AB-9C64-C68378B78F2F}"/>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plotting'!$AZ$82,'1D plotting'!$BK$82,'1D plotting'!$BV$82,'1D plotting'!$CG$82)</c:f>
              <c:numCache>
                <c:formatCode>General</c:formatCode>
                <c:ptCount val="4"/>
                <c:pt idx="0" formatCode="0.000">
                  <c:v>-1.6790594078240473</c:v>
                </c:pt>
              </c:numCache>
            </c:numRef>
          </c:val>
          <c:smooth val="0"/>
          <c:extLst>
            <c:ext xmlns:c16="http://schemas.microsoft.com/office/drawing/2014/chart" uri="{C3380CC4-5D6E-409C-BE32-E72D297353CC}">
              <c16:uniqueId val="{0000000F-96A5-49AB-9C64-C68378B78F2F}"/>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plotting'!$AZ$83,'1D plotting'!$BK$83,'1D plotting'!$BV$83,'1D plotting'!$CG$83)</c:f>
              <c:numCache>
                <c:formatCode>General</c:formatCode>
                <c:ptCount val="4"/>
                <c:pt idx="0" formatCode="0.000">
                  <c:v>22.722829341116714</c:v>
                </c:pt>
              </c:numCache>
            </c:numRef>
          </c:val>
          <c:smooth val="0"/>
          <c:extLst>
            <c:ext xmlns:c16="http://schemas.microsoft.com/office/drawing/2014/chart" uri="{C3380CC4-5D6E-409C-BE32-E72D297353CC}">
              <c16:uniqueId val="{00000010-96A5-49AB-9C64-C68378B78F2F}"/>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plotting'!$AZ$84,'1D plotting'!$BK$84,'1D plotting'!$BV$84,'1D plotting'!$CG$84)</c:f>
              <c:numCache>
                <c:formatCode>General</c:formatCode>
                <c:ptCount val="4"/>
                <c:pt idx="0" formatCode="0.000">
                  <c:v>57.655502504620337</c:v>
                </c:pt>
              </c:numCache>
            </c:numRef>
          </c:val>
          <c:smooth val="0"/>
          <c:extLst>
            <c:ext xmlns:c16="http://schemas.microsoft.com/office/drawing/2014/chart" uri="{C3380CC4-5D6E-409C-BE32-E72D297353CC}">
              <c16:uniqueId val="{00000011-96A5-49AB-9C64-C68378B78F2F}"/>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plotting'!$AZ$85,'1D plotting'!$BK$85,'1D plotting'!$BV$85,'1D plotting'!$CG$85)</c:f>
              <c:numCache>
                <c:formatCode>General</c:formatCode>
                <c:ptCount val="4"/>
                <c:pt idx="0" formatCode="0.000">
                  <c:v>89.576365470908272</c:v>
                </c:pt>
              </c:numCache>
            </c:numRef>
          </c:val>
          <c:smooth val="0"/>
          <c:extLst>
            <c:ext xmlns:c16="http://schemas.microsoft.com/office/drawing/2014/chart" uri="{C3380CC4-5D6E-409C-BE32-E72D297353CC}">
              <c16:uniqueId val="{00000012-96A5-49AB-9C64-C68378B78F2F}"/>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plotting'!$AZ$86,'1D plotting'!$BK$86,'1D plotting'!$BV$86,'1D plotting'!$CG$86)</c:f>
              <c:numCache>
                <c:formatCode>General</c:formatCode>
                <c:ptCount val="4"/>
                <c:pt idx="0" formatCode="0.000">
                  <c:v>43.72630349357344</c:v>
                </c:pt>
              </c:numCache>
            </c:numRef>
          </c:val>
          <c:smooth val="0"/>
          <c:extLst>
            <c:ext xmlns:c16="http://schemas.microsoft.com/office/drawing/2014/chart" uri="{C3380CC4-5D6E-409C-BE32-E72D297353CC}">
              <c16:uniqueId val="{00000013-96A5-49AB-9C64-C68378B78F2F}"/>
            </c:ext>
          </c:extLst>
        </c:ser>
        <c:dLbls>
          <c:showLegendKey val="0"/>
          <c:showVal val="0"/>
          <c:showCatName val="0"/>
          <c:showSerName val="0"/>
          <c:showPercent val="0"/>
          <c:showBubbleSize val="0"/>
        </c:dLbls>
        <c:marker val="1"/>
        <c:smooth val="0"/>
        <c:axId val="1842781808"/>
        <c:axId val="1842774736"/>
      </c:lineChart>
      <c:catAx>
        <c:axId val="1842781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736"/>
        <c:crosses val="autoZero"/>
        <c:auto val="1"/>
        <c:lblAlgn val="ctr"/>
        <c:lblOffset val="100"/>
        <c:noMultiLvlLbl val="0"/>
      </c:catAx>
      <c:valAx>
        <c:axId val="1842774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plotting'!$BB$67,'1D plotting'!$BM$67,'1D plotting'!$BX$67,'1D plotting'!$CI$67)</c:f>
              <c:numCache>
                <c:formatCode>0.000</c:formatCode>
                <c:ptCount val="4"/>
                <c:pt idx="0">
                  <c:v>151.41640758401391</c:v>
                </c:pt>
                <c:pt idx="1">
                  <c:v>-28.38644090757878</c:v>
                </c:pt>
                <c:pt idx="3">
                  <c:v>207.43299575631377</c:v>
                </c:pt>
              </c:numCache>
            </c:numRef>
          </c:val>
          <c:smooth val="0"/>
          <c:extLst>
            <c:ext xmlns:c16="http://schemas.microsoft.com/office/drawing/2014/chart" uri="{C3380CC4-5D6E-409C-BE32-E72D297353CC}">
              <c16:uniqueId val="{00000000-83D9-4910-A2F2-282C2F7C95B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plotting'!$BB$68,'1D plotting'!$BM$68,'1D plotting'!$BX$68,'1D plotting'!$CI$68)</c:f>
              <c:numCache>
                <c:formatCode>0.000</c:formatCode>
                <c:ptCount val="4"/>
                <c:pt idx="0">
                  <c:v>158.41893270880419</c:v>
                </c:pt>
                <c:pt idx="1">
                  <c:v>101.69997115144582</c:v>
                </c:pt>
                <c:pt idx="2">
                  <c:v>34.535373414019389</c:v>
                </c:pt>
                <c:pt idx="3">
                  <c:v>499.12387162109343</c:v>
                </c:pt>
              </c:numCache>
            </c:numRef>
          </c:val>
          <c:smooth val="0"/>
          <c:extLst>
            <c:ext xmlns:c16="http://schemas.microsoft.com/office/drawing/2014/chart" uri="{C3380CC4-5D6E-409C-BE32-E72D297353CC}">
              <c16:uniqueId val="{00000001-83D9-4910-A2F2-282C2F7C95B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plotting'!$BB$69,'1D plotting'!$BM$69,'1D plotting'!$BX$69,'1D plotting'!$CI$69)</c:f>
              <c:numCache>
                <c:formatCode>0.000</c:formatCode>
                <c:ptCount val="4"/>
                <c:pt idx="0">
                  <c:v>183.78803240821242</c:v>
                </c:pt>
                <c:pt idx="1">
                  <c:v>-1.6490059115226967</c:v>
                </c:pt>
                <c:pt idx="2">
                  <c:v>175.9403676399553</c:v>
                </c:pt>
                <c:pt idx="3">
                  <c:v>235.56977092539685</c:v>
                </c:pt>
              </c:numCache>
            </c:numRef>
          </c:val>
          <c:smooth val="0"/>
          <c:extLst>
            <c:ext xmlns:c16="http://schemas.microsoft.com/office/drawing/2014/chart" uri="{C3380CC4-5D6E-409C-BE32-E72D297353CC}">
              <c16:uniqueId val="{00000002-83D9-4910-A2F2-282C2F7C95B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plotting'!$BB$70,'1D plotting'!$BM$70,'1D plotting'!$BX$70,'1D plotting'!$CI$70)</c:f>
              <c:numCache>
                <c:formatCode>0.000</c:formatCode>
                <c:ptCount val="4"/>
                <c:pt idx="0">
                  <c:v>392.96339050181109</c:v>
                </c:pt>
                <c:pt idx="1">
                  <c:v>79.837767719374568</c:v>
                </c:pt>
                <c:pt idx="2">
                  <c:v>169.3182602146768</c:v>
                </c:pt>
                <c:pt idx="3">
                  <c:v>55.959050204285468</c:v>
                </c:pt>
              </c:numCache>
            </c:numRef>
          </c:val>
          <c:smooth val="0"/>
          <c:extLst>
            <c:ext xmlns:c16="http://schemas.microsoft.com/office/drawing/2014/chart" uri="{C3380CC4-5D6E-409C-BE32-E72D297353CC}">
              <c16:uniqueId val="{00000003-83D9-4910-A2F2-282C2F7C95B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plotting'!$BB$71,'1D plotting'!$BM$71,'1D plotting'!$BX$71,'1D plotting'!$CI$71)</c:f>
              <c:numCache>
                <c:formatCode>0.000</c:formatCode>
                <c:ptCount val="4"/>
                <c:pt idx="0">
                  <c:v>78.463680777956156</c:v>
                </c:pt>
                <c:pt idx="1">
                  <c:v>87.596674556337035</c:v>
                </c:pt>
                <c:pt idx="2">
                  <c:v>95.5633916277297</c:v>
                </c:pt>
                <c:pt idx="3">
                  <c:v>-4.8440556731055979</c:v>
                </c:pt>
              </c:numCache>
            </c:numRef>
          </c:val>
          <c:smooth val="0"/>
          <c:extLst>
            <c:ext xmlns:c16="http://schemas.microsoft.com/office/drawing/2014/chart" uri="{C3380CC4-5D6E-409C-BE32-E72D297353CC}">
              <c16:uniqueId val="{00000004-83D9-4910-A2F2-282C2F7C95B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plotting'!$BB$72,'1D plotting'!$BM$72,'1D plotting'!$BX$72,'1D plotting'!$CI$72)</c:f>
              <c:numCache>
                <c:formatCode>0.000</c:formatCode>
                <c:ptCount val="4"/>
                <c:pt idx="0">
                  <c:v>114.56535204944622</c:v>
                </c:pt>
                <c:pt idx="1">
                  <c:v>2.928927927507782</c:v>
                </c:pt>
                <c:pt idx="2">
                  <c:v>64.810389022157466</c:v>
                </c:pt>
                <c:pt idx="3">
                  <c:v>78.498798955203299</c:v>
                </c:pt>
              </c:numCache>
            </c:numRef>
          </c:val>
          <c:smooth val="0"/>
          <c:extLst>
            <c:ext xmlns:c16="http://schemas.microsoft.com/office/drawing/2014/chart" uri="{C3380CC4-5D6E-409C-BE32-E72D297353CC}">
              <c16:uniqueId val="{00000005-83D9-4910-A2F2-282C2F7C95B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plotting'!$BB$73,'1D plotting'!$BM$73,'1D plotting'!$BX$73,'1D plotting'!$CI$73)</c:f>
              <c:numCache>
                <c:formatCode>General</c:formatCode>
                <c:ptCount val="4"/>
                <c:pt idx="2" formatCode="0.000">
                  <c:v>160.13840371853493</c:v>
                </c:pt>
              </c:numCache>
            </c:numRef>
          </c:val>
          <c:smooth val="0"/>
          <c:extLst>
            <c:ext xmlns:c16="http://schemas.microsoft.com/office/drawing/2014/chart" uri="{C3380CC4-5D6E-409C-BE32-E72D297353CC}">
              <c16:uniqueId val="{00000006-83D9-4910-A2F2-282C2F7C95B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plotting'!$BB$74,'1D plotting'!$BM$74,'1D plotting'!$BX$74,'1D plotting'!$CI$74)</c:f>
              <c:numCache>
                <c:formatCode>General</c:formatCode>
                <c:ptCount val="4"/>
                <c:pt idx="0" formatCode="0.000">
                  <c:v>121.41645584757082</c:v>
                </c:pt>
                <c:pt idx="2" formatCode="0.000">
                  <c:v>479.49990936166864</c:v>
                </c:pt>
              </c:numCache>
            </c:numRef>
          </c:val>
          <c:smooth val="0"/>
          <c:extLst>
            <c:ext xmlns:c16="http://schemas.microsoft.com/office/drawing/2014/chart" uri="{C3380CC4-5D6E-409C-BE32-E72D297353CC}">
              <c16:uniqueId val="{00000007-83D9-4910-A2F2-282C2F7C95B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plotting'!$BB$75,'1D plotting'!$BM$75,'1D plotting'!$BX$75,'1D plotting'!$CI$75)</c:f>
              <c:numCache>
                <c:formatCode>General</c:formatCode>
                <c:ptCount val="4"/>
                <c:pt idx="0" formatCode="0.000">
                  <c:v>74.163039727842033</c:v>
                </c:pt>
                <c:pt idx="2" formatCode="0.000">
                  <c:v>53.870538900516507</c:v>
                </c:pt>
              </c:numCache>
            </c:numRef>
          </c:val>
          <c:smooth val="0"/>
          <c:extLst>
            <c:ext xmlns:c16="http://schemas.microsoft.com/office/drawing/2014/chart" uri="{C3380CC4-5D6E-409C-BE32-E72D297353CC}">
              <c16:uniqueId val="{00000008-83D9-4910-A2F2-282C2F7C95B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plotting'!$BB$76,'1D plotting'!$BM$76,'1D plotting'!$BX$76,'1D plotting'!$CI$76)</c:f>
              <c:numCache>
                <c:formatCode>General</c:formatCode>
                <c:ptCount val="4"/>
                <c:pt idx="0" formatCode="0.000">
                  <c:v>55.966295059793779</c:v>
                </c:pt>
                <c:pt idx="2" formatCode="0.000">
                  <c:v>457.85953300643951</c:v>
                </c:pt>
              </c:numCache>
            </c:numRef>
          </c:val>
          <c:smooth val="0"/>
          <c:extLst>
            <c:ext xmlns:c16="http://schemas.microsoft.com/office/drawing/2014/chart" uri="{C3380CC4-5D6E-409C-BE32-E72D297353CC}">
              <c16:uniqueId val="{00000009-83D9-4910-A2F2-282C2F7C95B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plotting'!$BB$77,'1D plotting'!$BM$77,'1D plotting'!$BX$77,'1D plotting'!$CI$77)</c:f>
              <c:numCache>
                <c:formatCode>General</c:formatCode>
                <c:ptCount val="4"/>
                <c:pt idx="0" formatCode="0.000">
                  <c:v>155.49524902168116</c:v>
                </c:pt>
              </c:numCache>
            </c:numRef>
          </c:val>
          <c:smooth val="0"/>
          <c:extLst>
            <c:ext xmlns:c16="http://schemas.microsoft.com/office/drawing/2014/chart" uri="{C3380CC4-5D6E-409C-BE32-E72D297353CC}">
              <c16:uniqueId val="{0000000A-83D9-4910-A2F2-282C2F7C95B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plotting'!$BB$78,'1D plotting'!$BM$78,'1D plotting'!$BX$78,'1D plotting'!$CI$78)</c:f>
              <c:numCache>
                <c:formatCode>0.0</c:formatCode>
                <c:ptCount val="4"/>
                <c:pt idx="0" formatCode="0.000">
                  <c:v>82.010478924902472</c:v>
                </c:pt>
                <c:pt idx="2" formatCode="0.000">
                  <c:v>142.38440123933611</c:v>
                </c:pt>
              </c:numCache>
            </c:numRef>
          </c:val>
          <c:smooth val="0"/>
          <c:extLst>
            <c:ext xmlns:c16="http://schemas.microsoft.com/office/drawing/2014/chart" uri="{C3380CC4-5D6E-409C-BE32-E72D297353CC}">
              <c16:uniqueId val="{0000000B-83D9-4910-A2F2-282C2F7C95B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plotting'!$BB$79,'1D plotting'!$BM$79,'1D plotting'!$BX$79,'1D plotting'!$CI$79)</c:f>
              <c:numCache>
                <c:formatCode>0</c:formatCode>
                <c:ptCount val="4"/>
                <c:pt idx="0" formatCode="0.000">
                  <c:v>27.458475148933246</c:v>
                </c:pt>
                <c:pt idx="2" formatCode="0.000">
                  <c:v>72.224912769894786</c:v>
                </c:pt>
              </c:numCache>
            </c:numRef>
          </c:val>
          <c:smooth val="0"/>
          <c:extLst>
            <c:ext xmlns:c16="http://schemas.microsoft.com/office/drawing/2014/chart" uri="{C3380CC4-5D6E-409C-BE32-E72D297353CC}">
              <c16:uniqueId val="{0000000C-83D9-4910-A2F2-282C2F7C95B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plotting'!$BB$80,'1D plotting'!$BM$80,'1D plotting'!$BX$80,'1D plotting'!$CI$80)</c:f>
              <c:numCache>
                <c:formatCode>0.00</c:formatCode>
                <c:ptCount val="4"/>
                <c:pt idx="0" formatCode="0.000">
                  <c:v>139.03417966275987</c:v>
                </c:pt>
                <c:pt idx="2" formatCode="0.000">
                  <c:v>300.41322314049592</c:v>
                </c:pt>
              </c:numCache>
            </c:numRef>
          </c:val>
          <c:smooth val="0"/>
          <c:extLst>
            <c:ext xmlns:c16="http://schemas.microsoft.com/office/drawing/2014/chart" uri="{C3380CC4-5D6E-409C-BE32-E72D297353CC}">
              <c16:uniqueId val="{0000000D-83D9-4910-A2F2-282C2F7C95B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plotting'!$BB$81,'1D plotting'!$BM$81,'1D plotting'!$BX$81,'1D plotting'!$CI$81)</c:f>
              <c:numCache>
                <c:formatCode>General</c:formatCode>
                <c:ptCount val="4"/>
                <c:pt idx="0" formatCode="0.000">
                  <c:v>145.81730522644506</c:v>
                </c:pt>
                <c:pt idx="2" formatCode="0.000">
                  <c:v>102.13378520740895</c:v>
                </c:pt>
              </c:numCache>
            </c:numRef>
          </c:val>
          <c:smooth val="0"/>
          <c:extLst>
            <c:ext xmlns:c16="http://schemas.microsoft.com/office/drawing/2014/chart" uri="{C3380CC4-5D6E-409C-BE32-E72D297353CC}">
              <c16:uniqueId val="{0000000E-83D9-4910-A2F2-282C2F7C95B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plotting'!$BB$82,'1D plotting'!$BM$82,'1D plotting'!$BX$82,'1D plotting'!$CI$82)</c:f>
              <c:numCache>
                <c:formatCode>General</c:formatCode>
                <c:ptCount val="4"/>
                <c:pt idx="0" formatCode="0.000">
                  <c:v>46.362542264318229</c:v>
                </c:pt>
              </c:numCache>
            </c:numRef>
          </c:val>
          <c:smooth val="0"/>
          <c:extLst>
            <c:ext xmlns:c16="http://schemas.microsoft.com/office/drawing/2014/chart" uri="{C3380CC4-5D6E-409C-BE32-E72D297353CC}">
              <c16:uniqueId val="{0000000F-83D9-4910-A2F2-282C2F7C95B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plotting'!$BB$83,'1D plotting'!$BM$83,'1D plotting'!$BX$83,'1D plotting'!$CI$83)</c:f>
              <c:numCache>
                <c:formatCode>General</c:formatCode>
                <c:ptCount val="4"/>
                <c:pt idx="0" formatCode="0.000">
                  <c:v>68.909382807180691</c:v>
                </c:pt>
              </c:numCache>
            </c:numRef>
          </c:val>
          <c:smooth val="0"/>
          <c:extLst>
            <c:ext xmlns:c16="http://schemas.microsoft.com/office/drawing/2014/chart" uri="{C3380CC4-5D6E-409C-BE32-E72D297353CC}">
              <c16:uniqueId val="{00000010-83D9-4910-A2F2-282C2F7C95B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plotting'!$BB$84,'1D plotting'!$BM$84,'1D plotting'!$BX$84,'1D plotting'!$CI$84)</c:f>
              <c:numCache>
                <c:formatCode>General</c:formatCode>
                <c:ptCount val="4"/>
                <c:pt idx="0" formatCode="0.000">
                  <c:v>194.85708613331926</c:v>
                </c:pt>
              </c:numCache>
            </c:numRef>
          </c:val>
          <c:smooth val="0"/>
          <c:extLst>
            <c:ext xmlns:c16="http://schemas.microsoft.com/office/drawing/2014/chart" uri="{C3380CC4-5D6E-409C-BE32-E72D297353CC}">
              <c16:uniqueId val="{00000011-83D9-4910-A2F2-282C2F7C95B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plotting'!$BB$85,'1D plotting'!$BM$85,'1D plotting'!$BX$85,'1D plotting'!$CI$85)</c:f>
              <c:numCache>
                <c:formatCode>General</c:formatCode>
                <c:ptCount val="4"/>
                <c:pt idx="0" formatCode="0.000">
                  <c:v>158.07870326818625</c:v>
                </c:pt>
              </c:numCache>
            </c:numRef>
          </c:val>
          <c:smooth val="0"/>
          <c:extLst>
            <c:ext xmlns:c16="http://schemas.microsoft.com/office/drawing/2014/chart" uri="{C3380CC4-5D6E-409C-BE32-E72D297353CC}">
              <c16:uniqueId val="{00000012-83D9-4910-A2F2-282C2F7C95B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plotting'!$BB$86,'1D plotting'!$BM$86,'1D plotting'!$BX$86,'1D plotting'!$CI$86)</c:f>
              <c:numCache>
                <c:formatCode>General</c:formatCode>
                <c:ptCount val="4"/>
                <c:pt idx="0" formatCode="0.000">
                  <c:v>167.64979460706982</c:v>
                </c:pt>
              </c:numCache>
            </c:numRef>
          </c:val>
          <c:smooth val="0"/>
          <c:extLst>
            <c:ext xmlns:c16="http://schemas.microsoft.com/office/drawing/2014/chart" uri="{C3380CC4-5D6E-409C-BE32-E72D297353CC}">
              <c16:uniqueId val="{00000013-83D9-4910-A2F2-282C2F7C95BC}"/>
            </c:ext>
          </c:extLst>
        </c:ser>
        <c:dLbls>
          <c:showLegendKey val="0"/>
          <c:showVal val="0"/>
          <c:showCatName val="0"/>
          <c:showSerName val="0"/>
          <c:showPercent val="0"/>
          <c:showBubbleSize val="0"/>
        </c:dLbls>
        <c:marker val="1"/>
        <c:smooth val="0"/>
        <c:axId val="1425314288"/>
        <c:axId val="1425315120"/>
      </c:lineChart>
      <c:catAx>
        <c:axId val="142531428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5120"/>
        <c:crosses val="autoZero"/>
        <c:auto val="1"/>
        <c:lblAlgn val="ctr"/>
        <c:lblOffset val="100"/>
        <c:noMultiLvlLbl val="0"/>
      </c:catAx>
      <c:valAx>
        <c:axId val="14253151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PV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plotting'!$BD$67,'1D plotting'!$BO$67,'1D plotting'!$BZ$67,'1D plotting'!$CK$67)</c:f>
              <c:numCache>
                <c:formatCode>0.000</c:formatCode>
                <c:ptCount val="4"/>
                <c:pt idx="0">
                  <c:v>121.71694881107452</c:v>
                </c:pt>
                <c:pt idx="1">
                  <c:v>-31.215972812511993</c:v>
                </c:pt>
                <c:pt idx="3">
                  <c:v>99.168563691732672</c:v>
                </c:pt>
              </c:numCache>
            </c:numRef>
          </c:val>
          <c:smooth val="0"/>
          <c:extLst>
            <c:ext xmlns:c16="http://schemas.microsoft.com/office/drawing/2014/chart" uri="{C3380CC4-5D6E-409C-BE32-E72D297353CC}">
              <c16:uniqueId val="{00000000-1789-4EC4-A2E0-98FB0A4F3F9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plotting'!$BD$68,'1D plotting'!$BO$68,'1D plotting'!$BZ$68,'1D plotting'!$CK$68)</c:f>
              <c:numCache>
                <c:formatCode>0.000</c:formatCode>
                <c:ptCount val="4"/>
                <c:pt idx="0">
                  <c:v>157.69568717854474</c:v>
                </c:pt>
                <c:pt idx="1">
                  <c:v>38.298746740533367</c:v>
                </c:pt>
                <c:pt idx="2">
                  <c:v>14.876709857368823</c:v>
                </c:pt>
                <c:pt idx="3">
                  <c:v>121.8001761651889</c:v>
                </c:pt>
              </c:numCache>
            </c:numRef>
          </c:val>
          <c:smooth val="0"/>
          <c:extLst>
            <c:ext xmlns:c16="http://schemas.microsoft.com/office/drawing/2014/chart" uri="{C3380CC4-5D6E-409C-BE32-E72D297353CC}">
              <c16:uniqueId val="{00000001-1789-4EC4-A2E0-98FB0A4F3F9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plotting'!$BD$69,'1D plotting'!$BO$69,'1D plotting'!$BZ$69,'1D plotting'!$CK$69)</c:f>
              <c:numCache>
                <c:formatCode>0.000</c:formatCode>
                <c:ptCount val="4"/>
                <c:pt idx="0">
                  <c:v>109.5904345301519</c:v>
                </c:pt>
                <c:pt idx="1">
                  <c:v>-21.18805544730791</c:v>
                </c:pt>
                <c:pt idx="2">
                  <c:v>45.974313222017756</c:v>
                </c:pt>
                <c:pt idx="3">
                  <c:v>172.72384873391977</c:v>
                </c:pt>
              </c:numCache>
            </c:numRef>
          </c:val>
          <c:smooth val="0"/>
          <c:extLst>
            <c:ext xmlns:c16="http://schemas.microsoft.com/office/drawing/2014/chart" uri="{C3380CC4-5D6E-409C-BE32-E72D297353CC}">
              <c16:uniqueId val="{00000002-1789-4EC4-A2E0-98FB0A4F3F9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plotting'!$BD$70,'1D plotting'!$BO$70,'1D plotting'!$BZ$70,'1D plotting'!$CK$70)</c:f>
              <c:numCache>
                <c:formatCode>0.000</c:formatCode>
                <c:ptCount val="4"/>
                <c:pt idx="0">
                  <c:v>157.50265900506923</c:v>
                </c:pt>
                <c:pt idx="1">
                  <c:v>42.937646653511557</c:v>
                </c:pt>
                <c:pt idx="2">
                  <c:v>126.9182174509201</c:v>
                </c:pt>
                <c:pt idx="3">
                  <c:v>43.607158427836218</c:v>
                </c:pt>
              </c:numCache>
            </c:numRef>
          </c:val>
          <c:smooth val="0"/>
          <c:extLst>
            <c:ext xmlns:c16="http://schemas.microsoft.com/office/drawing/2014/chart" uri="{C3380CC4-5D6E-409C-BE32-E72D297353CC}">
              <c16:uniqueId val="{00000003-1789-4EC4-A2E0-98FB0A4F3F9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plotting'!$BD$71,'1D plotting'!$BO$71,'1D plotting'!$BZ$71,'1D plotting'!$CK$71)</c:f>
              <c:numCache>
                <c:formatCode>0.000</c:formatCode>
                <c:ptCount val="4"/>
                <c:pt idx="0">
                  <c:v>44.335697415581684</c:v>
                </c:pt>
                <c:pt idx="1">
                  <c:v>18.749051870102907</c:v>
                </c:pt>
                <c:pt idx="2">
                  <c:v>61.550500416594353</c:v>
                </c:pt>
                <c:pt idx="3">
                  <c:v>1.9146053819120565</c:v>
                </c:pt>
              </c:numCache>
            </c:numRef>
          </c:val>
          <c:smooth val="0"/>
          <c:extLst>
            <c:ext xmlns:c16="http://schemas.microsoft.com/office/drawing/2014/chart" uri="{C3380CC4-5D6E-409C-BE32-E72D297353CC}">
              <c16:uniqueId val="{00000004-1789-4EC4-A2E0-98FB0A4F3F9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plotting'!$BD$72,'1D plotting'!$BO$72,'1D plotting'!$BZ$72,'1D plotting'!$CK$72)</c:f>
              <c:numCache>
                <c:formatCode>0.000</c:formatCode>
                <c:ptCount val="4"/>
                <c:pt idx="0">
                  <c:v>57.126199253834166</c:v>
                </c:pt>
                <c:pt idx="1">
                  <c:v>23.044613371995379</c:v>
                </c:pt>
                <c:pt idx="2">
                  <c:v>93.934609158773455</c:v>
                </c:pt>
                <c:pt idx="3">
                  <c:v>62.518784642365468</c:v>
                </c:pt>
              </c:numCache>
            </c:numRef>
          </c:val>
          <c:smooth val="0"/>
          <c:extLst>
            <c:ext xmlns:c16="http://schemas.microsoft.com/office/drawing/2014/chart" uri="{C3380CC4-5D6E-409C-BE32-E72D297353CC}">
              <c16:uniqueId val="{00000005-1789-4EC4-A2E0-98FB0A4F3F9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plotting'!$BD$73,'1D plotting'!$BO$73,'1D plotting'!$BZ$73,'1D plotting'!$CK$73)</c:f>
              <c:numCache>
                <c:formatCode>General</c:formatCode>
                <c:ptCount val="4"/>
                <c:pt idx="2" formatCode="0.000">
                  <c:v>54.120643473329942</c:v>
                </c:pt>
              </c:numCache>
            </c:numRef>
          </c:val>
          <c:smooth val="0"/>
          <c:extLst>
            <c:ext xmlns:c16="http://schemas.microsoft.com/office/drawing/2014/chart" uri="{C3380CC4-5D6E-409C-BE32-E72D297353CC}">
              <c16:uniqueId val="{00000006-1789-4EC4-A2E0-98FB0A4F3F9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plotting'!$BD$74,'1D plotting'!$BO$74,'1D plotting'!$BZ$74,'1D plotting'!$CK$74)</c:f>
              <c:numCache>
                <c:formatCode>General</c:formatCode>
                <c:ptCount val="4"/>
                <c:pt idx="0" formatCode="0.000">
                  <c:v>40.439857862295305</c:v>
                </c:pt>
                <c:pt idx="2" formatCode="0.000">
                  <c:v>97.884610912852011</c:v>
                </c:pt>
              </c:numCache>
            </c:numRef>
          </c:val>
          <c:smooth val="0"/>
          <c:extLst>
            <c:ext xmlns:c16="http://schemas.microsoft.com/office/drawing/2014/chart" uri="{C3380CC4-5D6E-409C-BE32-E72D297353CC}">
              <c16:uniqueId val="{00000007-1789-4EC4-A2E0-98FB0A4F3F9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plotting'!$BD$75,'1D plotting'!$BO$75,'1D plotting'!$BZ$75,'1D plotting'!$CK$75)</c:f>
              <c:numCache>
                <c:formatCode>General</c:formatCode>
                <c:ptCount val="4"/>
                <c:pt idx="0" formatCode="0.000">
                  <c:v>27.157907127897644</c:v>
                </c:pt>
                <c:pt idx="2" formatCode="0.000">
                  <c:v>20.921877147648456</c:v>
                </c:pt>
              </c:numCache>
            </c:numRef>
          </c:val>
          <c:smooth val="0"/>
          <c:extLst>
            <c:ext xmlns:c16="http://schemas.microsoft.com/office/drawing/2014/chart" uri="{C3380CC4-5D6E-409C-BE32-E72D297353CC}">
              <c16:uniqueId val="{00000008-1789-4EC4-A2E0-98FB0A4F3F9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plotting'!$BD$76,'1D plotting'!$BO$76,'1D plotting'!$BZ$76,'1D plotting'!$CK$76)</c:f>
              <c:numCache>
                <c:formatCode>General</c:formatCode>
                <c:ptCount val="4"/>
                <c:pt idx="0" formatCode="0.000">
                  <c:v>12.579821845448125</c:v>
                </c:pt>
                <c:pt idx="2" formatCode="0.000">
                  <c:v>199.55240053946125</c:v>
                </c:pt>
              </c:numCache>
            </c:numRef>
          </c:val>
          <c:smooth val="0"/>
          <c:extLst>
            <c:ext xmlns:c16="http://schemas.microsoft.com/office/drawing/2014/chart" uri="{C3380CC4-5D6E-409C-BE32-E72D297353CC}">
              <c16:uniqueId val="{00000009-1789-4EC4-A2E0-98FB0A4F3F9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plotting'!$BD$77,'1D plotting'!$BO$77,'1D plotting'!$BZ$77,'1D plotting'!$CK$77)</c:f>
              <c:numCache>
                <c:formatCode>General</c:formatCode>
                <c:ptCount val="4"/>
                <c:pt idx="0" formatCode="0.000">
                  <c:v>-0.25200728323770077</c:v>
                </c:pt>
              </c:numCache>
            </c:numRef>
          </c:val>
          <c:smooth val="0"/>
          <c:extLst>
            <c:ext xmlns:c16="http://schemas.microsoft.com/office/drawing/2014/chart" uri="{C3380CC4-5D6E-409C-BE32-E72D297353CC}">
              <c16:uniqueId val="{0000000A-1789-4EC4-A2E0-98FB0A4F3F9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plotting'!$BD$78,'1D plotting'!$BO$78,'1D plotting'!$BZ$78,'1D plotting'!$CK$78)</c:f>
              <c:numCache>
                <c:formatCode>0.0</c:formatCode>
                <c:ptCount val="4"/>
                <c:pt idx="0" formatCode="0.000">
                  <c:v>70.724414711466196</c:v>
                </c:pt>
                <c:pt idx="2" formatCode="0.000">
                  <c:v>37.402410925299087</c:v>
                </c:pt>
              </c:numCache>
            </c:numRef>
          </c:val>
          <c:smooth val="0"/>
          <c:extLst>
            <c:ext xmlns:c16="http://schemas.microsoft.com/office/drawing/2014/chart" uri="{C3380CC4-5D6E-409C-BE32-E72D297353CC}">
              <c16:uniqueId val="{0000000B-1789-4EC4-A2E0-98FB0A4F3F9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plotting'!$BD$79,'1D plotting'!$BO$79,'1D plotting'!$BZ$79,'1D plotting'!$CK$79)</c:f>
              <c:numCache>
                <c:formatCode>0</c:formatCode>
                <c:ptCount val="4"/>
                <c:pt idx="0" formatCode="0.000">
                  <c:v>1.9474272002602142</c:v>
                </c:pt>
                <c:pt idx="2" formatCode="0.000">
                  <c:v>29.648161304447424</c:v>
                </c:pt>
              </c:numCache>
            </c:numRef>
          </c:val>
          <c:smooth val="0"/>
          <c:extLst>
            <c:ext xmlns:c16="http://schemas.microsoft.com/office/drawing/2014/chart" uri="{C3380CC4-5D6E-409C-BE32-E72D297353CC}">
              <c16:uniqueId val="{0000000C-1789-4EC4-A2E0-98FB0A4F3F9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plotting'!$BD$80,'1D plotting'!$BO$80,'1D plotting'!$BZ$80,'1D plotting'!$CK$80)</c:f>
              <c:numCache>
                <c:formatCode>0.00</c:formatCode>
                <c:ptCount val="4"/>
                <c:pt idx="0" formatCode="0.000">
                  <c:v>40.922689348257911</c:v>
                </c:pt>
                <c:pt idx="2" formatCode="0.000">
                  <c:v>82.660756068095409</c:v>
                </c:pt>
              </c:numCache>
            </c:numRef>
          </c:val>
          <c:smooth val="0"/>
          <c:extLst>
            <c:ext xmlns:c16="http://schemas.microsoft.com/office/drawing/2014/chart" uri="{C3380CC4-5D6E-409C-BE32-E72D297353CC}">
              <c16:uniqueId val="{0000000D-1789-4EC4-A2E0-98FB0A4F3F9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plotting'!$BD$81,'1D plotting'!$BO$81,'1D plotting'!$BZ$81,'1D plotting'!$CK$81)</c:f>
              <c:numCache>
                <c:formatCode>General</c:formatCode>
                <c:ptCount val="4"/>
                <c:pt idx="0" formatCode="0.000">
                  <c:v>35.624945077477385</c:v>
                </c:pt>
                <c:pt idx="2" formatCode="0.000">
                  <c:v>72.223105691437723</c:v>
                </c:pt>
              </c:numCache>
            </c:numRef>
          </c:val>
          <c:smooth val="0"/>
          <c:extLst>
            <c:ext xmlns:c16="http://schemas.microsoft.com/office/drawing/2014/chart" uri="{C3380CC4-5D6E-409C-BE32-E72D297353CC}">
              <c16:uniqueId val="{0000000E-1789-4EC4-A2E0-98FB0A4F3F9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plotting'!$BD$82,'1D plotting'!$BO$82,'1D plotting'!$BZ$82,'1D plotting'!$CK$82)</c:f>
              <c:numCache>
                <c:formatCode>General</c:formatCode>
                <c:ptCount val="4"/>
                <c:pt idx="0" formatCode="0.000">
                  <c:v>18.668151938779236</c:v>
                </c:pt>
              </c:numCache>
            </c:numRef>
          </c:val>
          <c:smooth val="0"/>
          <c:extLst>
            <c:ext xmlns:c16="http://schemas.microsoft.com/office/drawing/2014/chart" uri="{C3380CC4-5D6E-409C-BE32-E72D297353CC}">
              <c16:uniqueId val="{0000000F-1789-4EC4-A2E0-98FB0A4F3F9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plotting'!$BD$83,'1D plotting'!$BO$83,'1D plotting'!$BZ$83,'1D plotting'!$CK$83)</c:f>
              <c:numCache>
                <c:formatCode>General</c:formatCode>
                <c:ptCount val="4"/>
                <c:pt idx="0" formatCode="0.000">
                  <c:v>34.579133980468796</c:v>
                </c:pt>
              </c:numCache>
            </c:numRef>
          </c:val>
          <c:smooth val="0"/>
          <c:extLst>
            <c:ext xmlns:c16="http://schemas.microsoft.com/office/drawing/2014/chart" uri="{C3380CC4-5D6E-409C-BE32-E72D297353CC}">
              <c16:uniqueId val="{00000010-1789-4EC4-A2E0-98FB0A4F3F9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plotting'!$BD$84,'1D plotting'!$BO$84,'1D plotting'!$BZ$84,'1D plotting'!$CK$84)</c:f>
              <c:numCache>
                <c:formatCode>General</c:formatCode>
                <c:ptCount val="4"/>
                <c:pt idx="0" formatCode="0.000">
                  <c:v>26.992172501732327</c:v>
                </c:pt>
              </c:numCache>
            </c:numRef>
          </c:val>
          <c:smooth val="0"/>
          <c:extLst>
            <c:ext xmlns:c16="http://schemas.microsoft.com/office/drawing/2014/chart" uri="{C3380CC4-5D6E-409C-BE32-E72D297353CC}">
              <c16:uniqueId val="{00000011-1789-4EC4-A2E0-98FB0A4F3F9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plotting'!$BD$85,'1D plotting'!$BO$85,'1D plotting'!$BZ$85,'1D plotting'!$CK$85)</c:f>
              <c:numCache>
                <c:formatCode>General</c:formatCode>
                <c:ptCount val="4"/>
                <c:pt idx="0" formatCode="0.000">
                  <c:v>78.708244980576822</c:v>
                </c:pt>
              </c:numCache>
            </c:numRef>
          </c:val>
          <c:smooth val="0"/>
          <c:extLst>
            <c:ext xmlns:c16="http://schemas.microsoft.com/office/drawing/2014/chart" uri="{C3380CC4-5D6E-409C-BE32-E72D297353CC}">
              <c16:uniqueId val="{00000012-1789-4EC4-A2E0-98FB0A4F3F9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plotting'!$BD$86,'1D plotting'!$BO$86,'1D plotting'!$BZ$86,'1D plotting'!$CK$86)</c:f>
              <c:numCache>
                <c:formatCode>General</c:formatCode>
                <c:ptCount val="4"/>
                <c:pt idx="0" formatCode="0.000">
                  <c:v>41.071020484038399</c:v>
                </c:pt>
              </c:numCache>
            </c:numRef>
          </c:val>
          <c:smooth val="0"/>
          <c:extLst>
            <c:ext xmlns:c16="http://schemas.microsoft.com/office/drawing/2014/chart" uri="{C3380CC4-5D6E-409C-BE32-E72D297353CC}">
              <c16:uniqueId val="{00000013-1789-4EC4-A2E0-98FB0A4F3F9C}"/>
            </c:ext>
          </c:extLst>
        </c:ser>
        <c:dLbls>
          <c:showLegendKey val="0"/>
          <c:showVal val="0"/>
          <c:showCatName val="0"/>
          <c:showSerName val="0"/>
          <c:showPercent val="0"/>
          <c:showBubbleSize val="0"/>
        </c:dLbls>
        <c:marker val="1"/>
        <c:smooth val="0"/>
        <c:axId val="1842767664"/>
        <c:axId val="1842759760"/>
      </c:lineChart>
      <c:catAx>
        <c:axId val="18427676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760"/>
        <c:crosses val="autoZero"/>
        <c:auto val="1"/>
        <c:lblAlgn val="ctr"/>
        <c:lblOffset val="100"/>
        <c:noMultiLvlLbl val="0"/>
      </c:catAx>
      <c:valAx>
        <c:axId val="1842759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Preprandial Blood Flow</a:t>
            </a:r>
          </a:p>
        </c:rich>
      </c:tx>
      <c:layout>
        <c:manualLayout>
          <c:xMode val="edge"/>
          <c:yMode val="edge"/>
          <c:x val="0.31824289405684753"/>
          <c:y val="3.0769230769230771E-2"/>
        </c:manualLayout>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688430419065828E-2"/>
          <c:y val="9.6987280436099332E-2"/>
          <c:w val="0.90136238784105482"/>
          <c:h val="0.83953038562487381"/>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(kg)'!$BB$25:$BJ$25</c:f>
              <c:numCache>
                <c:formatCode>0.000</c:formatCode>
                <c:ptCount val="9"/>
                <c:pt idx="0">
                  <c:v>48.17880891546811</c:v>
                </c:pt>
                <c:pt idx="1">
                  <c:v>15.486826280161747</c:v>
                </c:pt>
                <c:pt idx="2">
                  <c:v>4.99565369567686</c:v>
                </c:pt>
                <c:pt idx="3">
                  <c:v>4.8496334793105493</c:v>
                </c:pt>
                <c:pt idx="4">
                  <c:v>5.9733991959183141</c:v>
                </c:pt>
                <c:pt idx="5">
                  <c:v>11.82908218439564</c:v>
                </c:pt>
                <c:pt idx="6">
                  <c:v>6.6126607300823812</c:v>
                </c:pt>
                <c:pt idx="7">
                  <c:v>6.5203839774140562</c:v>
                </c:pt>
                <c:pt idx="8">
                  <c:v>14.056863797204411</c:v>
                </c:pt>
              </c:numCache>
            </c:numRef>
          </c:val>
          <c:extLst>
            <c:ext xmlns:c16="http://schemas.microsoft.com/office/drawing/2014/chart" uri="{C3380CC4-5D6E-409C-BE32-E72D297353CC}">
              <c16:uniqueId val="{00000002-C26A-493F-B51A-22243F056F10}"/>
            </c:ext>
          </c:extLst>
        </c:ser>
        <c:ser>
          <c:idx val="0"/>
          <c:order val="1"/>
          <c:tx>
            <c:v>Negative Diagnosis</c:v>
          </c:tx>
          <c:spPr>
            <a:solidFill>
              <a:schemeClr val="accent6"/>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(kg)'!$CA$20:$CI$20</c:f>
              <c:numCache>
                <c:formatCode>0.000</c:formatCode>
                <c:ptCount val="9"/>
                <c:pt idx="0">
                  <c:v>44.645237211152867</c:v>
                </c:pt>
                <c:pt idx="1">
                  <c:v>17.094845061608869</c:v>
                </c:pt>
                <c:pt idx="2">
                  <c:v>6.31367275438412</c:v>
                </c:pt>
                <c:pt idx="3">
                  <c:v>6.1158587295659625</c:v>
                </c:pt>
                <c:pt idx="4">
                  <c:v>8.0400220885443581</c:v>
                </c:pt>
                <c:pt idx="5">
                  <c:v>6.7707975319530265</c:v>
                </c:pt>
                <c:pt idx="6">
                  <c:v>6.9521204521289386</c:v>
                </c:pt>
                <c:pt idx="7">
                  <c:v>6.3687725734482923</c:v>
                </c:pt>
                <c:pt idx="8">
                  <c:v>13.586765135164599</c:v>
                </c:pt>
              </c:numCache>
            </c:numRef>
          </c:val>
          <c:extLst>
            <c:ext xmlns:c16="http://schemas.microsoft.com/office/drawing/2014/chart" uri="{C3380CC4-5D6E-409C-BE32-E72D297353CC}">
              <c16:uniqueId val="{00000000-C26A-493F-B51A-22243F056F10}"/>
            </c:ext>
          </c:extLst>
        </c:ser>
        <c:ser>
          <c:idx val="1"/>
          <c:order val="2"/>
          <c:tx>
            <c:v>CMI</c:v>
          </c:tx>
          <c:spPr>
            <a:solidFill>
              <a:schemeClr val="accent2"/>
            </a:solidFill>
            <a:ln>
              <a:noFill/>
            </a:ln>
            <a:effectLst/>
          </c:spPr>
          <c:invertIfNegative val="0"/>
          <c:errBars>
            <c:errBarType val="plus"/>
            <c:errValType val="cust"/>
            <c:noEndCap val="0"/>
            <c:pl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plus>
            <c:min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(kg)'!$BO$11:$BW$11</c:f>
              <c:numCache>
                <c:formatCode>0.000</c:formatCode>
                <c:ptCount val="9"/>
                <c:pt idx="0">
                  <c:v>36.460675171242983</c:v>
                </c:pt>
                <c:pt idx="1">
                  <c:v>19.058990584386969</c:v>
                </c:pt>
                <c:pt idx="2">
                  <c:v>3.3046876233617972</c:v>
                </c:pt>
                <c:pt idx="3">
                  <c:v>6.0125362831583429</c:v>
                </c:pt>
                <c:pt idx="4">
                  <c:v>7.5901973006921715</c:v>
                </c:pt>
                <c:pt idx="5">
                  <c:v>7.7891200204891744</c:v>
                </c:pt>
                <c:pt idx="6">
                  <c:v>10.696825112479431</c:v>
                </c:pt>
                <c:pt idx="7">
                  <c:v>5.2057386519833218</c:v>
                </c:pt>
                <c:pt idx="8">
                  <c:v>17.74253266423835</c:v>
                </c:pt>
              </c:numCache>
            </c:numRef>
          </c:val>
          <c:extLst>
            <c:ext xmlns:c16="http://schemas.microsoft.com/office/drawing/2014/chart" uri="{C3380CC4-5D6E-409C-BE32-E72D297353CC}">
              <c16:uniqueId val="{00000001-C26A-493F-B51A-22243F056F10}"/>
            </c:ext>
          </c:extLst>
        </c:ser>
        <c:dLbls>
          <c:showLegendKey val="0"/>
          <c:showVal val="0"/>
          <c:showCatName val="0"/>
          <c:showSerName val="0"/>
          <c:showPercent val="0"/>
          <c:showBubbleSize val="0"/>
        </c:dLbls>
        <c:gapWidth val="219"/>
        <c:overlap val="-27"/>
        <c:axId val="903558896"/>
        <c:axId val="903560144"/>
      </c:barChart>
      <c:catAx>
        <c:axId val="903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03560144"/>
        <c:crosses val="autoZero"/>
        <c:auto val="1"/>
        <c:lblAlgn val="ctr"/>
        <c:lblOffset val="100"/>
        <c:noMultiLvlLbl val="0"/>
      </c:catAx>
      <c:valAx>
        <c:axId val="90356014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r>
                  <a:rPr lang="en-US" sz="1100" b="0" i="0" baseline="0">
                    <a:effectLst/>
                    <a:latin typeface="Times New Roman" panose="02020603050405020304" pitchFamily="18" charset="0"/>
                  </a:rPr>
                  <a:t>Average Volumetric Flow Rate (mL/s/kg)</a:t>
                </a:r>
                <a:endParaRPr lang="en-US" sz="1100" baseline="0">
                  <a:effectLst/>
                  <a:latin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latin typeface="Times New Roman" panose="02020603050405020304" pitchFamily="18" charset="0"/>
                  </a:defRPr>
                </a:pPr>
                <a:endParaRPr lang="en-US" sz="1100" baseline="0">
                  <a:latin typeface="Times New Roman" panose="02020603050405020304" pitchFamily="18" charset="0"/>
                </a:endParaRPr>
              </a:p>
            </c:rich>
          </c:tx>
          <c:layout>
            <c:manualLayout>
              <c:xMode val="edge"/>
              <c:yMode val="edge"/>
              <c:x val="1.0335917312661499E-2"/>
              <c:y val="0.2564318594791035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58896"/>
        <c:crosses val="autoZero"/>
        <c:crossBetween val="between"/>
      </c:valAx>
      <c:spPr>
        <a:noFill/>
        <a:ln>
          <a:noFill/>
        </a:ln>
        <a:effectLst/>
      </c:spPr>
    </c:plotArea>
    <c:legend>
      <c:legendPos val="b"/>
      <c:layout>
        <c:manualLayout>
          <c:xMode val="edge"/>
          <c:yMode val="edge"/>
          <c:x val="0.45205477222323953"/>
          <c:y val="0.26698687664041992"/>
          <c:w val="0.5016209214158307"/>
          <c:h val="5.41088229355945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Postprandial Blood Flow</a:t>
            </a:r>
          </a:p>
        </c:rich>
      </c:tx>
      <c:layout/>
      <c:overlay val="0"/>
      <c:spPr>
        <a:noFill/>
        <a:ln>
          <a:noFill/>
        </a:ln>
        <a:effectLst/>
      </c:spPr>
      <c:txPr>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6214147413922281E-2"/>
          <c:y val="8.9739103924098618E-2"/>
          <c:w val="0.90540657346692544"/>
          <c:h val="0.8526776598989998"/>
        </c:manualLayout>
      </c:layout>
      <c:barChart>
        <c:barDir val="col"/>
        <c:grouping val="clustered"/>
        <c:varyColors val="0"/>
        <c:ser>
          <c:idx val="2"/>
          <c:order val="0"/>
          <c:tx>
            <c:v>Healthy Controls</c:v>
          </c:tx>
          <c:spPr>
            <a:solidFill>
              <a:schemeClr val="accent1">
                <a:alpha val="78000"/>
              </a:schemeClr>
            </a:solidFill>
            <a:ln>
              <a:noFill/>
            </a:ln>
            <a:effectLst/>
          </c:spPr>
          <c:invertIfNegative val="0"/>
          <c:errBars>
            <c:errBarType val="plus"/>
            <c:errValType val="cust"/>
            <c:noEndCap val="0"/>
            <c:pl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plus>
            <c:min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(kg)'!$BB$54:$BJ$54</c:f>
              <c:numCache>
                <c:formatCode>0.000</c:formatCode>
                <c:ptCount val="9"/>
                <c:pt idx="0">
                  <c:v>55.312872030943026</c:v>
                </c:pt>
                <c:pt idx="1">
                  <c:v>13.984489043047446</c:v>
                </c:pt>
                <c:pt idx="2">
                  <c:v>4.9350155217634217</c:v>
                </c:pt>
                <c:pt idx="3">
                  <c:v>5.206431335003848</c:v>
                </c:pt>
                <c:pt idx="4">
                  <c:v>11.089831816566385</c:v>
                </c:pt>
                <c:pt idx="5">
                  <c:v>11.034206866714209</c:v>
                </c:pt>
                <c:pt idx="6">
                  <c:v>14.202493670073592</c:v>
                </c:pt>
                <c:pt idx="7">
                  <c:v>5.7973737427966503</c:v>
                </c:pt>
                <c:pt idx="8">
                  <c:v>20.587433883237573</c:v>
                </c:pt>
              </c:numCache>
            </c:numRef>
          </c:val>
          <c:extLst>
            <c:ext xmlns:c16="http://schemas.microsoft.com/office/drawing/2014/chart" uri="{C3380CC4-5D6E-409C-BE32-E72D297353CC}">
              <c16:uniqueId val="{00000002-4829-4289-B001-317A4CA8375B}"/>
            </c:ext>
          </c:extLst>
        </c:ser>
        <c:ser>
          <c:idx val="1"/>
          <c:order val="1"/>
          <c:tx>
            <c:v>Negative Diagnosis</c:v>
          </c:tx>
          <c:spPr>
            <a:solidFill>
              <a:schemeClr val="accent6"/>
            </a:solidFill>
            <a:ln>
              <a:noFill/>
            </a:ln>
            <a:effectLst/>
          </c:spPr>
          <c:invertIfNegative val="0"/>
          <c:errBars>
            <c:errBarType val="plus"/>
            <c:errValType val="cust"/>
            <c:noEndCap val="0"/>
            <c:pl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plus>
            <c:min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(kg)'!$CA$49:$CI$49</c:f>
              <c:numCache>
                <c:formatCode>0.000</c:formatCode>
                <c:ptCount val="9"/>
                <c:pt idx="0">
                  <c:v>54.248392791452275</c:v>
                </c:pt>
                <c:pt idx="1">
                  <c:v>18.204124632510947</c:v>
                </c:pt>
                <c:pt idx="2">
                  <c:v>6.3032647435294624</c:v>
                </c:pt>
                <c:pt idx="3">
                  <c:v>6.1641909549501754</c:v>
                </c:pt>
                <c:pt idx="4">
                  <c:v>11.491868407910868</c:v>
                </c:pt>
                <c:pt idx="5">
                  <c:v>7.1363912446743667</c:v>
                </c:pt>
                <c:pt idx="6">
                  <c:v>15.510081628691776</c:v>
                </c:pt>
                <c:pt idx="7">
                  <c:v>5.9470153691238545</c:v>
                </c:pt>
                <c:pt idx="8">
                  <c:v>22.073495653634602</c:v>
                </c:pt>
              </c:numCache>
            </c:numRef>
          </c:val>
          <c:extLst>
            <c:ext xmlns:c16="http://schemas.microsoft.com/office/drawing/2014/chart" uri="{C3380CC4-5D6E-409C-BE32-E72D297353CC}">
              <c16:uniqueId val="{00000001-4829-4289-B001-317A4CA8375B}"/>
            </c:ext>
          </c:extLst>
        </c:ser>
        <c:ser>
          <c:idx val="0"/>
          <c:order val="2"/>
          <c:tx>
            <c:v>CMI</c:v>
          </c:tx>
          <c:spPr>
            <a:solidFill>
              <a:schemeClr val="accent2"/>
            </a:solidFill>
            <a:ln>
              <a:noFill/>
            </a:ln>
            <a:effectLst/>
          </c:spPr>
          <c:invertIfNegative val="0"/>
          <c:errBars>
            <c:errBarType val="plus"/>
            <c:errValType val="cust"/>
            <c:noEndCap val="0"/>
            <c:pl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plus>
            <c:min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(kg)'!$BO$40:$BW$40</c:f>
              <c:numCache>
                <c:formatCode>0.000</c:formatCode>
                <c:ptCount val="9"/>
                <c:pt idx="0">
                  <c:v>35.29672027054373</c:v>
                </c:pt>
                <c:pt idx="1">
                  <c:v>18.624671767185141</c:v>
                </c:pt>
                <c:pt idx="2">
                  <c:v>2.662403264388522</c:v>
                </c:pt>
                <c:pt idx="3">
                  <c:v>3.8146179678785073</c:v>
                </c:pt>
                <c:pt idx="4">
                  <c:v>9.367209403865715</c:v>
                </c:pt>
                <c:pt idx="5">
                  <c:v>8.1675179890719782</c:v>
                </c:pt>
                <c:pt idx="6">
                  <c:v>15.454148469045174</c:v>
                </c:pt>
                <c:pt idx="7">
                  <c:v>4.4644526247159382</c:v>
                </c:pt>
                <c:pt idx="8">
                  <c:v>20.783216958402267</c:v>
                </c:pt>
              </c:numCache>
            </c:numRef>
          </c:val>
          <c:extLst>
            <c:ext xmlns:c16="http://schemas.microsoft.com/office/drawing/2014/chart" uri="{C3380CC4-5D6E-409C-BE32-E72D297353CC}">
              <c16:uniqueId val="{00000000-4829-4289-B001-317A4CA8375B}"/>
            </c:ext>
          </c:extLst>
        </c:ser>
        <c:dLbls>
          <c:showLegendKey val="0"/>
          <c:showVal val="0"/>
          <c:showCatName val="0"/>
          <c:showSerName val="0"/>
          <c:showPercent val="0"/>
          <c:showBubbleSize val="0"/>
        </c:dLbls>
        <c:gapWidth val="219"/>
        <c:overlap val="-27"/>
        <c:axId val="861544464"/>
        <c:axId val="861547376"/>
      </c:barChart>
      <c:catAx>
        <c:axId val="861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7376"/>
        <c:crosses val="autoZero"/>
        <c:auto val="1"/>
        <c:lblAlgn val="ctr"/>
        <c:lblOffset val="100"/>
        <c:noMultiLvlLbl val="0"/>
      </c:catAx>
      <c:valAx>
        <c:axId val="8615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Average Volumetric Flow Rate (mL/s/kg)</a:t>
                </a:r>
              </a:p>
            </c:rich>
          </c:tx>
          <c:layout>
            <c:manualLayout>
              <c:xMode val="edge"/>
              <c:yMode val="edge"/>
              <c:x val="8.3542177814328756E-3"/>
              <c:y val="0.27813073329583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4464"/>
        <c:crosses val="autoZero"/>
        <c:crossBetween val="between"/>
      </c:valAx>
      <c:spPr>
        <a:noFill/>
        <a:ln>
          <a:noFill/>
        </a:ln>
        <a:effectLst/>
      </c:spPr>
    </c:plotArea>
    <c:legend>
      <c:legendPos val="b"/>
      <c:layout>
        <c:manualLayout>
          <c:xMode val="edge"/>
          <c:yMode val="edge"/>
          <c:x val="0.5329747753070323"/>
          <c:y val="0.2285072033428778"/>
          <c:w val="0.44244423929767401"/>
          <c:h val="5.66591162406069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Flow Augmentation</a:t>
            </a:r>
          </a:p>
        </c:rich>
      </c:tx>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120869891263587E-2"/>
          <c:y val="8.9718994687009251E-2"/>
          <c:w val="0.89032362954630684"/>
          <c:h val="0.84426001447127075"/>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plus>
            <c:min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(kg)'!$BB$87:$BJ$87</c:f>
              <c:numCache>
                <c:formatCode>0.000</c:formatCode>
                <c:ptCount val="9"/>
                <c:pt idx="0">
                  <c:v>15.728720953037771</c:v>
                </c:pt>
                <c:pt idx="1">
                  <c:v>-7.0268427601319523</c:v>
                </c:pt>
                <c:pt idx="2">
                  <c:v>3.5814968072892741</c:v>
                </c:pt>
                <c:pt idx="3">
                  <c:v>6.9664152824614307</c:v>
                </c:pt>
                <c:pt idx="4">
                  <c:v>98.78647688757367</c:v>
                </c:pt>
                <c:pt idx="5">
                  <c:v>-3.7269733620193701</c:v>
                </c:pt>
                <c:pt idx="6">
                  <c:v>132.46498861738141</c:v>
                </c:pt>
                <c:pt idx="7">
                  <c:v>-4.7551900391175073</c:v>
                </c:pt>
                <c:pt idx="8">
                  <c:v>56.691126629985106</c:v>
                </c:pt>
              </c:numCache>
            </c:numRef>
          </c:val>
          <c:extLst>
            <c:ext xmlns:c16="http://schemas.microsoft.com/office/drawing/2014/chart" uri="{C3380CC4-5D6E-409C-BE32-E72D297353CC}">
              <c16:uniqueId val="{00000002-065C-4848-8340-70E2D15C27C0}"/>
            </c:ext>
          </c:extLst>
        </c:ser>
        <c:ser>
          <c:idx val="1"/>
          <c:order val="1"/>
          <c:tx>
            <c:v>Negative Diagnosis</c:v>
          </c:tx>
          <c:spPr>
            <a:solidFill>
              <a:schemeClr val="accent6"/>
            </a:solidFill>
            <a:ln>
              <a:noFill/>
            </a:ln>
            <a:effectLst/>
          </c:spPr>
          <c:invertIfNegative val="0"/>
          <c:errBars>
            <c:errBarType val="plus"/>
            <c:errValType val="cust"/>
            <c:noEndCap val="0"/>
            <c:pl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plus>
            <c:min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(kg)'!$CA$82:$CI$82</c:f>
              <c:numCache>
                <c:formatCode>0.000</c:formatCode>
                <c:ptCount val="9"/>
                <c:pt idx="0">
                  <c:v>21.061867112072402</c:v>
                </c:pt>
                <c:pt idx="1">
                  <c:v>12.999412344770805</c:v>
                </c:pt>
                <c:pt idx="2">
                  <c:v>2.0246274090058316</c:v>
                </c:pt>
                <c:pt idx="3">
                  <c:v>-0.95039758319374945</c:v>
                </c:pt>
                <c:pt idx="4">
                  <c:v>62.669188432319395</c:v>
                </c:pt>
                <c:pt idx="5">
                  <c:v>0.93035849721834774</c:v>
                </c:pt>
                <c:pt idx="6">
                  <c:v>177.59172994329492</c:v>
                </c:pt>
                <c:pt idx="7">
                  <c:v>-3.7647817249007955</c:v>
                </c:pt>
                <c:pt idx="8">
                  <c:v>72.128332012941982</c:v>
                </c:pt>
              </c:numCache>
            </c:numRef>
          </c:val>
          <c:extLst>
            <c:ext xmlns:c16="http://schemas.microsoft.com/office/drawing/2014/chart" uri="{C3380CC4-5D6E-409C-BE32-E72D297353CC}">
              <c16:uniqueId val="{00000001-065C-4848-8340-70E2D15C27C0}"/>
            </c:ext>
          </c:extLst>
        </c:ser>
        <c:ser>
          <c:idx val="0"/>
          <c:order val="2"/>
          <c:tx>
            <c:v>CMI</c:v>
          </c:tx>
          <c:spPr>
            <a:solidFill>
              <a:schemeClr val="accent2"/>
            </a:solidFill>
            <a:ln>
              <a:noFill/>
            </a:ln>
            <a:effectLst/>
          </c:spPr>
          <c:invertIfNegative val="0"/>
          <c:errBars>
            <c:errBarType val="plus"/>
            <c:errValType val="cust"/>
            <c:noEndCap val="0"/>
            <c:pl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plus>
            <c:min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(kg)'!$BO$73:$BW$73</c:f>
              <c:numCache>
                <c:formatCode>0.000</c:formatCode>
                <c:ptCount val="9"/>
                <c:pt idx="0">
                  <c:v>-2.5729498722366708</c:v>
                </c:pt>
                <c:pt idx="1">
                  <c:v>-3.1625067125502442</c:v>
                </c:pt>
                <c:pt idx="2">
                  <c:v>-25.012785651839515</c:v>
                </c:pt>
                <c:pt idx="3">
                  <c:v>-35.665599347210076</c:v>
                </c:pt>
                <c:pt idx="4">
                  <c:v>23.483638883763486</c:v>
                </c:pt>
                <c:pt idx="5">
                  <c:v>4.5205497785659619</c:v>
                </c:pt>
                <c:pt idx="6">
                  <c:v>40.337982422593953</c:v>
                </c:pt>
                <c:pt idx="7">
                  <c:v>-11.670314491628062</c:v>
                </c:pt>
                <c:pt idx="8">
                  <c:v>11.771005062720553</c:v>
                </c:pt>
              </c:numCache>
            </c:numRef>
          </c:val>
          <c:extLst>
            <c:ext xmlns:c16="http://schemas.microsoft.com/office/drawing/2014/chart" uri="{C3380CC4-5D6E-409C-BE32-E72D297353CC}">
              <c16:uniqueId val="{00000000-065C-4848-8340-70E2D15C27C0}"/>
            </c:ext>
          </c:extLst>
        </c:ser>
        <c:dLbls>
          <c:showLegendKey val="0"/>
          <c:showVal val="0"/>
          <c:showCatName val="0"/>
          <c:showSerName val="0"/>
          <c:showPercent val="0"/>
          <c:showBubbleSize val="0"/>
        </c:dLbls>
        <c:gapWidth val="219"/>
        <c:overlap val="-27"/>
        <c:axId val="465849512"/>
        <c:axId val="465855744"/>
      </c:barChart>
      <c:catAx>
        <c:axId val="465849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55744"/>
        <c:crosses val="autoZero"/>
        <c:auto val="1"/>
        <c:lblAlgn val="ctr"/>
        <c:lblOffset val="100"/>
        <c:noMultiLvlLbl val="0"/>
      </c:catAx>
      <c:valAx>
        <c:axId val="465855744"/>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Percent Change in Flow (%)</a:t>
                </a:r>
              </a:p>
            </c:rich>
          </c:tx>
          <c:layout>
            <c:manualLayout>
              <c:xMode val="edge"/>
              <c:yMode val="edge"/>
              <c:x val="6.8433445819272593E-3"/>
              <c:y val="0.329285248821829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49512"/>
        <c:crosses val="autoZero"/>
        <c:crossBetween val="between"/>
      </c:valAx>
      <c:spPr>
        <a:noFill/>
        <a:ln>
          <a:noFill/>
        </a:ln>
        <a:effectLst/>
      </c:spPr>
    </c:plotArea>
    <c:legend>
      <c:legendPos val="b"/>
      <c:layout>
        <c:manualLayout>
          <c:xMode val="edge"/>
          <c:yMode val="edge"/>
          <c:x val="0.12318351678908351"/>
          <c:y val="0.21420424456798395"/>
          <c:w val="0.41724260586829631"/>
          <c:h val="5.66754446602948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658D-4AAF-BEAE-57EB7A7C85F7}"/>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1AEC-4717-B744-BC435E3F695E}"/>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47F9-4FF4-B244-75BF7EBF4106}"/>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A386-463F-83FF-039C2037C915}"/>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633412</xdr:colOff>
      <xdr:row>60</xdr:row>
      <xdr:rowOff>142874</xdr:rowOff>
    </xdr:from>
    <xdr:to>
      <xdr:col>6</xdr:col>
      <xdr:colOff>581025</xdr:colOff>
      <xdr:row>84</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65</xdr:row>
      <xdr:rowOff>47624</xdr:rowOff>
    </xdr:from>
    <xdr:to>
      <xdr:col>16</xdr:col>
      <xdr:colOff>190500</xdr:colOff>
      <xdr:row>85</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361950</xdr:colOff>
      <xdr:row>119</xdr:row>
      <xdr:rowOff>180975</xdr:rowOff>
    </xdr:from>
    <xdr:to>
      <xdr:col>74</xdr:col>
      <xdr:colOff>400050</xdr:colOff>
      <xdr:row>145</xdr:row>
      <xdr:rowOff>180975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542924</xdr:colOff>
      <xdr:row>118</xdr:row>
      <xdr:rowOff>190499</xdr:rowOff>
    </xdr:from>
    <xdr:to>
      <xdr:col>81</xdr:col>
      <xdr:colOff>761999</xdr:colOff>
      <xdr:row>145</xdr:row>
      <xdr:rowOff>28575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342900</xdr:colOff>
      <xdr:row>119</xdr:row>
      <xdr:rowOff>0</xdr:rowOff>
    </xdr:from>
    <xdr:to>
      <xdr:col>90</xdr:col>
      <xdr:colOff>209550</xdr:colOff>
      <xdr:row>145</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1157289</xdr:colOff>
      <xdr:row>123</xdr:row>
      <xdr:rowOff>61913</xdr:rowOff>
    </xdr:from>
    <xdr:to>
      <xdr:col>65</xdr:col>
      <xdr:colOff>1485901</xdr:colOff>
      <xdr:row>127</xdr:row>
      <xdr:rowOff>152400</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rot="16200000" flipV="1">
          <a:off x="53759101" y="23593426"/>
          <a:ext cx="852487" cy="328612"/>
        </a:xfrm>
        <a:prstGeom prst="bentConnector3">
          <a:avLst>
            <a:gd name="adj1" fmla="val 112570"/>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70</xdr:col>
      <xdr:colOff>361951</xdr:colOff>
      <xdr:row>137</xdr:row>
      <xdr:rowOff>123825</xdr:rowOff>
    </xdr:from>
    <xdr:to>
      <xdr:col>70</xdr:col>
      <xdr:colOff>542926</xdr:colOff>
      <xdr:row>139</xdr:row>
      <xdr:rowOff>95250</xdr:rowOff>
    </xdr:to>
    <xdr:cxnSp macro="">
      <xdr:nvCxnSpPr>
        <xdr:cNvPr id="14" name="Elbow Connector 13">
          <a:extLst>
            <a:ext uri="{FF2B5EF4-FFF2-40B4-BE49-F238E27FC236}">
              <a16:creationId xmlns:a16="http://schemas.microsoft.com/office/drawing/2014/main" id="{00000000-0008-0000-0600-00000E000000}"/>
            </a:ext>
          </a:extLst>
        </xdr:cNvPr>
        <xdr:cNvCxnSpPr/>
      </xdr:nvCxnSpPr>
      <xdr:spPr>
        <a:xfrm rot="16200000" flipV="1">
          <a:off x="57616726" y="26146125"/>
          <a:ext cx="352425" cy="180975"/>
        </a:xfrm>
        <a:prstGeom prst="bentConnector3">
          <a:avLst>
            <a:gd name="adj1" fmla="val 177027"/>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71</xdr:col>
      <xdr:colOff>390528</xdr:colOff>
      <xdr:row>139</xdr:row>
      <xdr:rowOff>66676</xdr:rowOff>
    </xdr:from>
    <xdr:to>
      <xdr:col>72</xdr:col>
      <xdr:colOff>9524</xdr:colOff>
      <xdr:row>141</xdr:row>
      <xdr:rowOff>28576</xdr:rowOff>
    </xdr:to>
    <xdr:cxnSp macro="">
      <xdr:nvCxnSpPr>
        <xdr:cNvPr id="19" name="Elbow Connector 18">
          <a:extLst>
            <a:ext uri="{FF2B5EF4-FFF2-40B4-BE49-F238E27FC236}">
              <a16:creationId xmlns:a16="http://schemas.microsoft.com/office/drawing/2014/main" id="{00000000-0008-0000-0600-000013000000}"/>
            </a:ext>
          </a:extLst>
        </xdr:cNvPr>
        <xdr:cNvCxnSpPr/>
      </xdr:nvCxnSpPr>
      <xdr:spPr>
        <a:xfrm rot="5400000" flipH="1" flipV="1">
          <a:off x="58440639" y="26389015"/>
          <a:ext cx="342900" cy="333371"/>
        </a:xfrm>
        <a:prstGeom prst="bentConnector3">
          <a:avLst>
            <a:gd name="adj1" fmla="val 213889"/>
          </a:avLst>
        </a:prstGeom>
        <a:ln w="19050"/>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28725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491936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8620125" y="2533650"/>
          <a:ext cx="3476625"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087226" y="2166937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6057490" y="2164080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3306425" y="25098376"/>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12598741" y="69627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5983123" y="69723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8867775" y="8591550"/>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180975</xdr:colOff>
      <xdr:row>140</xdr:row>
      <xdr:rowOff>42862</xdr:rowOff>
    </xdr:from>
    <xdr:to>
      <xdr:col>14</xdr:col>
      <xdr:colOff>1152525</xdr:colOff>
      <xdr:row>152</xdr:row>
      <xdr:rowOff>76200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314324</xdr:colOff>
      <xdr:row>153</xdr:row>
      <xdr:rowOff>100012</xdr:rowOff>
    </xdr:from>
    <xdr:to>
      <xdr:col>14</xdr:col>
      <xdr:colOff>1109661</xdr:colOff>
      <xdr:row>165</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228600</xdr:colOff>
      <xdr:row>141</xdr:row>
      <xdr:rowOff>23812</xdr:rowOff>
    </xdr:from>
    <xdr:to>
      <xdr:col>27</xdr:col>
      <xdr:colOff>695325</xdr:colOff>
      <xdr:row>152</xdr:row>
      <xdr:rowOff>161925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153</xdr:row>
      <xdr:rowOff>71437</xdr:rowOff>
    </xdr:from>
    <xdr:to>
      <xdr:col>28</xdr:col>
      <xdr:colOff>238125</xdr:colOff>
      <xdr:row>167</xdr:row>
      <xdr:rowOff>138112</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252</xdr:row>
      <xdr:rowOff>109537</xdr:rowOff>
    </xdr:from>
    <xdr:to>
      <xdr:col>17</xdr:col>
      <xdr:colOff>38100</xdr:colOff>
      <xdr:row>267</xdr:row>
      <xdr:rowOff>180975</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285750</xdr:colOff>
      <xdr:row>145</xdr:row>
      <xdr:rowOff>128587</xdr:rowOff>
    </xdr:from>
    <xdr:to>
      <xdr:col>58</xdr:col>
      <xdr:colOff>590550</xdr:colOff>
      <xdr:row>160</xdr:row>
      <xdr:rowOff>14287</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404812</xdr:colOff>
      <xdr:row>161</xdr:row>
      <xdr:rowOff>100012</xdr:rowOff>
    </xdr:from>
    <xdr:to>
      <xdr:col>59</xdr:col>
      <xdr:colOff>100012</xdr:colOff>
      <xdr:row>175</xdr:row>
      <xdr:rowOff>157162</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85725</xdr:colOff>
      <xdr:row>140</xdr:row>
      <xdr:rowOff>185737</xdr:rowOff>
    </xdr:from>
    <xdr:to>
      <xdr:col>71</xdr:col>
      <xdr:colOff>1000125</xdr:colOff>
      <xdr:row>155</xdr:row>
      <xdr:rowOff>61912</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57150</xdr:colOff>
      <xdr:row>157</xdr:row>
      <xdr:rowOff>80962</xdr:rowOff>
    </xdr:from>
    <xdr:to>
      <xdr:col>71</xdr:col>
      <xdr:colOff>971550</xdr:colOff>
      <xdr:row>171</xdr:row>
      <xdr:rowOff>138112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571500</xdr:colOff>
      <xdr:row>263</xdr:row>
      <xdr:rowOff>4762</xdr:rowOff>
    </xdr:from>
    <xdr:to>
      <xdr:col>59</xdr:col>
      <xdr:colOff>876300</xdr:colOff>
      <xdr:row>277</xdr:row>
      <xdr:rowOff>80962</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504825</xdr:colOff>
      <xdr:row>273</xdr:row>
      <xdr:rowOff>104775</xdr:rowOff>
    </xdr:from>
    <xdr:to>
      <xdr:col>15</xdr:col>
      <xdr:colOff>666750</xdr:colOff>
      <xdr:row>288</xdr:row>
      <xdr:rowOff>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533400</xdr:colOff>
      <xdr:row>112</xdr:row>
      <xdr:rowOff>147636</xdr:rowOff>
    </xdr:from>
    <xdr:to>
      <xdr:col>52</xdr:col>
      <xdr:colOff>104775</xdr:colOff>
      <xdr:row>133</xdr:row>
      <xdr:rowOff>171449</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9525</xdr:colOff>
      <xdr:row>135</xdr:row>
      <xdr:rowOff>119062</xdr:rowOff>
    </xdr:from>
    <xdr:to>
      <xdr:col>52</xdr:col>
      <xdr:colOff>123825</xdr:colOff>
      <xdr:row>158</xdr:row>
      <xdr:rowOff>133350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490537</xdr:colOff>
      <xdr:row>102</xdr:row>
      <xdr:rowOff>38100</xdr:rowOff>
    </xdr:from>
    <xdr:to>
      <xdr:col>61</xdr:col>
      <xdr:colOff>581025</xdr:colOff>
      <xdr:row>125</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442911</xdr:colOff>
      <xdr:row>133</xdr:row>
      <xdr:rowOff>19049</xdr:rowOff>
    </xdr:from>
    <xdr:to>
      <xdr:col>74</xdr:col>
      <xdr:colOff>361950</xdr:colOff>
      <xdr:row>157</xdr:row>
      <xdr:rowOff>161925</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547687</xdr:colOff>
      <xdr:row>135</xdr:row>
      <xdr:rowOff>123824</xdr:rowOff>
    </xdr:from>
    <xdr:to>
      <xdr:col>62</xdr:col>
      <xdr:colOff>523875</xdr:colOff>
      <xdr:row>158</xdr:row>
      <xdr:rowOff>95249</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461961</xdr:colOff>
      <xdr:row>158</xdr:row>
      <xdr:rowOff>9524</xdr:rowOff>
    </xdr:from>
    <xdr:to>
      <xdr:col>74</xdr:col>
      <xdr:colOff>428624</xdr:colOff>
      <xdr:row>180</xdr:row>
      <xdr:rowOff>133349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76200</xdr:colOff>
      <xdr:row>135</xdr:row>
      <xdr:rowOff>9525</xdr:rowOff>
    </xdr:from>
    <xdr:to>
      <xdr:col>86</xdr:col>
      <xdr:colOff>285750</xdr:colOff>
      <xdr:row>157</xdr:row>
      <xdr:rowOff>161925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6"/>
  <sheetViews>
    <sheetView topLeftCell="A46" zoomScaleNormal="100" workbookViewId="0">
      <selection activeCell="F84" sqref="F84"/>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6.5703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73</v>
      </c>
      <c r="B1" s="2" t="s">
        <v>74</v>
      </c>
      <c r="C1" s="3" t="s">
        <v>2</v>
      </c>
      <c r="D1" s="76" t="s">
        <v>3</v>
      </c>
      <c r="E1" s="76" t="s">
        <v>4</v>
      </c>
      <c r="F1" s="76" t="s">
        <v>5</v>
      </c>
      <c r="G1" s="76" t="s">
        <v>6</v>
      </c>
      <c r="H1" s="44" t="s">
        <v>7</v>
      </c>
      <c r="I1" s="76" t="s">
        <v>8</v>
      </c>
      <c r="J1" s="76" t="s">
        <v>9</v>
      </c>
      <c r="K1" s="76" t="s">
        <v>10</v>
      </c>
      <c r="L1" s="76" t="s">
        <v>11</v>
      </c>
      <c r="M1" s="76" t="s">
        <v>12</v>
      </c>
      <c r="N1" s="77" t="s">
        <v>13</v>
      </c>
      <c r="O1" s="76" t="s">
        <v>14</v>
      </c>
      <c r="P1" s="76" t="s">
        <v>15</v>
      </c>
      <c r="Q1" s="44" t="s">
        <v>16</v>
      </c>
      <c r="R1" s="56"/>
      <c r="S1" s="46" t="s">
        <v>18</v>
      </c>
      <c r="T1" s="76" t="s">
        <v>19</v>
      </c>
      <c r="U1" s="76" t="s">
        <v>3</v>
      </c>
      <c r="V1" s="76" t="s">
        <v>4</v>
      </c>
      <c r="W1" s="76" t="s">
        <v>5</v>
      </c>
      <c r="X1" s="76" t="s">
        <v>6</v>
      </c>
      <c r="Y1" s="44" t="s">
        <v>7</v>
      </c>
      <c r="Z1" s="76" t="s">
        <v>8</v>
      </c>
      <c r="AA1" s="76" t="s">
        <v>9</v>
      </c>
      <c r="AB1" s="76" t="s">
        <v>10</v>
      </c>
      <c r="AC1" s="76" t="s">
        <v>11</v>
      </c>
      <c r="AD1" s="76" t="s">
        <v>12</v>
      </c>
      <c r="AE1" s="77" t="s">
        <v>13</v>
      </c>
      <c r="AF1" s="76" t="s">
        <v>14</v>
      </c>
      <c r="AG1" s="76" t="s">
        <v>15</v>
      </c>
      <c r="AH1" s="44" t="s">
        <v>16</v>
      </c>
    </row>
    <row r="2" spans="1:34" ht="15.75" thickTop="1" x14ac:dyDescent="0.25">
      <c r="A2" s="78" t="s">
        <v>75</v>
      </c>
      <c r="B2" s="11"/>
      <c r="C2" s="7">
        <v>2.4151702711942193</v>
      </c>
      <c r="D2" s="7">
        <v>2.1376944251326702</v>
      </c>
      <c r="E2" s="7">
        <v>0.98110382825972964</v>
      </c>
      <c r="F2" s="7">
        <v>0.94021574735440061</v>
      </c>
      <c r="G2" s="20">
        <v>11.488099999999999</v>
      </c>
      <c r="H2" s="79">
        <v>4.1651999999999996</v>
      </c>
      <c r="I2" s="7">
        <v>3.2390756071100077</v>
      </c>
      <c r="J2" s="7">
        <v>0.82391374045451504</v>
      </c>
      <c r="K2" s="7">
        <v>0.51669002956985932</v>
      </c>
      <c r="L2" s="7">
        <v>0.46531308433362573</v>
      </c>
      <c r="M2" s="7">
        <v>0.487786820888785</v>
      </c>
      <c r="N2" s="9">
        <v>0.6679170971484899</v>
      </c>
      <c r="O2" s="7">
        <v>0.63588740006108824</v>
      </c>
      <c r="P2" s="7">
        <v>0.30433675183203901</v>
      </c>
      <c r="Q2" s="10">
        <v>0.98108701918227614</v>
      </c>
      <c r="S2" s="11">
        <v>42.022693633431686</v>
      </c>
      <c r="T2" s="20">
        <v>57.472999999999999</v>
      </c>
      <c r="U2" s="20">
        <v>50.87</v>
      </c>
      <c r="V2" s="20">
        <v>23.347000000000001</v>
      </c>
      <c r="W2" s="20">
        <v>22.374000000000002</v>
      </c>
      <c r="X2" s="20">
        <v>11.488099999999999</v>
      </c>
      <c r="Y2" s="79">
        <v>4.1651999999999996</v>
      </c>
      <c r="Z2" s="33">
        <v>77.0792</v>
      </c>
      <c r="AA2" s="33">
        <v>19.606400000000001</v>
      </c>
      <c r="AB2" s="33">
        <v>12.295500000000001</v>
      </c>
      <c r="AC2" s="33">
        <v>11.072900000000001</v>
      </c>
      <c r="AD2" s="33">
        <v>11.607699999999999</v>
      </c>
      <c r="AE2" s="12">
        <v>15.8942</v>
      </c>
      <c r="AF2" s="33">
        <v>15.132</v>
      </c>
      <c r="AG2" s="33">
        <v>7.2422000000000004</v>
      </c>
      <c r="AH2" s="8">
        <v>23.346599999999999</v>
      </c>
    </row>
    <row r="3" spans="1:34" x14ac:dyDescent="0.25">
      <c r="A3" s="11" t="s">
        <v>76</v>
      </c>
      <c r="B3" s="6"/>
      <c r="C3" s="7">
        <v>3.8797989965102291</v>
      </c>
      <c r="D3" s="7">
        <v>2.776755539836115</v>
      </c>
      <c r="E3" s="7">
        <v>2.175221825966168</v>
      </c>
      <c r="F3" s="7">
        <v>1.9137312719964108</v>
      </c>
      <c r="G3" s="18">
        <v>28.430399999999999</v>
      </c>
      <c r="H3" s="22">
        <v>12.0229</v>
      </c>
      <c r="I3" s="7">
        <v>4.8048937219097265</v>
      </c>
      <c r="J3" s="7">
        <v>0.92510431083036115</v>
      </c>
      <c r="K3" s="7">
        <v>0.45264321625952675</v>
      </c>
      <c r="L3" s="7">
        <v>0.50067581031900088</v>
      </c>
      <c r="M3" s="7">
        <v>1.1703283886239209</v>
      </c>
      <c r="N3" s="12">
        <v>0.65310333191823422</v>
      </c>
      <c r="O3" s="7">
        <v>1.5987252575129747</v>
      </c>
      <c r="P3" s="7">
        <v>0.31498205090627629</v>
      </c>
      <c r="Q3" s="8">
        <v>2.1752362041124642</v>
      </c>
      <c r="S3" s="11">
        <v>47.927154319970221</v>
      </c>
      <c r="T3" s="80">
        <v>80.951999999999998</v>
      </c>
      <c r="U3" s="20">
        <v>57.937000000000005</v>
      </c>
      <c r="V3" s="20">
        <v>45.385999999999996</v>
      </c>
      <c r="W3" s="20">
        <v>39.93</v>
      </c>
      <c r="X3" s="18">
        <v>28.430399999999999</v>
      </c>
      <c r="Y3" s="22">
        <v>12.0229</v>
      </c>
      <c r="Z3" s="33">
        <v>100.25409999999999</v>
      </c>
      <c r="AA3" s="33">
        <v>19.302299999999999</v>
      </c>
      <c r="AB3" s="33">
        <v>9.4443999999999999</v>
      </c>
      <c r="AC3" s="33">
        <v>10.4466</v>
      </c>
      <c r="AD3" s="33">
        <v>24.418900000000001</v>
      </c>
      <c r="AE3" s="12">
        <v>13.627000000000001</v>
      </c>
      <c r="AF3" s="33">
        <v>33.357399999999998</v>
      </c>
      <c r="AG3" s="33">
        <v>6.5720999999999998</v>
      </c>
      <c r="AH3" s="8">
        <v>45.386299999999999</v>
      </c>
    </row>
    <row r="4" spans="1:34" ht="15.75" thickBot="1" x14ac:dyDescent="0.3">
      <c r="A4" s="13" t="s">
        <v>22</v>
      </c>
      <c r="B4" s="6"/>
      <c r="C4" s="7">
        <v>60.642876520329182</v>
      </c>
      <c r="D4" s="7">
        <v>29.894876797640674</v>
      </c>
      <c r="E4" s="7">
        <v>121.71168466690733</v>
      </c>
      <c r="F4" s="7">
        <v>103.5417166093324</v>
      </c>
      <c r="G4" s="33"/>
      <c r="H4" s="8"/>
      <c r="I4" s="7">
        <v>48.341511737565909</v>
      </c>
      <c r="J4" s="7">
        <v>12.281694722074178</v>
      </c>
      <c r="K4" s="7">
        <v>-12.395596904327935</v>
      </c>
      <c r="L4" s="7">
        <v>7.5997703860010883</v>
      </c>
      <c r="M4" s="7">
        <v>139.926201058793</v>
      </c>
      <c r="N4" s="12">
        <v>-2.217904780922582</v>
      </c>
      <c r="O4" s="7">
        <v>151.41640758401391</v>
      </c>
      <c r="P4" s="7">
        <v>3.4978684007616452</v>
      </c>
      <c r="Q4" s="8">
        <v>121.71694881107453</v>
      </c>
      <c r="S4" s="11"/>
      <c r="T4" s="15">
        <f>(T3-T2)/T3*100</f>
        <v>29.003607075798005</v>
      </c>
      <c r="U4" s="15">
        <f>(U3-U2)/U3*100</f>
        <v>12.197732019262315</v>
      </c>
      <c r="V4" s="15">
        <f>(V3-V2)/V3*100</f>
        <v>48.559027012735193</v>
      </c>
      <c r="W4" s="15">
        <f>(W3-W2)/W3*100</f>
        <v>43.966942148760324</v>
      </c>
      <c r="X4" s="15"/>
      <c r="Y4" s="16"/>
      <c r="Z4" s="15">
        <f t="shared" ref="Z4:AH4" si="0">(Z3-Z2)/Z3*100</f>
        <v>23.116161832782893</v>
      </c>
      <c r="AA4" s="15">
        <f t="shared" si="0"/>
        <v>-1.57545991928424</v>
      </c>
      <c r="AB4" s="15">
        <f t="shared" si="0"/>
        <v>-30.188259709457466</v>
      </c>
      <c r="AC4" s="15">
        <f t="shared" si="0"/>
        <v>-5.9952520437271506</v>
      </c>
      <c r="AD4" s="15">
        <f t="shared" si="0"/>
        <v>52.464279717759609</v>
      </c>
      <c r="AE4" s="17">
        <f t="shared" si="0"/>
        <v>-16.637557789682241</v>
      </c>
      <c r="AF4" s="15">
        <f t="shared" si="0"/>
        <v>54.636752264864775</v>
      </c>
      <c r="AG4" s="15">
        <f t="shared" si="0"/>
        <v>-10.196132134325415</v>
      </c>
      <c r="AH4" s="16">
        <f t="shared" si="0"/>
        <v>48.560248356883022</v>
      </c>
    </row>
    <row r="5" spans="1:34" x14ac:dyDescent="0.25">
      <c r="A5" s="81" t="s">
        <v>77</v>
      </c>
      <c r="B5" s="326" t="s">
        <v>78</v>
      </c>
      <c r="C5" s="30">
        <v>2.2958668687627668</v>
      </c>
      <c r="D5" s="31">
        <v>1.8888966466602359</v>
      </c>
      <c r="E5" s="31">
        <v>1.0909807206247162</v>
      </c>
      <c r="F5" s="31">
        <v>1.1087390391207992</v>
      </c>
      <c r="G5" s="31">
        <v>17.724799999999998</v>
      </c>
      <c r="H5" s="52">
        <v>-1.6248</v>
      </c>
      <c r="I5" s="31">
        <v>3.4025200935513338</v>
      </c>
      <c r="J5" s="31">
        <v>1.1066742405501007</v>
      </c>
      <c r="K5" s="31">
        <v>0.33353064342257766</v>
      </c>
      <c r="L5" s="31">
        <v>0.39352013472088254</v>
      </c>
      <c r="M5" s="31">
        <v>0.58297722494831938</v>
      </c>
      <c r="N5" s="28">
        <v>0.57887915144922353</v>
      </c>
      <c r="O5" s="31">
        <v>0.7938651379998749</v>
      </c>
      <c r="P5" s="31">
        <v>0.31485288535939027</v>
      </c>
      <c r="Q5" s="27">
        <v>1.0909912285054835</v>
      </c>
      <c r="S5" s="11">
        <v>52.539403834563757</v>
      </c>
      <c r="T5" s="80">
        <v>43.697999999999993</v>
      </c>
      <c r="U5" s="20">
        <v>35.951999999999998</v>
      </c>
      <c r="V5" s="20">
        <v>20.764999999999997</v>
      </c>
      <c r="W5" s="20">
        <v>21.103000000000002</v>
      </c>
      <c r="X5" s="7">
        <v>17.724799999999998</v>
      </c>
      <c r="Y5" s="22">
        <v>-1.6248</v>
      </c>
      <c r="Z5" s="33">
        <v>64.761300000000006</v>
      </c>
      <c r="AA5" s="33">
        <v>21.063700000000001</v>
      </c>
      <c r="AB5" s="33">
        <v>6.3482000000000003</v>
      </c>
      <c r="AC5" s="33">
        <v>7.49</v>
      </c>
      <c r="AD5" s="33">
        <v>11.096</v>
      </c>
      <c r="AE5" s="12">
        <v>11.018000000000001</v>
      </c>
      <c r="AF5" s="33">
        <v>15.1099</v>
      </c>
      <c r="AG5" s="33">
        <v>5.9927000000000001</v>
      </c>
      <c r="AH5" s="8">
        <v>20.7652</v>
      </c>
    </row>
    <row r="6" spans="1:34" x14ac:dyDescent="0.25">
      <c r="A6" s="81" t="s">
        <v>79</v>
      </c>
      <c r="B6" s="327"/>
      <c r="C6" s="33">
        <v>2.4644945152632198</v>
      </c>
      <c r="D6" s="33">
        <v>1.9078158306176201</v>
      </c>
      <c r="E6" s="33">
        <v>1.1285198237367999</v>
      </c>
      <c r="F6" s="33">
        <v>1.14958480509158</v>
      </c>
      <c r="G6" s="33">
        <v>22.5869</v>
      </c>
      <c r="H6" s="22">
        <v>-1.8652</v>
      </c>
      <c r="I6" s="33">
        <v>3.6130612698420239</v>
      </c>
      <c r="J6" s="33">
        <v>1.0944205467211061</v>
      </c>
      <c r="K6" s="33">
        <v>0.40322923049382603</v>
      </c>
      <c r="L6" s="33">
        <v>0.41670215430120205</v>
      </c>
      <c r="M6" s="33">
        <v>0.5714241715939461</v>
      </c>
      <c r="N6" s="33">
        <v>0.51648193487785399</v>
      </c>
      <c r="O6" s="33">
        <v>0.85319131165391193</v>
      </c>
      <c r="P6" s="33">
        <v>0.29638266311306405</v>
      </c>
      <c r="Q6" s="8">
        <v>1.1285252388991021</v>
      </c>
      <c r="S6" s="11">
        <v>54.151623021445644</v>
      </c>
      <c r="T6" s="80">
        <v>45.510999999999996</v>
      </c>
      <c r="U6" s="20">
        <v>35.231000000000002</v>
      </c>
      <c r="V6" s="20">
        <v>20.84</v>
      </c>
      <c r="W6" s="20">
        <v>21.228999999999999</v>
      </c>
      <c r="X6" s="7">
        <v>22.5869</v>
      </c>
      <c r="Y6" s="22">
        <v>-1.8652</v>
      </c>
      <c r="Z6" s="33">
        <v>66.721199999999996</v>
      </c>
      <c r="AA6" s="33">
        <v>20.2103</v>
      </c>
      <c r="AB6" s="33">
        <v>7.4462999999999999</v>
      </c>
      <c r="AC6" s="33">
        <v>7.6951000000000001</v>
      </c>
      <c r="AD6" s="33">
        <v>10.552300000000001</v>
      </c>
      <c r="AE6" s="12">
        <v>9.5376999999999992</v>
      </c>
      <c r="AF6" s="33">
        <v>15.755599999999999</v>
      </c>
      <c r="AG6" s="33">
        <v>5.4732000000000003</v>
      </c>
      <c r="AH6" s="8">
        <v>20.8401</v>
      </c>
    </row>
    <row r="7" spans="1:34" ht="15.75" thickBot="1" x14ac:dyDescent="0.3">
      <c r="A7" s="82" t="s">
        <v>80</v>
      </c>
      <c r="B7" s="328"/>
      <c r="C7" s="15">
        <f>(C6-C5)/C5*100</f>
        <v>7.3448355736465576</v>
      </c>
      <c r="D7" s="15">
        <f t="shared" ref="D7:Q7" si="1">(D6-D5)/D5*100</f>
        <v>1.0015997429417427</v>
      </c>
      <c r="E7" s="15">
        <f t="shared" si="1"/>
        <v>3.4408585231999473</v>
      </c>
      <c r="F7" s="15">
        <f t="shared" si="1"/>
        <v>3.6839837445581822</v>
      </c>
      <c r="G7" s="15"/>
      <c r="H7" s="16"/>
      <c r="I7" s="15">
        <f t="shared" si="1"/>
        <v>6.1878011151123191</v>
      </c>
      <c r="J7" s="15">
        <f t="shared" si="1"/>
        <v>-1.107253912669327</v>
      </c>
      <c r="K7" s="15">
        <f t="shared" si="1"/>
        <v>20.897206432376127</v>
      </c>
      <c r="L7" s="15">
        <f t="shared" si="1"/>
        <v>5.8909360754214379</v>
      </c>
      <c r="M7" s="15">
        <f t="shared" si="1"/>
        <v>-1.9817332238660712</v>
      </c>
      <c r="N7" s="15">
        <f t="shared" si="1"/>
        <v>-10.778971122929224</v>
      </c>
      <c r="O7" s="15">
        <f t="shared" si="1"/>
        <v>7.473079596807584</v>
      </c>
      <c r="P7" s="15">
        <f t="shared" si="1"/>
        <v>-5.8663023606225799</v>
      </c>
      <c r="Q7" s="16">
        <f t="shared" si="1"/>
        <v>3.4403585851955305</v>
      </c>
      <c r="S7" s="11"/>
      <c r="T7" s="15">
        <f>(T6-T5)/T6*100</f>
        <v>3.9836523038386384</v>
      </c>
      <c r="U7" s="15">
        <f>(U6-U5)/U6*100</f>
        <v>-2.0464931452413966</v>
      </c>
      <c r="V7" s="15">
        <f>(V6-V5)/V6*100</f>
        <v>0.35988483685222095</v>
      </c>
      <c r="W7" s="15">
        <f>(W6-W5)/W6*100</f>
        <v>0.5935277215130137</v>
      </c>
      <c r="X7" s="15"/>
      <c r="Y7" s="16"/>
      <c r="Z7" s="15">
        <f t="shared" ref="Z7:AH7" si="2">(Z6-Z5)/Z6*100</f>
        <v>2.937447168216385</v>
      </c>
      <c r="AA7" s="15">
        <f t="shared" si="2"/>
        <v>-4.2225993676491722</v>
      </c>
      <c r="AB7" s="15">
        <f t="shared" si="2"/>
        <v>14.746921289768068</v>
      </c>
      <c r="AC7" s="15">
        <f t="shared" si="2"/>
        <v>2.6653324843081938</v>
      </c>
      <c r="AD7" s="15">
        <f t="shared" si="2"/>
        <v>-5.1524312235247232</v>
      </c>
      <c r="AE7" s="17">
        <f t="shared" si="2"/>
        <v>-15.520513331306308</v>
      </c>
      <c r="AF7" s="15">
        <f t="shared" si="2"/>
        <v>4.0982253928761825</v>
      </c>
      <c r="AG7" s="15">
        <f t="shared" si="2"/>
        <v>-9.49170503544544</v>
      </c>
      <c r="AH7" s="16">
        <f t="shared" si="2"/>
        <v>0.35940326581925963</v>
      </c>
    </row>
    <row r="8" spans="1:34" x14ac:dyDescent="0.25">
      <c r="A8" s="11" t="s">
        <v>81</v>
      </c>
      <c r="B8" s="6"/>
      <c r="C8" s="30">
        <v>2.3515153087760092</v>
      </c>
      <c r="D8" s="31">
        <v>1.5632769407045122</v>
      </c>
      <c r="E8" s="31">
        <v>0.42336931439456238</v>
      </c>
      <c r="F8" s="31">
        <v>0.50225992059498059</v>
      </c>
      <c r="G8" s="18">
        <v>33.520800000000001</v>
      </c>
      <c r="H8" s="27">
        <v>-18.633800000000001</v>
      </c>
      <c r="I8" s="31">
        <v>3.3160711000411363</v>
      </c>
      <c r="J8" s="31">
        <v>0.96456606347947593</v>
      </c>
      <c r="K8" s="31">
        <v>0.2823626280256637</v>
      </c>
      <c r="L8" s="31">
        <v>0.27795584806993723</v>
      </c>
      <c r="M8" s="31">
        <v>0.43308682916872848</v>
      </c>
      <c r="N8" s="28">
        <v>0.56985622711865924</v>
      </c>
      <c r="O8" s="31">
        <v>0.30720084232157668</v>
      </c>
      <c r="P8" s="31">
        <v>0.19504880605905495</v>
      </c>
      <c r="Q8" s="27">
        <v>0.42336417828738787</v>
      </c>
      <c r="S8" s="11">
        <v>51.361071745063974</v>
      </c>
      <c r="T8" s="80">
        <v>45.784000000000006</v>
      </c>
      <c r="U8" s="20">
        <v>30.436999999999998</v>
      </c>
      <c r="V8" s="20">
        <v>8.2430000000000003</v>
      </c>
      <c r="W8" s="20">
        <v>9.7789999999999999</v>
      </c>
      <c r="X8" s="18">
        <v>33.520800000000001</v>
      </c>
      <c r="Y8" s="27">
        <v>-18.633800000000001</v>
      </c>
      <c r="Z8" s="7">
        <v>64.563900000000004</v>
      </c>
      <c r="AA8" s="7">
        <v>18.780100000000001</v>
      </c>
      <c r="AB8" s="7">
        <v>5.4976000000000003</v>
      </c>
      <c r="AC8" s="7">
        <v>5.4118000000000004</v>
      </c>
      <c r="AD8" s="7">
        <v>8.4321999999999999</v>
      </c>
      <c r="AE8" s="12">
        <v>11.0951</v>
      </c>
      <c r="AF8" s="7">
        <v>5.9812000000000003</v>
      </c>
      <c r="AG8" s="7">
        <v>3.7976000000000001</v>
      </c>
      <c r="AH8" s="8">
        <v>8.2429000000000006</v>
      </c>
    </row>
    <row r="9" spans="1:34" x14ac:dyDescent="0.25">
      <c r="A9" s="11" t="s">
        <v>82</v>
      </c>
      <c r="B9" s="6"/>
      <c r="C9" s="32">
        <v>2.2958668687627668</v>
      </c>
      <c r="D9" s="33">
        <v>1.8888966466602359</v>
      </c>
      <c r="E9" s="33">
        <v>1.0909807206247162</v>
      </c>
      <c r="F9" s="33">
        <v>1.1087390391207992</v>
      </c>
      <c r="G9" s="7">
        <v>17.724799999999998</v>
      </c>
      <c r="H9" s="22">
        <v>-1.6248</v>
      </c>
      <c r="I9" s="33">
        <v>3.4025200935513338</v>
      </c>
      <c r="J9" s="33">
        <v>1.1066742405501007</v>
      </c>
      <c r="K9" s="33">
        <v>0.33353064342257766</v>
      </c>
      <c r="L9" s="33">
        <v>0.39352013472088254</v>
      </c>
      <c r="M9" s="33">
        <v>0.58297722494831938</v>
      </c>
      <c r="N9" s="12">
        <v>0.57887915144922353</v>
      </c>
      <c r="O9" s="33">
        <v>0.7938651379998749</v>
      </c>
      <c r="P9" s="33">
        <v>0.31485288535939027</v>
      </c>
      <c r="Q9" s="8">
        <v>1.0909912285054835</v>
      </c>
      <c r="S9" s="11">
        <v>52.539403834563799</v>
      </c>
      <c r="T9" s="80">
        <v>43.698</v>
      </c>
      <c r="U9" s="20">
        <v>35.951999999999998</v>
      </c>
      <c r="V9" s="20">
        <v>20.764999999999997</v>
      </c>
      <c r="W9" s="20">
        <v>21.103000000000002</v>
      </c>
      <c r="X9" s="7">
        <v>17.724799999999998</v>
      </c>
      <c r="Y9" s="22">
        <v>-1.6248</v>
      </c>
      <c r="Z9" s="33">
        <v>64.761300000000006</v>
      </c>
      <c r="AA9" s="33">
        <v>21.063700000000001</v>
      </c>
      <c r="AB9" s="33">
        <v>6.3482000000000003</v>
      </c>
      <c r="AC9" s="33">
        <v>7.49</v>
      </c>
      <c r="AD9" s="33">
        <v>11.096</v>
      </c>
      <c r="AE9" s="12">
        <v>11.018000000000001</v>
      </c>
      <c r="AF9" s="33">
        <v>15.1099</v>
      </c>
      <c r="AG9" s="33">
        <v>5.9927000000000001</v>
      </c>
      <c r="AH9" s="8">
        <v>20.7652</v>
      </c>
    </row>
    <row r="10" spans="1:34" ht="15.75" thickBot="1" x14ac:dyDescent="0.3">
      <c r="A10" s="13" t="s">
        <v>22</v>
      </c>
      <c r="B10" s="14"/>
      <c r="C10" s="24">
        <v>-2.3664927804449669</v>
      </c>
      <c r="D10" s="15">
        <v>20.829303975339059</v>
      </c>
      <c r="E10" s="15">
        <v>157.69007897628785</v>
      </c>
      <c r="F10" s="15">
        <v>120.75005264353548</v>
      </c>
      <c r="G10" s="15"/>
      <c r="H10" s="16"/>
      <c r="I10" s="15">
        <v>2.6069704449076836</v>
      </c>
      <c r="J10" s="15">
        <v>14.732860967345085</v>
      </c>
      <c r="K10" s="15">
        <v>18.121383752053529</v>
      </c>
      <c r="L10" s="15">
        <v>41.576490458249999</v>
      </c>
      <c r="M10" s="15">
        <v>34.60977930621722</v>
      </c>
      <c r="N10" s="17">
        <v>1.5833685588006172</v>
      </c>
      <c r="O10" s="15">
        <v>158.41893270880419</v>
      </c>
      <c r="P10" s="15">
        <v>61.422616072852151</v>
      </c>
      <c r="Q10" s="16">
        <v>157.69568717854474</v>
      </c>
      <c r="S10" s="11"/>
      <c r="T10" s="15">
        <f>(T9-T8)/T9*100</f>
        <v>-4.7736738523502344</v>
      </c>
      <c r="U10" s="15">
        <f>(U9-U8)/U9*100</f>
        <v>15.339897641299514</v>
      </c>
      <c r="V10" s="15">
        <f>(V9-V8)/V9*100</f>
        <v>60.30339513604622</v>
      </c>
      <c r="W10" s="15">
        <f>(W9-W8)/W9*100</f>
        <v>53.660616973889972</v>
      </c>
      <c r="X10" s="15"/>
      <c r="Y10" s="16"/>
      <c r="Z10" s="15">
        <f t="shared" ref="Z10:AH10" si="3">(Z9-Z8)/Z9*100</f>
        <v>0.30481166993250874</v>
      </c>
      <c r="AA10" s="15">
        <f t="shared" si="3"/>
        <v>10.841400133879612</v>
      </c>
      <c r="AB10" s="15">
        <f t="shared" si="3"/>
        <v>13.39907375318988</v>
      </c>
      <c r="AC10" s="15">
        <f t="shared" si="3"/>
        <v>27.746328437917221</v>
      </c>
      <c r="AD10" s="15">
        <f t="shared" si="3"/>
        <v>24.006849315068497</v>
      </c>
      <c r="AE10" s="17">
        <f t="shared" si="3"/>
        <v>-0.69976402250861969</v>
      </c>
      <c r="AF10" s="15">
        <f t="shared" si="3"/>
        <v>60.415356819039168</v>
      </c>
      <c r="AG10" s="15">
        <f t="shared" si="3"/>
        <v>36.629565971932522</v>
      </c>
      <c r="AH10" s="16">
        <f t="shared" si="3"/>
        <v>60.30425904879317</v>
      </c>
    </row>
    <row r="11" spans="1:34" x14ac:dyDescent="0.25">
      <c r="A11" s="11" t="s">
        <v>83</v>
      </c>
      <c r="B11" s="6"/>
      <c r="C11" s="7">
        <v>2.5455779345906175</v>
      </c>
      <c r="D11" s="7">
        <v>1.9895224378622129</v>
      </c>
      <c r="E11" s="7">
        <v>1.1248690834393817</v>
      </c>
      <c r="F11" s="7">
        <v>1.1235131511707024</v>
      </c>
      <c r="G11" s="7">
        <v>21.843499999999999</v>
      </c>
      <c r="H11" s="22">
        <v>0.11849999999999999</v>
      </c>
      <c r="I11" s="7">
        <v>4.0853438022603905</v>
      </c>
      <c r="J11" s="7">
        <v>1.5397473776842918</v>
      </c>
      <c r="K11" s="7">
        <v>0.45741758751047706</v>
      </c>
      <c r="L11" s="7">
        <v>0.39777505767406862</v>
      </c>
      <c r="M11" s="7">
        <v>0.39136519604031184</v>
      </c>
      <c r="N11" s="12">
        <v>0.74299541327982532</v>
      </c>
      <c r="O11" s="7">
        <v>0.62171343517495359</v>
      </c>
      <c r="P11" s="7">
        <v>0.50179971599574902</v>
      </c>
      <c r="Q11" s="8">
        <v>1.1248444301254057</v>
      </c>
      <c r="S11" s="11">
        <v>61.633284939969421</v>
      </c>
      <c r="T11" s="80">
        <v>41.302000000000007</v>
      </c>
      <c r="U11" s="20">
        <v>32.28</v>
      </c>
      <c r="V11" s="20">
        <v>18.250999999999998</v>
      </c>
      <c r="W11" s="20">
        <v>18.228999999999999</v>
      </c>
      <c r="X11" s="7">
        <v>21.843499999999999</v>
      </c>
      <c r="Y11" s="22">
        <v>0.11849999999999999</v>
      </c>
      <c r="Z11" s="33">
        <v>66.284700000000001</v>
      </c>
      <c r="AA11" s="33">
        <v>24.982399999999998</v>
      </c>
      <c r="AB11" s="33">
        <v>7.4215999999999998</v>
      </c>
      <c r="AC11" s="33">
        <v>6.4539</v>
      </c>
      <c r="AD11" s="33">
        <v>6.3498999999999999</v>
      </c>
      <c r="AE11" s="12">
        <v>12.055099999999999</v>
      </c>
      <c r="AF11" s="33">
        <v>10.087300000000001</v>
      </c>
      <c r="AG11" s="33">
        <v>8.1417000000000002</v>
      </c>
      <c r="AH11" s="8">
        <v>18.250599999999999</v>
      </c>
    </row>
    <row r="12" spans="1:34" x14ac:dyDescent="0.25">
      <c r="A12" s="11" t="s">
        <v>84</v>
      </c>
      <c r="B12" s="6"/>
      <c r="C12" s="7">
        <v>3.8705686845511642</v>
      </c>
      <c r="D12" s="7">
        <v>2.517654005131313</v>
      </c>
      <c r="E12" s="7">
        <v>2.3575592198833752</v>
      </c>
      <c r="F12" s="7">
        <v>2.0759004547180426</v>
      </c>
      <c r="G12" s="18">
        <v>34.953499999999998</v>
      </c>
      <c r="H12" s="22">
        <v>11.9476</v>
      </c>
      <c r="I12" s="7">
        <v>5.640853028354071</v>
      </c>
      <c r="J12" s="7">
        <v>1.7702701257935602</v>
      </c>
      <c r="K12" s="7">
        <v>0.40050710529743866</v>
      </c>
      <c r="L12" s="7">
        <v>0.38682227130088986</v>
      </c>
      <c r="M12" s="7">
        <v>0.98256397194753442</v>
      </c>
      <c r="N12" s="12">
        <v>0.74778909260414428</v>
      </c>
      <c r="O12" s="7">
        <v>1.7643483249005081</v>
      </c>
      <c r="P12" s="7">
        <v>0.31154502081286078</v>
      </c>
      <c r="Q12" s="8">
        <v>2.3575663288880486</v>
      </c>
      <c r="S12" s="11">
        <v>71.090046735318737</v>
      </c>
      <c r="T12" s="80">
        <v>54.446000000000005</v>
      </c>
      <c r="U12" s="20">
        <v>35.414999999999999</v>
      </c>
      <c r="V12" s="20">
        <v>33.162999999999997</v>
      </c>
      <c r="W12" s="20">
        <v>29.201000000000001</v>
      </c>
      <c r="X12" s="18">
        <v>34.953499999999998</v>
      </c>
      <c r="Y12" s="22">
        <v>11.9476</v>
      </c>
      <c r="Z12" s="33">
        <v>79.347999999999999</v>
      </c>
      <c r="AA12" s="33">
        <v>24.901800000000001</v>
      </c>
      <c r="AB12" s="33">
        <v>5.6337999999999999</v>
      </c>
      <c r="AC12" s="33">
        <v>5.4413</v>
      </c>
      <c r="AD12" s="33">
        <v>13.821400000000001</v>
      </c>
      <c r="AE12" s="12">
        <v>10.5189</v>
      </c>
      <c r="AF12" s="33">
        <v>24.8185</v>
      </c>
      <c r="AG12" s="33">
        <v>4.3823999999999996</v>
      </c>
      <c r="AH12" s="8">
        <v>33.1631</v>
      </c>
    </row>
    <row r="13" spans="1:34" ht="15.75" thickBot="1" x14ac:dyDescent="0.3">
      <c r="A13" s="13" t="s">
        <v>22</v>
      </c>
      <c r="B13" s="14"/>
      <c r="C13" s="7">
        <v>52.0506849134687</v>
      </c>
      <c r="D13" s="7">
        <v>26.545645186921814</v>
      </c>
      <c r="E13" s="7">
        <v>109.58520903383173</v>
      </c>
      <c r="F13" s="7">
        <v>84.768683175177003</v>
      </c>
      <c r="G13" s="15"/>
      <c r="H13" s="16"/>
      <c r="I13" s="7">
        <v>38.075356723540104</v>
      </c>
      <c r="J13" s="7">
        <v>14.971465543650666</v>
      </c>
      <c r="K13" s="7">
        <v>-12.441690867807937</v>
      </c>
      <c r="L13" s="7">
        <v>-2.7535126101730891</v>
      </c>
      <c r="M13" s="7">
        <v>151.06064154113673</v>
      </c>
      <c r="N13" s="12">
        <v>0.64518289596944933</v>
      </c>
      <c r="O13" s="7">
        <v>183.78803240821244</v>
      </c>
      <c r="P13" s="7">
        <v>-37.914468485769326</v>
      </c>
      <c r="Q13" s="8">
        <v>109.5904345301519</v>
      </c>
      <c r="S13" s="11"/>
      <c r="T13" s="15">
        <f>(T12-T11)/T12*100</f>
        <v>24.141351063438997</v>
      </c>
      <c r="U13" s="15">
        <f>(U12-U11)/U12*100</f>
        <v>8.8521812791190122</v>
      </c>
      <c r="V13" s="15">
        <f>(V12-V11)/V12*100</f>
        <v>44.965775110816274</v>
      </c>
      <c r="W13" s="15">
        <f>(W12-W11)/W12*100</f>
        <v>37.574055683024561</v>
      </c>
      <c r="X13" s="15"/>
      <c r="Y13" s="16"/>
      <c r="Z13" s="15">
        <f t="shared" ref="Z13:AH13" si="4">(Z12-Z11)/Z12*100</f>
        <v>16.463300902354185</v>
      </c>
      <c r="AA13" s="15">
        <f t="shared" si="4"/>
        <v>-0.32367138118528338</v>
      </c>
      <c r="AB13" s="15">
        <f t="shared" si="4"/>
        <v>-31.733465866732928</v>
      </c>
      <c r="AC13" s="15">
        <f t="shared" si="4"/>
        <v>-18.609523459467407</v>
      </c>
      <c r="AD13" s="15">
        <f t="shared" si="4"/>
        <v>54.057476087805867</v>
      </c>
      <c r="AE13" s="17">
        <f t="shared" si="4"/>
        <v>-14.604188650904554</v>
      </c>
      <c r="AF13" s="15">
        <f t="shared" si="4"/>
        <v>59.355722545681644</v>
      </c>
      <c r="AG13" s="15">
        <f t="shared" si="4"/>
        <v>-85.781763417305598</v>
      </c>
      <c r="AH13" s="16">
        <f t="shared" si="4"/>
        <v>44.967147220856916</v>
      </c>
    </row>
    <row r="14" spans="1:34" x14ac:dyDescent="0.25">
      <c r="A14" s="11" t="s">
        <v>85</v>
      </c>
      <c r="B14" s="6"/>
      <c r="C14" s="30">
        <v>1.8304091559094162</v>
      </c>
      <c r="D14" s="31">
        <v>1.8118182461583183</v>
      </c>
      <c r="E14" s="31">
        <v>0.80218184666838943</v>
      </c>
      <c r="F14" s="31">
        <v>0.75213639034575253</v>
      </c>
      <c r="G14" s="20">
        <v>1.0147999999999999</v>
      </c>
      <c r="H14" s="22">
        <v>6.2404999999999999</v>
      </c>
      <c r="I14" s="31">
        <v>2.6188773657271791</v>
      </c>
      <c r="J14" s="31">
        <v>0.78847730072717681</v>
      </c>
      <c r="K14" s="31">
        <v>0.35870455819263342</v>
      </c>
      <c r="L14" s="31">
        <v>0.33391819367607217</v>
      </c>
      <c r="M14" s="31">
        <v>0.32946364806333972</v>
      </c>
      <c r="N14" s="28">
        <v>0.7897318462262729</v>
      </c>
      <c r="O14" s="31">
        <v>0.33046819355355794</v>
      </c>
      <c r="P14" s="31">
        <v>0.42166365133748762</v>
      </c>
      <c r="Q14" s="27">
        <v>0.80219093757780313</v>
      </c>
      <c r="S14" s="11">
        <v>45.454547068698403</v>
      </c>
      <c r="T14" s="80">
        <v>40.269000000000005</v>
      </c>
      <c r="U14" s="20">
        <v>39.86</v>
      </c>
      <c r="V14" s="20">
        <v>17.648</v>
      </c>
      <c r="W14" s="20">
        <v>16.547000000000001</v>
      </c>
      <c r="X14" s="20">
        <v>1.0147999999999999</v>
      </c>
      <c r="Y14" s="22">
        <v>6.2404999999999999</v>
      </c>
      <c r="Z14" s="33">
        <v>57.615299999999998</v>
      </c>
      <c r="AA14" s="33">
        <v>17.346499999999999</v>
      </c>
      <c r="AB14" s="33">
        <v>7.8914999999999997</v>
      </c>
      <c r="AC14" s="33">
        <v>7.3461999999999996</v>
      </c>
      <c r="AD14" s="33">
        <v>7.2481999999999998</v>
      </c>
      <c r="AE14" s="12">
        <v>17.374099999999999</v>
      </c>
      <c r="AF14" s="33">
        <v>7.2702999999999998</v>
      </c>
      <c r="AG14" s="33">
        <v>9.2766000000000002</v>
      </c>
      <c r="AH14" s="8">
        <v>17.648199999999999</v>
      </c>
    </row>
    <row r="15" spans="1:34" x14ac:dyDescent="0.25">
      <c r="A15" s="11" t="s">
        <v>86</v>
      </c>
      <c r="B15" s="6"/>
      <c r="C15" s="32">
        <v>3.1223888245411162</v>
      </c>
      <c r="D15" s="33">
        <v>2.9232311005344993</v>
      </c>
      <c r="E15" s="33">
        <v>2.065681371282476</v>
      </c>
      <c r="F15" s="33">
        <v>2.0289738692106685</v>
      </c>
      <c r="G15" s="20">
        <v>6.3785999999999996</v>
      </c>
      <c r="H15" s="22">
        <v>1.776</v>
      </c>
      <c r="I15" s="33">
        <v>3.9402218635039303</v>
      </c>
      <c r="J15" s="33">
        <v>0.81782844478232941</v>
      </c>
      <c r="K15" s="33">
        <v>0.39449308985006271</v>
      </c>
      <c r="L15" s="33">
        <v>0.40238129774208942</v>
      </c>
      <c r="M15" s="33">
        <v>1.4592908949420511</v>
      </c>
      <c r="N15" s="12">
        <v>0.66705662963932666</v>
      </c>
      <c r="O15" s="33">
        <v>1.629087211471707</v>
      </c>
      <c r="P15" s="33">
        <v>0.39988665773896159</v>
      </c>
      <c r="Q15" s="8">
        <v>2.065662994560538</v>
      </c>
      <c r="S15" s="11">
        <v>45.941804845817146</v>
      </c>
      <c r="T15" s="80">
        <v>67.963999999999999</v>
      </c>
      <c r="U15" s="20">
        <v>63.628999999999998</v>
      </c>
      <c r="V15" s="20">
        <v>44.962999999999994</v>
      </c>
      <c r="W15" s="20">
        <v>44.164000000000001</v>
      </c>
      <c r="X15" s="20">
        <v>6.3785999999999996</v>
      </c>
      <c r="Y15" s="22">
        <v>1.776</v>
      </c>
      <c r="Z15" s="33">
        <v>85.765500000000003</v>
      </c>
      <c r="AA15" s="33">
        <v>17.801400000000001</v>
      </c>
      <c r="AB15" s="33">
        <v>8.5868000000000002</v>
      </c>
      <c r="AC15" s="33">
        <v>8.7584999999999997</v>
      </c>
      <c r="AD15" s="33">
        <v>31.7639</v>
      </c>
      <c r="AE15" s="12">
        <v>14.519600000000001</v>
      </c>
      <c r="AF15" s="33">
        <v>35.459800000000001</v>
      </c>
      <c r="AG15" s="33">
        <v>8.7042000000000002</v>
      </c>
      <c r="AH15" s="8">
        <v>44.962600000000002</v>
      </c>
    </row>
    <row r="16" spans="1:34" ht="15.75" thickBot="1" x14ac:dyDescent="0.3">
      <c r="A16" s="13" t="s">
        <v>22</v>
      </c>
      <c r="B16" s="14"/>
      <c r="C16" s="24">
        <v>70.584200502963284</v>
      </c>
      <c r="D16" s="15">
        <v>61.34240323127117</v>
      </c>
      <c r="E16" s="15">
        <v>157.50786805530882</v>
      </c>
      <c r="F16" s="15">
        <v>169.76142828004393</v>
      </c>
      <c r="G16" s="15"/>
      <c r="H16" s="16"/>
      <c r="I16" s="15">
        <v>50.454615212952362</v>
      </c>
      <c r="J16" s="15">
        <v>3.7225097067579966</v>
      </c>
      <c r="K16" s="15">
        <v>9.9771611037654964</v>
      </c>
      <c r="L16" s="15">
        <v>20.502957120219701</v>
      </c>
      <c r="M16" s="15">
        <v>342.92925896986998</v>
      </c>
      <c r="N16" s="17">
        <v>-15.533781140161532</v>
      </c>
      <c r="O16" s="15">
        <v>392.9633905018112</v>
      </c>
      <c r="P16" s="15">
        <v>-5.1645413422406525</v>
      </c>
      <c r="Q16" s="16">
        <v>157.50265900506921</v>
      </c>
      <c r="S16" s="11"/>
      <c r="T16" s="15">
        <f>(T15-T14)/T15*100</f>
        <v>40.749514448825842</v>
      </c>
      <c r="U16" s="15">
        <f>(U15-U14)/U15*100</f>
        <v>37.355608291816623</v>
      </c>
      <c r="V16" s="15">
        <f>(V15-V14)/V15*100</f>
        <v>60.749949958855055</v>
      </c>
      <c r="W16" s="15">
        <f>(W15-W14)/W15*100</f>
        <v>62.532832170999008</v>
      </c>
      <c r="X16" s="15"/>
      <c r="Y16" s="16"/>
      <c r="Z16" s="15">
        <f t="shared" ref="Z16:AH16" si="5">(Z15-Z14)/Z15*100</f>
        <v>32.822288682512202</v>
      </c>
      <c r="AA16" s="15">
        <f t="shared" si="5"/>
        <v>2.5554169896749808</v>
      </c>
      <c r="AB16" s="15">
        <f t="shared" si="5"/>
        <v>8.0973121535379953</v>
      </c>
      <c r="AC16" s="15">
        <f t="shared" si="5"/>
        <v>16.124907232973683</v>
      </c>
      <c r="AD16" s="15">
        <f t="shared" si="5"/>
        <v>77.181013666457829</v>
      </c>
      <c r="AE16" s="17">
        <f t="shared" si="5"/>
        <v>-19.659632496762981</v>
      </c>
      <c r="AF16" s="15">
        <f t="shared" si="5"/>
        <v>79.49706428124243</v>
      </c>
      <c r="AG16" s="15">
        <f t="shared" si="5"/>
        <v>-6.5761356586475497</v>
      </c>
      <c r="AH16" s="16">
        <f t="shared" si="5"/>
        <v>60.749155965179959</v>
      </c>
    </row>
    <row r="17" spans="1:52" x14ac:dyDescent="0.25">
      <c r="A17" s="11" t="s">
        <v>87</v>
      </c>
      <c r="B17" s="6"/>
      <c r="C17" s="30">
        <v>3.1639299087179169</v>
      </c>
      <c r="D17" s="31">
        <v>2.7703228345237196</v>
      </c>
      <c r="E17" s="31">
        <v>1.3914957286927907</v>
      </c>
      <c r="F17" s="31">
        <v>1.1913784083008072</v>
      </c>
      <c r="G17" s="20">
        <v>12.440200000000001</v>
      </c>
      <c r="H17" s="22">
        <v>14.382300000000001</v>
      </c>
      <c r="I17" s="31">
        <v>4.0230971428791369</v>
      </c>
      <c r="J17" s="31">
        <v>0.85917896436757368</v>
      </c>
      <c r="K17" s="31">
        <v>0.53097952080090915</v>
      </c>
      <c r="L17" s="31">
        <v>0.45913787198844136</v>
      </c>
      <c r="M17" s="31">
        <v>0.5788974137552616</v>
      </c>
      <c r="N17" s="28">
        <v>1.2013021628759313</v>
      </c>
      <c r="O17" s="31">
        <v>0.65767747962586875</v>
      </c>
      <c r="P17" s="31">
        <v>0.53370679377811525</v>
      </c>
      <c r="Q17" s="27">
        <v>1.3915133240023208</v>
      </c>
      <c r="S17" s="11">
        <v>58.65103176787315</v>
      </c>
      <c r="T17" s="80">
        <v>53.945</v>
      </c>
      <c r="U17" s="20">
        <v>47.233999999999995</v>
      </c>
      <c r="V17" s="20">
        <v>23.725000000000001</v>
      </c>
      <c r="W17" s="20">
        <v>20.312999999999999</v>
      </c>
      <c r="X17" s="20">
        <v>12.440200000000001</v>
      </c>
      <c r="Y17" s="22">
        <v>14.382300000000001</v>
      </c>
      <c r="Z17" s="33">
        <v>68.593800000000002</v>
      </c>
      <c r="AA17" s="33">
        <v>14.648999999999999</v>
      </c>
      <c r="AB17" s="33">
        <v>9.0532000000000004</v>
      </c>
      <c r="AC17" s="33">
        <v>7.8282999999999996</v>
      </c>
      <c r="AD17" s="33">
        <v>9.8702000000000005</v>
      </c>
      <c r="AE17" s="12">
        <v>20.482199999999999</v>
      </c>
      <c r="AF17" s="33">
        <v>11.2134</v>
      </c>
      <c r="AG17" s="33">
        <v>9.0997000000000003</v>
      </c>
      <c r="AH17" s="8">
        <v>23.725300000000001</v>
      </c>
    </row>
    <row r="18" spans="1:52" x14ac:dyDescent="0.25">
      <c r="A18" s="11" t="s">
        <v>88</v>
      </c>
      <c r="B18" s="6"/>
      <c r="C18" s="32">
        <v>3.7966589861751143</v>
      </c>
      <c r="D18" s="33">
        <v>3.2153801843317971</v>
      </c>
      <c r="E18" s="33">
        <v>2.0084677419354833</v>
      </c>
      <c r="F18" s="33">
        <v>1.8530529953917045</v>
      </c>
      <c r="G18" s="7">
        <v>15.3103</v>
      </c>
      <c r="H18" s="22">
        <v>7.7374999999999998</v>
      </c>
      <c r="I18" s="33">
        <v>4.7112730414746542</v>
      </c>
      <c r="J18" s="33">
        <v>0.91463133640552985</v>
      </c>
      <c r="K18" s="33">
        <v>0.50218894009216586</v>
      </c>
      <c r="L18" s="33">
        <v>0.44724078341013818</v>
      </c>
      <c r="M18" s="33">
        <v>0.99294930875576015</v>
      </c>
      <c r="N18" s="12">
        <v>1.2729838709677417</v>
      </c>
      <c r="O18" s="33">
        <v>1.1737154377880181</v>
      </c>
      <c r="P18" s="33">
        <v>0.67933179723502291</v>
      </c>
      <c r="Q18" s="8">
        <v>2.0084504608294926</v>
      </c>
      <c r="S18" s="11">
        <v>57.60368663594469</v>
      </c>
      <c r="T18" s="80">
        <v>65.91</v>
      </c>
      <c r="U18" s="20">
        <v>55.819000000000003</v>
      </c>
      <c r="V18" s="20">
        <v>34.866999999999997</v>
      </c>
      <c r="W18" s="20">
        <v>32.168999999999997</v>
      </c>
      <c r="X18" s="7">
        <v>15.3103</v>
      </c>
      <c r="Y18" s="22">
        <v>7.7374999999999998</v>
      </c>
      <c r="Z18" s="33">
        <v>81.787700000000001</v>
      </c>
      <c r="AA18" s="33">
        <v>15.878</v>
      </c>
      <c r="AB18" s="33">
        <v>8.718</v>
      </c>
      <c r="AC18" s="33">
        <v>7.7641</v>
      </c>
      <c r="AD18" s="33">
        <v>17.2376</v>
      </c>
      <c r="AE18" s="12">
        <v>22.099</v>
      </c>
      <c r="AF18" s="33">
        <v>20.375699999999998</v>
      </c>
      <c r="AG18" s="33">
        <v>11.793200000000001</v>
      </c>
      <c r="AH18" s="8">
        <v>34.866700000000002</v>
      </c>
    </row>
    <row r="19" spans="1:52" ht="15.75" thickBot="1" x14ac:dyDescent="0.3">
      <c r="A19" s="13" t="s">
        <v>22</v>
      </c>
      <c r="B19" s="14"/>
      <c r="C19" s="24">
        <v>19.9982014681732</v>
      </c>
      <c r="D19" s="15">
        <v>16.065179994973139</v>
      </c>
      <c r="E19" s="15">
        <v>44.338764433168116</v>
      </c>
      <c r="F19" s="15">
        <v>55.53857468632529</v>
      </c>
      <c r="G19" s="15"/>
      <c r="H19" s="16"/>
      <c r="I19" s="15">
        <v>17.105624700452125</v>
      </c>
      <c r="J19" s="15">
        <v>6.4541119298438216</v>
      </c>
      <c r="K19" s="15">
        <v>-5.4221640535809534</v>
      </c>
      <c r="L19" s="15">
        <v>-2.5911799710137369</v>
      </c>
      <c r="M19" s="15">
        <v>71.524226082575964</v>
      </c>
      <c r="N19" s="17">
        <v>5.9670006686913446</v>
      </c>
      <c r="O19" s="15">
        <v>78.463680777956171</v>
      </c>
      <c r="P19" s="15">
        <v>27.285581737872761</v>
      </c>
      <c r="Q19" s="16">
        <v>44.335697415581699</v>
      </c>
      <c r="S19" s="11"/>
      <c r="T19" s="15">
        <f>(T18-T17)/T18*100</f>
        <v>18.153542709755722</v>
      </c>
      <c r="U19" s="15">
        <f>(U18-U17)/U18*100</f>
        <v>15.3800677188771</v>
      </c>
      <c r="V19" s="15">
        <f>(V18-V17)/V18*100</f>
        <v>31.955717440559834</v>
      </c>
      <c r="W19" s="15">
        <f>(W18-W17)/W18*100</f>
        <v>36.855357642450805</v>
      </c>
      <c r="X19" s="15"/>
      <c r="Y19" s="16"/>
      <c r="Z19" s="15">
        <f t="shared" ref="Z19:AH19" si="6">(Z18-Z17)/Z18*100</f>
        <v>16.131887802200083</v>
      </c>
      <c r="AA19" s="15">
        <f t="shared" si="6"/>
        <v>7.7402695553596228</v>
      </c>
      <c r="AB19" s="15">
        <f t="shared" si="6"/>
        <v>-3.8449185593025965</v>
      </c>
      <c r="AC19" s="15">
        <f t="shared" si="6"/>
        <v>-0.82688270372611883</v>
      </c>
      <c r="AD19" s="15">
        <f t="shared" si="6"/>
        <v>42.740288671276744</v>
      </c>
      <c r="AE19" s="17">
        <f t="shared" si="6"/>
        <v>7.3161681524050923</v>
      </c>
      <c r="AF19" s="15">
        <f t="shared" si="6"/>
        <v>44.966798686670884</v>
      </c>
      <c r="AG19" s="15">
        <f t="shared" si="6"/>
        <v>22.839432893531868</v>
      </c>
      <c r="AH19" s="16">
        <f t="shared" si="6"/>
        <v>31.954271554233699</v>
      </c>
    </row>
    <row r="20" spans="1:52" x14ac:dyDescent="0.25">
      <c r="A20" s="81" t="s">
        <v>89</v>
      </c>
      <c r="B20" s="327" t="s">
        <v>90</v>
      </c>
      <c r="C20" s="7">
        <v>2.3221340766248453</v>
      </c>
      <c r="D20" s="7">
        <v>2.3080629322626591</v>
      </c>
      <c r="E20" s="7">
        <v>0.99905124971522707</v>
      </c>
      <c r="F20" s="7">
        <v>0.99826073598701426</v>
      </c>
      <c r="G20" s="20">
        <v>0.60529999999999995</v>
      </c>
      <c r="H20" s="22">
        <v>7.9600000000000004E-2</v>
      </c>
      <c r="I20" s="7">
        <v>3.529888855725511</v>
      </c>
      <c r="J20" s="7">
        <v>1.207786399649794</v>
      </c>
      <c r="K20" s="7">
        <v>0.46007108468251701</v>
      </c>
      <c r="L20" s="7">
        <v>0.48874301760479211</v>
      </c>
      <c r="M20" s="7">
        <v>0.45786555138080354</v>
      </c>
      <c r="N20" s="12">
        <v>0.90136746831998205</v>
      </c>
      <c r="O20" s="7">
        <v>0.51833985158907614</v>
      </c>
      <c r="P20" s="7">
        <v>0.4799366946725025</v>
      </c>
      <c r="Q20" s="8">
        <v>0.99906705998979128</v>
      </c>
      <c r="S20" s="11">
        <v>79.051372821271329</v>
      </c>
      <c r="T20" s="80">
        <v>29.375</v>
      </c>
      <c r="U20" s="20">
        <v>29.197000000000003</v>
      </c>
      <c r="V20" s="20">
        <v>12.638</v>
      </c>
      <c r="W20" s="20">
        <v>12.628</v>
      </c>
      <c r="X20" s="20">
        <v>0.60529999999999995</v>
      </c>
      <c r="Y20" s="22">
        <v>7.9600000000000004E-2</v>
      </c>
      <c r="Z20" s="20">
        <v>44.653100000000002</v>
      </c>
      <c r="AA20" s="20">
        <v>15.278499999999999</v>
      </c>
      <c r="AB20" s="20">
        <v>5.8198999999999996</v>
      </c>
      <c r="AC20" s="20">
        <v>6.1825999999999999</v>
      </c>
      <c r="AD20" s="20">
        <v>5.7919999999999998</v>
      </c>
      <c r="AE20" s="23">
        <v>11.4023</v>
      </c>
      <c r="AF20" s="20">
        <v>6.5570000000000004</v>
      </c>
      <c r="AG20" s="20">
        <v>6.0712000000000002</v>
      </c>
      <c r="AH20" s="22">
        <v>12.638199999999999</v>
      </c>
      <c r="AX20" s="46"/>
    </row>
    <row r="21" spans="1:52" x14ac:dyDescent="0.25">
      <c r="A21" s="81" t="s">
        <v>91</v>
      </c>
      <c r="B21" s="327"/>
      <c r="C21" s="7">
        <v>1.7514591707848006</v>
      </c>
      <c r="D21" s="7">
        <v>1.5882026537956684</v>
      </c>
      <c r="E21" s="7">
        <v>0.71809518782536286</v>
      </c>
      <c r="F21" s="7">
        <v>0.77468504561497165</v>
      </c>
      <c r="G21" s="20">
        <v>9.3209999999999997</v>
      </c>
      <c r="H21" s="22">
        <v>-7.8769999999999998</v>
      </c>
      <c r="I21" s="7">
        <v>2.5781012020098628</v>
      </c>
      <c r="J21" s="7">
        <v>0.82662359804662899</v>
      </c>
      <c r="K21" s="7">
        <v>0.30633484798683397</v>
      </c>
      <c r="L21" s="7">
        <v>0.315809501701446</v>
      </c>
      <c r="M21" s="7">
        <v>0.29426111611315525</v>
      </c>
      <c r="N21" s="12">
        <v>0.67182176556547735</v>
      </c>
      <c r="O21" s="7">
        <v>0.44873115138251107</v>
      </c>
      <c r="P21" s="7">
        <v>0.32592931666121644</v>
      </c>
      <c r="Q21" s="8">
        <v>0.71808904343255175</v>
      </c>
      <c r="S21" s="11">
        <v>61.443928110324499</v>
      </c>
      <c r="T21" s="80">
        <v>28.504999999999999</v>
      </c>
      <c r="U21" s="20">
        <v>25.847999999999999</v>
      </c>
      <c r="V21" s="20">
        <v>11.687000000000001</v>
      </c>
      <c r="W21" s="20">
        <v>12.607999999999999</v>
      </c>
      <c r="X21" s="20">
        <v>9.3209999999999997</v>
      </c>
      <c r="Y21" s="22">
        <v>-7.8769999999999998</v>
      </c>
      <c r="Z21" s="20">
        <v>41.958599999999997</v>
      </c>
      <c r="AA21" s="20">
        <v>13.4533</v>
      </c>
      <c r="AB21" s="20">
        <v>4.9855999999999998</v>
      </c>
      <c r="AC21" s="20">
        <v>5.1398000000000001</v>
      </c>
      <c r="AD21" s="20">
        <v>4.7891000000000004</v>
      </c>
      <c r="AE21" s="23">
        <v>10.9339</v>
      </c>
      <c r="AF21" s="20">
        <v>7.3030999999999997</v>
      </c>
      <c r="AG21" s="20">
        <v>5.3045</v>
      </c>
      <c r="AH21" s="22">
        <v>11.6869</v>
      </c>
      <c r="AJ21" s="46"/>
      <c r="AK21" s="46"/>
      <c r="AL21" s="46"/>
      <c r="AM21" s="46"/>
      <c r="AN21" s="46"/>
      <c r="AO21" s="46"/>
      <c r="AP21" s="46"/>
      <c r="AQ21" s="46"/>
      <c r="AR21" s="46"/>
      <c r="AS21" s="46"/>
      <c r="AT21" s="46"/>
      <c r="AU21" s="46"/>
      <c r="AV21" s="46"/>
      <c r="AW21" s="46"/>
      <c r="AX21" s="46"/>
      <c r="AY21" s="46"/>
      <c r="AZ21" s="46"/>
    </row>
    <row r="22" spans="1:52" ht="15.75" thickBot="1" x14ac:dyDescent="0.3">
      <c r="A22" s="82" t="s">
        <v>92</v>
      </c>
      <c r="B22" s="329"/>
      <c r="C22" s="7">
        <f>(C21-C20)/C20*100</f>
        <v>-24.575450297405055</v>
      </c>
      <c r="D22" s="7">
        <f t="shared" ref="D22:Q22" si="7">(D21-D20)/D20*100</f>
        <v>-31.188936332914086</v>
      </c>
      <c r="E22" s="7">
        <f t="shared" si="7"/>
        <v>-28.12228721699201</v>
      </c>
      <c r="F22" s="7">
        <f t="shared" si="7"/>
        <v>-22.396522502809425</v>
      </c>
      <c r="G22" s="15"/>
      <c r="H22" s="16"/>
      <c r="I22" s="7">
        <f t="shared" si="7"/>
        <v>-26.963672019639944</v>
      </c>
      <c r="J22" s="7">
        <f t="shared" si="7"/>
        <v>-31.558792325669984</v>
      </c>
      <c r="K22" s="7">
        <f t="shared" si="7"/>
        <v>-33.41575721972886</v>
      </c>
      <c r="L22" s="7">
        <f t="shared" si="7"/>
        <v>-35.383322047412612</v>
      </c>
      <c r="M22" s="7">
        <f t="shared" si="7"/>
        <v>-35.731981751905082</v>
      </c>
      <c r="N22" s="12">
        <f t="shared" si="7"/>
        <v>-25.466384224221507</v>
      </c>
      <c r="O22" s="7">
        <f t="shared" si="7"/>
        <v>-13.42916235229945</v>
      </c>
      <c r="P22" s="7">
        <f t="shared" si="7"/>
        <v>-32.089102525568933</v>
      </c>
      <c r="Q22" s="16">
        <f t="shared" si="7"/>
        <v>-28.124039697606552</v>
      </c>
      <c r="S22" s="11"/>
      <c r="T22" s="15">
        <f>(T21-T20)/T20*100</f>
        <v>-2.9617021276595779</v>
      </c>
      <c r="U22" s="15">
        <f>(U21-U20)/U20*100</f>
        <v>-11.470356543480506</v>
      </c>
      <c r="V22" s="15">
        <f>(V21-V20)/V20*100</f>
        <v>-7.5249248298781355</v>
      </c>
      <c r="W22" s="15">
        <f>(W21-W20)/W20*100</f>
        <v>-0.15837820715870565</v>
      </c>
      <c r="X22" s="15"/>
      <c r="Y22" s="16"/>
      <c r="Z22" s="15">
        <f t="shared" ref="Z22:AH22" si="8">(Z21-Z20)/Z21*100</f>
        <v>-6.4218062566434657</v>
      </c>
      <c r="AA22" s="15">
        <f t="shared" si="8"/>
        <v>-13.566931533527079</v>
      </c>
      <c r="AB22" s="15">
        <f t="shared" si="8"/>
        <v>-16.734194480102694</v>
      </c>
      <c r="AC22" s="15">
        <f t="shared" si="8"/>
        <v>-20.288727187828314</v>
      </c>
      <c r="AD22" s="15">
        <f t="shared" si="8"/>
        <v>-20.941304211647267</v>
      </c>
      <c r="AE22" s="17">
        <f t="shared" si="8"/>
        <v>-4.2839243088010761</v>
      </c>
      <c r="AF22" s="15">
        <f t="shared" si="8"/>
        <v>10.216209554846563</v>
      </c>
      <c r="AG22" s="15">
        <f t="shared" si="8"/>
        <v>-14.453765670656992</v>
      </c>
      <c r="AH22" s="16">
        <f t="shared" si="8"/>
        <v>-8.1398831169942394</v>
      </c>
      <c r="AJ22" s="46"/>
    </row>
    <row r="23" spans="1:52" x14ac:dyDescent="0.25">
      <c r="A23" s="11" t="s">
        <v>93</v>
      </c>
      <c r="B23" s="330" t="s">
        <v>94</v>
      </c>
      <c r="C23" s="31">
        <v>1.8980796252927401</v>
      </c>
      <c r="D23" s="31">
        <v>2.1252224824355976</v>
      </c>
      <c r="E23" s="31">
        <v>1.5170725995316161</v>
      </c>
      <c r="F23" s="31">
        <v>1.4764637002341923</v>
      </c>
      <c r="G23" s="20">
        <v>-11.97</v>
      </c>
      <c r="H23" s="22">
        <v>2.6764999999999999</v>
      </c>
      <c r="I23" s="31">
        <v>4.3470210772833724</v>
      </c>
      <c r="J23" s="31">
        <v>1.7073793911007027</v>
      </c>
      <c r="K23" s="31">
        <v>0.37079859484777522</v>
      </c>
      <c r="L23" s="31">
        <v>0.38648711943793918</v>
      </c>
      <c r="M23" s="31">
        <v>0.67413583138173305</v>
      </c>
      <c r="N23" s="28">
        <v>0.69382201405152244</v>
      </c>
      <c r="O23" s="31">
        <v>0.92385245901639346</v>
      </c>
      <c r="P23" s="31">
        <v>0.55264637002341921</v>
      </c>
      <c r="Q23" s="27">
        <v>1.5171007025761123</v>
      </c>
      <c r="S23" s="11">
        <v>70.257611241217802</v>
      </c>
      <c r="T23" s="80">
        <v>27.015999999999998</v>
      </c>
      <c r="U23" s="20">
        <v>30.249000000000002</v>
      </c>
      <c r="V23" s="20">
        <v>21.593</v>
      </c>
      <c r="W23" s="20">
        <v>21.015000000000001</v>
      </c>
      <c r="X23" s="20">
        <v>-11.97</v>
      </c>
      <c r="Y23" s="22">
        <v>2.6764999999999999</v>
      </c>
      <c r="Z23" s="33">
        <v>61.872599999999998</v>
      </c>
      <c r="AA23" s="33">
        <v>24.3017</v>
      </c>
      <c r="AB23" s="33">
        <v>5.2777000000000003</v>
      </c>
      <c r="AC23" s="33">
        <v>5.5010000000000003</v>
      </c>
      <c r="AD23" s="33">
        <v>9.5952000000000002</v>
      </c>
      <c r="AE23" s="12">
        <v>9.8754000000000008</v>
      </c>
      <c r="AF23" s="33">
        <v>13.1495</v>
      </c>
      <c r="AG23" s="33">
        <v>7.8659999999999997</v>
      </c>
      <c r="AH23" s="8">
        <v>21.593399999999999</v>
      </c>
    </row>
    <row r="24" spans="1:52" x14ac:dyDescent="0.25">
      <c r="A24" s="11" t="s">
        <v>95</v>
      </c>
      <c r="B24" s="331"/>
      <c r="C24" s="33">
        <v>3.6978110599078335</v>
      </c>
      <c r="D24" s="33">
        <v>3.0067050691244241</v>
      </c>
      <c r="E24" s="33">
        <v>2.3837557603686634</v>
      </c>
      <c r="F24" s="33">
        <v>2.5641705069124425</v>
      </c>
      <c r="G24" s="7">
        <v>18.689599999999999</v>
      </c>
      <c r="H24" s="22">
        <v>-7.5692000000000004</v>
      </c>
      <c r="I24" s="33">
        <v>5.4424838709677417</v>
      </c>
      <c r="J24" s="33">
        <v>1.7446797235023039</v>
      </c>
      <c r="K24" s="33">
        <v>0.41153917050691241</v>
      </c>
      <c r="L24" s="33">
        <v>0.34370737327188938</v>
      </c>
      <c r="M24" s="33">
        <v>1.6283433179723501</v>
      </c>
      <c r="N24" s="12">
        <v>0.62310829493087561</v>
      </c>
      <c r="O24" s="33">
        <v>1.9822672811059907</v>
      </c>
      <c r="P24" s="33">
        <v>0.58192396313364059</v>
      </c>
      <c r="Q24" s="8">
        <v>2.3837626728110601</v>
      </c>
      <c r="S24" s="11">
        <v>69.124423963133637</v>
      </c>
      <c r="T24" s="80">
        <v>53.494999999999997</v>
      </c>
      <c r="U24" s="20">
        <v>43.497</v>
      </c>
      <c r="V24" s="20">
        <v>34.484999999999999</v>
      </c>
      <c r="W24" s="20">
        <v>37.094999999999999</v>
      </c>
      <c r="X24" s="7">
        <v>18.689599999999999</v>
      </c>
      <c r="Y24" s="22">
        <v>-7.5692000000000004</v>
      </c>
      <c r="Z24" s="33">
        <v>78.7346</v>
      </c>
      <c r="AA24" s="33">
        <v>25.239699999999999</v>
      </c>
      <c r="AB24" s="33">
        <v>5.9535999999999998</v>
      </c>
      <c r="AC24" s="33">
        <v>4.9722999999999997</v>
      </c>
      <c r="AD24" s="33">
        <v>23.556699999999999</v>
      </c>
      <c r="AE24" s="12">
        <v>9.0143000000000004</v>
      </c>
      <c r="AF24" s="33">
        <v>28.6768</v>
      </c>
      <c r="AG24" s="33">
        <v>8.4184999999999999</v>
      </c>
      <c r="AH24" s="8">
        <v>34.485100000000003</v>
      </c>
    </row>
    <row r="25" spans="1:52" ht="15.75" thickBot="1" x14ac:dyDescent="0.3">
      <c r="A25" s="83" t="s">
        <v>22</v>
      </c>
      <c r="B25" s="332"/>
      <c r="C25" s="15">
        <v>94.818542416918973</v>
      </c>
      <c r="D25" s="15">
        <v>41.477190928199157</v>
      </c>
      <c r="E25" s="15">
        <v>57.128654298062521</v>
      </c>
      <c r="F25" s="15">
        <v>73.669728995417998</v>
      </c>
      <c r="G25" s="33"/>
      <c r="H25" s="8"/>
      <c r="I25" s="15">
        <v>25.200310148230702</v>
      </c>
      <c r="J25" s="15">
        <v>2.1846540139830726</v>
      </c>
      <c r="K25" s="15">
        <v>10.987251900418476</v>
      </c>
      <c r="L25" s="15">
        <v>-11.06886724407881</v>
      </c>
      <c r="M25" s="15">
        <v>141.54528541152294</v>
      </c>
      <c r="N25" s="17">
        <v>-10.191910560421583</v>
      </c>
      <c r="O25" s="15">
        <v>114.56535204944625</v>
      </c>
      <c r="P25" s="15">
        <v>5.2977083897213868</v>
      </c>
      <c r="Q25" s="16">
        <v>57.126199253834152</v>
      </c>
      <c r="S25" s="11"/>
      <c r="T25" s="33">
        <f>(T24-T23)/T24*100</f>
        <v>49.498083933077858</v>
      </c>
      <c r="U25" s="33">
        <f>(U24-U23)/U24*100</f>
        <v>30.457272915373469</v>
      </c>
      <c r="V25" s="15">
        <f>(V24-V23)/V24*100</f>
        <v>37.384370015948967</v>
      </c>
      <c r="W25" s="15">
        <f>(W24-W23)/W24*100</f>
        <v>43.348160129397492</v>
      </c>
      <c r="X25" s="33"/>
      <c r="Y25" s="8"/>
      <c r="Z25" s="33">
        <f t="shared" ref="Z25:AH25" si="9">(Z24-Z23)/Z24*100</f>
        <v>21.41625155903504</v>
      </c>
      <c r="AA25" s="33">
        <f t="shared" si="9"/>
        <v>3.7163674687100037</v>
      </c>
      <c r="AB25" s="33">
        <f t="shared" si="9"/>
        <v>11.352794947594724</v>
      </c>
      <c r="AC25" s="33">
        <f t="shared" si="9"/>
        <v>-10.632906300907038</v>
      </c>
      <c r="AD25" s="33">
        <f t="shared" si="9"/>
        <v>59.267639355257742</v>
      </c>
      <c r="AE25" s="12">
        <f t="shared" si="9"/>
        <v>-9.5525997581620352</v>
      </c>
      <c r="AF25" s="33">
        <f t="shared" si="9"/>
        <v>54.145860068068963</v>
      </c>
      <c r="AG25" s="33">
        <f t="shared" si="9"/>
        <v>6.5629268872126891</v>
      </c>
      <c r="AH25" s="8">
        <f t="shared" si="9"/>
        <v>37.383391667705773</v>
      </c>
    </row>
    <row r="26" spans="1:52" x14ac:dyDescent="0.25">
      <c r="A26" s="84" t="s">
        <v>96</v>
      </c>
      <c r="B26" s="333" t="s">
        <v>97</v>
      </c>
      <c r="C26" s="7">
        <v>2.7797609271848267</v>
      </c>
      <c r="D26" s="7">
        <v>1.5236087272339329</v>
      </c>
      <c r="E26" s="7"/>
      <c r="F26" s="7"/>
      <c r="G26" s="85">
        <v>45.188200000000002</v>
      </c>
      <c r="H26" s="52"/>
      <c r="I26" s="7">
        <v>3.9940957349645716</v>
      </c>
      <c r="J26" s="7">
        <v>1.21434132951901</v>
      </c>
      <c r="K26" s="7">
        <v>0.21439565661796212</v>
      </c>
      <c r="L26" s="7">
        <v>0.20505652598959559</v>
      </c>
      <c r="M26" s="7">
        <v>0.23687609186655115</v>
      </c>
      <c r="N26" s="12">
        <v>0.86730653971688665</v>
      </c>
      <c r="O26" s="48"/>
      <c r="P26" s="48"/>
      <c r="Q26" s="86"/>
      <c r="S26" s="11">
        <v>65.217392656190952</v>
      </c>
      <c r="T26" s="87">
        <v>42.622999999999998</v>
      </c>
      <c r="U26" s="87">
        <v>23.361999999999998</v>
      </c>
      <c r="V26" s="7"/>
      <c r="W26" s="7"/>
      <c r="X26" s="85">
        <v>45.188200000000002</v>
      </c>
      <c r="Y26" s="52"/>
      <c r="Z26" s="87">
        <v>61.242800000000003</v>
      </c>
      <c r="AA26" s="87">
        <v>18.619900000000001</v>
      </c>
      <c r="AB26" s="87">
        <v>3.2873999999999999</v>
      </c>
      <c r="AC26" s="87">
        <v>3.1442000000000001</v>
      </c>
      <c r="AD26" s="87">
        <v>3.6320999999999999</v>
      </c>
      <c r="AE26" s="21">
        <v>13.2987</v>
      </c>
      <c r="AF26" s="88"/>
      <c r="AG26" s="88"/>
      <c r="AH26" s="89"/>
    </row>
    <row r="27" spans="1:52" x14ac:dyDescent="0.25">
      <c r="A27" s="6" t="s">
        <v>98</v>
      </c>
      <c r="B27" s="331"/>
      <c r="C27" s="7">
        <v>3.1236429103563457</v>
      </c>
      <c r="D27" s="7">
        <v>1.3956428809186305</v>
      </c>
      <c r="E27" s="7"/>
      <c r="F27" s="7"/>
      <c r="G27" s="90">
        <v>55.320900000000002</v>
      </c>
      <c r="H27" s="22"/>
      <c r="I27" s="7">
        <v>3.8439000654835831</v>
      </c>
      <c r="J27" s="7">
        <v>0.72025715512723798</v>
      </c>
      <c r="K27" s="7">
        <v>0.29682857648525823</v>
      </c>
      <c r="L27" s="7">
        <v>0.21690714655231105</v>
      </c>
      <c r="M27" s="7">
        <v>0.40183572113127281</v>
      </c>
      <c r="N27" s="12">
        <v>0.48004286532073026</v>
      </c>
      <c r="O27" s="48"/>
      <c r="P27" s="48"/>
      <c r="Q27" s="91"/>
      <c r="S27" s="11">
        <v>71.428572645408181</v>
      </c>
      <c r="T27" s="80">
        <v>43.731000000000002</v>
      </c>
      <c r="U27" s="80">
        <v>19.539000000000001</v>
      </c>
      <c r="V27" s="7"/>
      <c r="W27" s="7"/>
      <c r="X27" s="90">
        <v>55.320900000000002</v>
      </c>
      <c r="Y27" s="22"/>
      <c r="Z27" s="80">
        <v>53.814599999999999</v>
      </c>
      <c r="AA27" s="80">
        <v>10.083600000000001</v>
      </c>
      <c r="AB27" s="80">
        <v>4.1555999999999997</v>
      </c>
      <c r="AC27" s="80">
        <v>3.0367000000000002</v>
      </c>
      <c r="AD27" s="80">
        <v>5.6257000000000001</v>
      </c>
      <c r="AE27" s="23">
        <v>6.7206000000000001</v>
      </c>
      <c r="AF27" s="92"/>
      <c r="AG27" s="92"/>
      <c r="AH27" s="93"/>
    </row>
    <row r="28" spans="1:52" ht="15.75" thickBot="1" x14ac:dyDescent="0.3">
      <c r="A28" s="94" t="s">
        <v>22</v>
      </c>
      <c r="B28" s="332"/>
      <c r="C28" s="24">
        <v>12.370919376861009</v>
      </c>
      <c r="D28" s="15">
        <v>-8.3988654060560961</v>
      </c>
      <c r="E28" s="15"/>
      <c r="F28" s="15"/>
      <c r="G28" s="15"/>
      <c r="H28" s="16"/>
      <c r="I28" s="24">
        <v>-3.7604423991685012</v>
      </c>
      <c r="J28" s="15">
        <v>-40.687421434258063</v>
      </c>
      <c r="K28" s="15">
        <v>38.44896914781522</v>
      </c>
      <c r="L28" s="15">
        <v>5.7791969826489478</v>
      </c>
      <c r="M28" s="15">
        <v>69.639628028672035</v>
      </c>
      <c r="N28" s="17">
        <v>-44.651303392981468</v>
      </c>
      <c r="O28" s="51"/>
      <c r="P28" s="51"/>
      <c r="Q28" s="95"/>
      <c r="S28" s="11"/>
      <c r="T28" s="15">
        <f>(T27-T26)/T26*100</f>
        <v>2.5995354620744768</v>
      </c>
      <c r="U28" s="15">
        <f>(U27-U26)/U26*100</f>
        <v>-16.364181148874227</v>
      </c>
      <c r="V28" s="7"/>
      <c r="W28" s="7"/>
      <c r="X28" s="15"/>
      <c r="Y28" s="16"/>
      <c r="Z28" s="15">
        <f t="shared" ref="Z28:AE28" si="10">(Z27-Z26)/Z26*100</f>
        <v>-12.129099257382098</v>
      </c>
      <c r="AA28" s="15">
        <f t="shared" si="10"/>
        <v>-45.845036761744154</v>
      </c>
      <c r="AB28" s="15">
        <f t="shared" si="10"/>
        <v>26.409928819127575</v>
      </c>
      <c r="AC28" s="15">
        <f t="shared" si="10"/>
        <v>-3.418993702690666</v>
      </c>
      <c r="AD28" s="15">
        <f t="shared" si="10"/>
        <v>54.888356598111301</v>
      </c>
      <c r="AE28" s="17">
        <f t="shared" si="10"/>
        <v>-49.464233346116536</v>
      </c>
      <c r="AF28" s="48"/>
      <c r="AG28" s="48"/>
      <c r="AH28" s="95"/>
    </row>
    <row r="29" spans="1:52" x14ac:dyDescent="0.25">
      <c r="A29" s="29" t="s">
        <v>100</v>
      </c>
      <c r="B29" s="65"/>
      <c r="C29" s="7">
        <v>1.9497279877547482</v>
      </c>
      <c r="D29" s="7">
        <v>1.5431859931692624</v>
      </c>
      <c r="E29" s="7">
        <v>1.1285442702314334</v>
      </c>
      <c r="F29" s="7">
        <v>0.94498618796839995</v>
      </c>
      <c r="G29" s="20">
        <v>20.850999999999999</v>
      </c>
      <c r="H29" s="22">
        <v>16.2638</v>
      </c>
      <c r="I29" s="7">
        <v>2.9996834367344078</v>
      </c>
      <c r="J29" s="7">
        <v>1.0499286286871021</v>
      </c>
      <c r="K29" s="7">
        <v>0.30902877490519093</v>
      </c>
      <c r="L29" s="7">
        <v>0.35924172663120663</v>
      </c>
      <c r="M29" s="7">
        <v>0.25297972751867898</v>
      </c>
      <c r="N29" s="12">
        <v>0.62195722034823187</v>
      </c>
      <c r="O29" s="7">
        <v>0.47789470090526581</v>
      </c>
      <c r="P29" s="7">
        <v>0.46710221518015704</v>
      </c>
      <c r="Q29" s="8">
        <v>1.1285442702314337</v>
      </c>
      <c r="S29" s="11">
        <v>53.640585114854964</v>
      </c>
      <c r="T29" s="20">
        <v>36.347999999999999</v>
      </c>
      <c r="U29" s="20">
        <v>28.768999999999998</v>
      </c>
      <c r="V29" s="20">
        <v>21.038999999999998</v>
      </c>
      <c r="W29" s="20">
        <v>17.617000000000001</v>
      </c>
      <c r="X29" s="20">
        <v>20.850999999999999</v>
      </c>
      <c r="Y29" s="22">
        <v>16.2638</v>
      </c>
      <c r="Z29" s="20">
        <v>55.921900000000001</v>
      </c>
      <c r="AA29" s="20">
        <v>19.573399999999999</v>
      </c>
      <c r="AB29" s="20">
        <v>5.7610999999999999</v>
      </c>
      <c r="AC29" s="20">
        <v>6.6971999999999996</v>
      </c>
      <c r="AD29" s="20">
        <v>4.7161999999999997</v>
      </c>
      <c r="AE29" s="23">
        <v>11.594900000000001</v>
      </c>
      <c r="AF29" s="20">
        <v>8.9092000000000002</v>
      </c>
      <c r="AG29" s="20">
        <v>8.7080000000000002</v>
      </c>
      <c r="AH29" s="22">
        <v>21.039000000000001</v>
      </c>
    </row>
    <row r="30" spans="1:52" x14ac:dyDescent="0.25">
      <c r="A30" s="6" t="s">
        <v>101</v>
      </c>
      <c r="B30" s="68"/>
      <c r="C30" s="7">
        <v>2.199182144447676</v>
      </c>
      <c r="D30" s="7">
        <v>1.5604846432878594</v>
      </c>
      <c r="E30" s="7">
        <v>1.5849259690261031</v>
      </c>
      <c r="F30" s="7">
        <v>1.537386247535234</v>
      </c>
      <c r="G30" s="20">
        <v>29.0426</v>
      </c>
      <c r="H30" s="22">
        <v>2.9992999999999999</v>
      </c>
      <c r="I30" s="7">
        <v>3.1427032654629574</v>
      </c>
      <c r="J30" s="7">
        <v>0.9435318644551669</v>
      </c>
      <c r="K30" s="7">
        <v>0.24832386950055482</v>
      </c>
      <c r="L30" s="7">
        <v>0.3442413007933191</v>
      </c>
      <c r="M30" s="7">
        <v>0.38993315062397849</v>
      </c>
      <c r="N30" s="12">
        <v>0.57797557893012241</v>
      </c>
      <c r="O30" s="7">
        <v>1.0581375094277883</v>
      </c>
      <c r="P30" s="7">
        <v>0.47924873810744567</v>
      </c>
      <c r="Q30" s="8">
        <v>1.5849259690261031</v>
      </c>
      <c r="S30" s="11">
        <v>53.717199424711175</v>
      </c>
      <c r="T30" s="20">
        <v>40.940000000000005</v>
      </c>
      <c r="U30" s="20">
        <v>29.049999999999997</v>
      </c>
      <c r="V30" s="20">
        <v>29.504999999999999</v>
      </c>
      <c r="W30" s="20">
        <v>28.62</v>
      </c>
      <c r="X30" s="20">
        <v>29.0426</v>
      </c>
      <c r="Y30" s="22">
        <v>2.9992999999999999</v>
      </c>
      <c r="Z30" s="20">
        <v>58.504600000000003</v>
      </c>
      <c r="AA30" s="20">
        <v>17.564800000000002</v>
      </c>
      <c r="AB30" s="20">
        <v>4.6227999999999998</v>
      </c>
      <c r="AC30" s="20">
        <v>6.4084000000000003</v>
      </c>
      <c r="AD30" s="20">
        <v>7.2590000000000003</v>
      </c>
      <c r="AE30" s="23">
        <v>10.759600000000001</v>
      </c>
      <c r="AF30" s="20">
        <v>19.6983</v>
      </c>
      <c r="AG30" s="20">
        <v>8.9216999999999995</v>
      </c>
      <c r="AH30" s="22">
        <v>29.504999999999999</v>
      </c>
    </row>
    <row r="31" spans="1:52" ht="15.75" thickBot="1" x14ac:dyDescent="0.3">
      <c r="A31" s="94" t="s">
        <v>22</v>
      </c>
      <c r="B31" s="60"/>
      <c r="C31" s="15">
        <v>12.794305577989482</v>
      </c>
      <c r="D31" s="15">
        <v>1.1209698762927802</v>
      </c>
      <c r="E31" s="15">
        <v>40.439857862295312</v>
      </c>
      <c r="F31" s="15">
        <v>62.688753244152572</v>
      </c>
      <c r="G31" s="15"/>
      <c r="H31" s="16"/>
      <c r="I31" s="15">
        <v>4.7678307309736478</v>
      </c>
      <c r="J31" s="15">
        <v>-10.133713980633193</v>
      </c>
      <c r="K31" s="15">
        <v>-19.643771174143957</v>
      </c>
      <c r="L31" s="15">
        <v>-4.1755800414818696</v>
      </c>
      <c r="M31" s="15">
        <v>54.136125628954765</v>
      </c>
      <c r="N31" s="17">
        <v>-7.0714898033476112</v>
      </c>
      <c r="O31" s="15">
        <v>121.41645584757077</v>
      </c>
      <c r="P31" s="15">
        <v>2.6003993414169155</v>
      </c>
      <c r="Q31" s="16">
        <v>40.439857862295284</v>
      </c>
      <c r="S31" s="11"/>
      <c r="T31" s="15">
        <f>(T30-T29)/T29*100</f>
        <v>12.633432375921663</v>
      </c>
      <c r="U31" s="15">
        <f>(U30-U29)/U29*100</f>
        <v>0.97674580277381495</v>
      </c>
      <c r="V31" s="15">
        <f>(V30-V29)/V29*100</f>
        <v>40.23955511193499</v>
      </c>
      <c r="W31" s="15">
        <f>(W30-W29)/W29*100</f>
        <v>62.45671794289607</v>
      </c>
      <c r="X31" s="15"/>
      <c r="Y31" s="16"/>
      <c r="Z31" s="15">
        <f t="shared" ref="Z31:AH31" si="11">(Z30-Z29)/Z29*100</f>
        <v>4.6184053116936346</v>
      </c>
      <c r="AA31" s="15">
        <f t="shared" si="11"/>
        <v>-10.261886028998529</v>
      </c>
      <c r="AB31" s="15">
        <f t="shared" si="11"/>
        <v>-19.758379476141709</v>
      </c>
      <c r="AC31" s="15">
        <f t="shared" si="11"/>
        <v>-4.312249895478697</v>
      </c>
      <c r="AD31" s="15">
        <f t="shared" si="11"/>
        <v>53.91628853738181</v>
      </c>
      <c r="AE31" s="17">
        <f t="shared" si="11"/>
        <v>-7.2040293577348677</v>
      </c>
      <c r="AF31" s="15">
        <f t="shared" si="11"/>
        <v>121.10065999191846</v>
      </c>
      <c r="AG31" s="15">
        <f t="shared" si="11"/>
        <v>2.4540652273771171</v>
      </c>
      <c r="AH31" s="16">
        <f t="shared" si="11"/>
        <v>40.239555111934969</v>
      </c>
    </row>
    <row r="32" spans="1:52" x14ac:dyDescent="0.25">
      <c r="A32" s="29" t="s">
        <v>102</v>
      </c>
      <c r="B32" s="334" t="s">
        <v>103</v>
      </c>
      <c r="C32" s="7">
        <v>2.5035517514269663</v>
      </c>
      <c r="D32" s="7">
        <v>1.4027996003866927</v>
      </c>
      <c r="E32" s="7">
        <v>1.6603953600366486</v>
      </c>
      <c r="F32" s="7">
        <v>1.4481169014518165</v>
      </c>
      <c r="G32" s="7"/>
      <c r="H32" s="22">
        <v>12.786099999999999</v>
      </c>
      <c r="I32" s="7">
        <v>3.3521309434503572</v>
      </c>
      <c r="J32" s="48"/>
      <c r="K32" s="7">
        <v>0.38872569833873422</v>
      </c>
      <c r="L32" s="7">
        <v>0.27223986727504507</v>
      </c>
      <c r="M32" s="7">
        <v>0.28608964917359969</v>
      </c>
      <c r="N32" s="12">
        <v>0.45575966109405475</v>
      </c>
      <c r="O32" s="7">
        <v>0.71799917114529055</v>
      </c>
      <c r="P32" s="7">
        <v>0.7301075466433653</v>
      </c>
      <c r="Q32" s="8">
        <v>1.6604106355313895</v>
      </c>
      <c r="S32" s="11">
        <v>50.918315803509721</v>
      </c>
      <c r="T32" s="87">
        <v>49.168000000000006</v>
      </c>
      <c r="U32" s="20">
        <v>27.549999999999997</v>
      </c>
      <c r="V32" s="20">
        <v>32.609000000000002</v>
      </c>
      <c r="W32" s="20">
        <v>28.439999999999998</v>
      </c>
      <c r="X32" s="7"/>
      <c r="Y32" s="22">
        <v>12.786099999999999</v>
      </c>
      <c r="Z32" s="20">
        <v>65.833500000000001</v>
      </c>
      <c r="AA32" s="96"/>
      <c r="AB32" s="20">
        <v>7.6342999999999996</v>
      </c>
      <c r="AC32" s="20">
        <v>5.3465999999999996</v>
      </c>
      <c r="AD32" s="20">
        <v>5.6185999999999998</v>
      </c>
      <c r="AE32" s="23">
        <v>8.9507999999999992</v>
      </c>
      <c r="AF32" s="20">
        <v>14.101000000000001</v>
      </c>
      <c r="AG32" s="20">
        <v>14.338800000000001</v>
      </c>
      <c r="AH32" s="22">
        <v>32.609299999999998</v>
      </c>
    </row>
    <row r="33" spans="1:34" x14ac:dyDescent="0.25">
      <c r="A33" s="6" t="s">
        <v>104</v>
      </c>
      <c r="B33" s="334"/>
      <c r="C33" s="7">
        <v>1.8565197098080672</v>
      </c>
      <c r="D33" s="7">
        <v>1.7706502060382789</v>
      </c>
      <c r="E33" s="7">
        <v>2.1113600230590897</v>
      </c>
      <c r="F33" s="7">
        <v>1.7967819957090332</v>
      </c>
      <c r="G33" s="20">
        <v>4.6246</v>
      </c>
      <c r="H33" s="22">
        <v>14.8994</v>
      </c>
      <c r="I33" s="7">
        <v>3.4639901767031649</v>
      </c>
      <c r="J33" s="7">
        <v>1.6074593941028643</v>
      </c>
      <c r="K33" s="7">
        <v>0.42025675642534444</v>
      </c>
      <c r="L33" s="7">
        <v>0.37916008805118978</v>
      </c>
      <c r="M33" s="7">
        <v>0.52320050581899025</v>
      </c>
      <c r="N33" s="12">
        <v>0.44806053772333787</v>
      </c>
      <c r="O33" s="7">
        <v>1.2504891816873489</v>
      </c>
      <c r="P33" s="7">
        <v>0.54628174122945095</v>
      </c>
      <c r="Q33" s="8">
        <v>2.1113434138707392</v>
      </c>
      <c r="S33" s="11">
        <v>55.363961166852569</v>
      </c>
      <c r="T33" s="80">
        <v>33.533000000000001</v>
      </c>
      <c r="U33" s="20">
        <v>31.981999999999999</v>
      </c>
      <c r="V33" s="20">
        <v>38.136000000000003</v>
      </c>
      <c r="W33" s="20">
        <v>32.454000000000001</v>
      </c>
      <c r="X33" s="20">
        <v>4.6246</v>
      </c>
      <c r="Y33" s="22">
        <v>14.8994</v>
      </c>
      <c r="Z33" s="20">
        <v>62.567599999999999</v>
      </c>
      <c r="AA33" s="20">
        <v>29.034400000000002</v>
      </c>
      <c r="AB33" s="20">
        <v>7.5907999999999998</v>
      </c>
      <c r="AC33" s="20">
        <v>6.8484999999999996</v>
      </c>
      <c r="AD33" s="20">
        <v>9.4502000000000006</v>
      </c>
      <c r="AE33" s="23">
        <v>8.093</v>
      </c>
      <c r="AF33" s="20">
        <v>22.5867</v>
      </c>
      <c r="AG33" s="20">
        <v>9.8671000000000006</v>
      </c>
      <c r="AH33" s="22">
        <v>38.1357</v>
      </c>
    </row>
    <row r="34" spans="1:34" ht="15.75" thickBot="1" x14ac:dyDescent="0.3">
      <c r="A34" s="94" t="s">
        <v>22</v>
      </c>
      <c r="B34" s="335"/>
      <c r="C34" s="7">
        <v>-25.844564277535138</v>
      </c>
      <c r="D34" s="7">
        <v>26.222605534688299</v>
      </c>
      <c r="E34" s="7">
        <v>27.160077284995985</v>
      </c>
      <c r="F34" s="7">
        <v>24.077137274460426</v>
      </c>
      <c r="G34" s="15"/>
      <c r="H34" s="16"/>
      <c r="I34" s="7">
        <v>3.3369589416358139</v>
      </c>
      <c r="J34" s="48"/>
      <c r="K34" s="7">
        <v>8.1113901708484857</v>
      </c>
      <c r="L34" s="7">
        <v>39.274270093631351</v>
      </c>
      <c r="M34" s="7">
        <v>82.879914505928625</v>
      </c>
      <c r="N34" s="12">
        <v>-1.689294605897123</v>
      </c>
      <c r="O34" s="7">
        <v>74.163039727842033</v>
      </c>
      <c r="P34" s="7">
        <v>-25.177907865634968</v>
      </c>
      <c r="Q34" s="8">
        <v>27.157907127897641</v>
      </c>
      <c r="S34" s="11"/>
      <c r="T34" s="15">
        <f>(T33-T32)/T32*100</f>
        <v>-31.799137650504399</v>
      </c>
      <c r="U34" s="15">
        <f>(U33-U32)/U32*100</f>
        <v>16.087114337568067</v>
      </c>
      <c r="V34" s="15">
        <f>(V33-V32)/V32*100</f>
        <v>16.949308473120919</v>
      </c>
      <c r="W34" s="15">
        <f>(W33-W32)/W32*100</f>
        <v>14.113924050632923</v>
      </c>
      <c r="X34" s="15"/>
      <c r="Y34" s="16"/>
      <c r="Z34" s="15">
        <f>(Z33-Z32)/Z32*100</f>
        <v>-4.960848200384306</v>
      </c>
      <c r="AA34" s="15"/>
      <c r="AB34" s="15">
        <f t="shared" ref="AB34:AH34" si="12">(AB33-AB32)/AB32*100</f>
        <v>-0.56979683795501712</v>
      </c>
      <c r="AC34" s="15">
        <f t="shared" si="12"/>
        <v>28.090749261212739</v>
      </c>
      <c r="AD34" s="15">
        <f t="shared" si="12"/>
        <v>68.194924002420549</v>
      </c>
      <c r="AE34" s="17">
        <f t="shared" si="12"/>
        <v>-9.5835009161192222</v>
      </c>
      <c r="AF34" s="15">
        <f t="shared" si="12"/>
        <v>60.17800156017303</v>
      </c>
      <c r="AG34" s="15">
        <f t="shared" si="12"/>
        <v>-31.186012776522443</v>
      </c>
      <c r="AH34" s="16">
        <f t="shared" si="12"/>
        <v>16.947312576473593</v>
      </c>
    </row>
    <row r="35" spans="1:34" ht="21.75" customHeight="1" x14ac:dyDescent="0.25">
      <c r="A35" s="29" t="s">
        <v>105</v>
      </c>
      <c r="B35" s="65"/>
      <c r="C35" s="30">
        <v>3.6820528513932294</v>
      </c>
      <c r="D35" s="31">
        <v>3.3751605583801707</v>
      </c>
      <c r="E35" s="31">
        <v>1.0763416116886073</v>
      </c>
      <c r="F35" s="31">
        <v>0.83346098443793082</v>
      </c>
      <c r="G35" s="20">
        <v>8.3351000000000006</v>
      </c>
      <c r="H35" s="22">
        <v>22.5626</v>
      </c>
      <c r="I35" s="31">
        <v>4.5138044333931875</v>
      </c>
      <c r="J35" s="31">
        <v>0.83178067821166835</v>
      </c>
      <c r="K35" s="31">
        <v>0.74413561448769716</v>
      </c>
      <c r="L35" s="31">
        <v>0.63058764828874359</v>
      </c>
      <c r="M35" s="31">
        <v>0.66871823373492634</v>
      </c>
      <c r="N35" s="28">
        <v>1.3316899656570935</v>
      </c>
      <c r="O35" s="31">
        <v>0.59877821483659588</v>
      </c>
      <c r="P35" s="31">
        <v>0.23469004365426255</v>
      </c>
      <c r="Q35" s="27">
        <v>1.0763197895298247</v>
      </c>
      <c r="S35" s="11">
        <v>72.74052927543471</v>
      </c>
      <c r="T35" s="80">
        <v>50.619</v>
      </c>
      <c r="U35" s="20">
        <v>46.4</v>
      </c>
      <c r="V35" s="20">
        <v>14.797000000000001</v>
      </c>
      <c r="W35" s="20">
        <v>11.457999999999998</v>
      </c>
      <c r="X35" s="20">
        <v>8.3351000000000006</v>
      </c>
      <c r="Y35" s="22">
        <v>22.5626</v>
      </c>
      <c r="Z35" s="20">
        <v>62.0535</v>
      </c>
      <c r="AA35" s="20">
        <v>11.434900000000001</v>
      </c>
      <c r="AB35" s="20">
        <v>10.23</v>
      </c>
      <c r="AC35" s="20">
        <v>8.6690000000000005</v>
      </c>
      <c r="AD35" s="20">
        <v>9.1931999999999992</v>
      </c>
      <c r="AE35" s="23">
        <v>18.307400000000001</v>
      </c>
      <c r="AF35" s="20">
        <v>8.2317</v>
      </c>
      <c r="AG35" s="20">
        <v>3.2263999999999999</v>
      </c>
      <c r="AH35" s="22">
        <v>14.7967</v>
      </c>
    </row>
    <row r="36" spans="1:34" ht="19.5" customHeight="1" x14ac:dyDescent="0.25">
      <c r="A36" s="6" t="s">
        <v>106</v>
      </c>
      <c r="B36" s="68"/>
      <c r="C36" s="32">
        <v>4.4475362310441167</v>
      </c>
      <c r="D36" s="33">
        <v>3.4349306403638615</v>
      </c>
      <c r="E36" s="33">
        <v>1.2117189015399787</v>
      </c>
      <c r="F36" s="33">
        <v>1.06991239059238</v>
      </c>
      <c r="G36" s="20">
        <v>22.767600000000002</v>
      </c>
      <c r="H36" s="22">
        <v>11.7028</v>
      </c>
      <c r="I36" s="33">
        <v>5.3304365039621011</v>
      </c>
      <c r="J36" s="33">
        <v>0.88292113704416542</v>
      </c>
      <c r="K36" s="33">
        <v>0.69492840543923418</v>
      </c>
      <c r="L36" s="33">
        <v>0.60315406907510882</v>
      </c>
      <c r="M36" s="33">
        <v>0.86480412080981062</v>
      </c>
      <c r="N36" s="12">
        <v>1.2720370903309806</v>
      </c>
      <c r="O36" s="33">
        <v>0.93389219730581097</v>
      </c>
      <c r="P36" s="33">
        <v>0.13602714799529617</v>
      </c>
      <c r="Q36" s="8">
        <v>1.2117189015399787</v>
      </c>
      <c r="S36" s="11">
        <v>69.547087271995579</v>
      </c>
      <c r="T36" s="20">
        <v>63.949999999999996</v>
      </c>
      <c r="U36" s="20">
        <v>49.39</v>
      </c>
      <c r="V36" s="20">
        <v>17.422999999999998</v>
      </c>
      <c r="W36" s="20">
        <v>15.384</v>
      </c>
      <c r="X36" s="20">
        <v>22.767600000000002</v>
      </c>
      <c r="Y36" s="22">
        <v>11.7028</v>
      </c>
      <c r="Z36" s="20">
        <v>76.644999999999996</v>
      </c>
      <c r="AA36" s="20">
        <v>12.6953</v>
      </c>
      <c r="AB36" s="20">
        <v>9.9922000000000004</v>
      </c>
      <c r="AC36" s="20">
        <v>8.6725999999999992</v>
      </c>
      <c r="AD36" s="20">
        <v>12.434799999999999</v>
      </c>
      <c r="AE36" s="23">
        <v>18.290299999999998</v>
      </c>
      <c r="AF36" s="20">
        <v>13.4282</v>
      </c>
      <c r="AG36" s="20">
        <v>1.9559</v>
      </c>
      <c r="AH36" s="22">
        <v>17.422999999999998</v>
      </c>
    </row>
    <row r="37" spans="1:34" ht="18.75" customHeight="1" thickBot="1" x14ac:dyDescent="0.3">
      <c r="A37" s="94" t="s">
        <v>22</v>
      </c>
      <c r="B37" s="60"/>
      <c r="C37" s="24">
        <v>20.789581533606739</v>
      </c>
      <c r="D37" s="15">
        <v>1.7708811462402274</v>
      </c>
      <c r="E37" s="15">
        <v>12.577539359366233</v>
      </c>
      <c r="F37" s="15">
        <v>28.369823011440324</v>
      </c>
      <c r="G37" s="15"/>
      <c r="H37" s="16"/>
      <c r="I37" s="15">
        <v>18.091879757294276</v>
      </c>
      <c r="J37" s="15">
        <v>6.1483105068573192</v>
      </c>
      <c r="K37" s="15">
        <v>-6.6126668433064948</v>
      </c>
      <c r="L37" s="15">
        <v>-4.3504783653918055</v>
      </c>
      <c r="M37" s="15">
        <v>29.322646995836347</v>
      </c>
      <c r="N37" s="17">
        <v>-4.4794867322348972</v>
      </c>
      <c r="O37" s="15">
        <v>55.966295059793772</v>
      </c>
      <c r="P37" s="15">
        <v>-42.039659681649397</v>
      </c>
      <c r="Q37" s="16">
        <v>12.579821845448119</v>
      </c>
      <c r="S37" s="11"/>
      <c r="T37" s="15">
        <f>(T36-T35)/T35*100</f>
        <v>26.335960805231228</v>
      </c>
      <c r="U37" s="15">
        <f>(U36-U35)/U35*100</f>
        <v>6.4439655172413834</v>
      </c>
      <c r="V37" s="15">
        <f>(V36-V35)/V35*100</f>
        <v>17.746840575792376</v>
      </c>
      <c r="W37" s="15">
        <f>(W36-W35)/W35*100</f>
        <v>34.264269506022018</v>
      </c>
      <c r="X37" s="15"/>
      <c r="Y37" s="16"/>
      <c r="Z37" s="15">
        <f t="shared" ref="Z37:AH37" si="13">(Z36-Z35)/Z35*100</f>
        <v>23.514386779150243</v>
      </c>
      <c r="AA37" s="15">
        <f t="shared" si="13"/>
        <v>11.022396348022271</v>
      </c>
      <c r="AB37" s="15">
        <f t="shared" si="13"/>
        <v>-2.3245356793743892</v>
      </c>
      <c r="AC37" s="15">
        <f t="shared" si="13"/>
        <v>4.1527281116607626E-2</v>
      </c>
      <c r="AD37" s="15">
        <f t="shared" si="13"/>
        <v>35.260844972370883</v>
      </c>
      <c r="AE37" s="17">
        <f t="shared" si="13"/>
        <v>-9.3404852682536996E-2</v>
      </c>
      <c r="AF37" s="15">
        <f t="shared" si="13"/>
        <v>63.127907965547827</v>
      </c>
      <c r="AG37" s="15">
        <f t="shared" si="13"/>
        <v>-39.378254401190183</v>
      </c>
      <c r="AH37" s="16">
        <f t="shared" si="13"/>
        <v>17.74922786837605</v>
      </c>
    </row>
    <row r="38" spans="1:34" x14ac:dyDescent="0.25">
      <c r="A38" s="29" t="s">
        <v>107</v>
      </c>
      <c r="B38" s="65"/>
      <c r="C38" s="7">
        <v>2.8379647204213714</v>
      </c>
      <c r="D38" s="7">
        <v>2.2459886623325627</v>
      </c>
      <c r="E38" s="7">
        <v>1.5470122369366219</v>
      </c>
      <c r="F38" s="7">
        <v>1.3423682443985661</v>
      </c>
      <c r="G38" s="20">
        <v>20.858699999999999</v>
      </c>
      <c r="H38" s="22">
        <v>13.228400000000001</v>
      </c>
      <c r="I38" s="7">
        <v>3.5776476058993505</v>
      </c>
      <c r="J38" s="7">
        <v>0.73969214957904417</v>
      </c>
      <c r="K38" s="7">
        <v>0.14217615905303516</v>
      </c>
      <c r="L38" s="7">
        <v>0.29106879137859593</v>
      </c>
      <c r="M38" s="7">
        <v>0.21802135447671397</v>
      </c>
      <c r="N38" s="12">
        <v>1.5947316215252831</v>
      </c>
      <c r="O38" s="7">
        <v>0.27823801140280563</v>
      </c>
      <c r="P38" s="7">
        <v>1.0641580252989571</v>
      </c>
      <c r="Q38" s="8">
        <v>1.5470492933408844</v>
      </c>
      <c r="S38" s="11">
        <v>92.641010655525605</v>
      </c>
      <c r="T38" s="20">
        <v>30.634</v>
      </c>
      <c r="U38" s="20">
        <v>24.244</v>
      </c>
      <c r="V38" s="20">
        <v>16.698999999999998</v>
      </c>
      <c r="W38" s="20">
        <v>14.49</v>
      </c>
      <c r="X38" s="20">
        <v>20.858699999999999</v>
      </c>
      <c r="Y38" s="22">
        <v>13.228400000000001</v>
      </c>
      <c r="Z38" s="20">
        <v>38.618400000000001</v>
      </c>
      <c r="AA38" s="20">
        <v>7.9844999999999997</v>
      </c>
      <c r="AB38" s="20">
        <v>1.5347</v>
      </c>
      <c r="AC38" s="20">
        <v>3.1419000000000001</v>
      </c>
      <c r="AD38" s="20">
        <v>2.3534000000000002</v>
      </c>
      <c r="AE38" s="23">
        <v>17.214099999999998</v>
      </c>
      <c r="AF38" s="20">
        <v>3.0034000000000001</v>
      </c>
      <c r="AG38" s="20">
        <v>11.4869</v>
      </c>
      <c r="AH38" s="22">
        <v>16.699400000000001</v>
      </c>
    </row>
    <row r="39" spans="1:34" x14ac:dyDescent="0.25">
      <c r="A39" s="6" t="s">
        <v>108</v>
      </c>
      <c r="B39" s="68"/>
      <c r="C39" s="7">
        <v>3.0556183682874267</v>
      </c>
      <c r="D39" s="7">
        <v>2.3250606661023796</v>
      </c>
      <c r="E39" s="7">
        <v>1.5431785607675221</v>
      </c>
      <c r="F39" s="7">
        <v>1.4065308304212942</v>
      </c>
      <c r="G39" s="20">
        <v>23.9085</v>
      </c>
      <c r="H39" s="22">
        <v>8.8500999999999994</v>
      </c>
      <c r="I39" s="7">
        <v>3.9228517451398357</v>
      </c>
      <c r="J39" s="7">
        <v>0.86724269162612044</v>
      </c>
      <c r="K39" s="7">
        <v>0.17369258539646276</v>
      </c>
      <c r="L39" s="7">
        <v>0.28180916386467442</v>
      </c>
      <c r="M39" s="7">
        <v>0.69872912041319568</v>
      </c>
      <c r="N39" s="12">
        <v>1.1708204816543351</v>
      </c>
      <c r="O39" s="7">
        <v>0.71088490010657179</v>
      </c>
      <c r="P39" s="7">
        <v>0.69569250418327955</v>
      </c>
      <c r="Q39" s="8">
        <v>1.543150616446388</v>
      </c>
      <c r="S39" s="11">
        <v>93.147737113993003</v>
      </c>
      <c r="T39" s="20">
        <v>32.804000000000002</v>
      </c>
      <c r="U39" s="20">
        <v>24.961000000000002</v>
      </c>
      <c r="V39" s="20">
        <v>16.567</v>
      </c>
      <c r="W39" s="20">
        <v>15.1</v>
      </c>
      <c r="X39" s="20">
        <v>23.9085</v>
      </c>
      <c r="Y39" s="22">
        <v>8.8500999999999994</v>
      </c>
      <c r="Z39" s="20">
        <v>42.1143</v>
      </c>
      <c r="AA39" s="20">
        <v>9.3103999999999996</v>
      </c>
      <c r="AB39" s="20">
        <v>1.8647</v>
      </c>
      <c r="AC39" s="20">
        <v>3.0253999999999999</v>
      </c>
      <c r="AD39" s="20">
        <v>7.5012999999999996</v>
      </c>
      <c r="AE39" s="23">
        <v>12.5695</v>
      </c>
      <c r="AF39" s="20">
        <v>7.6318000000000001</v>
      </c>
      <c r="AG39" s="20">
        <v>7.4687000000000001</v>
      </c>
      <c r="AH39" s="22">
        <v>16.566700000000001</v>
      </c>
    </row>
    <row r="40" spans="1:34" ht="15.75" thickBot="1" x14ac:dyDescent="0.3">
      <c r="A40" s="94" t="s">
        <v>22</v>
      </c>
      <c r="B40" s="60"/>
      <c r="C40" s="7">
        <v>7.6693570677558967</v>
      </c>
      <c r="D40" s="7">
        <v>3.520587841600991</v>
      </c>
      <c r="E40" s="7">
        <v>-0.24781162537480667</v>
      </c>
      <c r="F40" s="7">
        <v>4.7798051161047503</v>
      </c>
      <c r="G40" s="15"/>
      <c r="H40" s="16"/>
      <c r="I40" s="7">
        <v>9.6489139587493735</v>
      </c>
      <c r="J40" s="7">
        <v>17.243733372006826</v>
      </c>
      <c r="K40" s="7">
        <v>22.167166811470278</v>
      </c>
      <c r="L40" s="7">
        <v>-3.1812505456407467</v>
      </c>
      <c r="M40" s="7">
        <v>220.4865514620148</v>
      </c>
      <c r="N40" s="12">
        <v>-26.581973678147659</v>
      </c>
      <c r="O40" s="7">
        <v>155.49524902168113</v>
      </c>
      <c r="P40" s="7">
        <v>-34.625075633119756</v>
      </c>
      <c r="Q40" s="8">
        <v>-0.25200728323770077</v>
      </c>
      <c r="S40" s="11"/>
      <c r="T40" s="15">
        <f>(T39-T38)/T38*100</f>
        <v>7.0836325651237235</v>
      </c>
      <c r="U40" s="15">
        <f>(U39-U38)/U38*100</f>
        <v>2.9574327668701628</v>
      </c>
      <c r="V40" s="15">
        <f>(V39-V38)/V38*100</f>
        <v>-0.79046649499968802</v>
      </c>
      <c r="W40" s="15">
        <f>(W39-W38)/W38*100</f>
        <v>4.2097998619737709</v>
      </c>
      <c r="X40" s="15"/>
      <c r="Y40" s="16"/>
      <c r="Z40" s="15">
        <f t="shared" ref="Z40:AH40" si="14">(Z39-Z38)/Z38*100</f>
        <v>9.0524206077931719</v>
      </c>
      <c r="AA40" s="15">
        <f t="shared" si="14"/>
        <v>16.605923977706805</v>
      </c>
      <c r="AB40" s="15">
        <f t="shared" si="14"/>
        <v>21.502573792923705</v>
      </c>
      <c r="AC40" s="15">
        <f t="shared" si="14"/>
        <v>-3.7079474203507519</v>
      </c>
      <c r="AD40" s="15">
        <f t="shared" si="14"/>
        <v>218.74309509645619</v>
      </c>
      <c r="AE40" s="17">
        <f t="shared" si="14"/>
        <v>-26.981369923492949</v>
      </c>
      <c r="AF40" s="15">
        <f t="shared" si="14"/>
        <v>154.1053472730905</v>
      </c>
      <c r="AG40" s="15">
        <f t="shared" si="14"/>
        <v>-34.980717164770304</v>
      </c>
      <c r="AH40" s="16">
        <f t="shared" si="14"/>
        <v>-0.79463932835910167</v>
      </c>
    </row>
    <row r="41" spans="1:34" x14ac:dyDescent="0.25">
      <c r="A41" s="29" t="s">
        <v>109</v>
      </c>
      <c r="B41" s="65"/>
      <c r="C41" s="30">
        <v>1.7201291850442073</v>
      </c>
      <c r="D41" s="31">
        <v>1.5371409875917035</v>
      </c>
      <c r="E41" s="31">
        <v>0.80525507943280283</v>
      </c>
      <c r="F41" s="31">
        <v>0.72941128706762037</v>
      </c>
      <c r="G41" s="20">
        <v>10.6378</v>
      </c>
      <c r="H41" s="22">
        <v>9.4221000000000004</v>
      </c>
      <c r="I41" s="31">
        <v>3.5476167964593066</v>
      </c>
      <c r="J41" s="31">
        <v>1.8274541705895413</v>
      </c>
      <c r="K41" s="31">
        <v>0.2490204515990162</v>
      </c>
      <c r="L41" s="31">
        <v>0.30586985504734532</v>
      </c>
      <c r="M41" s="31">
        <v>0.34617273800965487</v>
      </c>
      <c r="N41" s="28">
        <v>0.63611138376124488</v>
      </c>
      <c r="O41" s="31">
        <v>0.46131618857041184</v>
      </c>
      <c r="P41" s="31">
        <v>0.26808172216698539</v>
      </c>
      <c r="Q41" s="27">
        <v>0.80526845576302619</v>
      </c>
      <c r="S41" s="11">
        <v>66.881651115681308</v>
      </c>
      <c r="T41" s="20">
        <v>25.718999999999998</v>
      </c>
      <c r="U41" s="20">
        <v>22.982999999999997</v>
      </c>
      <c r="V41" s="20">
        <v>12.04</v>
      </c>
      <c r="W41" s="20">
        <v>10.906000000000001</v>
      </c>
      <c r="X41" s="20">
        <v>10.6378</v>
      </c>
      <c r="Y41" s="22">
        <v>9.4221000000000004</v>
      </c>
      <c r="Z41" s="20">
        <v>53.043199999999999</v>
      </c>
      <c r="AA41" s="20">
        <v>27.323699999999999</v>
      </c>
      <c r="AB41" s="20">
        <v>3.7233000000000001</v>
      </c>
      <c r="AC41" s="20">
        <v>4.5732999999999997</v>
      </c>
      <c r="AD41" s="20">
        <v>5.1759000000000004</v>
      </c>
      <c r="AE41" s="23">
        <v>9.5109999999999992</v>
      </c>
      <c r="AF41" s="20">
        <v>6.8975</v>
      </c>
      <c r="AG41" s="20">
        <v>4.0083000000000002</v>
      </c>
      <c r="AH41" s="22">
        <v>12.0402</v>
      </c>
    </row>
    <row r="42" spans="1:34" ht="15" customHeight="1" x14ac:dyDescent="0.25">
      <c r="A42" s="6" t="s">
        <v>110</v>
      </c>
      <c r="B42" s="68"/>
      <c r="C42" s="32">
        <v>2.5297637810488594</v>
      </c>
      <c r="D42" s="33">
        <v>2.0570551903078238</v>
      </c>
      <c r="E42" s="33">
        <v>1.3747834177859526</v>
      </c>
      <c r="F42" s="33">
        <v>1.0985644606077096</v>
      </c>
      <c r="G42" s="20">
        <v>18.685500000000001</v>
      </c>
      <c r="H42" s="22">
        <v>20.093</v>
      </c>
      <c r="I42" s="33">
        <v>3.828417931107976</v>
      </c>
      <c r="J42" s="33">
        <v>1.29867991074526</v>
      </c>
      <c r="K42" s="33">
        <v>0.26459444755579642</v>
      </c>
      <c r="L42" s="33">
        <v>0.33343988127543778</v>
      </c>
      <c r="M42" s="33">
        <v>0.70396227025505642</v>
      </c>
      <c r="N42" s="12">
        <v>0.75505215104999701</v>
      </c>
      <c r="O42" s="33">
        <v>0.83964380417511286</v>
      </c>
      <c r="P42" s="33">
        <v>0.25890777608952481</v>
      </c>
      <c r="Q42" s="8">
        <v>1.3747898579574886</v>
      </c>
      <c r="S42" s="11">
        <v>64.401715359814148</v>
      </c>
      <c r="T42" s="20">
        <v>39.280999999999999</v>
      </c>
      <c r="U42" s="20">
        <v>31.941000000000003</v>
      </c>
      <c r="V42" s="20">
        <v>21.347000000000001</v>
      </c>
      <c r="W42" s="20">
        <v>17.058</v>
      </c>
      <c r="X42" s="20">
        <v>18.685500000000001</v>
      </c>
      <c r="Y42" s="22">
        <v>20.093</v>
      </c>
      <c r="Z42" s="20">
        <v>59.445900000000002</v>
      </c>
      <c r="AA42" s="20">
        <v>20.165299999999998</v>
      </c>
      <c r="AB42" s="20">
        <v>4.1085000000000003</v>
      </c>
      <c r="AC42" s="20">
        <v>5.1775000000000002</v>
      </c>
      <c r="AD42" s="20">
        <v>10.9308</v>
      </c>
      <c r="AE42" s="23">
        <v>11.7241</v>
      </c>
      <c r="AF42" s="20">
        <v>13.037599999999999</v>
      </c>
      <c r="AG42" s="20">
        <v>4.0202</v>
      </c>
      <c r="AH42" s="22">
        <v>21.347100000000001</v>
      </c>
    </row>
    <row r="43" spans="1:34" ht="15.75" thickBot="1" x14ac:dyDescent="0.3">
      <c r="A43" s="94" t="s">
        <v>22</v>
      </c>
      <c r="B43" s="60"/>
      <c r="C43" s="24">
        <v>47.068243655423146</v>
      </c>
      <c r="D43" s="15">
        <v>33.823455812644063</v>
      </c>
      <c r="E43" s="15">
        <v>70.726450897311722</v>
      </c>
      <c r="F43" s="15">
        <v>50.609742416265455</v>
      </c>
      <c r="G43" s="15"/>
      <c r="H43" s="16"/>
      <c r="I43" s="15">
        <v>7.9152047912537382</v>
      </c>
      <c r="J43" s="15">
        <v>-28.935021646736971</v>
      </c>
      <c r="K43" s="15">
        <v>6.2541031697501523</v>
      </c>
      <c r="L43" s="15">
        <v>9.0136460893882209</v>
      </c>
      <c r="M43" s="15">
        <v>103.35577963260143</v>
      </c>
      <c r="N43" s="17">
        <v>18.698103873801262</v>
      </c>
      <c r="O43" s="15">
        <v>82.010478924902486</v>
      </c>
      <c r="P43" s="15">
        <v>-3.4220707041512601</v>
      </c>
      <c r="Q43" s="16">
        <v>70.72441471146621</v>
      </c>
      <c r="S43" s="11"/>
      <c r="T43" s="15">
        <f>(T42-T41)/T41*100</f>
        <v>52.731443679769832</v>
      </c>
      <c r="U43" s="15">
        <f>(U42-U41)/U41*100</f>
        <v>38.976634904059551</v>
      </c>
      <c r="V43" s="15">
        <f>(V42-V41)/V41*100</f>
        <v>77.300664451827259</v>
      </c>
      <c r="W43" s="15">
        <f>(W42-W41)/W41*100</f>
        <v>56.409315972858963</v>
      </c>
      <c r="X43" s="15"/>
      <c r="Y43" s="16"/>
      <c r="Z43" s="15">
        <f t="shared" ref="Z43:AH43" si="15">(Z42-Z41)/Z41*100</f>
        <v>12.070727256274138</v>
      </c>
      <c r="AA43" s="15">
        <f t="shared" si="15"/>
        <v>-26.198501667050948</v>
      </c>
      <c r="AB43" s="15">
        <f t="shared" si="15"/>
        <v>10.345661107082432</v>
      </c>
      <c r="AC43" s="15">
        <f t="shared" si="15"/>
        <v>13.211466555878697</v>
      </c>
      <c r="AD43" s="15">
        <f t="shared" si="15"/>
        <v>111.18646032574043</v>
      </c>
      <c r="AE43" s="17">
        <f t="shared" si="15"/>
        <v>23.268846598675228</v>
      </c>
      <c r="AF43" s="15">
        <f t="shared" si="15"/>
        <v>89.01920985864443</v>
      </c>
      <c r="AG43" s="15">
        <f t="shared" si="15"/>
        <v>0.29688396577102011</v>
      </c>
      <c r="AH43" s="16">
        <f t="shared" si="15"/>
        <v>77.298549857975786</v>
      </c>
    </row>
    <row r="44" spans="1:34" x14ac:dyDescent="0.25">
      <c r="A44" s="29" t="s">
        <v>111</v>
      </c>
      <c r="B44" s="336" t="s">
        <v>112</v>
      </c>
      <c r="C44" s="7">
        <v>2.1223945881736328</v>
      </c>
      <c r="D44" s="7">
        <v>1.8527752688623123</v>
      </c>
      <c r="E44" s="7">
        <v>1.3809027735380428</v>
      </c>
      <c r="F44" s="7">
        <v>1.2808851993760668</v>
      </c>
      <c r="G44" s="20"/>
      <c r="H44" s="22">
        <v>7.2424999999999997</v>
      </c>
      <c r="I44" s="7">
        <v>3.0711636694479458</v>
      </c>
      <c r="J44" s="7">
        <v>0.94876392307038526</v>
      </c>
      <c r="K44" s="48"/>
      <c r="L44" s="7">
        <v>0.48285431148676805</v>
      </c>
      <c r="M44" s="7">
        <v>0.47740208993497801</v>
      </c>
      <c r="N44" s="12">
        <v>0.8925240256444944</v>
      </c>
      <c r="O44" s="7">
        <v>0.77635095678033605</v>
      </c>
      <c r="P44" s="7">
        <v>0.50453424259573065</v>
      </c>
      <c r="Q44" s="8">
        <v>1.3808976153341153</v>
      </c>
      <c r="S44" s="11">
        <v>51.582039278997534</v>
      </c>
      <c r="T44" s="20">
        <v>41.146000000000001</v>
      </c>
      <c r="U44" s="20">
        <v>35.918999999999997</v>
      </c>
      <c r="V44" s="20">
        <v>26.770999999999997</v>
      </c>
      <c r="W44" s="20">
        <v>24.832000000000001</v>
      </c>
      <c r="X44" s="20">
        <v>12.703200000000001</v>
      </c>
      <c r="Y44" s="22">
        <v>7.2424999999999997</v>
      </c>
      <c r="Z44" s="20">
        <v>59.539400000000001</v>
      </c>
      <c r="AA44" s="20">
        <v>18.3933</v>
      </c>
      <c r="AB44" s="48"/>
      <c r="AC44" s="20">
        <v>9.3609000000000009</v>
      </c>
      <c r="AD44" s="20">
        <v>9.2552000000000003</v>
      </c>
      <c r="AE44" s="23">
        <v>17.303000000000001</v>
      </c>
      <c r="AF44" s="20">
        <v>15.050800000000001</v>
      </c>
      <c r="AG44" s="20">
        <v>9.7812000000000001</v>
      </c>
      <c r="AH44" s="22">
        <v>26.770900000000001</v>
      </c>
    </row>
    <row r="45" spans="1:34" x14ac:dyDescent="0.25">
      <c r="A45" s="6" t="s">
        <v>113</v>
      </c>
      <c r="B45" s="337"/>
      <c r="C45" s="7">
        <v>2.88781961864477</v>
      </c>
      <c r="D45" s="7">
        <v>2.3152351639131963</v>
      </c>
      <c r="E45" s="7">
        <v>1.4077623511193023</v>
      </c>
      <c r="F45" s="7">
        <v>1.3751833307644514</v>
      </c>
      <c r="G45" s="20"/>
      <c r="H45" s="22">
        <v>2.3172999999999999</v>
      </c>
      <c r="I45" s="7">
        <v>3.5455072300591399</v>
      </c>
      <c r="J45" s="7">
        <v>0.65768761141437038</v>
      </c>
      <c r="K45" s="48"/>
      <c r="L45" s="7">
        <v>0.52348710833727374</v>
      </c>
      <c r="M45" s="7">
        <v>0.80807411273131002</v>
      </c>
      <c r="N45" s="12">
        <v>0.98366849484789742</v>
      </c>
      <c r="O45" s="7">
        <v>0.98952509131637001</v>
      </c>
      <c r="P45" s="7">
        <v>0.38564189545793703</v>
      </c>
      <c r="Q45" s="8">
        <v>1.4077895911028766</v>
      </c>
      <c r="S45" s="11">
        <v>54.47996714857981</v>
      </c>
      <c r="T45" s="20">
        <v>53.006999999999998</v>
      </c>
      <c r="U45" s="20">
        <v>42.497</v>
      </c>
      <c r="V45" s="20">
        <v>25.84</v>
      </c>
      <c r="W45" s="20">
        <v>25.242000000000001</v>
      </c>
      <c r="X45" s="20">
        <v>19.8278</v>
      </c>
      <c r="Y45" s="22">
        <v>2.3172999999999999</v>
      </c>
      <c r="Z45" s="20">
        <v>65.079099999999997</v>
      </c>
      <c r="AA45" s="20">
        <v>12.072100000000001</v>
      </c>
      <c r="AB45" s="48"/>
      <c r="AC45" s="20">
        <v>9.6088000000000005</v>
      </c>
      <c r="AD45" s="20">
        <v>14.8325</v>
      </c>
      <c r="AE45" s="23">
        <v>18.055599999999998</v>
      </c>
      <c r="AF45" s="20">
        <v>18.1631</v>
      </c>
      <c r="AG45" s="20">
        <v>7.0785999999999998</v>
      </c>
      <c r="AH45" s="22">
        <v>25.840499999999999</v>
      </c>
    </row>
    <row r="46" spans="1:34" ht="15.75" thickBot="1" x14ac:dyDescent="0.3">
      <c r="A46" s="94" t="s">
        <v>22</v>
      </c>
      <c r="B46" s="338"/>
      <c r="C46" s="7">
        <v>36.064218912742433</v>
      </c>
      <c r="D46" s="7">
        <v>24.960387955461822</v>
      </c>
      <c r="E46" s="7">
        <v>1.9450737659423993</v>
      </c>
      <c r="F46" s="7">
        <v>7.3619502695728132</v>
      </c>
      <c r="G46" s="15"/>
      <c r="H46" s="16"/>
      <c r="I46" s="7">
        <v>15.44507592773326</v>
      </c>
      <c r="J46" s="7">
        <v>-30.679529920787367</v>
      </c>
      <c r="K46" s="48"/>
      <c r="L46" s="7">
        <v>8.415125615300461</v>
      </c>
      <c r="M46" s="7">
        <v>69.264887977631062</v>
      </c>
      <c r="N46" s="12">
        <v>10.211990555390072</v>
      </c>
      <c r="O46" s="7">
        <v>27.458475148933232</v>
      </c>
      <c r="P46" s="7">
        <v>-23.564772635870181</v>
      </c>
      <c r="Q46" s="8">
        <v>1.9474272002602231</v>
      </c>
      <c r="S46" s="11"/>
      <c r="T46" s="15">
        <f>(T45-T44)/T44*100</f>
        <v>28.826617411169973</v>
      </c>
      <c r="U46" s="15">
        <f>(U45-U44)/U44*100</f>
        <v>18.313427433948618</v>
      </c>
      <c r="V46" s="15">
        <f>(V45-V44)/V44*100</f>
        <v>-3.4776437189496003</v>
      </c>
      <c r="W46" s="15">
        <f>(W45-W44)/W44*100</f>
        <v>1.6510953608247427</v>
      </c>
      <c r="X46" s="15"/>
      <c r="Y46" s="16"/>
      <c r="Z46" s="15">
        <f>(Z45-Z44)/Z44*100</f>
        <v>9.3042590284752542</v>
      </c>
      <c r="AA46" s="15">
        <f>(AA45-AA44)/AA44*100</f>
        <v>-34.366861846433203</v>
      </c>
      <c r="AB46" s="48"/>
      <c r="AC46" s="15">
        <f t="shared" ref="AC46:AH46" si="16">(AC45-AC44)/AC44*100</f>
        <v>2.6482496341163726</v>
      </c>
      <c r="AD46" s="15">
        <f t="shared" si="16"/>
        <v>60.261258535742058</v>
      </c>
      <c r="AE46" s="17">
        <f t="shared" si="16"/>
        <v>4.3495347627578891</v>
      </c>
      <c r="AF46" s="15">
        <f t="shared" si="16"/>
        <v>20.678635022723039</v>
      </c>
      <c r="AG46" s="15">
        <f t="shared" si="16"/>
        <v>-27.630556577925002</v>
      </c>
      <c r="AH46" s="16">
        <f t="shared" si="16"/>
        <v>-3.4754154697824959</v>
      </c>
    </row>
    <row r="47" spans="1:34" x14ac:dyDescent="0.25">
      <c r="A47" t="s">
        <v>114</v>
      </c>
      <c r="B47" s="337" t="s">
        <v>115</v>
      </c>
      <c r="C47" s="30">
        <v>2.6246828907360995</v>
      </c>
      <c r="D47" s="31">
        <v>2.1712607947157418</v>
      </c>
      <c r="E47" s="31">
        <v>1.1489436774059647</v>
      </c>
      <c r="F47" s="31">
        <v>1.1581290237341857</v>
      </c>
      <c r="G47" s="20">
        <v>17.2758</v>
      </c>
      <c r="H47" s="22">
        <v>-0.80030000000000001</v>
      </c>
      <c r="I47" s="31">
        <v>3.5279185538621558</v>
      </c>
      <c r="J47" s="31">
        <v>0.90323566312605663</v>
      </c>
      <c r="K47" s="31">
        <v>0.47856847272151271</v>
      </c>
      <c r="L47" s="31">
        <v>0.4108354903167879</v>
      </c>
      <c r="M47" s="31">
        <v>0.23648688088807091</v>
      </c>
      <c r="N47" s="28">
        <v>1.0453580217681648</v>
      </c>
      <c r="O47" s="31">
        <v>0.48284502682367786</v>
      </c>
      <c r="P47" s="31">
        <v>0.67526610337869952</v>
      </c>
      <c r="Q47" s="27">
        <v>1.1489198193635539</v>
      </c>
      <c r="S47" s="11">
        <v>59.645106027408232</v>
      </c>
      <c r="T47" s="20">
        <v>44.005000000000003</v>
      </c>
      <c r="U47" s="20">
        <v>36.402999999999999</v>
      </c>
      <c r="V47" s="20">
        <v>19.262999999999998</v>
      </c>
      <c r="W47" s="20">
        <v>19.417000000000002</v>
      </c>
      <c r="X47" s="20">
        <v>17.2758</v>
      </c>
      <c r="Y47" s="22">
        <v>-0.80030000000000001</v>
      </c>
      <c r="Z47" s="20">
        <v>59.148499999999999</v>
      </c>
      <c r="AA47" s="20">
        <v>15.1435</v>
      </c>
      <c r="AB47" s="20">
        <v>8.0236000000000001</v>
      </c>
      <c r="AC47" s="20">
        <v>6.8879999999999999</v>
      </c>
      <c r="AD47" s="20">
        <v>3.9649000000000001</v>
      </c>
      <c r="AE47" s="23">
        <v>17.526299999999999</v>
      </c>
      <c r="AF47" s="20">
        <v>8.0952999999999999</v>
      </c>
      <c r="AG47" s="20">
        <v>11.321400000000001</v>
      </c>
      <c r="AH47" s="22">
        <v>19.262599999999999</v>
      </c>
    </row>
    <row r="48" spans="1:34" x14ac:dyDescent="0.25">
      <c r="A48" t="s">
        <v>116</v>
      </c>
      <c r="B48" s="337"/>
      <c r="C48" s="32">
        <v>3.1477217697556674</v>
      </c>
      <c r="D48" s="33">
        <v>2.3819722650231121</v>
      </c>
      <c r="E48" s="33">
        <v>1.6190622936385646</v>
      </c>
      <c r="F48" s="33">
        <v>1.6051287695355487</v>
      </c>
      <c r="G48" s="20">
        <v>24.326899999999998</v>
      </c>
      <c r="H48" s="22">
        <v>0.86070000000000002</v>
      </c>
      <c r="I48" s="33">
        <v>3.6360356592559979</v>
      </c>
      <c r="J48" s="33">
        <v>0.48829407880255332</v>
      </c>
      <c r="K48" s="33">
        <v>0.43959938366718015</v>
      </c>
      <c r="L48" s="33">
        <v>0.45303764032577581</v>
      </c>
      <c r="M48" s="33">
        <v>0.67787585296059849</v>
      </c>
      <c r="N48" s="12">
        <v>0.81147919876733432</v>
      </c>
      <c r="O48" s="33">
        <v>1.1541646489104114</v>
      </c>
      <c r="P48" s="33">
        <v>0.45099053488883994</v>
      </c>
      <c r="Q48" s="8">
        <v>1.6190887079022669</v>
      </c>
      <c r="S48" s="11">
        <v>66.035659255998226</v>
      </c>
      <c r="T48" s="20">
        <v>47.667000000000002</v>
      </c>
      <c r="U48" s="20">
        <v>36.070999999999998</v>
      </c>
      <c r="V48" s="20">
        <v>24.518000000000001</v>
      </c>
      <c r="W48" s="20">
        <v>24.306999999999999</v>
      </c>
      <c r="X48" s="20">
        <v>24.326899999999998</v>
      </c>
      <c r="Y48" s="22">
        <v>0.86070000000000002</v>
      </c>
      <c r="Z48" s="20">
        <v>55.061700000000002</v>
      </c>
      <c r="AA48" s="20">
        <v>7.3944000000000001</v>
      </c>
      <c r="AB48" s="20">
        <v>6.657</v>
      </c>
      <c r="AC48" s="20">
        <v>6.8605</v>
      </c>
      <c r="AD48" s="20">
        <v>10.2653</v>
      </c>
      <c r="AE48" s="23">
        <v>12.288500000000001</v>
      </c>
      <c r="AF48" s="20">
        <v>17.477900000000002</v>
      </c>
      <c r="AG48" s="20">
        <v>6.8295000000000003</v>
      </c>
      <c r="AH48" s="22">
        <v>24.5184</v>
      </c>
    </row>
    <row r="49" spans="1:35" ht="15.75" thickBot="1" x14ac:dyDescent="0.3">
      <c r="A49" s="94" t="s">
        <v>22</v>
      </c>
      <c r="B49" s="338"/>
      <c r="C49" s="24">
        <v>19.92769796555805</v>
      </c>
      <c r="D49" s="15">
        <v>9.7045675406742777</v>
      </c>
      <c r="E49" s="15">
        <v>40.917464056550912</v>
      </c>
      <c r="F49" s="15">
        <v>38.59671389290375</v>
      </c>
      <c r="G49" s="15"/>
      <c r="H49" s="16"/>
      <c r="I49" s="15">
        <v>3.0646145522685586</v>
      </c>
      <c r="J49" s="15">
        <v>-45.939459795842183</v>
      </c>
      <c r="K49" s="15">
        <v>-8.1428450212618451</v>
      </c>
      <c r="L49" s="15">
        <v>10.272274670439643</v>
      </c>
      <c r="M49" s="15">
        <v>186.64416834244463</v>
      </c>
      <c r="N49" s="17">
        <v>-22.37308349203056</v>
      </c>
      <c r="O49" s="15">
        <v>139.03417966275987</v>
      </c>
      <c r="P49" s="15">
        <v>-33.212916710567129</v>
      </c>
      <c r="Q49" s="16">
        <v>40.922689348257904</v>
      </c>
      <c r="S49" s="11"/>
      <c r="T49" s="15">
        <f>(T48-T47)/T47*100</f>
        <v>8.3217816157254827</v>
      </c>
      <c r="U49" s="15">
        <f>(U48-U47)/U47*100</f>
        <v>-0.91201274620223804</v>
      </c>
      <c r="V49" s="15">
        <f>(V48-V47)/V47*100</f>
        <v>27.280278253646905</v>
      </c>
      <c r="W49" s="15">
        <f>(W48-W47)/W47*100</f>
        <v>25.184117010866746</v>
      </c>
      <c r="X49" s="15"/>
      <c r="Y49" s="16"/>
      <c r="Z49" s="15">
        <f t="shared" ref="Z49:AH49" si="17">(Z48-Z47)/Z47*100</f>
        <v>-6.9093890800273838</v>
      </c>
      <c r="AA49" s="15">
        <f t="shared" si="17"/>
        <v>-51.171129527520051</v>
      </c>
      <c r="AB49" s="15">
        <f t="shared" si="17"/>
        <v>-17.032254848197816</v>
      </c>
      <c r="AC49" s="15">
        <f t="shared" si="17"/>
        <v>-0.39924506387920816</v>
      </c>
      <c r="AD49" s="15">
        <f t="shared" si="17"/>
        <v>158.90438598703622</v>
      </c>
      <c r="AE49" s="17">
        <f t="shared" si="17"/>
        <v>-29.885372269104138</v>
      </c>
      <c r="AF49" s="15">
        <f t="shared" si="17"/>
        <v>115.90181957432092</v>
      </c>
      <c r="AG49" s="15">
        <f t="shared" si="17"/>
        <v>-39.676188457257936</v>
      </c>
      <c r="AH49" s="16">
        <f t="shared" si="17"/>
        <v>27.284997871523061</v>
      </c>
    </row>
    <row r="50" spans="1:35" x14ac:dyDescent="0.25">
      <c r="A50" s="29" t="s">
        <v>117</v>
      </c>
      <c r="B50" s="337" t="s">
        <v>118</v>
      </c>
      <c r="C50" s="7">
        <v>2.5315172351212873</v>
      </c>
      <c r="D50" s="7">
        <v>1.9340522080447395</v>
      </c>
      <c r="E50" s="7">
        <v>0.81451356791028673</v>
      </c>
      <c r="F50" s="7">
        <v>0.37099255949047921</v>
      </c>
      <c r="G50" s="20">
        <v>23.599799999999998</v>
      </c>
      <c r="H50" s="19"/>
      <c r="I50" s="7">
        <v>3.3782749473499911</v>
      </c>
      <c r="J50" s="7">
        <v>0.84676964124990928</v>
      </c>
      <c r="K50" s="7">
        <v>0.40156067632952591</v>
      </c>
      <c r="L50" s="7">
        <v>0.47973751679964993</v>
      </c>
      <c r="M50" s="7">
        <v>0.41394300034081588</v>
      </c>
      <c r="N50" s="12">
        <v>0.6388289081065559</v>
      </c>
      <c r="O50" s="7">
        <v>0.23258012644327566</v>
      </c>
      <c r="P50" s="48"/>
      <c r="Q50" s="8">
        <v>0.81448970986787583</v>
      </c>
      <c r="S50" s="11">
        <v>59.645106027408232</v>
      </c>
      <c r="T50" s="20">
        <v>42.442999999999998</v>
      </c>
      <c r="U50" s="20">
        <v>32.426000000000002</v>
      </c>
      <c r="V50" s="20">
        <v>13.655999999999999</v>
      </c>
      <c r="W50" s="20">
        <v>6.22</v>
      </c>
      <c r="X50" s="20">
        <v>23.599799999999998</v>
      </c>
      <c r="Y50" s="19">
        <v>54.4512</v>
      </c>
      <c r="Z50" s="20">
        <v>56.639600000000002</v>
      </c>
      <c r="AA50" s="20">
        <v>14.1968</v>
      </c>
      <c r="AB50" s="20">
        <v>6.7324999999999999</v>
      </c>
      <c r="AC50" s="20">
        <v>8.0432000000000006</v>
      </c>
      <c r="AD50" s="20">
        <v>6.9401000000000002</v>
      </c>
      <c r="AE50" s="23">
        <v>10.7105</v>
      </c>
      <c r="AF50" s="20">
        <v>3.8994</v>
      </c>
      <c r="AG50" s="96"/>
      <c r="AH50" s="22">
        <v>13.6556</v>
      </c>
    </row>
    <row r="51" spans="1:35" ht="18" customHeight="1" x14ac:dyDescent="0.25">
      <c r="A51" s="6" t="s">
        <v>119</v>
      </c>
      <c r="B51" s="337"/>
      <c r="C51" s="7">
        <v>3.2318700700951153</v>
      </c>
      <c r="D51" s="7">
        <v>2.388011110019344</v>
      </c>
      <c r="E51" s="7">
        <v>1.1046273636276005</v>
      </c>
      <c r="F51" s="7">
        <v>0.80258454670480517</v>
      </c>
      <c r="G51" s="73">
        <v>26.1098</v>
      </c>
      <c r="H51" s="19"/>
      <c r="I51" s="7">
        <v>3.8163742156319072</v>
      </c>
      <c r="J51" s="7">
        <v>0.58449818102618978</v>
      </c>
      <c r="K51" s="7">
        <v>0.44117695575293048</v>
      </c>
      <c r="L51" s="7">
        <v>0.56621695602878908</v>
      </c>
      <c r="M51" s="7">
        <v>0.68881150695752402</v>
      </c>
      <c r="N51" s="12">
        <v>0.69182954932251084</v>
      </c>
      <c r="O51" s="7">
        <v>0.57172219931511881</v>
      </c>
      <c r="P51" s="48"/>
      <c r="Q51" s="8">
        <v>1.1046512216700115</v>
      </c>
      <c r="S51" s="11">
        <v>59.645106027408232</v>
      </c>
      <c r="T51" s="20">
        <v>54.185000000000002</v>
      </c>
      <c r="U51" s="20">
        <v>40.037000000000006</v>
      </c>
      <c r="V51" s="20">
        <v>18.52</v>
      </c>
      <c r="W51" s="20">
        <v>13.456</v>
      </c>
      <c r="X51" s="73">
        <v>26.1098</v>
      </c>
      <c r="Y51" s="19">
        <v>27.3459</v>
      </c>
      <c r="Z51" s="20">
        <v>63.984699999999997</v>
      </c>
      <c r="AA51" s="20">
        <v>9.7995999999999999</v>
      </c>
      <c r="AB51" s="20">
        <v>7.3967000000000001</v>
      </c>
      <c r="AC51" s="20">
        <v>9.4931000000000001</v>
      </c>
      <c r="AD51" s="20">
        <v>11.548500000000001</v>
      </c>
      <c r="AE51" s="23">
        <v>11.5991</v>
      </c>
      <c r="AF51" s="20">
        <v>9.5853999999999999</v>
      </c>
      <c r="AG51" s="96"/>
      <c r="AH51" s="22">
        <v>18.520399999999999</v>
      </c>
    </row>
    <row r="52" spans="1:35" ht="15.75" thickBot="1" x14ac:dyDescent="0.3">
      <c r="A52" s="94" t="s">
        <v>22</v>
      </c>
      <c r="B52" s="338"/>
      <c r="C52" s="7">
        <v>27.66533939636691</v>
      </c>
      <c r="D52" s="7">
        <v>23.471905261210157</v>
      </c>
      <c r="E52" s="7">
        <v>35.618043350908046</v>
      </c>
      <c r="F52" s="7">
        <v>116.33440514469453</v>
      </c>
      <c r="G52" s="15"/>
      <c r="H52" s="16"/>
      <c r="I52" s="7">
        <v>12.968135368187625</v>
      </c>
      <c r="J52" s="7">
        <v>-30.973177053983996</v>
      </c>
      <c r="K52" s="7">
        <v>9.8655774229483892</v>
      </c>
      <c r="L52" s="7">
        <v>18.026407400039773</v>
      </c>
      <c r="M52" s="7">
        <v>66.402501404878905</v>
      </c>
      <c r="N52" s="12">
        <v>8.2965314411091882</v>
      </c>
      <c r="O52" s="7">
        <v>145.81730522644506</v>
      </c>
      <c r="P52" s="48"/>
      <c r="Q52" s="8">
        <v>35.624945077477385</v>
      </c>
      <c r="S52" s="11"/>
      <c r="T52" s="15">
        <f>(T51-T50)/T50*100</f>
        <v>27.665339396366907</v>
      </c>
      <c r="U52" s="15">
        <f>(U51-U50)/U50*100</f>
        <v>23.471905261210154</v>
      </c>
      <c r="V52" s="15">
        <f>(V51-V50)/V50*100</f>
        <v>35.618043350908039</v>
      </c>
      <c r="W52" s="15">
        <f>(W51-W50)/W50*100</f>
        <v>116.33440514469453</v>
      </c>
      <c r="X52" s="15"/>
      <c r="Y52" s="16"/>
      <c r="Z52" s="15">
        <f t="shared" ref="Z52:AF52" si="18">(Z51-Z50)/Z50*100</f>
        <v>12.968135368187619</v>
      </c>
      <c r="AA52" s="15">
        <f t="shared" si="18"/>
        <v>-30.973177053983996</v>
      </c>
      <c r="AB52" s="15">
        <f t="shared" si="18"/>
        <v>9.8655774229483857</v>
      </c>
      <c r="AC52" s="15">
        <f t="shared" si="18"/>
        <v>18.02640740003978</v>
      </c>
      <c r="AD52" s="15">
        <f t="shared" si="18"/>
        <v>66.402501404878905</v>
      </c>
      <c r="AE52" s="17">
        <f t="shared" si="18"/>
        <v>8.2965314411091953</v>
      </c>
      <c r="AF52" s="15">
        <f t="shared" si="18"/>
        <v>145.81730522644509</v>
      </c>
      <c r="AG52" s="48"/>
      <c r="AH52" s="16">
        <f>(AH51-AH50)/AH50*100</f>
        <v>35.624945077477363</v>
      </c>
    </row>
    <row r="53" spans="1:35" ht="15" customHeight="1" x14ac:dyDescent="0.25">
      <c r="A53" s="29" t="s">
        <v>120</v>
      </c>
      <c r="B53" s="65"/>
      <c r="C53" s="30">
        <v>2.9970504072198998</v>
      </c>
      <c r="D53" s="31">
        <v>1.4961038961038964</v>
      </c>
      <c r="E53" s="31">
        <v>1.4346467092229807</v>
      </c>
      <c r="F53" s="31">
        <v>1.2255337882456527</v>
      </c>
      <c r="G53" s="73">
        <v>50.079000000000001</v>
      </c>
      <c r="H53" s="22">
        <v>14.5769</v>
      </c>
      <c r="I53" s="31">
        <v>5.4205414924059001</v>
      </c>
      <c r="J53" s="31">
        <v>2.4235263042042705</v>
      </c>
      <c r="K53" s="31">
        <v>0.22890600924499233</v>
      </c>
      <c r="L53" s="31">
        <v>0.31206691613471277</v>
      </c>
      <c r="M53" s="31">
        <v>0.53692273827867054</v>
      </c>
      <c r="N53" s="28">
        <v>0.41824345146379055</v>
      </c>
      <c r="O53" s="31">
        <v>0.65061853400836467</v>
      </c>
      <c r="P53" s="31">
        <v>0.57488003521901843</v>
      </c>
      <c r="Q53" s="27">
        <v>1.4346202949592786</v>
      </c>
      <c r="S53" s="11">
        <v>88.047545674664335</v>
      </c>
      <c r="T53" s="20">
        <v>34.039000000000001</v>
      </c>
      <c r="U53" s="20">
        <v>16.992000000000001</v>
      </c>
      <c r="V53" s="20">
        <v>16.294</v>
      </c>
      <c r="W53" s="20">
        <v>13.918999999999999</v>
      </c>
      <c r="X53" s="73">
        <v>50.079000000000001</v>
      </c>
      <c r="Y53" s="22">
        <v>14.5769</v>
      </c>
      <c r="Z53" s="20">
        <v>61.563800000000001</v>
      </c>
      <c r="AA53" s="20">
        <v>27.525200000000002</v>
      </c>
      <c r="AB53" s="20">
        <v>2.5998000000000001</v>
      </c>
      <c r="AC53" s="20">
        <v>3.5442999999999998</v>
      </c>
      <c r="AD53" s="20">
        <v>6.0980999999999996</v>
      </c>
      <c r="AE53" s="23">
        <v>4.7502000000000004</v>
      </c>
      <c r="AF53" s="20">
        <v>7.3894000000000002</v>
      </c>
      <c r="AG53" s="20">
        <v>6.5292000000000003</v>
      </c>
      <c r="AH53" s="22">
        <v>16.293700000000001</v>
      </c>
    </row>
    <row r="54" spans="1:35" x14ac:dyDescent="0.25">
      <c r="A54" s="6" t="s">
        <v>121</v>
      </c>
      <c r="B54" s="68"/>
      <c r="C54" s="32">
        <v>3.3115558417329733</v>
      </c>
      <c r="D54" s="33">
        <v>1.4241908917335693</v>
      </c>
      <c r="E54" s="33">
        <v>1.702465126340388</v>
      </c>
      <c r="F54" s="33">
        <v>1.4636670040847692</v>
      </c>
      <c r="G54" s="73">
        <v>56.992699999999999</v>
      </c>
      <c r="H54" s="22">
        <v>14.0237</v>
      </c>
      <c r="I54" s="33">
        <v>5.8641903572575158</v>
      </c>
      <c r="J54" s="33">
        <v>2.5526437605157257</v>
      </c>
      <c r="K54" s="33">
        <v>0.2596178423996241</v>
      </c>
      <c r="L54" s="33">
        <v>0.27201537557596112</v>
      </c>
      <c r="M54" s="33">
        <v>0.52790748652885611</v>
      </c>
      <c r="N54" s="12">
        <v>0.36466867721149393</v>
      </c>
      <c r="O54" s="33">
        <v>0.95226182681748039</v>
      </c>
      <c r="P54" s="33">
        <v>0.51143291224083776</v>
      </c>
      <c r="Q54" s="8">
        <v>1.7024373913668394</v>
      </c>
      <c r="S54" s="11">
        <v>92.449911829507911</v>
      </c>
      <c r="T54" s="20">
        <v>35.82</v>
      </c>
      <c r="U54" s="20">
        <v>15.404999999999999</v>
      </c>
      <c r="V54" s="20">
        <v>18.414999999999999</v>
      </c>
      <c r="W54" s="20">
        <v>15.831999999999999</v>
      </c>
      <c r="X54" s="73">
        <v>56.992699999999999</v>
      </c>
      <c r="Y54" s="22">
        <v>14.0237</v>
      </c>
      <c r="Z54" s="20">
        <v>63.430999999999997</v>
      </c>
      <c r="AA54" s="20">
        <v>27.6111</v>
      </c>
      <c r="AB54" s="20">
        <v>2.8081999999999998</v>
      </c>
      <c r="AC54" s="20">
        <v>2.9422999999999999</v>
      </c>
      <c r="AD54" s="20">
        <v>5.7102000000000004</v>
      </c>
      <c r="AE54" s="23">
        <v>3.9445000000000001</v>
      </c>
      <c r="AF54" s="20">
        <v>10.3003</v>
      </c>
      <c r="AG54" s="20">
        <v>5.532</v>
      </c>
      <c r="AH54" s="22">
        <v>18.4147</v>
      </c>
    </row>
    <row r="55" spans="1:35" ht="15.75" thickBot="1" x14ac:dyDescent="0.3">
      <c r="A55" s="94" t="s">
        <v>22</v>
      </c>
      <c r="B55" s="60"/>
      <c r="C55" s="24">
        <v>10.493831994130943</v>
      </c>
      <c r="D55" s="15">
        <v>-4.8066851879472097</v>
      </c>
      <c r="E55" s="15">
        <v>18.667900284834626</v>
      </c>
      <c r="F55" s="15">
        <v>19.430979229059311</v>
      </c>
      <c r="G55" s="15"/>
      <c r="H55" s="16"/>
      <c r="I55" s="15">
        <v>8.1845857184777806</v>
      </c>
      <c r="J55" s="15">
        <v>5.3276688636498637</v>
      </c>
      <c r="K55" s="15">
        <v>13.416787639577288</v>
      </c>
      <c r="L55" s="15">
        <v>-12.834279600937332</v>
      </c>
      <c r="M55" s="15">
        <v>-1.6790594078240344</v>
      </c>
      <c r="N55" s="17">
        <v>-12.809471150066495</v>
      </c>
      <c r="O55" s="15">
        <v>46.362542264318229</v>
      </c>
      <c r="P55" s="15">
        <v>-11.036584868355797</v>
      </c>
      <c r="Q55" s="16">
        <v>18.668151938779225</v>
      </c>
      <c r="S55" s="11"/>
      <c r="T55" s="15">
        <f>(T54-T53)/T53*100</f>
        <v>5.2322336143834978</v>
      </c>
      <c r="U55" s="15">
        <f>(U54-U53)/U53*100</f>
        <v>-9.3396892655367303</v>
      </c>
      <c r="V55" s="15">
        <f>(V54-V53)/V53*100</f>
        <v>13.017061495028837</v>
      </c>
      <c r="W55" s="15">
        <f>(W54-W53)/W53*100</f>
        <v>13.743803434154756</v>
      </c>
      <c r="X55" s="15"/>
      <c r="Y55" s="16"/>
      <c r="Z55" s="15">
        <f t="shared" ref="Z55:AH55" si="19">(Z54-Z53)/Z53*100</f>
        <v>3.0329511823506619</v>
      </c>
      <c r="AA55" s="15">
        <f t="shared" si="19"/>
        <v>0.31207765974452051</v>
      </c>
      <c r="AB55" s="15">
        <f t="shared" si="19"/>
        <v>8.0160012308638997</v>
      </c>
      <c r="AC55" s="15">
        <f t="shared" si="19"/>
        <v>-16.985018198233782</v>
      </c>
      <c r="AD55" s="15">
        <f t="shared" si="19"/>
        <v>-6.3609976878043861</v>
      </c>
      <c r="AE55" s="17">
        <f t="shared" si="19"/>
        <v>-16.961391099322139</v>
      </c>
      <c r="AF55" s="15">
        <f t="shared" si="19"/>
        <v>39.392914174357863</v>
      </c>
      <c r="AG55" s="15">
        <f t="shared" si="19"/>
        <v>-15.272927770630403</v>
      </c>
      <c r="AH55" s="16">
        <f t="shared" si="19"/>
        <v>13.017301165481127</v>
      </c>
    </row>
    <row r="56" spans="1:35" x14ac:dyDescent="0.25">
      <c r="A56" s="29" t="s">
        <v>122</v>
      </c>
      <c r="B56" s="336" t="s">
        <v>123</v>
      </c>
      <c r="C56" s="7">
        <v>3.2254095800615636</v>
      </c>
      <c r="D56" s="7">
        <v>2.5635522060358502</v>
      </c>
      <c r="E56" s="7">
        <v>0.66042860255162661</v>
      </c>
      <c r="F56" s="7">
        <v>0.81297096875564812</v>
      </c>
      <c r="G56" s="20">
        <v>20.5199</v>
      </c>
      <c r="H56" s="22">
        <v>-23.093800000000002</v>
      </c>
      <c r="I56" s="7">
        <v>4.2907268047552698</v>
      </c>
      <c r="J56" s="7">
        <v>1.0653172246937059</v>
      </c>
      <c r="K56" s="7">
        <v>0.13720408420279082</v>
      </c>
      <c r="L56" s="7">
        <v>0.17206610817051984</v>
      </c>
      <c r="M56" s="7">
        <v>0.80127185174429827</v>
      </c>
      <c r="N56" s="12">
        <v>1.453018566456324</v>
      </c>
      <c r="O56" s="7">
        <v>0.62159123207070177</v>
      </c>
      <c r="P56" s="7">
        <v>0.19133771399453206</v>
      </c>
      <c r="Q56" s="8">
        <v>0.66041179347546075</v>
      </c>
      <c r="S56" s="11">
        <v>84.045380828662061</v>
      </c>
      <c r="T56" s="80">
        <v>38.376999999999995</v>
      </c>
      <c r="U56" s="20">
        <v>30.501999999999999</v>
      </c>
      <c r="V56" s="20">
        <v>7.8580000000000005</v>
      </c>
      <c r="W56" s="20">
        <v>9.673</v>
      </c>
      <c r="X56" s="20">
        <v>20.5199</v>
      </c>
      <c r="Y56" s="22">
        <v>-23.093800000000002</v>
      </c>
      <c r="Z56" s="20">
        <v>51.052500000000002</v>
      </c>
      <c r="AA56" s="20">
        <v>12.6755</v>
      </c>
      <c r="AB56" s="20">
        <v>1.6325000000000001</v>
      </c>
      <c r="AC56" s="20">
        <v>2.0472999999999999</v>
      </c>
      <c r="AD56" s="20">
        <v>9.5337999999999994</v>
      </c>
      <c r="AE56" s="23">
        <v>17.288499999999999</v>
      </c>
      <c r="AF56" s="20">
        <v>7.3959000000000001</v>
      </c>
      <c r="AG56" s="20">
        <v>2.2766000000000002</v>
      </c>
      <c r="AH56" s="22">
        <v>7.8578000000000001</v>
      </c>
    </row>
    <row r="57" spans="1:35" x14ac:dyDescent="0.25">
      <c r="A57" s="6" t="s">
        <v>124</v>
      </c>
      <c r="B57" s="337"/>
      <c r="C57" s="7">
        <v>3.7285049440840545</v>
      </c>
      <c r="D57" s="7">
        <v>2.8181506622988897</v>
      </c>
      <c r="E57" s="7">
        <v>0.8888134523288892</v>
      </c>
      <c r="F57" s="7">
        <v>1.0145453324170199</v>
      </c>
      <c r="G57" s="20">
        <v>24.4176</v>
      </c>
      <c r="H57" s="22"/>
      <c r="I57" s="7">
        <v>4.8258576625267642</v>
      </c>
      <c r="J57" s="7">
        <v>1.0973434734515273</v>
      </c>
      <c r="K57" s="7">
        <v>0.13335899781406516</v>
      </c>
      <c r="L57" s="7">
        <v>0.16591985676041784</v>
      </c>
      <c r="M57" s="7">
        <v>0.98334348717456088</v>
      </c>
      <c r="N57" s="12">
        <v>1.5354820955939308</v>
      </c>
      <c r="O57" s="7">
        <v>1.0499259136741725</v>
      </c>
      <c r="P57" s="48"/>
      <c r="Q57" s="8">
        <v>0.88877647236415724</v>
      </c>
      <c r="S57" s="11">
        <v>92.449911829507911</v>
      </c>
      <c r="T57" s="80">
        <v>40.330000000000005</v>
      </c>
      <c r="U57" s="20">
        <v>30.482999999999997</v>
      </c>
      <c r="V57" s="20">
        <v>9.6140000000000008</v>
      </c>
      <c r="W57" s="20">
        <v>10.974</v>
      </c>
      <c r="X57" s="20">
        <v>24.4176</v>
      </c>
      <c r="Y57" s="22">
        <v>-14.154500000000001</v>
      </c>
      <c r="Z57" s="20">
        <v>52.1997</v>
      </c>
      <c r="AA57" s="20">
        <v>11.8696</v>
      </c>
      <c r="AB57" s="20">
        <v>1.4424999999999999</v>
      </c>
      <c r="AC57" s="20">
        <v>1.7947</v>
      </c>
      <c r="AD57" s="20">
        <v>10.6365</v>
      </c>
      <c r="AE57" s="23">
        <v>16.608799999999999</v>
      </c>
      <c r="AF57" s="20">
        <v>11.3567</v>
      </c>
      <c r="AG57" s="96"/>
      <c r="AH57" s="22">
        <v>9.6135999999999999</v>
      </c>
    </row>
    <row r="58" spans="1:35" ht="15.75" thickBot="1" x14ac:dyDescent="0.3">
      <c r="A58" s="94" t="s">
        <v>22</v>
      </c>
      <c r="B58" s="338"/>
      <c r="C58" s="7">
        <v>15.597875294116548</v>
      </c>
      <c r="D58" s="7">
        <v>9.9314714817818306</v>
      </c>
      <c r="E58" s="7">
        <v>34.581308092180855</v>
      </c>
      <c r="F58" s="7">
        <v>24.794780060831219</v>
      </c>
      <c r="G58" s="15"/>
      <c r="H58" s="16"/>
      <c r="I58" s="7">
        <v>12.471799816721649</v>
      </c>
      <c r="J58" s="7">
        <v>3.0062640512575349</v>
      </c>
      <c r="K58" s="7">
        <v>-2.8024576754162314</v>
      </c>
      <c r="L58" s="7">
        <v>-3.5720290738551377</v>
      </c>
      <c r="M58" s="7">
        <v>22.722829341116714</v>
      </c>
      <c r="N58" s="12">
        <v>5.6753252189145753</v>
      </c>
      <c r="O58" s="7">
        <v>68.909382807180691</v>
      </c>
      <c r="P58" s="48"/>
      <c r="Q58" s="8">
        <v>34.579133980468804</v>
      </c>
      <c r="S58" s="11"/>
      <c r="T58" s="15">
        <f>(T57-T56)/T56*100</f>
        <v>5.0889855903275665</v>
      </c>
      <c r="U58" s="15">
        <f>(U57-U56)/U56*100</f>
        <v>-6.2290997311657943E-2</v>
      </c>
      <c r="V58" s="15">
        <f>(V57-V56)/V56*100</f>
        <v>22.346653092389921</v>
      </c>
      <c r="W58" s="15">
        <f>(W57-W56)/W56*100</f>
        <v>13.449808745994005</v>
      </c>
      <c r="X58" s="15"/>
      <c r="Y58" s="16"/>
      <c r="Z58" s="15">
        <f t="shared" ref="Z58:AF58" si="20">(Z57-Z56)/Z56*100</f>
        <v>2.2470985749963233</v>
      </c>
      <c r="AA58" s="15">
        <f t="shared" si="20"/>
        <v>-6.3579345982406954</v>
      </c>
      <c r="AB58" s="15">
        <f t="shared" si="20"/>
        <v>-11.638591117917315</v>
      </c>
      <c r="AC58" s="15">
        <f t="shared" si="20"/>
        <v>-12.338201533727347</v>
      </c>
      <c r="AD58" s="15">
        <f t="shared" si="20"/>
        <v>11.566217038326801</v>
      </c>
      <c r="AE58" s="17">
        <f t="shared" si="20"/>
        <v>-3.9315151690430081</v>
      </c>
      <c r="AF58" s="15">
        <f t="shared" si="20"/>
        <v>53.553996132992602</v>
      </c>
      <c r="AG58" s="15"/>
      <c r="AH58" s="16">
        <f>(AH57-AH56)/AH56*100</f>
        <v>22.344676627045736</v>
      </c>
    </row>
    <row r="59" spans="1:35" x14ac:dyDescent="0.25">
      <c r="A59" s="29" t="s">
        <v>125</v>
      </c>
      <c r="B59" s="65"/>
      <c r="C59" s="31">
        <v>2.1169967195831396</v>
      </c>
      <c r="D59" s="31">
        <v>1.8415314864237498</v>
      </c>
      <c r="E59" s="31">
        <v>0.93629733141944194</v>
      </c>
      <c r="F59" s="31">
        <v>1.0569089321521965</v>
      </c>
      <c r="G59" s="20">
        <v>13.0121</v>
      </c>
      <c r="H59" s="52">
        <v>-12.8817</v>
      </c>
      <c r="I59" s="31">
        <v>2.6972480367168448</v>
      </c>
      <c r="J59" s="31">
        <v>0.58025131713370537</v>
      </c>
      <c r="K59" s="31">
        <v>0.19366837987942839</v>
      </c>
      <c r="L59" s="31">
        <v>0.21885742998529023</v>
      </c>
      <c r="M59" s="31">
        <v>0.34421953480350942</v>
      </c>
      <c r="N59" s="28">
        <v>1.0847861417555218</v>
      </c>
      <c r="O59" s="31">
        <v>0.27831695791728084</v>
      </c>
      <c r="P59" s="31">
        <v>0.77859197423491555</v>
      </c>
      <c r="Q59" s="27">
        <v>0.93629733141944194</v>
      </c>
      <c r="S59" s="11">
        <v>71.115330620727931</v>
      </c>
      <c r="T59" s="20">
        <v>29.7685</v>
      </c>
      <c r="U59" s="20">
        <v>25.895</v>
      </c>
      <c r="V59" s="20">
        <v>13.165900000000001</v>
      </c>
      <c r="W59" s="20">
        <v>14.8619</v>
      </c>
      <c r="X59" s="20">
        <v>13.0121</v>
      </c>
      <c r="Y59" s="20">
        <v>-12.8817</v>
      </c>
      <c r="Z59" s="20">
        <v>37.927799999999998</v>
      </c>
      <c r="AA59" s="20">
        <v>8.1593</v>
      </c>
      <c r="AB59" s="20">
        <v>2.7233000000000001</v>
      </c>
      <c r="AC59" s="20">
        <v>3.0775000000000001</v>
      </c>
      <c r="AD59" s="20">
        <v>4.8403</v>
      </c>
      <c r="AE59" s="20">
        <v>15.2539</v>
      </c>
      <c r="AF59" s="20">
        <v>3.9136000000000002</v>
      </c>
      <c r="AG59" s="20">
        <v>10.9483</v>
      </c>
      <c r="AH59" s="20">
        <v>13.165900000000001</v>
      </c>
    </row>
    <row r="60" spans="1:35" x14ac:dyDescent="0.25">
      <c r="A60" s="6" t="s">
        <v>126</v>
      </c>
      <c r="B60" s="68"/>
      <c r="C60" s="33">
        <v>2.49429887337637</v>
      </c>
      <c r="D60" s="33">
        <v>1.7899783938756086</v>
      </c>
      <c r="E60" s="33">
        <v>1.1890539062200709</v>
      </c>
      <c r="F60" s="33">
        <v>1.3488073700152665</v>
      </c>
      <c r="G60" s="20">
        <v>28.237400000000001</v>
      </c>
      <c r="H60" s="22">
        <v>-13.436</v>
      </c>
      <c r="I60" s="33">
        <v>3.2273306003981013</v>
      </c>
      <c r="J60" s="33">
        <v>0.73306131099650784</v>
      </c>
      <c r="K60" s="33">
        <v>0.17731155282527827</v>
      </c>
      <c r="L60" s="33">
        <v>0.18782865585846195</v>
      </c>
      <c r="M60" s="33">
        <v>0.54268103731353934</v>
      </c>
      <c r="N60" s="12">
        <v>0.88213495989724644</v>
      </c>
      <c r="O60" s="33">
        <v>0.82063727232979067</v>
      </c>
      <c r="P60" s="33">
        <v>0.52814051371069892</v>
      </c>
      <c r="Q60" s="8">
        <v>1.1890243222452941</v>
      </c>
      <c r="S60" s="11">
        <v>73.959936942220011</v>
      </c>
      <c r="T60" s="20">
        <v>33.725000000000001</v>
      </c>
      <c r="U60" s="20">
        <v>24.201999999999998</v>
      </c>
      <c r="V60" s="20">
        <v>16.076999999999998</v>
      </c>
      <c r="W60" s="20">
        <v>18.237000000000002</v>
      </c>
      <c r="X60" s="20">
        <v>28.237400000000001</v>
      </c>
      <c r="Y60" s="22">
        <v>-13.436</v>
      </c>
      <c r="Z60" s="20">
        <v>43.636200000000002</v>
      </c>
      <c r="AA60" s="20">
        <v>9.9116</v>
      </c>
      <c r="AB60" s="20">
        <v>2.3974000000000002</v>
      </c>
      <c r="AC60" s="20">
        <v>2.5396000000000001</v>
      </c>
      <c r="AD60" s="20">
        <v>7.3375000000000004</v>
      </c>
      <c r="AE60" s="23">
        <v>11.927199999999999</v>
      </c>
      <c r="AF60" s="20">
        <v>11.095700000000001</v>
      </c>
      <c r="AG60" s="20">
        <v>7.1409000000000002</v>
      </c>
      <c r="AH60" s="22">
        <v>16.076599999999999</v>
      </c>
    </row>
    <row r="61" spans="1:35" ht="15.75" thickBot="1" x14ac:dyDescent="0.3">
      <c r="A61" s="94" t="s">
        <v>22</v>
      </c>
      <c r="B61" s="60"/>
      <c r="C61" s="15">
        <v>17.822519529814169</v>
      </c>
      <c r="D61" s="15">
        <v>-2.799468427675766</v>
      </c>
      <c r="E61" s="15">
        <v>26.995332179089509</v>
      </c>
      <c r="F61" s="15">
        <v>27.618125742269363</v>
      </c>
      <c r="G61" s="15"/>
      <c r="H61" s="16"/>
      <c r="I61" s="15">
        <v>19.652718491788608</v>
      </c>
      <c r="J61" s="15">
        <v>26.335139507764527</v>
      </c>
      <c r="K61" s="15">
        <v>-8.4457912356851157</v>
      </c>
      <c r="L61" s="15">
        <v>-14.177619708370775</v>
      </c>
      <c r="M61" s="15">
        <v>57.655502504620358</v>
      </c>
      <c r="N61" s="17">
        <v>-18.681210430133504</v>
      </c>
      <c r="O61" s="15">
        <v>194.85708613331926</v>
      </c>
      <c r="P61" s="15">
        <v>-32.167228639920552</v>
      </c>
      <c r="Q61" s="16">
        <v>26.99217250173232</v>
      </c>
      <c r="S61" s="11"/>
      <c r="T61" s="15">
        <f>(T60-T59)/T59*100</f>
        <v>13.290894737726127</v>
      </c>
      <c r="U61" s="15">
        <f>(U60-U59)/U59*100</f>
        <v>-6.5379416875844809</v>
      </c>
      <c r="V61" s="15">
        <f>(V60-V59)/V59*100</f>
        <v>22.110907723740858</v>
      </c>
      <c r="W61" s="15">
        <f>(W60-W59)/W59*100</f>
        <v>22.709747744231905</v>
      </c>
      <c r="X61" s="15"/>
      <c r="Y61" s="16"/>
      <c r="Z61" s="15">
        <f t="shared" ref="Z61:AH61" si="21">(Z60-Z59)/Z59*100</f>
        <v>15.050701596190668</v>
      </c>
      <c r="AA61" s="15">
        <f t="shared" si="21"/>
        <v>21.476107018984472</v>
      </c>
      <c r="AB61" s="15">
        <f t="shared" si="21"/>
        <v>-11.967098740498654</v>
      </c>
      <c r="AC61" s="15">
        <f t="shared" si="21"/>
        <v>-17.478472786352558</v>
      </c>
      <c r="AD61" s="15">
        <f t="shared" si="21"/>
        <v>51.591843480775992</v>
      </c>
      <c r="AE61" s="17">
        <f t="shared" si="21"/>
        <v>-21.808848884547562</v>
      </c>
      <c r="AF61" s="15">
        <f t="shared" si="21"/>
        <v>183.51645543744891</v>
      </c>
      <c r="AG61" s="15">
        <f t="shared" si="21"/>
        <v>-34.776175296621389</v>
      </c>
      <c r="AH61" s="16">
        <f t="shared" si="21"/>
        <v>22.107869572152289</v>
      </c>
    </row>
    <row r="62" spans="1:35" x14ac:dyDescent="0.25">
      <c r="A62" s="29" t="s">
        <v>127</v>
      </c>
      <c r="B62" s="65"/>
      <c r="C62" s="7">
        <v>1.9438606522929263</v>
      </c>
      <c r="D62" s="7">
        <v>1.7402879369873441</v>
      </c>
      <c r="E62" s="7">
        <v>0.57319520898542253</v>
      </c>
      <c r="F62" s="7">
        <v>0.5361035701797443</v>
      </c>
      <c r="G62" s="20">
        <v>10.4697</v>
      </c>
      <c r="H62" s="22">
        <v>6.4775999999999998</v>
      </c>
      <c r="I62" s="7">
        <v>3.4172181793170813</v>
      </c>
      <c r="J62" s="7">
        <v>1.4734006568367197</v>
      </c>
      <c r="K62" s="7">
        <v>0.646041462407272</v>
      </c>
      <c r="L62" s="7">
        <v>0.43539545784107159</v>
      </c>
      <c r="M62" s="7">
        <v>0.54943068226224967</v>
      </c>
      <c r="N62" s="7">
        <v>0.23887472414589925</v>
      </c>
      <c r="O62" s="7">
        <v>0.2941021918789764</v>
      </c>
      <c r="P62" s="7">
        <v>0.24195824848820321</v>
      </c>
      <c r="Q62" s="8">
        <v>0.57319520898542253</v>
      </c>
      <c r="S62" s="11">
        <v>43.129812564742103</v>
      </c>
      <c r="T62" s="20">
        <v>45.069999999999993</v>
      </c>
      <c r="U62" s="20">
        <v>40.35</v>
      </c>
      <c r="V62" s="20">
        <v>13.29</v>
      </c>
      <c r="W62" s="20">
        <v>12.43</v>
      </c>
      <c r="X62" s="20">
        <v>10.4697</v>
      </c>
      <c r="Y62" s="22">
        <v>6.4775999999999998</v>
      </c>
      <c r="Z62" s="20">
        <v>79.230999999999995</v>
      </c>
      <c r="AA62" s="20">
        <v>34.161999999999999</v>
      </c>
      <c r="AB62" s="20">
        <v>14.978999999999999</v>
      </c>
      <c r="AC62" s="20">
        <v>10.095000000000001</v>
      </c>
      <c r="AD62" s="20">
        <v>12.739000000000001</v>
      </c>
      <c r="AE62" s="7">
        <v>5.5385059646926296</v>
      </c>
      <c r="AF62" s="20">
        <v>6.8189999999999991</v>
      </c>
      <c r="AG62" s="20">
        <v>5.61</v>
      </c>
      <c r="AH62" s="22">
        <v>13.29</v>
      </c>
      <c r="AI62" s="58"/>
    </row>
    <row r="63" spans="1:35" x14ac:dyDescent="0.25">
      <c r="A63" s="6" t="s">
        <v>128</v>
      </c>
      <c r="B63" s="68"/>
      <c r="C63" s="7">
        <v>2.8287144155047952</v>
      </c>
      <c r="D63" s="7">
        <v>2.5565357088582861</v>
      </c>
      <c r="E63" s="7">
        <v>1.0244738896135701</v>
      </c>
      <c r="F63" s="7">
        <v>1.1647896203692241</v>
      </c>
      <c r="G63" s="20">
        <v>9.6205999999999996</v>
      </c>
      <c r="H63" s="22">
        <v>-13.7202</v>
      </c>
      <c r="I63" s="7">
        <v>3.5425073000626992</v>
      </c>
      <c r="J63" s="7">
        <v>0.71396193965519972</v>
      </c>
      <c r="K63" s="7">
        <v>0.54663965710651474</v>
      </c>
      <c r="L63" s="7">
        <v>0.62326387995591248</v>
      </c>
      <c r="M63" s="7">
        <v>1.041590718214787</v>
      </c>
      <c r="N63" s="7">
        <v>0.34491339434487039</v>
      </c>
      <c r="O63" s="7">
        <v>0.7590151230845753</v>
      </c>
      <c r="P63" s="7">
        <v>0.40585902483329678</v>
      </c>
      <c r="Q63" s="8">
        <v>1.0243470982905982</v>
      </c>
      <c r="S63" s="11">
        <v>42.263774323992166</v>
      </c>
      <c r="T63" s="20">
        <v>66.929999999999993</v>
      </c>
      <c r="U63" s="20">
        <v>60.489999999999995</v>
      </c>
      <c r="V63" s="20">
        <v>24.24</v>
      </c>
      <c r="W63" s="20">
        <v>27.560000000000002</v>
      </c>
      <c r="X63" s="20">
        <v>9.6205999999999996</v>
      </c>
      <c r="Y63" s="22">
        <v>-13.7202</v>
      </c>
      <c r="Z63" s="20">
        <v>83.819000000000003</v>
      </c>
      <c r="AA63" s="20">
        <v>16.893000000000001</v>
      </c>
      <c r="AB63" s="20">
        <v>12.934000000000001</v>
      </c>
      <c r="AC63" s="20">
        <v>14.747</v>
      </c>
      <c r="AD63" s="20">
        <v>24.645000000000003</v>
      </c>
      <c r="AE63" s="23">
        <v>8.1609700000000007</v>
      </c>
      <c r="AF63" s="20">
        <v>17.959</v>
      </c>
      <c r="AG63" s="20">
        <v>9.6029999999999998</v>
      </c>
      <c r="AH63" s="22">
        <v>24.237000000000002</v>
      </c>
      <c r="AI63" s="58"/>
    </row>
    <row r="64" spans="1:35" ht="15.75" thickBot="1" x14ac:dyDescent="0.3">
      <c r="A64" s="94" t="s">
        <v>22</v>
      </c>
      <c r="B64" s="60"/>
      <c r="C64" s="7">
        <v>45.520431835899295</v>
      </c>
      <c r="D64" s="7">
        <v>46.903029925264491</v>
      </c>
      <c r="E64" s="7">
        <v>78.730365075264345</v>
      </c>
      <c r="F64" s="7">
        <v>117.2695137953837</v>
      </c>
      <c r="G64" s="15"/>
      <c r="H64" s="16"/>
      <c r="I64" s="7">
        <v>3.6664068306770075</v>
      </c>
      <c r="J64" s="7">
        <v>-51.543259035324297</v>
      </c>
      <c r="K64" s="7">
        <v>-15.386288819662974</v>
      </c>
      <c r="L64" s="7">
        <v>43.148916400367405</v>
      </c>
      <c r="M64" s="7">
        <v>89.576365470908229</v>
      </c>
      <c r="N64" s="103">
        <f>(N63-N62)/N62*100</f>
        <v>44.39091267530052</v>
      </c>
      <c r="O64" s="7">
        <v>158.07870326818627</v>
      </c>
      <c r="P64" s="7">
        <v>67.739280379641457</v>
      </c>
      <c r="Q64" s="8">
        <v>78.708244980576822</v>
      </c>
      <c r="S64" s="11"/>
      <c r="T64" s="15">
        <f>(T63-T62)/T62*100</f>
        <v>48.502329709341026</v>
      </c>
      <c r="U64" s="15">
        <f>(U63-U62)/U62*100</f>
        <v>49.913258983890934</v>
      </c>
      <c r="V64" s="15">
        <f>(V63-V62)/V62*100</f>
        <v>82.392776523702025</v>
      </c>
      <c r="W64" s="15">
        <f>(W63-W62)/W62*100</f>
        <v>121.72164119066777</v>
      </c>
      <c r="X64" s="15"/>
      <c r="Y64" s="16"/>
      <c r="Z64" s="15">
        <f t="shared" ref="Z64:AH64" si="22">(Z63-Z62)/Z62*100</f>
        <v>5.7906627456424991</v>
      </c>
      <c r="AA64" s="15">
        <f t="shared" si="22"/>
        <v>-50.55031906797025</v>
      </c>
      <c r="AB64" s="15">
        <f t="shared" si="22"/>
        <v>-13.652446758795636</v>
      </c>
      <c r="AC64" s="15">
        <f t="shared" si="22"/>
        <v>46.082218920257546</v>
      </c>
      <c r="AD64" s="15">
        <f t="shared" si="22"/>
        <v>93.461025198210237</v>
      </c>
      <c r="AE64" s="17">
        <f t="shared" si="22"/>
        <v>47.349665271199356</v>
      </c>
      <c r="AF64" s="15">
        <f t="shared" si="22"/>
        <v>163.36706261915239</v>
      </c>
      <c r="AG64" s="15">
        <f t="shared" si="22"/>
        <v>71.17647058823529</v>
      </c>
      <c r="AH64" s="16">
        <f t="shared" si="22"/>
        <v>82.370203160270904</v>
      </c>
      <c r="AI64" s="103"/>
    </row>
    <row r="65" spans="1:34" x14ac:dyDescent="0.25">
      <c r="A65" s="29" t="s">
        <v>129</v>
      </c>
      <c r="B65" s="339" t="s">
        <v>130</v>
      </c>
      <c r="C65" s="31">
        <v>2.1498328468411394</v>
      </c>
      <c r="D65" s="31">
        <v>1.4381378799773985</v>
      </c>
      <c r="E65" s="31">
        <v>0.93091082687333693</v>
      </c>
      <c r="F65" s="31">
        <v>0.8193634993125527</v>
      </c>
      <c r="G65" s="18"/>
      <c r="H65" s="22">
        <v>11.983499999999999</v>
      </c>
      <c r="I65" s="31">
        <v>2.6415404570851013</v>
      </c>
      <c r="J65" s="31"/>
      <c r="K65" s="31">
        <v>0.29382512335021332</v>
      </c>
      <c r="L65" s="31">
        <v>0.32579747734461306</v>
      </c>
      <c r="M65" s="31">
        <v>0.65384550833661226</v>
      </c>
      <c r="N65" s="48"/>
      <c r="O65" s="31">
        <v>0.27739352427696834</v>
      </c>
      <c r="P65" s="31">
        <v>0.5419486629745297</v>
      </c>
      <c r="Q65" s="27">
        <v>0.93089803963670381</v>
      </c>
      <c r="S65" s="11">
        <v>42.624122109585016</v>
      </c>
      <c r="T65" s="20">
        <v>50.437000000000005</v>
      </c>
      <c r="U65" s="20">
        <v>33.74</v>
      </c>
      <c r="V65" s="20">
        <v>21.840000000000003</v>
      </c>
      <c r="W65" s="20">
        <v>19.222999999999999</v>
      </c>
      <c r="X65" s="18">
        <v>33.104300000000002</v>
      </c>
      <c r="Y65" s="22">
        <v>11.983499999999999</v>
      </c>
      <c r="Z65" s="20">
        <v>61.972900000000003</v>
      </c>
      <c r="AA65" s="20">
        <v>11.535600000000001</v>
      </c>
      <c r="AB65" s="20">
        <v>6.8933999999999997</v>
      </c>
      <c r="AC65" s="20">
        <v>7.6435000000000004</v>
      </c>
      <c r="AD65" s="20">
        <v>15.3398</v>
      </c>
      <c r="AE65" s="96"/>
      <c r="AF65" s="20">
        <v>6.5079000000000002</v>
      </c>
      <c r="AG65" s="20">
        <v>12.714600000000001</v>
      </c>
      <c r="AH65" s="22">
        <v>21.839700000000001</v>
      </c>
    </row>
    <row r="66" spans="1:34" x14ac:dyDescent="0.25">
      <c r="A66" s="6" t="s">
        <v>131</v>
      </c>
      <c r="B66" s="340"/>
      <c r="C66" s="33">
        <v>2.9193397976383473</v>
      </c>
      <c r="D66" s="33">
        <v>1.6339381142151717</v>
      </c>
      <c r="E66" s="33">
        <v>1.3132189474600637</v>
      </c>
      <c r="F66" s="33">
        <v>1.2824558309533081</v>
      </c>
      <c r="G66" s="18"/>
      <c r="H66" s="22">
        <v>2.3424999999999998</v>
      </c>
      <c r="I66" s="33">
        <v>3.0994870928920659</v>
      </c>
      <c r="J66" s="33"/>
      <c r="K66" s="33">
        <v>0.35844291181209254</v>
      </c>
      <c r="L66" s="33">
        <v>0.30763116506755533</v>
      </c>
      <c r="M66" s="33">
        <v>0.93974797969097745</v>
      </c>
      <c r="N66" s="48"/>
      <c r="O66" s="33">
        <v>0.7424431979806182</v>
      </c>
      <c r="P66" s="33">
        <v>0.54001684133336125</v>
      </c>
      <c r="Q66" s="8">
        <v>1.3132273641814063</v>
      </c>
      <c r="S66" s="11">
        <v>42.083606712387876</v>
      </c>
      <c r="T66" s="20">
        <v>69.37</v>
      </c>
      <c r="U66" s="20">
        <v>38.826000000000001</v>
      </c>
      <c r="V66" s="20">
        <v>31.204999999999998</v>
      </c>
      <c r="W66" s="20">
        <v>30.474</v>
      </c>
      <c r="X66" s="18">
        <v>44.030200000000001</v>
      </c>
      <c r="Y66" s="22">
        <v>2.3424999999999998</v>
      </c>
      <c r="Z66" s="20">
        <v>73.650700000000001</v>
      </c>
      <c r="AA66" s="20">
        <v>4.2808999999999999</v>
      </c>
      <c r="AB66" s="20">
        <v>8.5174000000000003</v>
      </c>
      <c r="AC66" s="20">
        <v>7.31</v>
      </c>
      <c r="AD66" s="20">
        <v>22.330500000000001</v>
      </c>
      <c r="AE66" s="96"/>
      <c r="AF66" s="20">
        <v>17.642099999999999</v>
      </c>
      <c r="AG66" s="20">
        <v>12.832000000000001</v>
      </c>
      <c r="AH66" s="22">
        <v>31.205200000000001</v>
      </c>
    </row>
    <row r="67" spans="1:34" ht="15.75" thickBot="1" x14ac:dyDescent="0.3">
      <c r="A67" s="94" t="s">
        <v>22</v>
      </c>
      <c r="B67" s="341"/>
      <c r="C67" s="15">
        <v>35.793803780041983</v>
      </c>
      <c r="D67" s="15">
        <v>13.614844373673707</v>
      </c>
      <c r="E67" s="15">
        <v>41.068178556993516</v>
      </c>
      <c r="F67" s="15">
        <v>56.518545435486281</v>
      </c>
      <c r="G67" s="15"/>
      <c r="H67" s="16"/>
      <c r="I67" s="15">
        <v>17.336347606513723</v>
      </c>
      <c r="J67" s="15"/>
      <c r="K67" s="15">
        <v>21.991920815042278</v>
      </c>
      <c r="L67" s="15">
        <v>-5.5759524061146326</v>
      </c>
      <c r="M67" s="15">
        <v>43.726303493573454</v>
      </c>
      <c r="N67" s="51"/>
      <c r="O67" s="15">
        <v>167.64979460706985</v>
      </c>
      <c r="P67" s="15">
        <v>-0.35645841998492817</v>
      </c>
      <c r="Q67" s="16">
        <v>41.071020484038392</v>
      </c>
      <c r="S67" s="11"/>
      <c r="T67" s="15">
        <f>(T66-T65)/T65*100</f>
        <v>37.537918591510191</v>
      </c>
      <c r="U67" s="15">
        <f>(U66-U65)/U65*100</f>
        <v>15.074096028452869</v>
      </c>
      <c r="V67" s="15">
        <f>(V66-V65)/V65*100</f>
        <v>42.880036630036599</v>
      </c>
      <c r="W67" s="15">
        <f>(W66-W65)/W65*100</f>
        <v>58.528845653644076</v>
      </c>
      <c r="X67" s="15"/>
      <c r="Y67" s="16"/>
      <c r="Z67" s="15">
        <f>(Z66-Z65)/Z65*100</f>
        <v>18.843397678662765</v>
      </c>
      <c r="AA67" s="15">
        <f>(AA66-AA65)/AA65*100</f>
        <v>-62.889663303165854</v>
      </c>
      <c r="AB67" s="15">
        <f>(AB66-AB65)/AB65*100</f>
        <v>23.558766356224801</v>
      </c>
      <c r="AC67" s="15">
        <f>(AC66-AC65)/AC65*100</f>
        <v>-4.3631844050500534</v>
      </c>
      <c r="AD67" s="15">
        <f>(AD66-AD65)/AD65*100</f>
        <v>45.572302116064094</v>
      </c>
      <c r="AE67" s="48"/>
      <c r="AF67" s="15">
        <f>(AF66-AF65)/AF65*100</f>
        <v>171.08744756373022</v>
      </c>
      <c r="AG67" s="15">
        <f>(AG66-AG65)/AG65*100</f>
        <v>0.92334796218520399</v>
      </c>
      <c r="AH67" s="16">
        <f>(AH66-AH65)/AH65*100</f>
        <v>42.882915058357028</v>
      </c>
    </row>
    <row r="68" spans="1:34" x14ac:dyDescent="0.25">
      <c r="C68" s="7"/>
      <c r="D68" s="7"/>
      <c r="E68" s="7"/>
      <c r="F68" s="7"/>
      <c r="G68" s="7"/>
      <c r="H68" s="7"/>
      <c r="I68" s="7"/>
      <c r="J68" s="7"/>
      <c r="K68" s="7"/>
      <c r="L68" s="7"/>
      <c r="M68" s="7"/>
      <c r="N68" s="7"/>
      <c r="O68" s="7"/>
      <c r="P68" s="7"/>
      <c r="Q68" s="7"/>
      <c r="T68" s="7"/>
      <c r="U68" s="7"/>
      <c r="V68" s="7"/>
      <c r="W68" s="7"/>
      <c r="X68" s="7"/>
      <c r="Y68" s="7"/>
      <c r="Z68" s="7"/>
      <c r="AA68" s="7"/>
      <c r="AB68" s="7"/>
      <c r="AC68" s="7"/>
      <c r="AD68" s="7"/>
      <c r="AE68" s="7"/>
      <c r="AF68" s="7"/>
      <c r="AG68" s="7"/>
      <c r="AH68" s="7"/>
    </row>
    <row r="69" spans="1:34" x14ac:dyDescent="0.25">
      <c r="C69" s="7"/>
      <c r="D69" s="7"/>
      <c r="E69" s="7"/>
      <c r="F69" s="7"/>
      <c r="G69" s="7"/>
      <c r="H69" s="7"/>
      <c r="I69" s="7"/>
      <c r="J69" s="7"/>
      <c r="K69" s="7"/>
      <c r="L69" s="7"/>
      <c r="M69" s="7"/>
      <c r="N69" s="7"/>
      <c r="O69" s="7"/>
      <c r="P69" s="7"/>
      <c r="Q69" s="7"/>
      <c r="T69" s="7"/>
      <c r="U69" s="7"/>
      <c r="V69" s="7"/>
      <c r="W69" s="7"/>
      <c r="X69" s="7"/>
      <c r="Y69" s="7"/>
      <c r="Z69" s="7"/>
      <c r="AA69" s="7"/>
      <c r="AB69" s="7"/>
      <c r="AC69" s="7"/>
      <c r="AD69" s="7"/>
      <c r="AE69" s="7"/>
      <c r="AF69" s="7"/>
      <c r="AG69" s="7"/>
      <c r="AH69" s="7"/>
    </row>
    <row r="70" spans="1:34" ht="30.75" thickBot="1" x14ac:dyDescent="0.3">
      <c r="C70" s="3" t="s">
        <v>2</v>
      </c>
      <c r="D70" s="76" t="s">
        <v>3</v>
      </c>
      <c r="E70" s="76" t="s">
        <v>4</v>
      </c>
      <c r="F70" s="76" t="s">
        <v>5</v>
      </c>
      <c r="G70" s="76" t="s">
        <v>6</v>
      </c>
      <c r="H70" s="44" t="s">
        <v>7</v>
      </c>
      <c r="I70" s="76" t="s">
        <v>8</v>
      </c>
      <c r="J70" s="76" t="s">
        <v>9</v>
      </c>
      <c r="K70" s="76" t="s">
        <v>10</v>
      </c>
      <c r="L70" s="76" t="s">
        <v>11</v>
      </c>
      <c r="M70" s="76" t="s">
        <v>12</v>
      </c>
      <c r="N70" s="77" t="s">
        <v>13</v>
      </c>
      <c r="O70" s="76" t="s">
        <v>14</v>
      </c>
      <c r="P70" s="76" t="s">
        <v>15</v>
      </c>
      <c r="Q70" s="44" t="s">
        <v>16</v>
      </c>
      <c r="T70" s="15"/>
      <c r="U70" s="15"/>
      <c r="V70" s="15"/>
      <c r="W70" s="15"/>
      <c r="X70" s="15"/>
      <c r="Y70" s="15"/>
      <c r="Z70" s="15"/>
      <c r="AA70" s="15"/>
      <c r="AB70" s="15"/>
      <c r="AC70" s="15"/>
      <c r="AD70" s="15"/>
      <c r="AE70" s="15"/>
      <c r="AF70" s="15"/>
      <c r="AG70" s="15"/>
      <c r="AH70" s="15"/>
    </row>
    <row r="71" spans="1:34" ht="15.75" thickTop="1" x14ac:dyDescent="0.25">
      <c r="B71" s="29" t="s">
        <v>28</v>
      </c>
      <c r="C71" s="7">
        <f>AVERAGE(C65,C62,C59,C56,C53,C50,C47,C44,C41,C38,C35,C32,C29,C26,,C23,C17,C14,C11,C8,C2)</f>
        <v>2.3518864070350451</v>
      </c>
      <c r="D71" s="7">
        <f t="shared" ref="D71:H71" si="23">AVERAGE(D65,D62,D59,D56,D53,D50,D47,D44,D41,D38,D35,D32,D29,D26,,D23,D17,D14,D11,D8,D2)</f>
        <v>1.8601639796696379</v>
      </c>
      <c r="E71" s="7">
        <f t="shared" si="23"/>
        <v>1.0168739828609845</v>
      </c>
      <c r="F71" s="7">
        <f t="shared" si="23"/>
        <v>0.92725992322858486</v>
      </c>
      <c r="G71" s="7">
        <f>AVERAGE(G65,G62,G59,G56,G53,G50,G47,G44,G41,G38,G35,G32,G29,G26,,G23,G17,G14,G11,G8,G2)</f>
        <v>17.175805555555556</v>
      </c>
      <c r="H71" s="10">
        <f t="shared" si="23"/>
        <v>4.5640473684210514</v>
      </c>
      <c r="I71" s="7">
        <f t="shared" ref="I71:Q71" si="24">AVERAGE(I65,I62,I59,I56,I53,I50,I47,I44,I41,I38,I35,I32,I29,I26,I23,I17,I14,I11,I8,I2)</f>
        <v>3.6029548593571357</v>
      </c>
      <c r="J71" s="7">
        <f t="shared" si="24"/>
        <v>1.1437624735952698</v>
      </c>
      <c r="K71" s="7">
        <f t="shared" si="24"/>
        <v>0.36548470958340473</v>
      </c>
      <c r="L71" s="7">
        <f t="shared" si="24"/>
        <v>0.36111311489350151</v>
      </c>
      <c r="M71" s="7">
        <f t="shared" si="24"/>
        <v>0.44585579103337442</v>
      </c>
      <c r="N71" s="9">
        <f t="shared" si="24"/>
        <v>0.83920078906022344</v>
      </c>
      <c r="O71" s="7">
        <f t="shared" si="24"/>
        <v>0.5065697182533363</v>
      </c>
      <c r="P71" s="7">
        <f t="shared" si="24"/>
        <v>0.48788103460306803</v>
      </c>
      <c r="Q71" s="10">
        <f t="shared" si="24"/>
        <v>1.070390676273143</v>
      </c>
      <c r="S71" s="97" t="s">
        <v>28</v>
      </c>
      <c r="T71" s="7">
        <f>AVERAGE(T65,T62,T59,T56,T53,T50,T47,T44,T41,T38,T35,T32,T29,T26,T23,T17,T14,T11,T8,T2)</f>
        <v>41.309275</v>
      </c>
      <c r="U71" s="7">
        <f t="shared" ref="U71:AH71" si="25">AVERAGE(U65,U62,U59,U56,U53,U50,U47,U44,U41,U38,U35,U32,U29,U26,U23,U17,U14,U11,U8,U2)</f>
        <v>32.823249999999994</v>
      </c>
      <c r="V71" s="7">
        <f t="shared" si="25"/>
        <v>18.006784210526313</v>
      </c>
      <c r="W71" s="7">
        <f t="shared" si="25"/>
        <v>16.407573684210526</v>
      </c>
      <c r="X71" s="7">
        <f t="shared" si="25"/>
        <v>18.68273684210526</v>
      </c>
      <c r="Y71" s="7">
        <f t="shared" si="25"/>
        <v>7.4299000000000017</v>
      </c>
      <c r="Z71" s="7">
        <f t="shared" si="25"/>
        <v>59.989914999999996</v>
      </c>
      <c r="AA71" s="7">
        <f t="shared" si="25"/>
        <v>18.231247368421052</v>
      </c>
      <c r="AB71" s="7">
        <f t="shared" si="25"/>
        <v>6.4837894736842108</v>
      </c>
      <c r="AC71" s="7">
        <f t="shared" si="25"/>
        <v>6.2942999999999998</v>
      </c>
      <c r="AD71" s="7">
        <f t="shared" si="25"/>
        <v>7.6251999999999995</v>
      </c>
      <c r="AE71" s="7">
        <f t="shared" si="25"/>
        <v>13.369679261299614</v>
      </c>
      <c r="AF71" s="7">
        <f t="shared" si="25"/>
        <v>8.5814631578947367</v>
      </c>
      <c r="AG71" s="7">
        <f t="shared" si="25"/>
        <v>8.1318611111111121</v>
      </c>
      <c r="AH71" s="7">
        <f t="shared" si="25"/>
        <v>18.006726315789471</v>
      </c>
    </row>
    <row r="72" spans="1:34" x14ac:dyDescent="0.25">
      <c r="B72" s="6" t="s">
        <v>29</v>
      </c>
      <c r="C72" s="7">
        <f t="shared" ref="C72:H72" si="26">AVERAGE(C66,C63,C60,C57,C54,C51,C48,C45,C42,C39,C36,C33,C30,C27,,C24,C18,C15,C12,C9,C3)</f>
        <v>2.9726277093463245</v>
      </c>
      <c r="D72" s="7">
        <f t="shared" si="26"/>
        <v>2.1990694801225907</v>
      </c>
      <c r="E72" s="7">
        <f t="shared" si="26"/>
        <v>1.5078555421293989</v>
      </c>
      <c r="F72" s="7">
        <f t="shared" si="26"/>
        <v>1.4255452933530057</v>
      </c>
      <c r="G72" s="7">
        <f t="shared" si="26"/>
        <v>23.449573684210527</v>
      </c>
      <c r="H72" s="8">
        <f t="shared" si="26"/>
        <v>4.1790333333333329</v>
      </c>
      <c r="I72" s="7">
        <f t="shared" ref="I72:Q72" si="27">AVERAGE(I66,I63,I60,I57,I54,I51,I48,I45,I42,I39,I36,I33,I30,I27,I24,I18,I15,I12,I9,I3)</f>
        <v>4.151591771285263</v>
      </c>
      <c r="J72" s="7">
        <f t="shared" si="27"/>
        <v>1.0750931942540565</v>
      </c>
      <c r="K72" s="7">
        <f t="shared" si="27"/>
        <v>0.3657723214531064</v>
      </c>
      <c r="L72" s="7">
        <f t="shared" si="27"/>
        <v>0.38662299791435395</v>
      </c>
      <c r="M72" s="7">
        <f t="shared" si="27"/>
        <v>0.83044750889071961</v>
      </c>
      <c r="N72" s="12">
        <f t="shared" si="27"/>
        <v>0.78216239192128068</v>
      </c>
      <c r="O72" s="7">
        <f t="shared" si="27"/>
        <v>1.0934079745742233</v>
      </c>
      <c r="P72" s="7">
        <f t="shared" si="27"/>
        <v>0.44357423560330123</v>
      </c>
      <c r="Q72" s="8">
        <f t="shared" si="27"/>
        <v>1.5872074114563806</v>
      </c>
      <c r="S72" s="98" t="s">
        <v>29</v>
      </c>
      <c r="T72" s="7">
        <f t="shared" ref="T72:AH72" si="28">AVERAGE(T66,T63,T60,T57,T54,T51,T48,T45,T42,T39,T36,T33,T30,T27,T24,T18,T15,T12,T9,T3)</f>
        <v>51.0869</v>
      </c>
      <c r="U72" s="7">
        <f t="shared" si="28"/>
        <v>38.35615</v>
      </c>
      <c r="V72" s="7">
        <f t="shared" si="28"/>
        <v>26.580842105263162</v>
      </c>
      <c r="W72" s="7">
        <f t="shared" si="28"/>
        <v>25.176842105263159</v>
      </c>
      <c r="X72" s="7">
        <f t="shared" si="28"/>
        <v>25.469995000000001</v>
      </c>
      <c r="Y72" s="7">
        <f t="shared" si="28"/>
        <v>4.6533684210526305</v>
      </c>
      <c r="Z72" s="7">
        <f t="shared" si="28"/>
        <v>67.230265000000003</v>
      </c>
      <c r="AA72" s="7">
        <f t="shared" si="28"/>
        <v>16.143650000000001</v>
      </c>
      <c r="AB72" s="7">
        <f t="shared" si="28"/>
        <v>6.2722421052631576</v>
      </c>
      <c r="AC72" s="7">
        <f t="shared" si="28"/>
        <v>6.6668949999999993</v>
      </c>
      <c r="AD72" s="7">
        <f t="shared" si="28"/>
        <v>14.120115000000002</v>
      </c>
      <c r="AE72" s="7">
        <f t="shared" si="28"/>
        <v>12.186240526315787</v>
      </c>
      <c r="AF72" s="7">
        <f t="shared" si="28"/>
        <v>18.303205263157892</v>
      </c>
      <c r="AG72" s="7">
        <f t="shared" si="28"/>
        <v>7.4772176470588239</v>
      </c>
      <c r="AH72" s="7">
        <f t="shared" si="28"/>
        <v>26.580678947368416</v>
      </c>
    </row>
    <row r="73" spans="1:34" x14ac:dyDescent="0.25">
      <c r="B73" s="43" t="s">
        <v>34</v>
      </c>
      <c r="C73" s="39">
        <f t="shared" ref="C73:F73" si="29">AVERAGE(C67,C64,C61,C58,C55,C52,C49,C46,C43,C40,C37,C34,C31,C28,,C25,C19,C16,C13,C10,C4)</f>
        <v>27.593408318294276</v>
      </c>
      <c r="D73" s="35">
        <f t="shared" si="29"/>
        <v>17.866394659152313</v>
      </c>
      <c r="E73" s="35">
        <f t="shared" si="29"/>
        <v>53.857101930196244</v>
      </c>
      <c r="F73" s="35">
        <f t="shared" si="29"/>
        <v>59.324022951122835</v>
      </c>
      <c r="G73" s="35"/>
      <c r="H73" s="36"/>
      <c r="I73" s="35">
        <f t="shared" ref="I73:Q73" si="30">AVERAGE(I67,I64,I61,I58,I55,I52,I49,I46,I43,I40,I37,I34,I31,I28,I25,I19,I16,I13,I10,I4)</f>
        <v>15.728720953037771</v>
      </c>
      <c r="J73" s="35">
        <f t="shared" si="30"/>
        <v>-7.0268427601319541</v>
      </c>
      <c r="K73" s="35">
        <f t="shared" si="30"/>
        <v>3.581496807289271</v>
      </c>
      <c r="L73" s="35">
        <f t="shared" si="30"/>
        <v>6.9664152824614352</v>
      </c>
      <c r="M73" s="35">
        <f t="shared" si="30"/>
        <v>98.786476887573627</v>
      </c>
      <c r="N73" s="37">
        <f t="shared" si="30"/>
        <v>-3.7269733620193679</v>
      </c>
      <c r="O73" s="35">
        <f t="shared" si="30"/>
        <v>132.46498861738144</v>
      </c>
      <c r="P73" s="35">
        <f t="shared" si="30"/>
        <v>-4.755190039117509</v>
      </c>
      <c r="Q73" s="36">
        <f t="shared" si="30"/>
        <v>56.691126629985106</v>
      </c>
      <c r="S73" s="99" t="s">
        <v>34</v>
      </c>
      <c r="T73" s="7">
        <f t="shared" ref="T73:AH73" si="31">AVERAGE(T67,T64,T61,T58,T55,T52,T49,T46,T43,T40,T37,T34,T31,T28,T25,T19,T16,T13,T10,T4)</f>
        <v>20.041169664135676</v>
      </c>
      <c r="U73" s="7">
        <f t="shared" si="31"/>
        <v>12.929061252812716</v>
      </c>
      <c r="V73" s="7">
        <f t="shared" si="31"/>
        <v>35.659592112796894</v>
      </c>
      <c r="W73" s="7">
        <f t="shared" si="31"/>
        <v>43.300813493051812</v>
      </c>
      <c r="X73" s="7"/>
      <c r="Y73" s="7"/>
      <c r="Z73" s="7">
        <f t="shared" si="31"/>
        <v>10.137425602022006</v>
      </c>
      <c r="AA73" s="7">
        <f t="shared" si="31"/>
        <v>-12.960193789657623</v>
      </c>
      <c r="AB73" s="7">
        <f t="shared" si="31"/>
        <v>-0.53484515846737513</v>
      </c>
      <c r="AC73" s="7">
        <f t="shared" si="31"/>
        <v>2.6451988604960937</v>
      </c>
      <c r="AD73" s="7">
        <f t="shared" si="31"/>
        <v>66.665302620966855</v>
      </c>
      <c r="AE73" s="7">
        <f t="shared" si="31"/>
        <v>-7.183508542633505</v>
      </c>
      <c r="AF73" s="7">
        <f t="shared" si="31"/>
        <v>91.256016687690177</v>
      </c>
      <c r="AG73" s="7">
        <f t="shared" si="31"/>
        <v>-10.857186479938266</v>
      </c>
      <c r="AH73" s="7">
        <f t="shared" si="31"/>
        <v>35.658735419083094</v>
      </c>
    </row>
    <row r="74" spans="1:34" x14ac:dyDescent="0.25">
      <c r="B74" s="6" t="s">
        <v>31</v>
      </c>
      <c r="C74" s="7">
        <f>_xlfn.STDEV.S(C65,C62,C59,C56,C53,C50,C47,C44,C41,C38,C35,C32,C29,C26,C23,C17,C14,C11,C8,C2)</f>
        <v>0.52695270592283383</v>
      </c>
      <c r="D74" s="7">
        <f t="shared" ref="D74:Q74" si="32">_xlfn.STDEV.S(D65,D62,D59,D56,D53,D50,D47,D44,D41,D38,D35,D32,D29,D26,D23,D17,D14,D11,D8,D2)</f>
        <v>0.50281470686889929</v>
      </c>
      <c r="E74" s="7">
        <f t="shared" si="32"/>
        <v>0.3501258033206105</v>
      </c>
      <c r="F74" s="7">
        <f t="shared" si="32"/>
        <v>0.319655879444872</v>
      </c>
      <c r="G74" s="7">
        <f t="shared" si="32"/>
        <v>14.931264583882276</v>
      </c>
      <c r="H74" s="8">
        <f t="shared" si="32"/>
        <v>12.249874734028062</v>
      </c>
      <c r="I74" s="7">
        <f t="shared" si="32"/>
        <v>0.70538706921235295</v>
      </c>
      <c r="J74" s="7">
        <f t="shared" si="32"/>
        <v>0.47354492517957336</v>
      </c>
      <c r="K74" s="7">
        <f t="shared" si="32"/>
        <v>0.16621144812573979</v>
      </c>
      <c r="L74" s="7">
        <f t="shared" si="32"/>
        <v>0.11226151498097181</v>
      </c>
      <c r="M74" s="7">
        <f t="shared" si="32"/>
        <v>0.17028480697752854</v>
      </c>
      <c r="N74" s="12">
        <f t="shared" si="32"/>
        <v>0.36329075673846145</v>
      </c>
      <c r="O74" s="7">
        <f t="shared" si="32"/>
        <v>0.20249392130009969</v>
      </c>
      <c r="P74" s="7">
        <f t="shared" si="32"/>
        <v>0.23171251234090834</v>
      </c>
      <c r="Q74" s="8">
        <f t="shared" si="32"/>
        <v>0.35013277364303352</v>
      </c>
      <c r="S74" s="98" t="s">
        <v>31</v>
      </c>
      <c r="T74" s="7">
        <f>_xlfn.STDEV.P(T65,T62,T59,T56,T53,T50,T47,T44,T41,T38,T35,T32,T29,T26,T23,,T17,T14,T11,T8,T2)</f>
        <v>12.157689764618031</v>
      </c>
      <c r="U74" s="7">
        <f t="shared" ref="U74:AH74" si="33">_xlfn.STDEV.P(U65,U62,U59,U56,U53,U50,U47,U44,U41,U38,U35,U32,U29,U26,U23,,U17,U14,U11,U8,U2)</f>
        <v>10.898092436423669</v>
      </c>
      <c r="V74" s="7">
        <f t="shared" si="33"/>
        <v>7.110869873122069</v>
      </c>
      <c r="W74" s="7">
        <f t="shared" si="33"/>
        <v>6.4856969334432373</v>
      </c>
      <c r="X74" s="7">
        <f t="shared" si="33"/>
        <v>14.398964520200751</v>
      </c>
      <c r="Y74" s="7">
        <f t="shared" si="33"/>
        <v>15.711921755071049</v>
      </c>
      <c r="Z74" s="7">
        <f t="shared" si="33"/>
        <v>16.00612948299192</v>
      </c>
      <c r="AA74" s="7">
        <f t="shared" si="33"/>
        <v>7.7231876738996181</v>
      </c>
      <c r="AB74" s="7">
        <f t="shared" si="33"/>
        <v>3.6833776723273983</v>
      </c>
      <c r="AC74" s="7">
        <f t="shared" si="33"/>
        <v>2.76035109225566</v>
      </c>
      <c r="AD74" s="7">
        <f t="shared" si="33"/>
        <v>3.540107530849498</v>
      </c>
      <c r="AE74" s="7">
        <f t="shared" si="33"/>
        <v>5.1623666378076267</v>
      </c>
      <c r="AF74" s="7">
        <f t="shared" si="33"/>
        <v>3.9502435707054828</v>
      </c>
      <c r="AG74" s="7">
        <f t="shared" si="33"/>
        <v>3.7046438095780361</v>
      </c>
      <c r="AH74" s="7">
        <f t="shared" si="33"/>
        <v>7.1109135619764103</v>
      </c>
    </row>
    <row r="75" spans="1:34" x14ac:dyDescent="0.25">
      <c r="B75" s="6" t="s">
        <v>32</v>
      </c>
      <c r="C75" s="7">
        <f t="shared" ref="C75:Q75" si="34">_xlfn.STDEV.S(C66,C63,C60,C57,C54,C51,C48,C45,C42,C39,C36,C33,C30,C27,C24,C18,C15,C12,C9,C3)</f>
        <v>0.65540282966045404</v>
      </c>
      <c r="D75" s="7">
        <f t="shared" si="34"/>
        <v>0.60612143790650264</v>
      </c>
      <c r="E75" s="7">
        <f t="shared" si="34"/>
        <v>0.4717890343379792</v>
      </c>
      <c r="F75" s="7">
        <f t="shared" si="34"/>
        <v>0.44532937888458368</v>
      </c>
      <c r="G75" s="7">
        <f t="shared" si="34"/>
        <v>13.959184286247471</v>
      </c>
      <c r="H75" s="8">
        <f t="shared" si="34"/>
        <v>9.6967463429143859</v>
      </c>
      <c r="I75" s="7">
        <f t="shared" si="34"/>
        <v>0.88339061896179616</v>
      </c>
      <c r="J75" s="7">
        <f t="shared" si="34"/>
        <v>0.51608001238327816</v>
      </c>
      <c r="K75" s="7">
        <f t="shared" si="34"/>
        <v>0.1400432485961304</v>
      </c>
      <c r="L75" s="7">
        <f t="shared" si="34"/>
        <v>0.13162446120242335</v>
      </c>
      <c r="M75" s="7">
        <f t="shared" si="34"/>
        <v>0.32952625615136144</v>
      </c>
      <c r="N75" s="12">
        <f t="shared" si="34"/>
        <v>0.33061994799152267</v>
      </c>
      <c r="O75" s="7">
        <f t="shared" si="34"/>
        <v>0.39148147975173031</v>
      </c>
      <c r="P75" s="7">
        <f t="shared" si="34"/>
        <v>0.14940105228151446</v>
      </c>
      <c r="Q75" s="8">
        <f t="shared" si="34"/>
        <v>0.47179812630805551</v>
      </c>
      <c r="S75" s="98" t="s">
        <v>32</v>
      </c>
      <c r="T75" s="7">
        <f t="shared" ref="T75:AH75" si="35">_xlfn.STDEV.P(T66,T63,T60,T57,T54,T51,T48,T45,T42,T39,T36,T33,T30,T27,T24,,T18,T15,T12,T9,T3)</f>
        <v>17.345985388745618</v>
      </c>
      <c r="U75" s="7">
        <f t="shared" si="35"/>
        <v>15.270773184445964</v>
      </c>
      <c r="V75" s="7">
        <f t="shared" si="35"/>
        <v>11.149382169429826</v>
      </c>
      <c r="W75" s="7">
        <f t="shared" si="35"/>
        <v>10.586140330639866</v>
      </c>
      <c r="X75" s="7">
        <f t="shared" si="35"/>
        <v>14.336127579267178</v>
      </c>
      <c r="Y75" s="7">
        <f t="shared" si="35"/>
        <v>10.942065542711759</v>
      </c>
      <c r="Z75" s="7">
        <f t="shared" si="35"/>
        <v>20.202057699695185</v>
      </c>
      <c r="AA75" s="7">
        <f t="shared" si="35"/>
        <v>7.520116052959378</v>
      </c>
      <c r="AB75" s="7">
        <f t="shared" si="35"/>
        <v>3.2198500945075081</v>
      </c>
      <c r="AC75" s="7">
        <f t="shared" si="35"/>
        <v>3.359801796436491</v>
      </c>
      <c r="AD75" s="7">
        <f t="shared" si="35"/>
        <v>7.6908814219080393</v>
      </c>
      <c r="AE75" s="7">
        <f t="shared" si="35"/>
        <v>4.9290534280866538</v>
      </c>
      <c r="AF75" s="7">
        <f t="shared" si="35"/>
        <v>8.4585997996994209</v>
      </c>
      <c r="AG75" s="7">
        <f t="shared" si="35"/>
        <v>3.1120285278344664</v>
      </c>
      <c r="AH75" s="7">
        <f t="shared" si="35"/>
        <v>11.149417835226881</v>
      </c>
    </row>
    <row r="76" spans="1:34" ht="15.75" thickBot="1" x14ac:dyDescent="0.3">
      <c r="B76" s="40" t="s">
        <v>33</v>
      </c>
      <c r="C76" s="24">
        <f t="shared" ref="C76:Q76" si="36">_xlfn.STDEV.S(C67,C64,C61,C58,C55,C52,C49,C46,C43,C40,C37,C34,C31,C28,C25,C19,C16,C13,C10,C4)</f>
        <v>27.294548724310971</v>
      </c>
      <c r="D76" s="15">
        <f t="shared" si="36"/>
        <v>18.406202838769889</v>
      </c>
      <c r="E76" s="15">
        <f t="shared" si="36"/>
        <v>47.900666471780696</v>
      </c>
      <c r="F76" s="15">
        <f t="shared" si="36"/>
        <v>45.585298932944859</v>
      </c>
      <c r="G76" s="15" t="s">
        <v>27</v>
      </c>
      <c r="H76" s="16"/>
      <c r="I76" s="15">
        <f t="shared" si="36"/>
        <v>14.848089005587166</v>
      </c>
      <c r="J76" s="15">
        <f t="shared" si="36"/>
        <v>24.365798101423671</v>
      </c>
      <c r="K76" s="15">
        <f t="shared" si="36"/>
        <v>15.438430622802706</v>
      </c>
      <c r="L76" s="15">
        <f t="shared" si="36"/>
        <v>17.545750192422997</v>
      </c>
      <c r="M76" s="15">
        <f t="shared" si="36"/>
        <v>80.720638429129309</v>
      </c>
      <c r="N76" s="17">
        <f t="shared" si="36"/>
        <v>18.910746646057529</v>
      </c>
      <c r="O76" s="15">
        <f t="shared" si="36"/>
        <v>80.173291965198459</v>
      </c>
      <c r="P76" s="15">
        <f t="shared" si="36"/>
        <v>32.26803628273445</v>
      </c>
      <c r="Q76" s="16">
        <f t="shared" si="36"/>
        <v>47.900799340885122</v>
      </c>
      <c r="S76" s="100" t="s">
        <v>33</v>
      </c>
      <c r="T76" s="7">
        <f t="shared" ref="T76:AH76" si="37">_xlfn.STDEV.P(T67,T64,T61,T58,T55,T52,T49,T46,T43,T40,T37,T34,T31,T28,T25,,T19,T16,T13,T10,T4)</f>
        <v>20.231389403795923</v>
      </c>
      <c r="U76" s="7">
        <f t="shared" si="37"/>
        <v>16.432761291051527</v>
      </c>
      <c r="V76" s="7">
        <f t="shared" si="37"/>
        <v>23.643831103322167</v>
      </c>
      <c r="W76" s="7">
        <f t="shared" si="37"/>
        <v>32.634986090665855</v>
      </c>
      <c r="X76" s="7"/>
      <c r="Y76" s="7"/>
      <c r="Z76" s="7">
        <f t="shared" si="37"/>
        <v>11.018816686566106</v>
      </c>
      <c r="AA76" s="7">
        <f t="shared" si="37"/>
        <v>24.728885416694183</v>
      </c>
      <c r="AB76" s="7">
        <f t="shared" si="37"/>
        <v>16.487430893369584</v>
      </c>
      <c r="AC76" s="7">
        <f t="shared" si="37"/>
        <v>16.360832372510917</v>
      </c>
      <c r="AD76" s="7">
        <f t="shared" si="37"/>
        <v>49.693502768656991</v>
      </c>
      <c r="AE76" s="7">
        <f t="shared" si="37"/>
        <v>19.939875044295437</v>
      </c>
      <c r="AF76" s="7">
        <f t="shared" si="37"/>
        <v>52.078651422464723</v>
      </c>
      <c r="AG76" s="7">
        <f t="shared" si="37"/>
        <v>33.432984305971829</v>
      </c>
      <c r="AH76" s="7">
        <f t="shared" si="37"/>
        <v>23.641640889265783</v>
      </c>
    </row>
    <row r="78" spans="1:34" x14ac:dyDescent="0.25">
      <c r="I78" s="7"/>
      <c r="J78" s="7"/>
      <c r="K78" s="7"/>
      <c r="L78" s="7"/>
      <c r="M78" s="7"/>
      <c r="N78" s="7"/>
      <c r="O78" s="7"/>
      <c r="P78" s="7"/>
      <c r="Q78" s="7"/>
    </row>
    <row r="79" spans="1:34" x14ac:dyDescent="0.25">
      <c r="M79" s="7"/>
      <c r="N79" s="7"/>
    </row>
    <row r="80" spans="1:34" x14ac:dyDescent="0.25">
      <c r="M80" s="7"/>
      <c r="N80" s="7"/>
    </row>
    <row r="81" spans="13:14" x14ac:dyDescent="0.25">
      <c r="M81" s="7"/>
      <c r="N81" s="7"/>
    </row>
    <row r="82" spans="13:14" x14ac:dyDescent="0.25">
      <c r="M82" s="7"/>
      <c r="N82" s="7"/>
    </row>
    <row r="83" spans="13:14" x14ac:dyDescent="0.25">
      <c r="M83" s="7"/>
      <c r="N83" s="7"/>
    </row>
    <row r="84" spans="13:14" ht="60" customHeight="1" x14ac:dyDescent="0.25">
      <c r="M84" s="7"/>
      <c r="N84" s="7"/>
    </row>
    <row r="85" spans="13:14" x14ac:dyDescent="0.25">
      <c r="M85" s="7"/>
      <c r="N85" s="7"/>
    </row>
    <row r="86" spans="13:14" x14ac:dyDescent="0.25">
      <c r="M86" s="7"/>
      <c r="N86" s="7"/>
    </row>
    <row r="87" spans="13:14" x14ac:dyDescent="0.25">
      <c r="M87" s="7"/>
      <c r="N87" s="7"/>
    </row>
    <row r="88" spans="13:14" x14ac:dyDescent="0.25">
      <c r="M88" s="7"/>
      <c r="N88" s="7"/>
    </row>
    <row r="89" spans="13:14" x14ac:dyDescent="0.25">
      <c r="M89" s="7"/>
      <c r="N89" s="7"/>
    </row>
    <row r="90" spans="13:14" x14ac:dyDescent="0.25">
      <c r="M90" s="7"/>
      <c r="N90" s="7"/>
    </row>
    <row r="91" spans="13:14" x14ac:dyDescent="0.25">
      <c r="M91" s="7"/>
      <c r="N91" s="7"/>
    </row>
    <row r="92" spans="13:14" x14ac:dyDescent="0.25">
      <c r="M92" s="7"/>
      <c r="N92" s="7"/>
    </row>
    <row r="93" spans="13:14" x14ac:dyDescent="0.25">
      <c r="M93" s="7"/>
      <c r="N93" s="7"/>
    </row>
    <row r="94" spans="13:14" x14ac:dyDescent="0.25">
      <c r="M94" s="7"/>
      <c r="N94" s="7"/>
    </row>
    <row r="95" spans="13:14" x14ac:dyDescent="0.25">
      <c r="M95" s="7"/>
      <c r="N95" s="7"/>
    </row>
    <row r="96" spans="13:14" x14ac:dyDescent="0.25">
      <c r="M96" s="7"/>
      <c r="N96" s="7"/>
    </row>
    <row r="97" spans="13:14" x14ac:dyDescent="0.25">
      <c r="M97" s="7"/>
      <c r="N97" s="7"/>
    </row>
    <row r="98" spans="13:14" x14ac:dyDescent="0.25">
      <c r="M98" s="7"/>
      <c r="N98" s="7"/>
    </row>
    <row r="99" spans="13:14" x14ac:dyDescent="0.25">
      <c r="M99" s="7"/>
      <c r="N99" s="7"/>
    </row>
    <row r="100" spans="13:14" x14ac:dyDescent="0.25">
      <c r="M100" s="7"/>
      <c r="N100" s="7"/>
    </row>
    <row r="101" spans="13:14" x14ac:dyDescent="0.25">
      <c r="M101" s="7"/>
      <c r="N101" s="7"/>
    </row>
    <row r="102" spans="13:14" x14ac:dyDescent="0.25">
      <c r="M102" s="7"/>
      <c r="N102" s="7"/>
    </row>
    <row r="103" spans="13:14" x14ac:dyDescent="0.25">
      <c r="M103" s="7"/>
      <c r="N103" s="7"/>
    </row>
    <row r="104" spans="13:14" x14ac:dyDescent="0.25">
      <c r="M104" s="7"/>
      <c r="N104" s="7"/>
    </row>
    <row r="105" spans="13:14" x14ac:dyDescent="0.25">
      <c r="M105" s="7"/>
      <c r="N105" s="7"/>
    </row>
    <row r="106" spans="13:14" x14ac:dyDescent="0.25">
      <c r="M106" s="7"/>
      <c r="N106" s="7"/>
    </row>
    <row r="107" spans="13:14" x14ac:dyDescent="0.25">
      <c r="M107" s="7"/>
      <c r="N107" s="7"/>
    </row>
    <row r="108" spans="13:14" ht="15" customHeight="1" x14ac:dyDescent="0.25">
      <c r="M108" s="7"/>
      <c r="N108" s="7"/>
    </row>
    <row r="109" spans="13:14" x14ac:dyDescent="0.25">
      <c r="M109" s="7"/>
      <c r="N109" s="7"/>
    </row>
    <row r="110" spans="13:14" x14ac:dyDescent="0.25">
      <c r="M110" s="7"/>
      <c r="N110" s="7"/>
    </row>
    <row r="111" spans="13:14" x14ac:dyDescent="0.25">
      <c r="M111" s="7"/>
      <c r="N111" s="7"/>
    </row>
    <row r="112" spans="13:14" x14ac:dyDescent="0.25">
      <c r="M112" s="7"/>
      <c r="N112" s="7"/>
    </row>
    <row r="113" spans="13:14" x14ac:dyDescent="0.25">
      <c r="M113" s="7"/>
      <c r="N113" s="7"/>
    </row>
    <row r="114" spans="13:14" x14ac:dyDescent="0.25">
      <c r="M114" s="7"/>
      <c r="N114" s="7"/>
    </row>
    <row r="115" spans="13:14" x14ac:dyDescent="0.25">
      <c r="M115" s="7"/>
      <c r="N115" s="7"/>
    </row>
    <row r="116" spans="13:14" x14ac:dyDescent="0.25">
      <c r="M116" s="7"/>
      <c r="N116" s="7"/>
    </row>
    <row r="117" spans="13:14" x14ac:dyDescent="0.25">
      <c r="M117" s="7"/>
      <c r="N117" s="7"/>
    </row>
    <row r="118" spans="13:14" x14ac:dyDescent="0.25">
      <c r="M118" s="7"/>
      <c r="N118" s="7"/>
    </row>
    <row r="119" spans="13:14" x14ac:dyDescent="0.25">
      <c r="M119" s="7"/>
      <c r="N119" s="7"/>
    </row>
    <row r="120" spans="13:14" x14ac:dyDescent="0.25">
      <c r="M120" s="7"/>
      <c r="N120" s="7"/>
    </row>
    <row r="121" spans="13:14" x14ac:dyDescent="0.25">
      <c r="M121" s="7"/>
      <c r="N121" s="7"/>
    </row>
    <row r="122" spans="13:14" x14ac:dyDescent="0.25">
      <c r="M122" s="7"/>
      <c r="N122" s="7"/>
    </row>
    <row r="123" spans="13:14" x14ac:dyDescent="0.25">
      <c r="M123" s="7"/>
      <c r="N123" s="7"/>
    </row>
    <row r="124" spans="13:14" x14ac:dyDescent="0.25">
      <c r="M124" s="7"/>
      <c r="N124" s="7"/>
    </row>
    <row r="125" spans="13:14" x14ac:dyDescent="0.25">
      <c r="M125" s="7"/>
      <c r="N125" s="7"/>
    </row>
    <row r="126" spans="13:14" x14ac:dyDescent="0.25">
      <c r="M126" s="7"/>
      <c r="N126" s="7"/>
    </row>
    <row r="127" spans="13:14" x14ac:dyDescent="0.25">
      <c r="M127" s="7"/>
      <c r="N127" s="7"/>
    </row>
    <row r="128" spans="13:14" x14ac:dyDescent="0.25">
      <c r="M128" s="7"/>
      <c r="N128" s="7"/>
    </row>
    <row r="129" spans="13:14" x14ac:dyDescent="0.25">
      <c r="M129" s="7"/>
      <c r="N129" s="7"/>
    </row>
    <row r="130" spans="13:14" x14ac:dyDescent="0.25">
      <c r="M130" s="7"/>
      <c r="N130" s="7"/>
    </row>
    <row r="131" spans="13:14" x14ac:dyDescent="0.25">
      <c r="M131" s="7"/>
      <c r="N131" s="7"/>
    </row>
    <row r="132" spans="13:14" x14ac:dyDescent="0.25">
      <c r="M132" s="7"/>
      <c r="N132" s="7"/>
    </row>
    <row r="133" spans="13:14" x14ac:dyDescent="0.25">
      <c r="M133" s="7"/>
      <c r="N133" s="7"/>
    </row>
    <row r="134" spans="13:14" x14ac:dyDescent="0.25">
      <c r="M134" s="7"/>
      <c r="N134" s="7"/>
    </row>
    <row r="135" spans="13:14" x14ac:dyDescent="0.25">
      <c r="M135" s="7"/>
      <c r="N135" s="7"/>
    </row>
    <row r="136" spans="13:14" x14ac:dyDescent="0.25">
      <c r="M136" s="7"/>
      <c r="N136" s="7"/>
    </row>
    <row r="137" spans="13:14" x14ac:dyDescent="0.25">
      <c r="M137" s="7"/>
      <c r="N137" s="7"/>
    </row>
    <row r="138" spans="13:14" x14ac:dyDescent="0.25">
      <c r="M138" s="7"/>
      <c r="N138" s="7"/>
    </row>
    <row r="139" spans="13:14" x14ac:dyDescent="0.25">
      <c r="M139" s="7"/>
      <c r="N139" s="7"/>
    </row>
    <row r="140" spans="13:14" x14ac:dyDescent="0.25">
      <c r="M140" s="7"/>
      <c r="N140" s="7"/>
    </row>
    <row r="141" spans="13:14" x14ac:dyDescent="0.25">
      <c r="M141" s="7"/>
      <c r="N141" s="7"/>
    </row>
    <row r="142" spans="13:14" x14ac:dyDescent="0.25">
      <c r="M142" s="7"/>
      <c r="N142" s="7"/>
    </row>
    <row r="143" spans="13:14" x14ac:dyDescent="0.25">
      <c r="M143" s="7"/>
      <c r="N143" s="7"/>
    </row>
    <row r="144" spans="13:14" x14ac:dyDescent="0.25">
      <c r="M144" s="7"/>
      <c r="N144" s="7"/>
    </row>
    <row r="145" spans="13:14" x14ac:dyDescent="0.25">
      <c r="M145" s="7"/>
      <c r="N145" s="7"/>
    </row>
    <row r="146" spans="13:14" x14ac:dyDescent="0.25">
      <c r="M146" s="7"/>
      <c r="N146" s="7"/>
    </row>
    <row r="147" spans="13:14" x14ac:dyDescent="0.25">
      <c r="N147" s="7"/>
    </row>
    <row r="148" spans="13:14" x14ac:dyDescent="0.25">
      <c r="N148" s="7"/>
    </row>
    <row r="149" spans="13:14" x14ac:dyDescent="0.25">
      <c r="N149" s="7"/>
    </row>
    <row r="150" spans="13:14" x14ac:dyDescent="0.25">
      <c r="N150" s="7"/>
    </row>
    <row r="151" spans="13:14" x14ac:dyDescent="0.25">
      <c r="N151" s="7"/>
    </row>
    <row r="152" spans="13:14" x14ac:dyDescent="0.25">
      <c r="N152" s="7"/>
    </row>
    <row r="153" spans="13:14" x14ac:dyDescent="0.25">
      <c r="N153" s="7"/>
    </row>
    <row r="154" spans="13:14" x14ac:dyDescent="0.25">
      <c r="N154" s="7"/>
    </row>
    <row r="155" spans="13:14" x14ac:dyDescent="0.25">
      <c r="N155" s="7"/>
    </row>
    <row r="156" spans="13:14" x14ac:dyDescent="0.25">
      <c r="N156" s="7"/>
    </row>
  </sheetData>
  <mergeCells count="10">
    <mergeCell ref="B44:B46"/>
    <mergeCell ref="B47:B49"/>
    <mergeCell ref="B50:B52"/>
    <mergeCell ref="B56:B58"/>
    <mergeCell ref="B65:B67"/>
    <mergeCell ref="B5:B7"/>
    <mergeCell ref="B20:B22"/>
    <mergeCell ref="B23:B25"/>
    <mergeCell ref="B26:B28"/>
    <mergeCell ref="B32:B34"/>
  </mergeCells>
  <conditionalFormatting sqref="AX7:BL7 AX4:BL4">
    <cfRule type="colorScale" priority="53">
      <colorScale>
        <cfvo type="num" val="-100"/>
        <cfvo type="num" val="0"/>
        <cfvo type="num" val="100"/>
        <color rgb="FFF8696B"/>
        <color theme="0"/>
        <color rgb="FF63BE7B"/>
      </colorScale>
    </cfRule>
  </conditionalFormatting>
  <conditionalFormatting sqref="Z28:AH28">
    <cfRule type="colorScale" priority="97">
      <colorScale>
        <cfvo type="min"/>
        <cfvo type="percentile" val="50"/>
        <cfvo type="max"/>
        <color rgb="FFF8696B"/>
        <color rgb="FFFCFCFF"/>
        <color rgb="FF63BE7B"/>
      </colorScale>
    </cfRule>
  </conditionalFormatting>
  <conditionalFormatting sqref="T28:AE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2">
      <colorScale>
        <cfvo type="num" val="-50"/>
        <cfvo type="percentile" val="50"/>
        <cfvo type="num" val="50"/>
        <color rgb="FFC00000"/>
        <color rgb="FFFFEB84"/>
        <color rgb="FF12A107"/>
      </colorScale>
    </cfRule>
    <cfRule type="colorScale" priority="93">
      <colorScale>
        <cfvo type="num" val="-100"/>
        <cfvo type="percentile" val="50"/>
        <cfvo type="num" val="100"/>
        <color rgb="FFFF7128"/>
        <color rgb="FFFFEB84"/>
        <color rgb="FFFFEF9C"/>
      </colorScale>
    </cfRule>
    <cfRule type="colorScale" priority="94">
      <colorScale>
        <cfvo type="min"/>
        <cfvo type="percentile" val="50"/>
        <cfvo type="max"/>
        <color rgb="FF63BE7B"/>
        <color rgb="FFFCFCFF"/>
        <color rgb="FFF8696B"/>
      </colorScale>
    </cfRule>
  </conditionalFormatting>
  <conditionalFormatting sqref="T28:AH28">
    <cfRule type="colorScale" priority="56">
      <colorScale>
        <cfvo type="num" val="-100"/>
        <cfvo type="num" val="0"/>
        <cfvo type="num" val="100"/>
        <color rgb="FFF8696B"/>
        <color theme="0"/>
        <color rgb="FF63BE7B"/>
      </colorScale>
    </cfRule>
    <cfRule type="colorScale" priority="91">
      <colorScale>
        <cfvo type="min"/>
        <cfvo type="percentile" val="50"/>
        <cfvo type="max"/>
        <color rgb="FFF8696B"/>
        <color rgb="FFFCFCFF"/>
        <color rgb="FF63BE7B"/>
      </colorScale>
    </cfRule>
  </conditionalFormatting>
  <conditionalFormatting sqref="T28:AH28">
    <cfRule type="colorScale" priority="90">
      <colorScale>
        <cfvo type="min"/>
        <cfvo type="percentile" val="50"/>
        <cfvo type="max"/>
        <color rgb="FFF8696B"/>
        <color rgb="FFFCFCFF"/>
        <color rgb="FF63BE7B"/>
      </colorScale>
    </cfRule>
  </conditionalFormatting>
  <conditionalFormatting sqref="Z64:AI64">
    <cfRule type="colorScale" priority="81">
      <colorScale>
        <cfvo type="min"/>
        <cfvo type="percentile" val="50"/>
        <cfvo type="max"/>
        <color rgb="FFF8696B"/>
        <color rgb="FFFCFCFF"/>
        <color rgb="FF63BE7B"/>
      </colorScale>
    </cfRule>
  </conditionalFormatting>
  <conditionalFormatting sqref="T64:AI64">
    <cfRule type="colorScale" priority="58">
      <colorScale>
        <cfvo type="num" val="-100"/>
        <cfvo type="num" val="0"/>
        <cfvo type="num" val="100"/>
        <color rgb="FFF8696B"/>
        <color theme="0"/>
        <color rgb="FF63BE7B"/>
      </colorScale>
    </cfRule>
    <cfRule type="colorScale" priority="80">
      <colorScale>
        <cfvo type="min"/>
        <cfvo type="percentile" val="50"/>
        <cfvo type="max"/>
        <color rgb="FFF8696B"/>
        <color rgb="FFFCFCFF"/>
        <color rgb="FF63BE7B"/>
      </colorScale>
    </cfRule>
  </conditionalFormatting>
  <conditionalFormatting sqref="T64:AI64">
    <cfRule type="colorScale" priority="79">
      <colorScale>
        <cfvo type="min"/>
        <cfvo type="percentile" val="50"/>
        <cfvo type="max"/>
        <color rgb="FFF8696B"/>
        <color rgb="FFFCFCFF"/>
        <color rgb="FF63BE7B"/>
      </colorScale>
    </cfRule>
  </conditionalFormatting>
  <conditionalFormatting sqref="T64:AI64">
    <cfRule type="colorScale" priority="76">
      <colorScale>
        <cfvo type="num" val="-50"/>
        <cfvo type="percentile" val="50"/>
        <cfvo type="num" val="50"/>
        <color rgb="FFC00000"/>
        <color rgb="FFFFEB84"/>
        <color rgb="FF12A107"/>
      </colorScale>
    </cfRule>
    <cfRule type="colorScale" priority="77">
      <colorScale>
        <cfvo type="num" val="-100"/>
        <cfvo type="percentile" val="50"/>
        <cfvo type="num" val="100"/>
        <color rgb="FFFF7128"/>
        <color rgb="FFFFEB84"/>
        <color rgb="FFFFEF9C"/>
      </colorScale>
    </cfRule>
    <cfRule type="colorScale" priority="78">
      <colorScale>
        <cfvo type="min"/>
        <cfvo type="percentile" val="50"/>
        <cfvo type="max"/>
        <color rgb="FF63BE7B"/>
        <color rgb="FFFCFCFF"/>
        <color rgb="FFF8696B"/>
      </colorScale>
    </cfRule>
  </conditionalFormatting>
  <conditionalFormatting sqref="T64:AI64">
    <cfRule type="colorScale" priority="75">
      <colorScale>
        <cfvo type="min"/>
        <cfvo type="percentile" val="50"/>
        <cfvo type="max"/>
        <color rgb="FFF8696B"/>
        <color rgb="FFFCFCFF"/>
        <color rgb="FF63BE7B"/>
      </colorScale>
    </cfRule>
  </conditionalFormatting>
  <conditionalFormatting sqref="T64:AI64">
    <cfRule type="colorScale" priority="74">
      <colorScale>
        <cfvo type="min"/>
        <cfvo type="percentile" val="50"/>
        <cfvo type="max"/>
        <color rgb="FFF8696B"/>
        <color rgb="FFFCFCFF"/>
        <color rgb="FF63BE7B"/>
      </colorScale>
    </cfRule>
  </conditionalFormatting>
  <conditionalFormatting sqref="Z67:AH67">
    <cfRule type="colorScale" priority="73">
      <colorScale>
        <cfvo type="min"/>
        <cfvo type="percentile" val="50"/>
        <cfvo type="max"/>
        <color rgb="FFF8696B"/>
        <color rgb="FFFCFCFF"/>
        <color rgb="FF63BE7B"/>
      </colorScale>
    </cfRule>
  </conditionalFormatting>
  <conditionalFormatting sqref="T67:AH67">
    <cfRule type="colorScale" priority="57">
      <colorScale>
        <cfvo type="num" val="-100"/>
        <cfvo type="num" val="0"/>
        <cfvo type="num" val="100"/>
        <color rgb="FFF8696B"/>
        <color theme="0"/>
        <color rgb="FF63BE7B"/>
      </colorScale>
    </cfRule>
    <cfRule type="colorScale" priority="72">
      <colorScale>
        <cfvo type="min"/>
        <cfvo type="percentile" val="50"/>
        <cfvo type="max"/>
        <color rgb="FFF8696B"/>
        <color rgb="FFFCFCFF"/>
        <color rgb="FF63BE7B"/>
      </colorScale>
    </cfRule>
  </conditionalFormatting>
  <conditionalFormatting sqref="T67:AH67">
    <cfRule type="colorScale" priority="71">
      <colorScale>
        <cfvo type="min"/>
        <cfvo type="percentile" val="50"/>
        <cfvo type="max"/>
        <color rgb="FFF8696B"/>
        <color rgb="FFFCFCFF"/>
        <color rgb="FF63BE7B"/>
      </colorScale>
    </cfRule>
  </conditionalFormatting>
  <conditionalFormatting sqref="T67:AH67">
    <cfRule type="colorScale" priority="68">
      <colorScale>
        <cfvo type="num" val="-50"/>
        <cfvo type="percentile" val="50"/>
        <cfvo type="num" val="50"/>
        <color rgb="FFC00000"/>
        <color rgb="FFFFEB84"/>
        <color rgb="FF12A107"/>
      </colorScale>
    </cfRule>
    <cfRule type="colorScale" priority="69">
      <colorScale>
        <cfvo type="num" val="-100"/>
        <cfvo type="percentile" val="50"/>
        <cfvo type="num" val="100"/>
        <color rgb="FFFF7128"/>
        <color rgb="FFFFEB84"/>
        <color rgb="FFFFEF9C"/>
      </colorScale>
    </cfRule>
    <cfRule type="colorScale" priority="70">
      <colorScale>
        <cfvo type="min"/>
        <cfvo type="percentile" val="50"/>
        <cfvo type="max"/>
        <color rgb="FF63BE7B"/>
        <color rgb="FFFCFCFF"/>
        <color rgb="FFF8696B"/>
      </colorScale>
    </cfRule>
  </conditionalFormatting>
  <conditionalFormatting sqref="T67:AH67">
    <cfRule type="colorScale" priority="67">
      <colorScale>
        <cfvo type="min"/>
        <cfvo type="percentile" val="50"/>
        <cfvo type="max"/>
        <color rgb="FFF8696B"/>
        <color rgb="FFFCFCFF"/>
        <color rgb="FF63BE7B"/>
      </colorScale>
    </cfRule>
  </conditionalFormatting>
  <conditionalFormatting sqref="T67:AH67">
    <cfRule type="colorScale" priority="66">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65">
      <colorScale>
        <cfvo type="num" val="-100"/>
        <cfvo type="num" val="0"/>
        <cfvo type="num" val="100"/>
        <color rgb="FFF8696B"/>
        <color theme="0"/>
        <color rgb="FF63BE7B"/>
      </colorScale>
    </cfRule>
  </conditionalFormatting>
  <conditionalFormatting sqref="T31:AH31 T34:AH34 T37:AH37 T40:AH40 T43:AH43 T46:AH46">
    <cfRule type="colorScale" priority="64">
      <colorScale>
        <cfvo type="num" val="-100"/>
        <cfvo type="num" val="0"/>
        <cfvo type="num" val="100"/>
        <color rgb="FFF8696B"/>
        <color theme="0"/>
        <color rgb="FF63BE7B"/>
      </colorScale>
    </cfRule>
  </conditionalFormatting>
  <conditionalFormatting sqref="T49:AH49">
    <cfRule type="colorScale" priority="63">
      <colorScale>
        <cfvo type="num" val="-100"/>
        <cfvo type="num" val="0"/>
        <cfvo type="num" val="100"/>
        <color rgb="FFF8696B"/>
        <color theme="0"/>
        <color rgb="FF63BE7B"/>
      </colorScale>
    </cfRule>
  </conditionalFormatting>
  <conditionalFormatting sqref="T52:AH52">
    <cfRule type="colorScale" priority="62">
      <colorScale>
        <cfvo type="num" val="-100"/>
        <cfvo type="num" val="0"/>
        <cfvo type="num" val="100"/>
        <color rgb="FFF8696B"/>
        <color theme="0"/>
        <color rgb="FF63BE7B"/>
      </colorScale>
    </cfRule>
  </conditionalFormatting>
  <conditionalFormatting sqref="T55:AH55">
    <cfRule type="colorScale" priority="61">
      <colorScale>
        <cfvo type="num" val="-100"/>
        <cfvo type="num" val="0"/>
        <cfvo type="num" val="100"/>
        <color rgb="FFF8696B"/>
        <color theme="0"/>
        <color rgb="FF63BE7B"/>
      </colorScale>
    </cfRule>
  </conditionalFormatting>
  <conditionalFormatting sqref="T58:AH58">
    <cfRule type="colorScale" priority="60">
      <colorScale>
        <cfvo type="num" val="-100"/>
        <cfvo type="num" val="0"/>
        <cfvo type="num" val="100"/>
        <color rgb="FFF8696B"/>
        <color theme="0"/>
        <color rgb="FF63BE7B"/>
      </colorScale>
    </cfRule>
  </conditionalFormatting>
  <conditionalFormatting sqref="T61:AH61">
    <cfRule type="colorScale" priority="5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54">
      <colorScale>
        <cfvo type="num" val="-100"/>
        <cfvo type="num" val="0"/>
        <cfvo type="num" val="100"/>
        <color rgb="FFF8696B"/>
        <color theme="0"/>
        <color rgb="FF63BE7B"/>
      </colorScale>
    </cfRule>
  </conditionalFormatting>
  <conditionalFormatting sqref="BM7:CA7 BM4:CA4">
    <cfRule type="colorScale" priority="51">
      <colorScale>
        <cfvo type="num" val="-100"/>
        <cfvo type="num" val="0"/>
        <cfvo type="num" val="100"/>
        <color rgb="FFF8696B"/>
        <color theme="0"/>
        <color rgb="FF63BE7B"/>
      </colorScale>
    </cfRule>
  </conditionalFormatting>
  <conditionalFormatting sqref="C4:F4 C7:F7 I7:R7 I4:R4">
    <cfRule type="colorScale" priority="49">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52">
      <colorScale>
        <cfvo type="num" val="-100"/>
        <cfvo type="num" val="0"/>
        <cfvo type="num" val="100"/>
        <color rgb="FFF8696B"/>
        <color theme="0"/>
        <color rgb="FF63BE7B"/>
      </colorScale>
    </cfRule>
  </conditionalFormatting>
  <conditionalFormatting sqref="C67:F67 C64:F64 C61:F61 C58:F58 C55:F55 C52:F52 C49:F49 C46:F46 C43:F43 C40:F40 C37:F37 C34:F34 C31:F31 C28:F28 C25:F25 C19:F19 C16:F16 C13:F13 C10:F10 C22:F22 I22:R22 I10:R10 I13:R13 I16:R16 I19:R19 I25:R25 I28:R28 I31:R31 I34:R34 I37:R37 I40:R40 I43:R43 I46:R46 I49:R49 I52:R52 I55:R55 I58:R58 I61:R61 I64:M64 I67:R67 O64:R64">
    <cfRule type="colorScale" priority="50">
      <colorScale>
        <cfvo type="num" val="-100"/>
        <cfvo type="num" val="0"/>
        <cfvo type="num" val="100"/>
        <color rgb="FFF8696B"/>
        <color theme="0"/>
        <color rgb="FF63BE7B"/>
      </colorScale>
    </cfRule>
  </conditionalFormatting>
  <conditionalFormatting sqref="R73">
    <cfRule type="colorScale" priority="48">
      <colorScale>
        <cfvo type="num" val="-100"/>
        <cfvo type="num" val="0"/>
        <cfvo type="num" val="100"/>
        <color rgb="FFF8696B"/>
        <color theme="0"/>
        <color rgb="FF63BE7B"/>
      </colorScale>
    </cfRule>
  </conditionalFormatting>
  <conditionalFormatting sqref="G28:H28">
    <cfRule type="colorScale" priority="47">
      <colorScale>
        <cfvo type="min"/>
        <cfvo type="percentile" val="50"/>
        <cfvo type="max"/>
        <color rgb="FFF8696B"/>
        <color rgb="FFFCFCFF"/>
        <color rgb="FF63BE7B"/>
      </colorScale>
    </cfRule>
  </conditionalFormatting>
  <conditionalFormatting sqref="G28:H28">
    <cfRule type="colorScale" priority="46">
      <colorScale>
        <cfvo type="min"/>
        <cfvo type="percentile" val="50"/>
        <cfvo type="max"/>
        <color rgb="FFF8696B"/>
        <color rgb="FFFCFCFF"/>
        <color rgb="FF63BE7B"/>
      </colorScale>
    </cfRule>
  </conditionalFormatting>
  <conditionalFormatting sqref="G28:H28">
    <cfRule type="colorScale" priority="43">
      <colorScale>
        <cfvo type="num" val="-50"/>
        <cfvo type="percentile" val="50"/>
        <cfvo type="num" val="50"/>
        <color rgb="FFC00000"/>
        <color rgb="FFFFEB84"/>
        <color rgb="FF12A107"/>
      </colorScale>
    </cfRule>
    <cfRule type="colorScale" priority="44">
      <colorScale>
        <cfvo type="num" val="-100"/>
        <cfvo type="percentile" val="50"/>
        <cfvo type="num" val="100"/>
        <color rgb="FFFF7128"/>
        <color rgb="FFFFEB84"/>
        <color rgb="FFFFEF9C"/>
      </colorScale>
    </cfRule>
    <cfRule type="colorScale" priority="45">
      <colorScale>
        <cfvo type="min"/>
        <cfvo type="percentile" val="50"/>
        <cfvo type="max"/>
        <color rgb="FF63BE7B"/>
        <color rgb="FFFCFCFF"/>
        <color rgb="FFF8696B"/>
      </colorScale>
    </cfRule>
  </conditionalFormatting>
  <conditionalFormatting sqref="G28:H28">
    <cfRule type="colorScale" priority="13">
      <colorScale>
        <cfvo type="num" val="-100"/>
        <cfvo type="num" val="0"/>
        <cfvo type="num" val="100"/>
        <color rgb="FFF8696B"/>
        <color theme="0"/>
        <color rgb="FF63BE7B"/>
      </colorScale>
    </cfRule>
    <cfRule type="colorScale" priority="42">
      <colorScale>
        <cfvo type="min"/>
        <cfvo type="percentile" val="50"/>
        <cfvo type="max"/>
        <color rgb="FFF8696B"/>
        <color rgb="FFFCFCFF"/>
        <color rgb="FF63BE7B"/>
      </colorScale>
    </cfRule>
  </conditionalFormatting>
  <conditionalFormatting sqref="G28:H28">
    <cfRule type="colorScale" priority="41">
      <colorScale>
        <cfvo type="min"/>
        <cfvo type="percentile" val="50"/>
        <cfvo type="max"/>
        <color rgb="FFF8696B"/>
        <color rgb="FFFCFCFF"/>
        <color rgb="FF63BE7B"/>
      </colorScale>
    </cfRule>
  </conditionalFormatting>
  <conditionalFormatting sqref="G64:H64">
    <cfRule type="colorScale" priority="15">
      <colorScale>
        <cfvo type="num" val="-100"/>
        <cfvo type="num" val="0"/>
        <cfvo type="num" val="100"/>
        <color rgb="FFF8696B"/>
        <color theme="0"/>
        <color rgb="FF63BE7B"/>
      </colorScale>
    </cfRule>
    <cfRule type="colorScale" priority="36">
      <colorScale>
        <cfvo type="min"/>
        <cfvo type="percentile" val="50"/>
        <cfvo type="max"/>
        <color rgb="FFF8696B"/>
        <color rgb="FFFCFCFF"/>
        <color rgb="FF63BE7B"/>
      </colorScale>
    </cfRule>
  </conditionalFormatting>
  <conditionalFormatting sqref="G64:H64">
    <cfRule type="colorScale" priority="35">
      <colorScale>
        <cfvo type="min"/>
        <cfvo type="percentile" val="50"/>
        <cfvo type="max"/>
        <color rgb="FFF8696B"/>
        <color rgb="FFFCFCFF"/>
        <color rgb="FF63BE7B"/>
      </colorScale>
    </cfRule>
  </conditionalFormatting>
  <conditionalFormatting sqref="G64:H64">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64:H64">
    <cfRule type="colorScale" priority="31">
      <colorScale>
        <cfvo type="min"/>
        <cfvo type="percentile" val="50"/>
        <cfvo type="max"/>
        <color rgb="FFF8696B"/>
        <color rgb="FFFCFCFF"/>
        <color rgb="FF63BE7B"/>
      </colorScale>
    </cfRule>
  </conditionalFormatting>
  <conditionalFormatting sqref="G64:H64">
    <cfRule type="colorScale" priority="30">
      <colorScale>
        <cfvo type="min"/>
        <cfvo type="percentile" val="50"/>
        <cfvo type="max"/>
        <color rgb="FFF8696B"/>
        <color rgb="FFFCFCFF"/>
        <color rgb="FF63BE7B"/>
      </colorScale>
    </cfRule>
  </conditionalFormatting>
  <conditionalFormatting sqref="G67:H67">
    <cfRule type="colorScale" priority="14">
      <colorScale>
        <cfvo type="num" val="-100"/>
        <cfvo type="num" val="0"/>
        <cfvo type="num" val="100"/>
        <color rgb="FFF8696B"/>
        <color theme="0"/>
        <color rgb="FF63BE7B"/>
      </colorScale>
    </cfRule>
    <cfRule type="colorScale" priority="29">
      <colorScale>
        <cfvo type="min"/>
        <cfvo type="percentile" val="50"/>
        <cfvo type="max"/>
        <color rgb="FFF8696B"/>
        <color rgb="FFFCFCFF"/>
        <color rgb="FF63BE7B"/>
      </colorScale>
    </cfRule>
  </conditionalFormatting>
  <conditionalFormatting sqref="G67:H67">
    <cfRule type="colorScale" priority="28">
      <colorScale>
        <cfvo type="min"/>
        <cfvo type="percentile" val="50"/>
        <cfvo type="max"/>
        <color rgb="FFF8696B"/>
        <color rgb="FFFCFCFF"/>
        <color rgb="FF63BE7B"/>
      </colorScale>
    </cfRule>
  </conditionalFormatting>
  <conditionalFormatting sqref="G67:H67">
    <cfRule type="colorScale" priority="25">
      <colorScale>
        <cfvo type="num" val="-50"/>
        <cfvo type="percentile" val="50"/>
        <cfvo type="num" val="50"/>
        <color rgb="FFC00000"/>
        <color rgb="FFFFEB84"/>
        <color rgb="FF12A107"/>
      </colorScale>
    </cfRule>
    <cfRule type="colorScale" priority="26">
      <colorScale>
        <cfvo type="num" val="-100"/>
        <cfvo type="percentile" val="50"/>
        <cfvo type="num" val="100"/>
        <color rgb="FFFF7128"/>
        <color rgb="FFFFEB84"/>
        <color rgb="FFFFEF9C"/>
      </colorScale>
    </cfRule>
    <cfRule type="colorScale" priority="27">
      <colorScale>
        <cfvo type="min"/>
        <cfvo type="percentile" val="50"/>
        <cfvo type="max"/>
        <color rgb="FF63BE7B"/>
        <color rgb="FFFCFCFF"/>
        <color rgb="FFF8696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3">
      <colorScale>
        <cfvo type="min"/>
        <cfvo type="percentile" val="50"/>
        <cfvo type="max"/>
        <color rgb="FFF8696B"/>
        <color rgb="FFFCFCFF"/>
        <color rgb="FF63BE7B"/>
      </colorScale>
    </cfRule>
  </conditionalFormatting>
  <conditionalFormatting sqref="G4:H4 G7:H7 G10:H10 G13:H13 G16:H16 G19:H19 G25:H25 G22:H22">
    <cfRule type="colorScale" priority="22">
      <colorScale>
        <cfvo type="num" val="-100"/>
        <cfvo type="num" val="0"/>
        <cfvo type="num" val="100"/>
        <color rgb="FFF8696B"/>
        <color theme="0"/>
        <color rgb="FF63BE7B"/>
      </colorScale>
    </cfRule>
  </conditionalFormatting>
  <conditionalFormatting sqref="G31:H31 G34:H34 G37:H37 G40:H40 G43:H43 G46:H46">
    <cfRule type="colorScale" priority="21">
      <colorScale>
        <cfvo type="num" val="-100"/>
        <cfvo type="num" val="0"/>
        <cfvo type="num" val="100"/>
        <color rgb="FFF8696B"/>
        <color theme="0"/>
        <color rgb="FF63BE7B"/>
      </colorScale>
    </cfRule>
  </conditionalFormatting>
  <conditionalFormatting sqref="G49:H49">
    <cfRule type="colorScale" priority="20">
      <colorScale>
        <cfvo type="num" val="-100"/>
        <cfvo type="num" val="0"/>
        <cfvo type="num" val="100"/>
        <color rgb="FFF8696B"/>
        <color theme="0"/>
        <color rgb="FF63BE7B"/>
      </colorScale>
    </cfRule>
  </conditionalFormatting>
  <conditionalFormatting sqref="G52:H52">
    <cfRule type="colorScale" priority="19">
      <colorScale>
        <cfvo type="num" val="-100"/>
        <cfvo type="num" val="0"/>
        <cfvo type="num" val="100"/>
        <color rgb="FFF8696B"/>
        <color theme="0"/>
        <color rgb="FF63BE7B"/>
      </colorScale>
    </cfRule>
  </conditionalFormatting>
  <conditionalFormatting sqref="G55:H55">
    <cfRule type="colorScale" priority="18">
      <colorScale>
        <cfvo type="num" val="-100"/>
        <cfvo type="num" val="0"/>
        <cfvo type="num" val="100"/>
        <color rgb="FFF8696B"/>
        <color theme="0"/>
        <color rgb="FF63BE7B"/>
      </colorScale>
    </cfRule>
  </conditionalFormatting>
  <conditionalFormatting sqref="G58:H58">
    <cfRule type="colorScale" priority="17">
      <colorScale>
        <cfvo type="num" val="-100"/>
        <cfvo type="num" val="0"/>
        <cfvo type="num" val="100"/>
        <color rgb="FFF8696B"/>
        <color theme="0"/>
        <color rgb="FF63BE7B"/>
      </colorScale>
    </cfRule>
  </conditionalFormatting>
  <conditionalFormatting sqref="G61:H61">
    <cfRule type="colorScale" priority="16">
      <colorScale>
        <cfvo type="num" val="-100"/>
        <cfvo type="num" val="0"/>
        <cfvo type="num" val="100"/>
        <color rgb="FFF8696B"/>
        <color theme="0"/>
        <color rgb="FF63BE7B"/>
      </colorScale>
    </cfRule>
  </conditionalFormatting>
  <conditionalFormatting sqref="I78:Q78">
    <cfRule type="colorScale" priority="12">
      <colorScale>
        <cfvo type="num" val="-100"/>
        <cfvo type="num" val="0"/>
        <cfvo type="num" val="100"/>
        <color rgb="FFF8696B"/>
        <color theme="0"/>
        <color rgb="FF63BE7B"/>
      </colorScale>
    </cfRule>
  </conditionalFormatting>
  <conditionalFormatting sqref="C73:Q73">
    <cfRule type="colorScale" priority="10">
      <colorScale>
        <cfvo type="num" val="-100"/>
        <cfvo type="num" val="0"/>
        <cfvo type="num" val="100"/>
        <color rgb="FFF8696B"/>
        <color theme="0"/>
        <color rgb="FF63BE7B"/>
      </colorScale>
    </cfRule>
    <cfRule type="colorScale" priority="11">
      <colorScale>
        <cfvo type="num" val="-100"/>
        <cfvo type="num" val="0"/>
        <cfvo type="num" val="100"/>
        <color rgb="FFF8696B"/>
        <color rgb="FFFFEB84"/>
        <color rgb="FF63BE7B"/>
      </colorScale>
    </cfRule>
  </conditionalFormatting>
  <conditionalFormatting sqref="N64">
    <cfRule type="colorScale" priority="9">
      <colorScale>
        <cfvo type="min"/>
        <cfvo type="percentile" val="50"/>
        <cfvo type="max"/>
        <color rgb="FFF8696B"/>
        <color rgb="FFFCFCFF"/>
        <color rgb="FF63BE7B"/>
      </colorScale>
    </cfRule>
  </conditionalFormatting>
  <conditionalFormatting sqref="N64">
    <cfRule type="colorScale" priority="1">
      <colorScale>
        <cfvo type="num" val="-100"/>
        <cfvo type="num" val="0"/>
        <cfvo type="num" val="100"/>
        <color rgb="FFF8696B"/>
        <color theme="0"/>
        <color rgb="FF63BE7B"/>
      </colorScale>
    </cfRule>
    <cfRule type="colorScale" priority="8">
      <colorScale>
        <cfvo type="min"/>
        <cfvo type="percentile" val="50"/>
        <cfvo type="max"/>
        <color rgb="FFF8696B"/>
        <color rgb="FFFCFCFF"/>
        <color rgb="FF63BE7B"/>
      </colorScale>
    </cfRule>
  </conditionalFormatting>
  <conditionalFormatting sqref="N64">
    <cfRule type="colorScale" priority="7">
      <colorScale>
        <cfvo type="min"/>
        <cfvo type="percentile" val="50"/>
        <cfvo type="max"/>
        <color rgb="FFF8696B"/>
        <color rgb="FFFCFCFF"/>
        <color rgb="FF63BE7B"/>
      </colorScale>
    </cfRule>
  </conditionalFormatting>
  <conditionalFormatting sqref="N64">
    <cfRule type="colorScale" priority="4">
      <colorScale>
        <cfvo type="num" val="-50"/>
        <cfvo type="percentile" val="50"/>
        <cfvo type="num" val="50"/>
        <color rgb="FFC00000"/>
        <color rgb="FFFFEB84"/>
        <color rgb="FF12A107"/>
      </colorScale>
    </cfRule>
    <cfRule type="colorScale" priority="5">
      <colorScale>
        <cfvo type="num" val="-100"/>
        <cfvo type="percentile" val="50"/>
        <cfvo type="num" val="100"/>
        <color rgb="FFFF7128"/>
        <color rgb="FFFFEB84"/>
        <color rgb="FFFFEF9C"/>
      </colorScale>
    </cfRule>
    <cfRule type="colorScale" priority="6">
      <colorScale>
        <cfvo type="min"/>
        <cfvo type="percentile" val="50"/>
        <cfvo type="max"/>
        <color rgb="FF63BE7B"/>
        <color rgb="FFFCFCFF"/>
        <color rgb="FFF8696B"/>
      </colorScale>
    </cfRule>
  </conditionalFormatting>
  <conditionalFormatting sqref="N64">
    <cfRule type="colorScale" priority="3">
      <colorScale>
        <cfvo type="min"/>
        <cfvo type="percentile" val="50"/>
        <cfvo type="max"/>
        <color rgb="FFF8696B"/>
        <color rgb="FFFCFCFF"/>
        <color rgb="FF63BE7B"/>
      </colorScale>
    </cfRule>
  </conditionalFormatting>
  <conditionalFormatting sqref="N64">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31"/>
  <sheetViews>
    <sheetView topLeftCell="BF159" workbookViewId="0">
      <selection activeCell="BH177" sqref="BH177"/>
    </sheetView>
  </sheetViews>
  <sheetFormatPr defaultRowHeight="15" x14ac:dyDescent="0.25"/>
  <cols>
    <col min="2" max="2" width="21.140625" customWidth="1"/>
    <col min="13" max="13" width="20.28515625" customWidth="1"/>
    <col min="24" max="24" width="23" customWidth="1"/>
    <col min="35" max="35" width="21" customWidth="1"/>
    <col min="47" max="47" width="22.5703125" customWidth="1"/>
    <col min="58" max="58" width="19.42578125" customWidth="1"/>
    <col min="69" max="69" width="21.7109375" customWidth="1"/>
    <col min="80" max="80" width="18.85546875" customWidth="1"/>
  </cols>
  <sheetData>
    <row r="1" spans="1:90" ht="21" x14ac:dyDescent="0.35">
      <c r="A1" s="289"/>
      <c r="B1" s="130" t="s">
        <v>255</v>
      </c>
      <c r="C1" s="289"/>
      <c r="D1" s="289"/>
      <c r="E1" s="289"/>
      <c r="F1" s="289"/>
      <c r="G1" s="289"/>
      <c r="H1" s="289"/>
      <c r="I1" s="289"/>
      <c r="J1" s="289"/>
      <c r="K1" s="289"/>
      <c r="L1" s="289"/>
      <c r="M1" s="130" t="s">
        <v>378</v>
      </c>
      <c r="N1" s="289"/>
      <c r="O1" s="289"/>
      <c r="P1" s="289"/>
      <c r="Q1" s="289"/>
      <c r="R1" s="289"/>
      <c r="S1" s="289"/>
      <c r="T1" s="289"/>
      <c r="U1" s="289"/>
      <c r="V1" s="289"/>
      <c r="W1" s="289"/>
      <c r="X1" s="130" t="s">
        <v>377</v>
      </c>
      <c r="Y1" s="289"/>
      <c r="Z1" s="289"/>
      <c r="AA1" s="289"/>
      <c r="AB1" s="289"/>
      <c r="AC1" s="289"/>
      <c r="AD1" s="289"/>
      <c r="AE1" s="289"/>
      <c r="AF1" s="289"/>
      <c r="AG1" s="289"/>
      <c r="AH1" s="289"/>
      <c r="AI1" s="241" t="s">
        <v>395</v>
      </c>
      <c r="AJ1" s="56"/>
      <c r="AK1" s="56"/>
      <c r="AL1" s="56"/>
      <c r="AM1" s="56"/>
      <c r="AN1" s="56"/>
      <c r="AO1" s="56"/>
      <c r="AP1" s="56"/>
      <c r="AQ1" s="56"/>
      <c r="AR1" s="56"/>
      <c r="AS1" s="246"/>
      <c r="AT1" s="289"/>
      <c r="AU1" s="130" t="s">
        <v>255</v>
      </c>
      <c r="AV1" s="289"/>
      <c r="AW1" s="289"/>
      <c r="AX1" s="289"/>
      <c r="AY1" s="289"/>
      <c r="AZ1" s="289"/>
      <c r="BA1" s="289"/>
      <c r="BB1" s="289"/>
      <c r="BC1" s="289"/>
      <c r="BD1" s="289"/>
      <c r="BE1" s="289"/>
      <c r="BF1" s="130" t="s">
        <v>378</v>
      </c>
      <c r="BG1" s="289"/>
      <c r="BH1" s="289"/>
      <c r="BI1" s="289"/>
      <c r="BJ1" s="289"/>
      <c r="BK1" s="289"/>
      <c r="BL1" s="289"/>
      <c r="BM1" s="289"/>
      <c r="BN1" s="289"/>
      <c r="BO1" s="289"/>
      <c r="BP1" s="289"/>
      <c r="BQ1" s="130" t="s">
        <v>439</v>
      </c>
      <c r="BR1" s="289"/>
      <c r="BS1" s="289"/>
      <c r="BT1" s="289"/>
      <c r="BU1" s="289"/>
      <c r="BV1" s="289"/>
      <c r="BW1" s="289"/>
      <c r="BX1" s="289"/>
      <c r="BY1" s="289"/>
      <c r="BZ1" s="289"/>
      <c r="CA1" s="289"/>
      <c r="CB1" s="130" t="s">
        <v>430</v>
      </c>
      <c r="CC1" s="289"/>
      <c r="CD1" s="289"/>
      <c r="CE1" s="289"/>
      <c r="CF1" s="289"/>
      <c r="CG1" s="289"/>
      <c r="CH1" s="289"/>
      <c r="CI1" s="289"/>
      <c r="CJ1" s="289"/>
      <c r="CK1" s="289"/>
    </row>
    <row r="2" spans="1:90" ht="21" x14ac:dyDescent="0.35">
      <c r="A2" s="289"/>
      <c r="B2" s="130"/>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56"/>
      <c r="AJ2" s="56"/>
      <c r="AK2" s="56"/>
      <c r="AL2" s="56"/>
      <c r="AM2" s="56"/>
      <c r="AN2" s="56"/>
      <c r="AO2" s="56"/>
      <c r="AP2" s="56"/>
      <c r="AQ2" s="56"/>
      <c r="AR2" s="56"/>
      <c r="AS2" s="246"/>
      <c r="AT2" s="289"/>
      <c r="AU2" s="130"/>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row>
    <row r="3" spans="1:90" ht="21" x14ac:dyDescent="0.35">
      <c r="A3" s="289"/>
      <c r="B3" s="131" t="s">
        <v>256</v>
      </c>
      <c r="C3" s="289"/>
      <c r="D3" s="289"/>
      <c r="E3" s="289"/>
      <c r="F3" s="289"/>
      <c r="G3" s="289"/>
      <c r="H3" s="289"/>
      <c r="I3" s="289"/>
      <c r="J3" s="289"/>
      <c r="K3" s="289"/>
      <c r="L3" s="289"/>
      <c r="M3" s="131" t="s">
        <v>256</v>
      </c>
      <c r="N3" s="289"/>
      <c r="O3" s="289"/>
      <c r="P3" s="289"/>
      <c r="Q3" s="289"/>
      <c r="R3" s="289"/>
      <c r="S3" s="289"/>
      <c r="T3" s="289"/>
      <c r="U3" s="289"/>
      <c r="V3" s="289"/>
      <c r="W3" s="289"/>
      <c r="X3" s="131" t="s">
        <v>256</v>
      </c>
      <c r="Y3" s="289"/>
      <c r="Z3" s="289"/>
      <c r="AA3" s="289"/>
      <c r="AB3" s="289"/>
      <c r="AC3" s="289"/>
      <c r="AD3" s="289"/>
      <c r="AE3" s="289"/>
      <c r="AF3" s="289"/>
      <c r="AG3" s="289"/>
      <c r="AH3" s="289"/>
      <c r="AI3" s="143" t="s">
        <v>256</v>
      </c>
      <c r="AJ3" s="56"/>
      <c r="AK3" s="241"/>
      <c r="AL3" s="56"/>
      <c r="AM3" s="56"/>
      <c r="AN3" s="56"/>
      <c r="AO3" s="56"/>
      <c r="AP3" s="56"/>
      <c r="AQ3" s="56"/>
      <c r="AR3" s="56"/>
      <c r="AS3" s="246"/>
      <c r="AT3" s="289"/>
      <c r="AU3" s="131" t="s">
        <v>256</v>
      </c>
      <c r="AV3" s="289"/>
      <c r="AW3" s="289"/>
      <c r="AX3" s="289"/>
      <c r="AY3" s="289"/>
      <c r="AZ3" s="289"/>
      <c r="BA3" s="289"/>
      <c r="BB3" s="289"/>
      <c r="BC3" s="289"/>
      <c r="BD3" s="289"/>
      <c r="BE3" s="289"/>
      <c r="BF3" s="131" t="s">
        <v>256</v>
      </c>
      <c r="BG3" s="289"/>
      <c r="BH3" s="289"/>
      <c r="BI3" s="289"/>
      <c r="BJ3" s="289"/>
      <c r="BK3" s="289"/>
      <c r="BL3" s="289"/>
      <c r="BM3" s="289"/>
      <c r="BN3" s="289"/>
      <c r="BO3" s="289"/>
      <c r="BP3" s="289"/>
      <c r="BQ3" s="131" t="s">
        <v>256</v>
      </c>
      <c r="BR3" s="289"/>
      <c r="BS3" s="289"/>
      <c r="BT3" s="289"/>
      <c r="BU3" s="289"/>
      <c r="BV3" s="289"/>
      <c r="BW3" s="289"/>
      <c r="BX3" s="289"/>
      <c r="BY3" s="289"/>
      <c r="BZ3" s="289"/>
      <c r="CA3" s="289"/>
      <c r="CB3" s="131" t="s">
        <v>256</v>
      </c>
      <c r="CC3" s="289"/>
      <c r="CD3" s="130"/>
      <c r="CE3" s="289"/>
      <c r="CF3" s="289"/>
      <c r="CG3" s="289"/>
      <c r="CH3" s="289"/>
      <c r="CI3" s="289"/>
      <c r="CJ3" s="289"/>
      <c r="CK3" s="289"/>
    </row>
    <row r="4" spans="1:90" ht="15.75" thickBot="1" x14ac:dyDescent="0.3">
      <c r="A4" s="301"/>
      <c r="B4" s="1" t="s">
        <v>73</v>
      </c>
      <c r="C4" s="76" t="s">
        <v>8</v>
      </c>
      <c r="D4" s="76" t="s">
        <v>9</v>
      </c>
      <c r="E4" s="76" t="s">
        <v>10</v>
      </c>
      <c r="F4" s="76" t="s">
        <v>11</v>
      </c>
      <c r="G4" s="76" t="s">
        <v>12</v>
      </c>
      <c r="H4" s="77" t="s">
        <v>13</v>
      </c>
      <c r="I4" s="76" t="s">
        <v>14</v>
      </c>
      <c r="J4" s="76" t="s">
        <v>15</v>
      </c>
      <c r="K4" s="44" t="s">
        <v>16</v>
      </c>
      <c r="L4" s="289"/>
      <c r="M4" s="301" t="s">
        <v>0</v>
      </c>
      <c r="N4" s="289" t="s">
        <v>8</v>
      </c>
      <c r="O4" s="289" t="s">
        <v>9</v>
      </c>
      <c r="P4" s="289" t="s">
        <v>10</v>
      </c>
      <c r="Q4" s="289" t="s">
        <v>11</v>
      </c>
      <c r="R4" s="289" t="s">
        <v>12</v>
      </c>
      <c r="S4" s="289" t="s">
        <v>13</v>
      </c>
      <c r="T4" s="289" t="s">
        <v>14</v>
      </c>
      <c r="U4" s="289" t="s">
        <v>15</v>
      </c>
      <c r="V4" s="289" t="s">
        <v>16</v>
      </c>
      <c r="W4" s="136"/>
      <c r="X4" s="302" t="s">
        <v>0</v>
      </c>
      <c r="Y4" s="289" t="s">
        <v>8</v>
      </c>
      <c r="Z4" s="289" t="s">
        <v>9</v>
      </c>
      <c r="AA4" s="289" t="s">
        <v>10</v>
      </c>
      <c r="AB4" s="289" t="s">
        <v>11</v>
      </c>
      <c r="AC4" s="289" t="s">
        <v>12</v>
      </c>
      <c r="AD4" s="289" t="s">
        <v>13</v>
      </c>
      <c r="AE4" s="289" t="s">
        <v>14</v>
      </c>
      <c r="AF4" s="289" t="s">
        <v>15</v>
      </c>
      <c r="AG4" s="289" t="s">
        <v>16</v>
      </c>
      <c r="AH4" s="136"/>
      <c r="AI4" s="133" t="s">
        <v>0</v>
      </c>
      <c r="AJ4" s="134" t="s">
        <v>8</v>
      </c>
      <c r="AK4" s="134" t="s">
        <v>9</v>
      </c>
      <c r="AL4" s="134" t="s">
        <v>10</v>
      </c>
      <c r="AM4" s="134" t="s">
        <v>11</v>
      </c>
      <c r="AN4" s="134" t="s">
        <v>12</v>
      </c>
      <c r="AO4" s="134" t="s">
        <v>13</v>
      </c>
      <c r="AP4" s="134" t="s">
        <v>14</v>
      </c>
      <c r="AQ4" s="134" t="s">
        <v>15</v>
      </c>
      <c r="AR4" s="135" t="s">
        <v>16</v>
      </c>
      <c r="AS4" s="246"/>
      <c r="AT4" s="289"/>
      <c r="AU4" s="1" t="s">
        <v>73</v>
      </c>
      <c r="AV4" s="76" t="s">
        <v>8</v>
      </c>
      <c r="AW4" s="76" t="s">
        <v>9</v>
      </c>
      <c r="AX4" s="76" t="s">
        <v>10</v>
      </c>
      <c r="AY4" s="76" t="s">
        <v>11</v>
      </c>
      <c r="AZ4" s="76" t="s">
        <v>12</v>
      </c>
      <c r="BA4" s="77" t="s">
        <v>13</v>
      </c>
      <c r="BB4" s="76" t="s">
        <v>14</v>
      </c>
      <c r="BC4" s="76" t="s">
        <v>15</v>
      </c>
      <c r="BD4" s="44" t="s">
        <v>16</v>
      </c>
      <c r="BE4" s="132"/>
      <c r="BF4" s="301" t="s">
        <v>0</v>
      </c>
      <c r="BG4" s="289" t="s">
        <v>8</v>
      </c>
      <c r="BH4" s="289" t="s">
        <v>9</v>
      </c>
      <c r="BI4" s="289" t="s">
        <v>10</v>
      </c>
      <c r="BJ4" s="289" t="s">
        <v>11</v>
      </c>
      <c r="BK4" s="289" t="s">
        <v>12</v>
      </c>
      <c r="BL4" s="289" t="s">
        <v>13</v>
      </c>
      <c r="BM4" s="289" t="s">
        <v>14</v>
      </c>
      <c r="BN4" s="289" t="s">
        <v>15</v>
      </c>
      <c r="BO4" s="289" t="s">
        <v>16</v>
      </c>
      <c r="BP4" s="5"/>
      <c r="BQ4" s="302" t="s">
        <v>0</v>
      </c>
      <c r="BR4" s="110" t="s">
        <v>8</v>
      </c>
      <c r="BS4" s="26" t="s">
        <v>9</v>
      </c>
      <c r="BT4" s="26" t="s">
        <v>10</v>
      </c>
      <c r="BU4" s="26" t="s">
        <v>11</v>
      </c>
      <c r="BV4" s="26" t="s">
        <v>12</v>
      </c>
      <c r="BW4" s="26" t="s">
        <v>13</v>
      </c>
      <c r="BX4" s="26" t="s">
        <v>14</v>
      </c>
      <c r="BY4" s="26" t="s">
        <v>15</v>
      </c>
      <c r="BZ4" s="26" t="s">
        <v>16</v>
      </c>
      <c r="CA4" s="57"/>
      <c r="CB4" s="133" t="s">
        <v>0</v>
      </c>
      <c r="CC4" s="134" t="s">
        <v>8</v>
      </c>
      <c r="CD4" s="134" t="s">
        <v>9</v>
      </c>
      <c r="CE4" s="134" t="s">
        <v>10</v>
      </c>
      <c r="CF4" s="134" t="s">
        <v>11</v>
      </c>
      <c r="CG4" s="134" t="s">
        <v>12</v>
      </c>
      <c r="CH4" s="134" t="s">
        <v>13</v>
      </c>
      <c r="CI4" s="134" t="s">
        <v>14</v>
      </c>
      <c r="CJ4" s="134" t="s">
        <v>15</v>
      </c>
      <c r="CK4" s="135" t="s">
        <v>16</v>
      </c>
    </row>
    <row r="5" spans="1:90" ht="15.75" thickTop="1" x14ac:dyDescent="0.25">
      <c r="A5" s="30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s="289"/>
      <c r="M5" s="210" t="s">
        <v>36</v>
      </c>
      <c r="N5" s="31">
        <v>2.7801175121740633</v>
      </c>
      <c r="O5" s="31">
        <v>1.9886231149634266</v>
      </c>
      <c r="P5" s="31">
        <v>0.21740221520732303</v>
      </c>
      <c r="Q5" s="31">
        <v>0.16413671699672708</v>
      </c>
      <c r="R5" s="31">
        <v>0.17328457028898378</v>
      </c>
      <c r="S5" s="31">
        <v>0.21404450471840292</v>
      </c>
      <c r="T5" s="31">
        <v>0.47377104219657373</v>
      </c>
      <c r="U5" s="31">
        <v>0.13634975491086282</v>
      </c>
      <c r="V5" s="27">
        <v>0.66465497570163012</v>
      </c>
      <c r="W5" s="57"/>
      <c r="X5" s="64" t="s">
        <v>155</v>
      </c>
      <c r="Y5" s="30">
        <v>2.659344338505</v>
      </c>
      <c r="Z5" s="31">
        <v>0.60179251757999996</v>
      </c>
      <c r="AA5" s="31">
        <v>0.49057592257199995</v>
      </c>
      <c r="AB5" s="31">
        <v>0.44534936757300003</v>
      </c>
      <c r="AC5" s="31">
        <v>0.28123816794599998</v>
      </c>
      <c r="AD5" s="31">
        <v>0.392604140544</v>
      </c>
      <c r="AE5" s="31">
        <v>0.391588372932</v>
      </c>
      <c r="AF5" s="31">
        <v>0.49451949094800002</v>
      </c>
      <c r="AG5" s="27">
        <v>0.75909707835600004</v>
      </c>
      <c r="AH5" s="136"/>
      <c r="AI5" s="214" t="s">
        <v>58</v>
      </c>
      <c r="AJ5" s="33">
        <v>1.7861835155537795</v>
      </c>
      <c r="AK5" s="33">
        <v>0.47155695443523915</v>
      </c>
      <c r="AL5" s="33">
        <v>0.21594303449891186</v>
      </c>
      <c r="AM5" s="33">
        <v>0.28048733725748931</v>
      </c>
      <c r="AN5" s="33">
        <v>0.31282910888882198</v>
      </c>
      <c r="AO5" s="33">
        <v>0.59872783846427391</v>
      </c>
      <c r="AP5" s="33">
        <v>0.31833543791411734</v>
      </c>
      <c r="AQ5" s="33">
        <v>0.25719619839187197</v>
      </c>
      <c r="AR5" s="10">
        <v>0.81323416412555116</v>
      </c>
      <c r="AS5" s="246"/>
      <c r="AT5" s="289"/>
      <c r="AU5" s="10" t="s">
        <v>216</v>
      </c>
      <c r="AV5" s="7">
        <v>41.526610347564208</v>
      </c>
      <c r="AW5" s="7">
        <v>10.562996672493783</v>
      </c>
      <c r="AX5" s="7">
        <v>6.6242311483315302</v>
      </c>
      <c r="AY5" s="7">
        <v>5.9655523632516116</v>
      </c>
      <c r="AZ5" s="7">
        <v>6.2536771908818594</v>
      </c>
      <c r="BA5" s="7">
        <v>8.5630397070319226</v>
      </c>
      <c r="BB5" s="7">
        <v>8.1524025648857474</v>
      </c>
      <c r="BC5" s="7">
        <v>3.9017532286158847</v>
      </c>
      <c r="BD5" s="10">
        <v>12.57803870746508</v>
      </c>
      <c r="BE5" s="289"/>
      <c r="BF5" s="215" t="s">
        <v>36</v>
      </c>
      <c r="BG5" s="30">
        <v>35.191360913595737</v>
      </c>
      <c r="BH5" s="31">
        <v>25.17244449320793</v>
      </c>
      <c r="BI5" s="31">
        <v>2.751926774776241</v>
      </c>
      <c r="BJ5" s="31">
        <v>2.077679961983887</v>
      </c>
      <c r="BK5" s="31">
        <v>2.1934755732782758</v>
      </c>
      <c r="BL5" s="31">
        <v>2.7094241103595307</v>
      </c>
      <c r="BM5" s="31">
        <v>5.9971017999566296</v>
      </c>
      <c r="BN5" s="31">
        <v>1.7259462646944661</v>
      </c>
      <c r="BO5" s="27">
        <v>8.413354122805444</v>
      </c>
      <c r="BP5" s="136"/>
      <c r="BQ5" s="271" t="s">
        <v>155</v>
      </c>
      <c r="BR5" s="7"/>
      <c r="BS5" s="7"/>
      <c r="BT5" s="7"/>
      <c r="BU5" s="7"/>
      <c r="BV5" s="7"/>
      <c r="BW5" s="7"/>
      <c r="BX5" s="7"/>
      <c r="BY5" s="7"/>
      <c r="BZ5" s="7"/>
      <c r="CA5" s="57"/>
      <c r="CB5" s="214" t="s">
        <v>58</v>
      </c>
      <c r="CC5" s="7">
        <v>28.352119294504437</v>
      </c>
      <c r="CD5" s="7">
        <v>7.4850310227815742</v>
      </c>
      <c r="CE5" s="7">
        <v>3.4276672142684421</v>
      </c>
      <c r="CF5" s="7">
        <v>4.4521799564680844</v>
      </c>
      <c r="CG5" s="7">
        <v>4.9655414109336826</v>
      </c>
      <c r="CH5" s="7">
        <v>9.5036164835599042</v>
      </c>
      <c r="CI5" s="7">
        <v>5.0529434589542435</v>
      </c>
      <c r="CJ5" s="7">
        <v>4.0824793395535233</v>
      </c>
      <c r="CK5" s="10">
        <v>12.908478795643671</v>
      </c>
    </row>
    <row r="6" spans="1:90" x14ac:dyDescent="0.25">
      <c r="A6" s="301"/>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s="289"/>
      <c r="M6" s="211" t="s">
        <v>38</v>
      </c>
      <c r="N6" s="48"/>
      <c r="O6" s="33">
        <v>0.94504849051945394</v>
      </c>
      <c r="P6" s="33">
        <v>1.0838798980723405</v>
      </c>
      <c r="Q6" s="33">
        <v>0.7948267828359683</v>
      </c>
      <c r="R6" s="33">
        <v>0.27353348488811041</v>
      </c>
      <c r="S6" s="33">
        <v>0.32714549365366763</v>
      </c>
      <c r="T6" s="33">
        <v>0.53668821698082092</v>
      </c>
      <c r="U6" s="33">
        <v>0.30383833450565334</v>
      </c>
      <c r="V6" s="8">
        <v>0.84633948446066698</v>
      </c>
      <c r="W6" s="57"/>
      <c r="X6" s="289" t="s">
        <v>156</v>
      </c>
      <c r="Y6" s="32">
        <v>3.3707913267523337</v>
      </c>
      <c r="Z6" s="33">
        <v>1.5933970779007212</v>
      </c>
      <c r="AA6" s="33">
        <v>0.19709576163540307</v>
      </c>
      <c r="AB6" s="33">
        <v>0.191712663399252</v>
      </c>
      <c r="AC6" s="33">
        <v>0.6055605234004936</v>
      </c>
      <c r="AD6" s="33">
        <v>0.53013799316870647</v>
      </c>
      <c r="AE6" s="33">
        <v>0.6343351693880831</v>
      </c>
      <c r="AF6" s="33">
        <v>0.50438869909405604</v>
      </c>
      <c r="AG6" s="8">
        <v>1.2831632955658034</v>
      </c>
      <c r="AH6" s="136"/>
      <c r="AI6" s="6" t="s">
        <v>62</v>
      </c>
      <c r="AJ6" s="33">
        <v>2.7269951446498686</v>
      </c>
      <c r="AK6" s="33">
        <v>0.21158833167761162</v>
      </c>
      <c r="AL6" s="33">
        <v>0.23180103815900946</v>
      </c>
      <c r="AM6" s="33">
        <v>0.26706576010527805</v>
      </c>
      <c r="AN6" s="33">
        <v>0.23352126849785185</v>
      </c>
      <c r="AO6" s="33">
        <v>1.1392225418983601</v>
      </c>
      <c r="AP6" s="33">
        <v>0.24814322637801201</v>
      </c>
      <c r="AQ6" s="33">
        <v>0.5478933629212952</v>
      </c>
      <c r="AR6" s="8">
        <v>0.94182611051619802</v>
      </c>
      <c r="AS6" s="246"/>
      <c r="AT6" s="289"/>
      <c r="AU6" s="8" t="s">
        <v>217</v>
      </c>
      <c r="AV6" s="7">
        <v>38.558966279548095</v>
      </c>
      <c r="AW6" s="7">
        <v>11.215884459063673</v>
      </c>
      <c r="AX6" s="7">
        <v>3.2832863723914381</v>
      </c>
      <c r="AY6" s="7">
        <v>3.23204474499927</v>
      </c>
      <c r="AZ6" s="7">
        <v>5.0358933624270747</v>
      </c>
      <c r="BA6" s="7">
        <v>6.626235199054177</v>
      </c>
      <c r="BB6" s="7">
        <v>3.5721028176927523</v>
      </c>
      <c r="BC6" s="7">
        <v>2.2680093727797086</v>
      </c>
      <c r="BD6" s="8">
        <v>4.9228392824114868</v>
      </c>
      <c r="BE6" s="289"/>
      <c r="BF6" s="58" t="s">
        <v>38</v>
      </c>
      <c r="BG6" s="306"/>
      <c r="BH6" s="33">
        <v>20.544532402596825</v>
      </c>
      <c r="BI6" s="33">
        <v>23.562606479833487</v>
      </c>
      <c r="BJ6" s="33">
        <v>17.278843105129749</v>
      </c>
      <c r="BK6" s="33">
        <v>5.9463801062632697</v>
      </c>
      <c r="BL6" s="33">
        <v>7.1118585576884268</v>
      </c>
      <c r="BM6" s="33">
        <v>11.667135151756977</v>
      </c>
      <c r="BN6" s="33">
        <v>6.6051811849055078</v>
      </c>
      <c r="BO6" s="8">
        <v>18.398684444797109</v>
      </c>
      <c r="BP6" s="136"/>
      <c r="BQ6" s="289" t="s">
        <v>156</v>
      </c>
      <c r="BR6" s="32">
        <v>57.132056385632779</v>
      </c>
      <c r="BS6" s="33">
        <v>27.00673013391053</v>
      </c>
      <c r="BT6" s="33">
        <v>3.3406061294136111</v>
      </c>
      <c r="BU6" s="33">
        <v>3.2493671762585086</v>
      </c>
      <c r="BV6" s="33">
        <v>10.263737684754128</v>
      </c>
      <c r="BW6" s="33">
        <v>8.9853897147238388</v>
      </c>
      <c r="BX6" s="33">
        <v>10.751443548950562</v>
      </c>
      <c r="BY6" s="33">
        <v>8.5489610015941704</v>
      </c>
      <c r="BZ6" s="8">
        <v>21.748530433318702</v>
      </c>
      <c r="CA6" s="57"/>
      <c r="CB6" s="6" t="s">
        <v>62</v>
      </c>
      <c r="CC6" s="7">
        <v>29.322528437095361</v>
      </c>
      <c r="CD6" s="7">
        <v>2.2751433513721682</v>
      </c>
      <c r="CE6" s="7">
        <v>2.4924842812796717</v>
      </c>
      <c r="CF6" s="7">
        <v>2.8716748398416994</v>
      </c>
      <c r="CG6" s="7">
        <v>2.5109813816973316</v>
      </c>
      <c r="CH6" s="7">
        <v>12.249704751595271</v>
      </c>
      <c r="CI6" s="7">
        <v>2.6682067352474408</v>
      </c>
      <c r="CJ6" s="7">
        <v>5.8913264830246801</v>
      </c>
      <c r="CK6" s="8">
        <v>10.127162478668795</v>
      </c>
    </row>
    <row r="7" spans="1:90" x14ac:dyDescent="0.25">
      <c r="A7" s="30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s="289"/>
      <c r="M7" s="6" t="s">
        <v>41</v>
      </c>
      <c r="N7" s="33">
        <v>1.9276000000000002</v>
      </c>
      <c r="O7" s="33">
        <v>0.82972000000000001</v>
      </c>
      <c r="P7" s="33">
        <v>0.14709333333333333</v>
      </c>
      <c r="Q7" s="33">
        <v>0.17254</v>
      </c>
      <c r="R7" s="33">
        <v>0.53300666666666663</v>
      </c>
      <c r="S7" s="33">
        <v>0.42238000000000003</v>
      </c>
      <c r="T7" s="33">
        <v>0.57267999999999997</v>
      </c>
      <c r="U7" s="33">
        <v>0.22384666666666667</v>
      </c>
      <c r="V7" s="8">
        <v>1.0158933333333335</v>
      </c>
      <c r="W7" s="57"/>
      <c r="X7" s="289" t="s">
        <v>161</v>
      </c>
      <c r="Y7" s="32">
        <v>1.4761358593616658</v>
      </c>
      <c r="Z7" s="33">
        <v>0.50415429254138933</v>
      </c>
      <c r="AA7" s="33">
        <v>0.20186379928315409</v>
      </c>
      <c r="AB7" s="33">
        <v>0.26811401263014162</v>
      </c>
      <c r="AC7" s="33">
        <v>0.14216760539341183</v>
      </c>
      <c r="AD7" s="33">
        <v>0.54636627410820959</v>
      </c>
      <c r="AE7" s="33">
        <v>0.25082778631165725</v>
      </c>
      <c r="AF7" s="33">
        <v>0.18121863799283153</v>
      </c>
      <c r="AG7" s="8">
        <v>0.58350571769926618</v>
      </c>
      <c r="AH7" s="136"/>
      <c r="AI7" s="6" t="s">
        <v>65</v>
      </c>
      <c r="AJ7" s="33">
        <v>3.1238004201680676</v>
      </c>
      <c r="AK7" s="33">
        <v>0.78969957983193273</v>
      </c>
      <c r="AL7" s="33">
        <v>0.49667647058823539</v>
      </c>
      <c r="AM7" s="33">
        <v>0.40639285714285717</v>
      </c>
      <c r="AN7" s="33">
        <v>0.78955462184873959</v>
      </c>
      <c r="AO7" s="48"/>
      <c r="AP7" s="33">
        <v>0.28602731092436973</v>
      </c>
      <c r="AQ7" s="33">
        <v>0.23866386554621849</v>
      </c>
      <c r="AR7" s="8">
        <v>0.60750630252100835</v>
      </c>
      <c r="AS7" s="246"/>
      <c r="AT7" s="289"/>
      <c r="AU7" s="8" t="s">
        <v>219</v>
      </c>
      <c r="AV7" s="7">
        <v>45.392708914004338</v>
      </c>
      <c r="AW7" s="7">
        <v>17.108304196492131</v>
      </c>
      <c r="AX7" s="7">
        <v>5.0824176390053006</v>
      </c>
      <c r="AY7" s="7">
        <v>4.4197228630452061</v>
      </c>
      <c r="AZ7" s="7">
        <v>4.3485021782256874</v>
      </c>
      <c r="BA7" s="7">
        <v>8.2555045919980579</v>
      </c>
      <c r="BB7" s="7">
        <v>6.9079270574994851</v>
      </c>
      <c r="BC7" s="7">
        <v>5.575552399952767</v>
      </c>
      <c r="BD7" s="8">
        <v>12.49827144583784</v>
      </c>
      <c r="BE7" s="289"/>
      <c r="BF7" s="58" t="s">
        <v>41</v>
      </c>
      <c r="BG7" s="32">
        <v>38.552</v>
      </c>
      <c r="BH7" s="33">
        <v>16.5944</v>
      </c>
      <c r="BI7" s="33">
        <v>2.9418666666666664</v>
      </c>
      <c r="BJ7" s="33">
        <v>3.4508000000000001</v>
      </c>
      <c r="BK7" s="33">
        <v>10.660133333333333</v>
      </c>
      <c r="BL7" s="33">
        <v>8.4476000000000013</v>
      </c>
      <c r="BM7" s="33">
        <v>11.4536</v>
      </c>
      <c r="BN7" s="33">
        <v>4.4769333333333332</v>
      </c>
      <c r="BO7" s="8">
        <v>20.317866666666671</v>
      </c>
      <c r="BP7" s="136"/>
      <c r="BQ7" s="289" t="s">
        <v>161</v>
      </c>
      <c r="BR7" s="32">
        <v>25.45061826485631</v>
      </c>
      <c r="BS7" s="33">
        <v>8.6923153886446425</v>
      </c>
      <c r="BT7" s="33">
        <v>3.4804103324681739</v>
      </c>
      <c r="BU7" s="33">
        <v>4.6226553901748559</v>
      </c>
      <c r="BV7" s="33">
        <v>2.4511656102312385</v>
      </c>
      <c r="BW7" s="33">
        <v>9.420108174279477</v>
      </c>
      <c r="BX7" s="33">
        <v>4.3246170053734003</v>
      </c>
      <c r="BY7" s="33">
        <v>3.1244592757384746</v>
      </c>
      <c r="BZ7" s="8">
        <v>10.060443408608037</v>
      </c>
      <c r="CA7" s="57"/>
      <c r="CB7" s="6" t="s">
        <v>65</v>
      </c>
      <c r="CC7" s="7">
        <v>58.939630569208823</v>
      </c>
      <c r="CD7" s="7">
        <v>14.899992072300618</v>
      </c>
      <c r="CE7" s="7">
        <v>9.3712541620421774</v>
      </c>
      <c r="CF7" s="7">
        <v>7.6677897574123994</v>
      </c>
      <c r="CG7" s="7">
        <v>14.897257016013954</v>
      </c>
      <c r="CH7" s="48"/>
      <c r="CI7" s="7">
        <v>5.3967417155541453</v>
      </c>
      <c r="CJ7" s="7">
        <v>4.5030918027588394</v>
      </c>
      <c r="CK7" s="8">
        <v>11.46238306643412</v>
      </c>
    </row>
    <row r="8" spans="1:90" x14ac:dyDescent="0.25">
      <c r="A8" s="30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s="289"/>
      <c r="M8" s="6" t="s">
        <v>43</v>
      </c>
      <c r="N8" s="33">
        <v>2.3256387903162534</v>
      </c>
      <c r="O8" s="33">
        <v>0.73807252886581287</v>
      </c>
      <c r="P8" s="33">
        <v>0.13080641118061087</v>
      </c>
      <c r="Q8" s="33">
        <v>0.21875716741747714</v>
      </c>
      <c r="R8" s="33">
        <v>0.3620292467538006</v>
      </c>
      <c r="S8" s="33">
        <v>0.43223938894169484</v>
      </c>
      <c r="T8" s="33">
        <v>0.7236385973170929</v>
      </c>
      <c r="U8" s="33">
        <v>0.28898480527997589</v>
      </c>
      <c r="V8" s="8">
        <v>1.2150920969577483</v>
      </c>
      <c r="W8" s="57"/>
      <c r="X8" s="289" t="s">
        <v>164</v>
      </c>
      <c r="Y8" s="32">
        <v>2.7184172601774876</v>
      </c>
      <c r="Z8" s="33">
        <v>1.2769412459343707</v>
      </c>
      <c r="AA8" s="33">
        <v>0.49647061524258762</v>
      </c>
      <c r="AB8" s="33">
        <v>0.31336365341017219</v>
      </c>
      <c r="AC8" s="33">
        <v>0.40442248189305441</v>
      </c>
      <c r="AD8" s="33">
        <v>0.37354547486579565</v>
      </c>
      <c r="AE8" s="33">
        <v>0.41787702807950794</v>
      </c>
      <c r="AF8" s="33">
        <v>0.21675937008017063</v>
      </c>
      <c r="AG8" s="8">
        <v>0.63019254765055976</v>
      </c>
      <c r="AH8" s="136"/>
      <c r="AI8" s="6" t="s">
        <v>67</v>
      </c>
      <c r="AJ8" s="33">
        <v>2.4284246554557538</v>
      </c>
      <c r="AK8" s="33">
        <v>0.68356460251830253</v>
      </c>
      <c r="AL8" s="33">
        <v>0.3175250467873964</v>
      </c>
      <c r="AM8" s="33">
        <v>0.30064905836064443</v>
      </c>
      <c r="AN8" s="33">
        <v>0.29195776600953105</v>
      </c>
      <c r="AO8" s="33">
        <v>0.1716965595519124</v>
      </c>
      <c r="AP8" s="33">
        <v>0.76762000641308648</v>
      </c>
      <c r="AQ8" s="33">
        <v>0.16062268159270696</v>
      </c>
      <c r="AR8" s="8">
        <v>1.0220184079362489</v>
      </c>
      <c r="AS8" s="246"/>
      <c r="AT8" s="289"/>
      <c r="AU8" s="8" t="s">
        <v>385</v>
      </c>
      <c r="AV8" s="7">
        <v>32.735967071589741</v>
      </c>
      <c r="AW8" s="7">
        <v>9.8559662590897101</v>
      </c>
      <c r="AX8" s="7">
        <v>4.4838069774079177</v>
      </c>
      <c r="AY8" s="7">
        <v>4.1739774209509024</v>
      </c>
      <c r="AZ8" s="7">
        <v>4.1182956007917459</v>
      </c>
      <c r="BA8" s="7">
        <v>9.8716480778284108</v>
      </c>
      <c r="BB8" s="7">
        <v>4.1308524194194742</v>
      </c>
      <c r="BC8" s="7">
        <v>5.2707956417185953</v>
      </c>
      <c r="BD8" s="8">
        <v>10.027386719722539</v>
      </c>
      <c r="BE8" s="289"/>
      <c r="BF8" s="58" t="s">
        <v>43</v>
      </c>
      <c r="BG8" s="32">
        <v>49.481676389707516</v>
      </c>
      <c r="BH8" s="33">
        <v>15.703670826932189</v>
      </c>
      <c r="BI8" s="33">
        <v>2.7831151315023588</v>
      </c>
      <c r="BJ8" s="33">
        <v>4.6544078173931309</v>
      </c>
      <c r="BK8" s="33">
        <v>7.7027499309319278</v>
      </c>
      <c r="BL8" s="33">
        <v>9.1965827434403167</v>
      </c>
      <c r="BM8" s="33">
        <v>15.396565900363679</v>
      </c>
      <c r="BN8" s="33">
        <v>6.1486128782973593</v>
      </c>
      <c r="BO8" s="8">
        <v>25.853023339526558</v>
      </c>
      <c r="BP8" s="136"/>
      <c r="BQ8" s="289" t="s">
        <v>164</v>
      </c>
      <c r="BR8" s="32">
        <v>39.976724414374814</v>
      </c>
      <c r="BS8" s="33">
        <v>18.778547734328981</v>
      </c>
      <c r="BT8" s="33">
        <v>7.3010384594498179</v>
      </c>
      <c r="BU8" s="33">
        <v>4.6082890207378258</v>
      </c>
      <c r="BV8" s="33">
        <v>5.9473894396037412</v>
      </c>
      <c r="BW8" s="33">
        <v>5.4933158068499361</v>
      </c>
      <c r="BX8" s="33">
        <v>6.1452504129339403</v>
      </c>
      <c r="BY8" s="33">
        <v>3.1876377952966268</v>
      </c>
      <c r="BZ8" s="8">
        <v>9.2675374654494078</v>
      </c>
      <c r="CA8" s="289"/>
      <c r="CB8" s="6" t="s">
        <v>67</v>
      </c>
      <c r="CC8" s="7">
        <v>39.079894680652622</v>
      </c>
      <c r="CD8" s="7">
        <v>11.000395920796629</v>
      </c>
      <c r="CE8" s="7">
        <v>5.1098333889185135</v>
      </c>
      <c r="CF8" s="7">
        <v>4.838253272620606</v>
      </c>
      <c r="CG8" s="7">
        <v>4.6983869650713075</v>
      </c>
      <c r="CH8" s="7">
        <v>2.7630601794643126</v>
      </c>
      <c r="CI8" s="7">
        <v>12.353073807741977</v>
      </c>
      <c r="CJ8" s="7">
        <v>2.584851650993031</v>
      </c>
      <c r="CK8" s="8">
        <v>16.447029416418555</v>
      </c>
    </row>
    <row r="9" spans="1:90" x14ac:dyDescent="0.25">
      <c r="A9" s="30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s="289"/>
      <c r="M9" s="6" t="s">
        <v>45</v>
      </c>
      <c r="N9" s="33">
        <v>1.3903019077023142</v>
      </c>
      <c r="O9" s="48"/>
      <c r="P9" s="33">
        <v>0.10120059473958701</v>
      </c>
      <c r="Q9" s="33">
        <v>0.17686463612737638</v>
      </c>
      <c r="R9" s="33">
        <v>0.67031270351543593</v>
      </c>
      <c r="S9" s="33">
        <v>0.40894855311630218</v>
      </c>
      <c r="T9" s="33">
        <v>0.45790250413916539</v>
      </c>
      <c r="U9" s="33">
        <v>0.45481833248482745</v>
      </c>
      <c r="V9" s="8">
        <v>1.0848864753723544</v>
      </c>
      <c r="W9" s="57"/>
      <c r="X9" s="289" t="s">
        <v>166</v>
      </c>
      <c r="Y9" s="32">
        <v>2.053518113262669</v>
      </c>
      <c r="Z9" s="48"/>
      <c r="AA9" s="33">
        <v>0.32360002592948922</v>
      </c>
      <c r="AB9" s="48"/>
      <c r="AC9" s="33">
        <v>0.47508208934952634</v>
      </c>
      <c r="AD9" s="33">
        <v>0.72312313486563573</v>
      </c>
      <c r="AE9" s="33">
        <v>0.58236927743343558</v>
      </c>
      <c r="AF9" s="33">
        <v>0.37598977371712933</v>
      </c>
      <c r="AG9" s="8">
        <v>0.97390264213963473</v>
      </c>
      <c r="AH9" s="68"/>
      <c r="AI9" s="6" t="s">
        <v>70</v>
      </c>
      <c r="AJ9" s="7">
        <v>4.1026685393258431</v>
      </c>
      <c r="AK9" s="7">
        <v>2.5060280898876401</v>
      </c>
      <c r="AL9" s="7">
        <v>0.39976685393258427</v>
      </c>
      <c r="AM9" s="7">
        <v>0.51550280898876411</v>
      </c>
      <c r="AN9" s="7">
        <v>0.58700561797752815</v>
      </c>
      <c r="AO9" s="7">
        <v>0.28283426966292136</v>
      </c>
      <c r="AP9" s="7">
        <v>0.83579494382022479</v>
      </c>
      <c r="AQ9" s="7">
        <v>0.26701685393258429</v>
      </c>
      <c r="AR9" s="8">
        <v>1.1938061797752808</v>
      </c>
      <c r="AS9" s="246"/>
      <c r="AT9" s="289"/>
      <c r="AU9" s="8" t="s">
        <v>223</v>
      </c>
      <c r="AV9" s="7">
        <v>45.717012987262919</v>
      </c>
      <c r="AW9" s="7">
        <v>9.7633973223587933</v>
      </c>
      <c r="AX9" s="7">
        <v>6.033858190919422</v>
      </c>
      <c r="AY9" s="7">
        <v>5.2174758180504703</v>
      </c>
      <c r="AZ9" s="7">
        <v>6.5783797017643364</v>
      </c>
      <c r="BA9" s="7">
        <v>13.651160941771947</v>
      </c>
      <c r="BB9" s="7">
        <v>7.4736077230212361</v>
      </c>
      <c r="BC9" s="7">
        <v>6.0648499292967646</v>
      </c>
      <c r="BD9" s="8">
        <v>15.812651409117283</v>
      </c>
      <c r="BE9" s="289"/>
      <c r="BF9" s="58" t="s">
        <v>45</v>
      </c>
      <c r="BG9" s="32">
        <v>20.445616289739917</v>
      </c>
      <c r="BH9" s="48"/>
      <c r="BI9" s="33">
        <v>1.4882440402880444</v>
      </c>
      <c r="BJ9" s="33">
        <v>2.6009505312849468</v>
      </c>
      <c r="BK9" s="33">
        <v>9.8575397575799393</v>
      </c>
      <c r="BL9" s="33">
        <v>6.0139493105338557</v>
      </c>
      <c r="BM9" s="33">
        <v>6.7338603549877263</v>
      </c>
      <c r="BN9" s="33">
        <v>6.6885048894827559</v>
      </c>
      <c r="BO9" s="8">
        <v>15.954212873122858</v>
      </c>
      <c r="BP9" s="136"/>
      <c r="BQ9" s="289" t="s">
        <v>166</v>
      </c>
      <c r="BR9" s="32">
        <v>25.993900167881886</v>
      </c>
      <c r="BS9" s="48"/>
      <c r="BT9" s="33">
        <v>4.0962028598669518</v>
      </c>
      <c r="BU9" s="48"/>
      <c r="BV9" s="33">
        <v>6.0136973335383086</v>
      </c>
      <c r="BW9" s="33">
        <v>9.1534574033624772</v>
      </c>
      <c r="BX9" s="33">
        <v>7.3717630054865264</v>
      </c>
      <c r="BY9" s="33">
        <v>4.7593642242674603</v>
      </c>
      <c r="BZ9" s="8">
        <v>12.327881546071326</v>
      </c>
      <c r="CA9" s="289"/>
      <c r="CB9" s="6" t="s">
        <v>70</v>
      </c>
      <c r="CC9" s="32">
        <v>75.375133921106794</v>
      </c>
      <c r="CD9" s="33">
        <v>46.04130240469668</v>
      </c>
      <c r="CE9" s="33">
        <v>7.3446050694944747</v>
      </c>
      <c r="CF9" s="33">
        <v>9.4709316367584808</v>
      </c>
      <c r="CG9" s="33">
        <v>10.78459706003175</v>
      </c>
      <c r="CH9" s="33">
        <v>5.1962937656241293</v>
      </c>
      <c r="CI9" s="33">
        <v>15.355409586996597</v>
      </c>
      <c r="CJ9" s="33">
        <v>4.9056927049896064</v>
      </c>
      <c r="CK9" s="8">
        <v>21.932871206600787</v>
      </c>
    </row>
    <row r="10" spans="1:90" ht="15.75" thickBot="1" x14ac:dyDescent="0.3">
      <c r="A10" s="30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s="289"/>
      <c r="M10" s="278" t="s">
        <v>48</v>
      </c>
      <c r="N10" s="15">
        <v>3.6701086150013142</v>
      </c>
      <c r="O10" s="15">
        <v>1.6415909939238003</v>
      </c>
      <c r="P10" s="15">
        <v>0.62303712283968904</v>
      </c>
      <c r="Q10" s="51"/>
      <c r="R10" s="15">
        <v>0.87218598476279652</v>
      </c>
      <c r="S10" s="15">
        <v>1.2592540130867274</v>
      </c>
      <c r="T10" s="15">
        <v>1.2286053094420999</v>
      </c>
      <c r="U10" s="15">
        <v>0.53097906931271788</v>
      </c>
      <c r="V10" s="16">
        <v>1.6642151811585886</v>
      </c>
      <c r="W10" s="57"/>
      <c r="X10" s="175" t="s">
        <v>169</v>
      </c>
      <c r="Y10" s="32">
        <v>3.5578552293679495</v>
      </c>
      <c r="Z10" s="33">
        <v>1.4328364310522657</v>
      </c>
      <c r="AA10" s="33">
        <v>0.48117608486713553</v>
      </c>
      <c r="AB10" s="33">
        <v>0.52862891350141139</v>
      </c>
      <c r="AC10" s="33">
        <v>0.78462261580769732</v>
      </c>
      <c r="AD10" s="33">
        <v>0.20174842106432062</v>
      </c>
      <c r="AE10" s="33">
        <v>0.74935846601944234</v>
      </c>
      <c r="AF10" s="33">
        <v>0.21649055894619498</v>
      </c>
      <c r="AG10" s="8">
        <v>1.0001005961707088</v>
      </c>
      <c r="AH10" s="68"/>
      <c r="AI10" s="14" t="s">
        <v>449</v>
      </c>
      <c r="AJ10" s="297">
        <v>4.3722207224894474</v>
      </c>
      <c r="AK10" s="298">
        <v>1.2974869932266613</v>
      </c>
      <c r="AL10" s="298">
        <v>0.61833709629920486</v>
      </c>
      <c r="AM10" s="298">
        <v>0.62595710218906442</v>
      </c>
      <c r="AN10" s="298">
        <v>0.8218685579660352</v>
      </c>
      <c r="AO10" s="298"/>
      <c r="AP10" s="298">
        <v>0.46405958574653966</v>
      </c>
      <c r="AQ10" s="298">
        <v>0.4355551192696574</v>
      </c>
      <c r="AR10" s="299">
        <v>0.87934377147344656</v>
      </c>
      <c r="AS10" s="246"/>
      <c r="AT10" s="289"/>
      <c r="AU10" s="8" t="s">
        <v>228</v>
      </c>
      <c r="AV10" s="7">
        <v>42.617853698856592</v>
      </c>
      <c r="AW10" s="7">
        <v>16.739013638242181</v>
      </c>
      <c r="AX10" s="7">
        <v>3.6352803416448549</v>
      </c>
      <c r="AY10" s="7">
        <v>3.7890894062543055</v>
      </c>
      <c r="AZ10" s="7">
        <v>6.609174817467971</v>
      </c>
      <c r="BA10" s="7">
        <v>6.8021766083482591</v>
      </c>
      <c r="BB10" s="7">
        <v>9.057377049180328</v>
      </c>
      <c r="BC10" s="7">
        <v>5.4181016668962663</v>
      </c>
      <c r="BD10" s="8">
        <v>14.873536299765806</v>
      </c>
      <c r="BE10" s="289"/>
      <c r="BF10" s="110" t="s">
        <v>48</v>
      </c>
      <c r="BG10" s="24">
        <v>38.632722263171729</v>
      </c>
      <c r="BH10" s="15">
        <v>17.279905199197895</v>
      </c>
      <c r="BI10" s="15">
        <v>6.5582855035756742</v>
      </c>
      <c r="BJ10" s="172"/>
      <c r="BK10" s="15">
        <v>9.18090510276628</v>
      </c>
      <c r="BL10" s="15">
        <v>13.255305400912919</v>
      </c>
      <c r="BM10" s="15">
        <v>12.932687467811578</v>
      </c>
      <c r="BN10" s="15">
        <v>5.5892533611865041</v>
      </c>
      <c r="BO10" s="16">
        <v>17.518054538511461</v>
      </c>
      <c r="BP10" s="136"/>
      <c r="BQ10" s="289" t="s">
        <v>169</v>
      </c>
      <c r="BR10" s="32">
        <v>41.370409643813367</v>
      </c>
      <c r="BS10" s="33">
        <v>16.66088873316588</v>
      </c>
      <c r="BT10" s="33">
        <v>5.5950707542690177</v>
      </c>
      <c r="BU10" s="33">
        <v>6.1468478314117601</v>
      </c>
      <c r="BV10" s="33">
        <v>9.1235187884615971</v>
      </c>
      <c r="BW10" s="33">
        <v>2.3459118728409374</v>
      </c>
      <c r="BX10" s="33">
        <v>8.7134705351097939</v>
      </c>
      <c r="BY10" s="33">
        <v>2.5173320807697093</v>
      </c>
      <c r="BZ10" s="8">
        <v>11.629076699659404</v>
      </c>
      <c r="CA10" s="289"/>
      <c r="CB10" s="14" t="s">
        <v>449</v>
      </c>
      <c r="CC10" s="15">
        <v>44.163845681711592</v>
      </c>
      <c r="CD10" s="15">
        <v>13.105929224511732</v>
      </c>
      <c r="CE10" s="15">
        <v>6.2458292555475241</v>
      </c>
      <c r="CF10" s="15">
        <v>6.3227990120107513</v>
      </c>
      <c r="CG10" s="15">
        <v>8.3017026057175283</v>
      </c>
      <c r="CH10" s="51"/>
      <c r="CI10" s="15">
        <v>4.68747056309636</v>
      </c>
      <c r="CJ10" s="15">
        <v>4.3995466592894683</v>
      </c>
      <c r="CK10" s="16">
        <v>8.8822603179136017</v>
      </c>
    </row>
    <row r="11" spans="1:90" ht="15.75" x14ac:dyDescent="0.25">
      <c r="A11" s="301"/>
      <c r="B11" s="8" t="s">
        <v>229</v>
      </c>
      <c r="C11" s="7">
        <v>3.9940957349645716</v>
      </c>
      <c r="D11" s="7">
        <v>1.21434132951901</v>
      </c>
      <c r="E11" s="7">
        <v>0.21439565661796212</v>
      </c>
      <c r="F11" s="7">
        <v>0.20505652598959559</v>
      </c>
      <c r="G11" s="7">
        <v>0.23687609186655115</v>
      </c>
      <c r="H11" s="7">
        <v>0.86730653971688665</v>
      </c>
      <c r="I11" s="48"/>
      <c r="J11" s="48"/>
      <c r="K11" s="91"/>
      <c r="L11" s="289"/>
      <c r="M11" s="289"/>
      <c r="N11" s="7"/>
      <c r="O11" s="7"/>
      <c r="P11" s="7"/>
      <c r="Q11" s="7"/>
      <c r="R11" s="7"/>
      <c r="S11" s="7"/>
      <c r="T11" s="7"/>
      <c r="U11" s="7"/>
      <c r="V11" s="7"/>
      <c r="W11" s="57"/>
      <c r="X11" s="175" t="s">
        <v>171</v>
      </c>
      <c r="Y11" s="32">
        <v>4.2205166666666667</v>
      </c>
      <c r="Z11" s="33">
        <v>1.7646833333333334</v>
      </c>
      <c r="AA11" s="33">
        <v>0.36100833333333326</v>
      </c>
      <c r="AB11" s="33">
        <v>0.16195833333333332</v>
      </c>
      <c r="AC11" s="33">
        <v>0.65074166666666666</v>
      </c>
      <c r="AD11" s="33">
        <v>0.55703333333333327</v>
      </c>
      <c r="AE11" s="33">
        <v>0.24007499999999998</v>
      </c>
      <c r="AF11" s="33">
        <v>0.20473333333333332</v>
      </c>
      <c r="AG11" s="8">
        <v>0.63325833333333337</v>
      </c>
      <c r="AH11" s="136"/>
      <c r="AI11" s="289"/>
      <c r="AJ11" s="289"/>
      <c r="AK11" s="289"/>
      <c r="AL11" s="289"/>
      <c r="AM11" s="289"/>
      <c r="AN11" s="289"/>
      <c r="AO11" s="289"/>
      <c r="AP11" s="289"/>
      <c r="AQ11" s="289"/>
      <c r="AR11" s="289"/>
      <c r="AS11" s="246"/>
      <c r="AT11" s="289"/>
      <c r="AU11" s="8" t="s">
        <v>229</v>
      </c>
      <c r="AV11" s="7">
        <v>42.947265967360991</v>
      </c>
      <c r="AW11" s="7">
        <v>13.057433650742041</v>
      </c>
      <c r="AX11" s="7">
        <v>2.3053296410533561</v>
      </c>
      <c r="AY11" s="7">
        <v>2.2049088816085547</v>
      </c>
      <c r="AZ11" s="7">
        <v>2.547054751253238</v>
      </c>
      <c r="BA11" s="7">
        <v>9.3258767711493178</v>
      </c>
      <c r="BB11" s="48"/>
      <c r="BC11" s="48"/>
      <c r="BD11" s="288"/>
      <c r="BE11" s="58"/>
      <c r="BF11" s="289"/>
      <c r="BG11" s="7"/>
      <c r="BH11" s="7"/>
      <c r="BI11" s="7"/>
      <c r="BJ11" s="31"/>
      <c r="BK11" s="7"/>
      <c r="BL11" s="7"/>
      <c r="BM11" s="7"/>
      <c r="BN11" s="7"/>
      <c r="BO11" s="7"/>
      <c r="BP11" s="136"/>
      <c r="BQ11" s="289" t="s">
        <v>171</v>
      </c>
      <c r="BR11" s="32">
        <v>52.105144032921807</v>
      </c>
      <c r="BS11" s="33">
        <v>21.786213991769547</v>
      </c>
      <c r="BT11" s="33">
        <v>4.4568930041152255</v>
      </c>
      <c r="BU11" s="33">
        <v>1.9994855967078187</v>
      </c>
      <c r="BV11" s="33">
        <v>8.0338477366255141</v>
      </c>
      <c r="BW11" s="33">
        <v>6.8769547325102867</v>
      </c>
      <c r="BX11" s="33">
        <v>2.9638888888888886</v>
      </c>
      <c r="BY11" s="33">
        <v>2.5275720164609052</v>
      </c>
      <c r="BZ11" s="8">
        <v>7.8180041152263371</v>
      </c>
      <c r="CA11" s="289"/>
      <c r="CB11" s="140"/>
      <c r="CC11" s="141"/>
      <c r="CD11" s="141"/>
      <c r="CE11" s="141"/>
      <c r="CF11" s="141"/>
      <c r="CG11" s="141"/>
      <c r="CH11" s="141"/>
      <c r="CI11" s="141"/>
      <c r="CJ11" s="141"/>
      <c r="CK11" s="141"/>
    </row>
    <row r="12" spans="1:90" x14ac:dyDescent="0.25">
      <c r="A12" s="30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s="289"/>
      <c r="M12" s="289"/>
      <c r="N12" s="289"/>
      <c r="O12" s="289"/>
      <c r="P12" s="289"/>
      <c r="Q12" s="289"/>
      <c r="R12" s="289"/>
      <c r="S12" s="289"/>
      <c r="T12" s="289"/>
      <c r="U12" s="289"/>
      <c r="V12" s="289"/>
      <c r="W12" s="57"/>
      <c r="X12" s="289" t="s">
        <v>173</v>
      </c>
      <c r="Y12" s="32">
        <v>3.1495527690903944</v>
      </c>
      <c r="Z12" s="33">
        <v>1.0626922687129596</v>
      </c>
      <c r="AA12" s="33">
        <v>0.58331969014240748</v>
      </c>
      <c r="AB12" s="33">
        <v>0.52446632691652217</v>
      </c>
      <c r="AC12" s="33">
        <v>0.27247354769803034</v>
      </c>
      <c r="AD12" s="33">
        <v>0.59268026672214025</v>
      </c>
      <c r="AE12" s="33">
        <v>0.13162499517202048</v>
      </c>
      <c r="AF12" s="33">
        <v>0.7256105503078214</v>
      </c>
      <c r="AG12" s="8">
        <v>0.84191102681117314</v>
      </c>
      <c r="AH12" s="136"/>
      <c r="AI12" s="289"/>
      <c r="AJ12" s="289"/>
      <c r="AK12" s="289"/>
      <c r="AL12" s="289"/>
      <c r="AM12" s="289"/>
      <c r="AN12" s="289"/>
      <c r="AO12" s="289"/>
      <c r="AP12" s="289"/>
      <c r="AQ12" s="289"/>
      <c r="AR12" s="289"/>
      <c r="AS12" s="246"/>
      <c r="AT12" s="289"/>
      <c r="AU12" s="8" t="s">
        <v>232</v>
      </c>
      <c r="AV12" s="7">
        <v>31.246702465983414</v>
      </c>
      <c r="AW12" s="7">
        <v>10.936756548823979</v>
      </c>
      <c r="AX12" s="7">
        <v>3.2190497385957388</v>
      </c>
      <c r="AY12" s="7">
        <v>3.7421013190750694</v>
      </c>
      <c r="AZ12" s="7">
        <v>2.6352054949862391</v>
      </c>
      <c r="BA12" s="7">
        <v>6.4787210452940815</v>
      </c>
      <c r="BB12" s="7">
        <v>4.9780698010965185</v>
      </c>
      <c r="BC12" s="7">
        <v>4.8656480747933024</v>
      </c>
      <c r="BD12" s="8">
        <v>11.755669481577433</v>
      </c>
      <c r="BE12" s="289"/>
      <c r="BF12" s="289"/>
      <c r="BG12" s="289"/>
      <c r="BH12" s="289"/>
      <c r="BI12" s="289"/>
      <c r="BJ12" s="289"/>
      <c r="BK12" s="289"/>
      <c r="BL12" s="289"/>
      <c r="BM12" s="289"/>
      <c r="BN12" s="289"/>
      <c r="BO12" s="289"/>
      <c r="BP12" s="136"/>
      <c r="BQ12" s="289" t="s">
        <v>173</v>
      </c>
      <c r="BR12" s="32">
        <v>58.325051279451749</v>
      </c>
      <c r="BS12" s="33">
        <v>19.679486457647403</v>
      </c>
      <c r="BT12" s="33">
        <v>10.802216484118656</v>
      </c>
      <c r="BU12" s="33">
        <v>9.7123393873430039</v>
      </c>
      <c r="BV12" s="33">
        <v>5.0458064388524138</v>
      </c>
      <c r="BW12" s="33">
        <v>10.975560494854449</v>
      </c>
      <c r="BX12" s="33">
        <v>2.4374999105929716</v>
      </c>
      <c r="BY12" s="33">
        <v>13.437232413107804</v>
      </c>
      <c r="BZ12" s="8">
        <v>15.590944940947651</v>
      </c>
      <c r="CA12" s="289"/>
      <c r="CB12" s="289"/>
      <c r="CC12" s="289"/>
      <c r="CD12" s="289"/>
      <c r="CE12" s="289"/>
      <c r="CF12" s="289"/>
      <c r="CG12" s="289"/>
      <c r="CH12" s="289"/>
      <c r="CI12" s="289"/>
      <c r="CJ12" s="289"/>
      <c r="CK12" s="289"/>
      <c r="CL12" s="289"/>
    </row>
    <row r="13" spans="1:90" x14ac:dyDescent="0.25">
      <c r="A13" s="30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s="289"/>
      <c r="M13" s="289"/>
      <c r="N13" s="289"/>
      <c r="O13" s="289"/>
      <c r="P13" s="289"/>
      <c r="Q13" s="289"/>
      <c r="R13" s="289"/>
      <c r="S13" s="289"/>
      <c r="T13" s="289"/>
      <c r="U13" s="289"/>
      <c r="V13" s="289"/>
      <c r="W13" s="57"/>
      <c r="X13" s="289" t="s">
        <v>174</v>
      </c>
      <c r="Y13" s="32">
        <v>2.68892679704848</v>
      </c>
      <c r="Z13" s="33">
        <v>0.58936561387781039</v>
      </c>
      <c r="AA13" s="33">
        <v>0.41984093864713951</v>
      </c>
      <c r="AB13" s="33">
        <v>0.24937293620392659</v>
      </c>
      <c r="AC13" s="33">
        <v>0.78174952063101233</v>
      </c>
      <c r="AD13" s="48"/>
      <c r="AE13" s="33">
        <v>0.7549140552184056</v>
      </c>
      <c r="AF13" s="33">
        <v>0.25906946243517304</v>
      </c>
      <c r="AG13" s="8">
        <v>1.0265813235094456</v>
      </c>
      <c r="AH13" s="136"/>
      <c r="AI13" s="289"/>
      <c r="AJ13" s="289"/>
      <c r="AK13" s="289"/>
      <c r="AL13" s="289"/>
      <c r="AM13" s="289"/>
      <c r="AN13" s="289"/>
      <c r="AO13" s="289"/>
      <c r="AP13" s="289"/>
      <c r="AQ13" s="289"/>
      <c r="AR13" s="289"/>
      <c r="AS13" s="246"/>
      <c r="AT13" s="289"/>
      <c r="AU13" s="8" t="s">
        <v>285</v>
      </c>
      <c r="AV13" s="7">
        <v>33.189415281686706</v>
      </c>
      <c r="AW13" s="48"/>
      <c r="AX13" s="7">
        <v>3.848769290482517</v>
      </c>
      <c r="AY13" s="7">
        <v>2.6954442304459909</v>
      </c>
      <c r="AZ13" s="7">
        <v>2.8325707838970269</v>
      </c>
      <c r="BA13" s="7">
        <v>4.5124718920203444</v>
      </c>
      <c r="BB13" s="7">
        <v>7.1089026846068366</v>
      </c>
      <c r="BC13" s="7">
        <v>7.2287875905283698</v>
      </c>
      <c r="BD13" s="8">
        <v>16.439709262687025</v>
      </c>
      <c r="BE13" s="289"/>
      <c r="BF13" s="289"/>
      <c r="BG13" s="289"/>
      <c r="BH13" s="289"/>
      <c r="BI13" s="289"/>
      <c r="BJ13" s="289"/>
      <c r="BK13" s="289"/>
      <c r="BL13" s="289"/>
      <c r="BM13" s="289"/>
      <c r="BN13" s="289"/>
      <c r="BO13" s="289"/>
      <c r="BP13" s="136"/>
      <c r="BQ13" s="289" t="s">
        <v>174</v>
      </c>
      <c r="BR13" s="32">
        <v>51.710130712470772</v>
      </c>
      <c r="BS13" s="33">
        <v>11.333954113034814</v>
      </c>
      <c r="BT13" s="33">
        <v>8.0738642047526827</v>
      </c>
      <c r="BU13" s="33">
        <v>4.7956333885370492</v>
      </c>
      <c r="BV13" s="33">
        <v>15.033644627519468</v>
      </c>
      <c r="BW13" s="48"/>
      <c r="BX13" s="33">
        <v>14.517577984969339</v>
      </c>
      <c r="BY13" s="33">
        <v>4.9821050468302506</v>
      </c>
      <c r="BZ13" s="8">
        <v>19.741948529027798</v>
      </c>
      <c r="CA13" s="289"/>
      <c r="CB13" s="289"/>
      <c r="CC13" s="289"/>
      <c r="CD13" s="289"/>
      <c r="CE13" s="289"/>
      <c r="CF13" s="289"/>
      <c r="CG13" s="289"/>
      <c r="CH13" s="289"/>
      <c r="CI13" s="289"/>
      <c r="CJ13" s="289"/>
      <c r="CK13" s="289"/>
      <c r="CL13" s="289"/>
    </row>
    <row r="14" spans="1:90" ht="15.75" x14ac:dyDescent="0.25">
      <c r="A14" s="30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s="289"/>
      <c r="M14" s="289"/>
      <c r="N14" s="289"/>
      <c r="O14" s="289"/>
      <c r="P14" s="289"/>
      <c r="Q14" s="289"/>
      <c r="R14" s="289"/>
      <c r="S14" s="289"/>
      <c r="T14" s="289"/>
      <c r="U14" s="289"/>
      <c r="V14" s="289"/>
      <c r="W14" s="57"/>
      <c r="X14" s="289" t="s">
        <v>177</v>
      </c>
      <c r="Y14" s="32">
        <v>3.2379746819893498</v>
      </c>
      <c r="Z14" s="33">
        <v>1.2244188054354843</v>
      </c>
      <c r="AA14" s="33">
        <v>0.40857107390140135</v>
      </c>
      <c r="AB14" s="33">
        <v>0.61358376822658889</v>
      </c>
      <c r="AC14" s="33">
        <v>0.52567006094047497</v>
      </c>
      <c r="AD14" s="33">
        <v>0.24826904034046651</v>
      </c>
      <c r="AE14" s="33">
        <v>0.26871320317289465</v>
      </c>
      <c r="AF14" s="33">
        <v>0.44582741980049667</v>
      </c>
      <c r="AG14" s="8">
        <v>0.73360661319030018</v>
      </c>
      <c r="AH14" s="136"/>
      <c r="AI14" s="140"/>
      <c r="AJ14" s="141"/>
      <c r="AK14" s="141"/>
      <c r="AL14" s="141"/>
      <c r="AM14" s="141"/>
      <c r="AN14" s="141"/>
      <c r="AO14" s="141"/>
      <c r="AP14" s="141"/>
      <c r="AQ14" s="141"/>
      <c r="AR14" s="141"/>
      <c r="AS14" s="246"/>
      <c r="AT14" s="289"/>
      <c r="AU14" s="8" t="s">
        <v>234</v>
      </c>
      <c r="AV14" s="7">
        <v>92.11845782435077</v>
      </c>
      <c r="AW14" s="7">
        <v>16.975115881870785</v>
      </c>
      <c r="AX14" s="7">
        <v>15.186441111993819</v>
      </c>
      <c r="AY14" s="7">
        <v>12.869135679362113</v>
      </c>
      <c r="AZ14" s="7">
        <v>13.647310892549516</v>
      </c>
      <c r="BA14" s="7">
        <v>27.177346237899869</v>
      </c>
      <c r="BB14" s="7">
        <v>12.219963568093792</v>
      </c>
      <c r="BC14" s="7">
        <v>4.789592727638011</v>
      </c>
      <c r="BD14" s="8">
        <v>21.965709990404584</v>
      </c>
      <c r="BE14" s="289"/>
      <c r="BF14" s="289"/>
      <c r="BG14" s="289"/>
      <c r="BH14" s="289"/>
      <c r="BI14" s="289"/>
      <c r="BJ14" s="289"/>
      <c r="BK14" s="289"/>
      <c r="BL14" s="289"/>
      <c r="BM14" s="289"/>
      <c r="BN14" s="289"/>
      <c r="BO14" s="289"/>
      <c r="BP14" s="136"/>
      <c r="BQ14" s="289" t="s">
        <v>177</v>
      </c>
      <c r="BR14" s="32">
        <v>32.059155267221286</v>
      </c>
      <c r="BS14" s="33">
        <v>12.12295846965826</v>
      </c>
      <c r="BT14" s="33">
        <v>4.0452581574396174</v>
      </c>
      <c r="BU14" s="33">
        <v>6.0750868141246421</v>
      </c>
      <c r="BV14" s="33">
        <v>5.2046540687175735</v>
      </c>
      <c r="BW14" s="33">
        <v>2.4581093103016487</v>
      </c>
      <c r="BX14" s="33">
        <v>2.6605267640880657</v>
      </c>
      <c r="BY14" s="33">
        <v>4.4141328693118487</v>
      </c>
      <c r="BZ14" s="8">
        <v>7.2634318137653482</v>
      </c>
      <c r="CA14" s="289"/>
      <c r="CB14" s="140"/>
      <c r="CC14" s="141"/>
      <c r="CD14" s="141"/>
      <c r="CE14" s="141"/>
      <c r="CF14" s="141"/>
      <c r="CG14" s="141"/>
      <c r="CH14" s="141"/>
      <c r="CI14" s="141"/>
      <c r="CJ14" s="141"/>
      <c r="CK14" s="141"/>
    </row>
    <row r="15" spans="1:90" ht="15.75" x14ac:dyDescent="0.25">
      <c r="A15" s="30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s="289"/>
      <c r="M15" s="140"/>
      <c r="N15" s="142"/>
      <c r="O15" s="142"/>
      <c r="P15" s="142"/>
      <c r="Q15" s="142"/>
      <c r="R15" s="142"/>
      <c r="S15" s="142"/>
      <c r="T15" s="142"/>
      <c r="U15" s="142"/>
      <c r="V15" s="142"/>
      <c r="W15" s="57"/>
      <c r="X15" s="64" t="s">
        <v>178</v>
      </c>
      <c r="Y15" s="7">
        <v>2.5229606637205615</v>
      </c>
      <c r="Z15" s="7">
        <v>1.1047571486274532</v>
      </c>
      <c r="AA15" s="7">
        <v>0.27397636570877021</v>
      </c>
      <c r="AB15" s="7">
        <v>0.2646930307392667</v>
      </c>
      <c r="AC15" s="7">
        <v>0.26355347691164011</v>
      </c>
      <c r="AD15" s="12">
        <v>0.12837822060120638</v>
      </c>
      <c r="AE15" s="7">
        <v>0.13276377624086028</v>
      </c>
      <c r="AF15" s="7">
        <v>0.27783818701350482</v>
      </c>
      <c r="AG15" s="8">
        <v>0.30706946928883555</v>
      </c>
      <c r="AH15" s="136"/>
      <c r="AI15" s="140"/>
      <c r="AJ15" s="142"/>
      <c r="AK15" s="142"/>
      <c r="AL15" s="142"/>
      <c r="AM15" s="142"/>
      <c r="AN15" s="142"/>
      <c r="AO15" s="142"/>
      <c r="AP15" s="142"/>
      <c r="AQ15" s="142"/>
      <c r="AR15" s="142"/>
      <c r="AS15" s="246"/>
      <c r="AT15" s="289"/>
      <c r="AU15" s="8" t="s">
        <v>235</v>
      </c>
      <c r="AV15" s="7">
        <v>71.552952117987019</v>
      </c>
      <c r="AW15" s="7">
        <v>14.793842991580883</v>
      </c>
      <c r="AX15" s="7">
        <v>2.8435231810607031</v>
      </c>
      <c r="AY15" s="7">
        <v>5.8213758275719183</v>
      </c>
      <c r="AZ15" s="7">
        <v>4.3604270895342792</v>
      </c>
      <c r="BA15" s="7">
        <v>31.894632430505666</v>
      </c>
      <c r="BB15" s="7">
        <v>5.5647602280561124</v>
      </c>
      <c r="BC15" s="7">
        <v>21.283160505979144</v>
      </c>
      <c r="BD15" s="8">
        <v>30.940985866817687</v>
      </c>
      <c r="BE15" s="289"/>
      <c r="BF15" s="140"/>
      <c r="BG15" s="142"/>
      <c r="BH15" s="142"/>
      <c r="BI15" s="142"/>
      <c r="BJ15" s="142"/>
      <c r="BK15" s="142"/>
      <c r="BL15" s="142"/>
      <c r="BM15" s="142"/>
      <c r="BN15" s="142"/>
      <c r="BO15" s="142"/>
      <c r="BP15" s="136"/>
      <c r="BQ15" s="64" t="s">
        <v>178</v>
      </c>
      <c r="BR15" s="32"/>
      <c r="BS15" s="33"/>
      <c r="BT15" s="33"/>
      <c r="BU15" s="33"/>
      <c r="BV15" s="33"/>
      <c r="BW15" s="33"/>
      <c r="BX15" s="33"/>
      <c r="BY15" s="33"/>
      <c r="BZ15" s="8"/>
      <c r="CA15" s="136"/>
      <c r="CB15" s="140"/>
      <c r="CC15" s="142"/>
      <c r="CD15" s="142"/>
      <c r="CE15" s="142"/>
      <c r="CF15" s="142"/>
      <c r="CG15" s="142"/>
      <c r="CH15" s="142"/>
      <c r="CI15" s="142"/>
      <c r="CJ15" s="142"/>
      <c r="CK15" s="142"/>
    </row>
    <row r="16" spans="1:90" x14ac:dyDescent="0.25">
      <c r="A16" s="30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s="289"/>
      <c r="M16" s="136"/>
      <c r="N16" s="136"/>
      <c r="O16" s="136"/>
      <c r="P16" s="136"/>
      <c r="Q16" s="136"/>
      <c r="R16" s="136"/>
      <c r="S16" s="136"/>
      <c r="T16" s="136"/>
      <c r="U16" s="136"/>
      <c r="V16" s="136"/>
      <c r="W16" s="57"/>
      <c r="X16" s="289" t="s">
        <v>181</v>
      </c>
      <c r="Y16" s="32">
        <v>2.7890346478855204</v>
      </c>
      <c r="Z16" s="33">
        <v>0.67936660048285613</v>
      </c>
      <c r="AA16" s="33">
        <v>0.4718591677692463</v>
      </c>
      <c r="AB16" s="33">
        <v>0.35903506303632082</v>
      </c>
      <c r="AC16" s="33">
        <v>0.55484430196680989</v>
      </c>
      <c r="AD16" s="33">
        <v>0.22831032042646737</v>
      </c>
      <c r="AE16" s="33">
        <v>0.42808528135498797</v>
      </c>
      <c r="AF16" s="33">
        <v>0.30120276075014779</v>
      </c>
      <c r="AG16" s="8">
        <v>0.99140305506499671</v>
      </c>
      <c r="AH16" s="136"/>
      <c r="AI16" s="144"/>
      <c r="AJ16" s="243"/>
      <c r="AK16" s="243"/>
      <c r="AL16" s="243"/>
      <c r="AM16" s="243"/>
      <c r="AN16" s="243"/>
      <c r="AO16" s="243"/>
      <c r="AP16" s="243"/>
      <c r="AQ16" s="243"/>
      <c r="AR16" s="243"/>
      <c r="AS16" s="246"/>
      <c r="AT16" s="289"/>
      <c r="AU16" s="8" t="s">
        <v>237</v>
      </c>
      <c r="AV16" s="7">
        <v>73.908683259568889</v>
      </c>
      <c r="AW16" s="7">
        <v>38.071961887282107</v>
      </c>
      <c r="AX16" s="7">
        <v>5.1879260749795044</v>
      </c>
      <c r="AY16" s="7">
        <v>6.372288646819694</v>
      </c>
      <c r="AZ16" s="7">
        <v>7.2119320418678097</v>
      </c>
      <c r="BA16" s="7">
        <v>13.252320495025934</v>
      </c>
      <c r="BB16" s="7">
        <v>9.6107539285502472</v>
      </c>
      <c r="BC16" s="7">
        <v>5.5850358784788616</v>
      </c>
      <c r="BD16" s="8">
        <v>16.776426161729713</v>
      </c>
      <c r="BE16" s="289"/>
      <c r="BF16" s="136"/>
      <c r="BG16" s="136"/>
      <c r="BH16" s="136"/>
      <c r="BI16" s="136"/>
      <c r="BJ16" s="136"/>
      <c r="BK16" s="136"/>
      <c r="BL16" s="136"/>
      <c r="BM16" s="136"/>
      <c r="BN16" s="136"/>
      <c r="BO16" s="136"/>
      <c r="BP16" s="136"/>
      <c r="BQ16" s="289" t="s">
        <v>181</v>
      </c>
      <c r="BR16" s="32">
        <v>37.689657403858384</v>
      </c>
      <c r="BS16" s="33">
        <v>9.1806297362548133</v>
      </c>
      <c r="BT16" s="33">
        <v>6.3764752401249494</v>
      </c>
      <c r="BU16" s="33">
        <v>4.8518251761664981</v>
      </c>
      <c r="BV16" s="33">
        <v>7.4978959725244581</v>
      </c>
      <c r="BW16" s="33">
        <v>3.0852746003576672</v>
      </c>
      <c r="BX16" s="33">
        <v>5.7849362345268638</v>
      </c>
      <c r="BY16" s="33">
        <v>4.0703075777046998</v>
      </c>
      <c r="BZ16" s="8">
        <v>13.397338581959415</v>
      </c>
      <c r="CA16" s="136"/>
      <c r="CB16" s="136"/>
      <c r="CC16" s="141"/>
      <c r="CD16" s="141"/>
      <c r="CE16" s="141"/>
      <c r="CF16" s="141"/>
      <c r="CG16" s="141"/>
      <c r="CH16" s="141"/>
      <c r="CI16" s="141"/>
      <c r="CJ16" s="141"/>
      <c r="CK16" s="141"/>
    </row>
    <row r="17" spans="1:89" x14ac:dyDescent="0.25">
      <c r="A17" s="30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s="289"/>
      <c r="M17" s="136"/>
      <c r="N17" s="136"/>
      <c r="O17" s="136"/>
      <c r="P17" s="136"/>
      <c r="Q17" s="136"/>
      <c r="R17" s="136"/>
      <c r="S17" s="136"/>
      <c r="T17" s="136"/>
      <c r="U17" s="136"/>
      <c r="V17" s="136"/>
      <c r="W17" s="57"/>
      <c r="X17" s="289" t="s">
        <v>194</v>
      </c>
      <c r="Y17" s="32">
        <v>2.4886323262976693</v>
      </c>
      <c r="Z17" s="33">
        <v>1.1284845156943255</v>
      </c>
      <c r="AA17" s="33">
        <v>0.36244686390800801</v>
      </c>
      <c r="AB17" s="48"/>
      <c r="AC17" s="33">
        <v>0.20293573935415107</v>
      </c>
      <c r="AD17" s="33">
        <v>1.3256368413391821</v>
      </c>
      <c r="AE17" s="33">
        <v>0.47837653532369173</v>
      </c>
      <c r="AF17" s="33">
        <v>1.0987048362895186</v>
      </c>
      <c r="AG17" s="8">
        <v>1.5411719271696263</v>
      </c>
      <c r="AH17" s="136"/>
      <c r="AI17" s="144"/>
      <c r="AJ17" s="243"/>
      <c r="AK17" s="243"/>
      <c r="AL17" s="243"/>
      <c r="AM17" s="243"/>
      <c r="AN17" s="243"/>
      <c r="AO17" s="243"/>
      <c r="AP17" s="243"/>
      <c r="AQ17" s="243"/>
      <c r="AR17" s="243"/>
      <c r="AS17" s="246"/>
      <c r="AT17" s="289"/>
      <c r="AU17" s="8" t="s">
        <v>239</v>
      </c>
      <c r="AV17" s="7">
        <v>34.124040771643841</v>
      </c>
      <c r="AW17" s="7">
        <v>10.541821367448726</v>
      </c>
      <c r="AX17" s="48"/>
      <c r="AY17" s="7">
        <v>5.3650479054085345</v>
      </c>
      <c r="AZ17" s="7">
        <v>5.3044676659442</v>
      </c>
      <c r="BA17" s="7">
        <v>9.9169336182721608</v>
      </c>
      <c r="BB17" s="7">
        <v>8.6261217420037326</v>
      </c>
      <c r="BC17" s="7">
        <v>5.6059360288414517</v>
      </c>
      <c r="BD17" s="8">
        <v>15.343306837045725</v>
      </c>
      <c r="BE17" s="289"/>
      <c r="BF17" s="136"/>
      <c r="BG17" s="136"/>
      <c r="BH17" s="136"/>
      <c r="BI17" s="136"/>
      <c r="BJ17" s="136"/>
      <c r="BK17" s="136"/>
      <c r="BL17" s="136"/>
      <c r="BM17" s="136"/>
      <c r="BN17" s="136"/>
      <c r="BO17" s="136"/>
      <c r="BP17" s="136"/>
      <c r="BQ17" s="289" t="s">
        <v>194</v>
      </c>
      <c r="BR17" s="32">
        <v>25.923253398934055</v>
      </c>
      <c r="BS17" s="33">
        <v>11.755047038482557</v>
      </c>
      <c r="BT17" s="33">
        <v>3.7754881657084165</v>
      </c>
      <c r="BU17" s="48"/>
      <c r="BV17" s="33">
        <v>2.1139139516057401</v>
      </c>
      <c r="BW17" s="33">
        <v>13.808717097283147</v>
      </c>
      <c r="BX17" s="33">
        <v>4.983088909621789</v>
      </c>
      <c r="BY17" s="33">
        <v>11.444842044682485</v>
      </c>
      <c r="BZ17" s="8">
        <v>16.053874241350272</v>
      </c>
      <c r="CA17" s="136"/>
      <c r="CB17" s="136"/>
      <c r="CC17" s="141"/>
      <c r="CD17" s="141"/>
      <c r="CE17" s="141"/>
      <c r="CF17" s="141"/>
      <c r="CG17" s="141"/>
      <c r="CH17" s="141"/>
      <c r="CI17" s="141"/>
      <c r="CJ17" s="141"/>
      <c r="CK17" s="141"/>
    </row>
    <row r="18" spans="1:89" x14ac:dyDescent="0.25">
      <c r="A18" s="30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s="289"/>
      <c r="M18" s="136"/>
      <c r="N18" s="136"/>
      <c r="O18" s="136"/>
      <c r="P18" s="136"/>
      <c r="Q18" s="136"/>
      <c r="R18" s="136"/>
      <c r="S18" s="136"/>
      <c r="T18" s="136"/>
      <c r="U18" s="136"/>
      <c r="V18" s="136"/>
      <c r="W18" s="57"/>
      <c r="X18" s="289" t="s">
        <v>53</v>
      </c>
      <c r="Y18" s="32">
        <v>3.1852657554816965</v>
      </c>
      <c r="Z18" s="33">
        <v>1.4226068736783999</v>
      </c>
      <c r="AA18" s="33">
        <v>0.54959535148507066</v>
      </c>
      <c r="AB18" s="33">
        <v>0.46655489271945733</v>
      </c>
      <c r="AC18" s="33">
        <v>0.65415026016893651</v>
      </c>
      <c r="AD18" s="33">
        <v>0.24841039366923554</v>
      </c>
      <c r="AE18" s="33">
        <v>0.24199999999999999</v>
      </c>
      <c r="AF18" s="33">
        <v>0.59556066737704882</v>
      </c>
      <c r="AG18" s="8">
        <v>0.75894794340856975</v>
      </c>
      <c r="AH18" s="136"/>
      <c r="AI18" s="144"/>
      <c r="AJ18" s="243"/>
      <c r="AK18" s="243"/>
      <c r="AL18" s="243"/>
      <c r="AM18" s="243"/>
      <c r="AN18" s="243"/>
      <c r="AO18" s="243"/>
      <c r="AP18" s="243"/>
      <c r="AQ18" s="243"/>
      <c r="AR18" s="243"/>
      <c r="AS18" s="246"/>
      <c r="AT18" s="289"/>
      <c r="AU18" s="8" t="s">
        <v>241</v>
      </c>
      <c r="AV18" s="7">
        <v>49.688993716368387</v>
      </c>
      <c r="AW18" s="7">
        <v>12.721629058113473</v>
      </c>
      <c r="AX18" s="7">
        <v>6.7404010242466574</v>
      </c>
      <c r="AY18" s="7">
        <v>5.7864153565744774</v>
      </c>
      <c r="AZ18" s="7">
        <v>3.3308011392686043</v>
      </c>
      <c r="BA18" s="7">
        <v>14.723352419269927</v>
      </c>
      <c r="BB18" s="7">
        <v>6.8006341806151811</v>
      </c>
      <c r="BC18" s="7">
        <v>9.510790188432388</v>
      </c>
      <c r="BD18" s="8">
        <v>16.181969286810617</v>
      </c>
      <c r="BE18" s="289"/>
      <c r="BF18" s="136"/>
      <c r="BG18" s="136"/>
      <c r="BH18" s="136"/>
      <c r="BI18" s="136"/>
      <c r="BJ18" s="136"/>
      <c r="BK18" s="136"/>
      <c r="BL18" s="136"/>
      <c r="BM18" s="136"/>
      <c r="BN18" s="136"/>
      <c r="BO18" s="136"/>
      <c r="BP18" s="136"/>
      <c r="BQ18" s="289" t="s">
        <v>53</v>
      </c>
      <c r="BR18" s="32">
        <v>55.881855359328014</v>
      </c>
      <c r="BS18" s="33">
        <v>24.958015327691225</v>
      </c>
      <c r="BT18" s="33">
        <v>9.6420237102643966</v>
      </c>
      <c r="BU18" s="33">
        <v>8.1851735564817059</v>
      </c>
      <c r="BV18" s="33">
        <v>11.476320353840991</v>
      </c>
      <c r="BW18" s="33">
        <v>4.358077081916413</v>
      </c>
      <c r="BX18" s="33">
        <v>4.2456140350877192</v>
      </c>
      <c r="BY18" s="33">
        <v>10.448432761000857</v>
      </c>
      <c r="BZ18" s="8">
        <v>13.314876200150346</v>
      </c>
      <c r="CA18" s="136"/>
      <c r="CB18" s="136"/>
      <c r="CC18" s="141"/>
      <c r="CD18" s="141"/>
      <c r="CE18" s="141"/>
      <c r="CF18" s="141"/>
      <c r="CG18" s="141"/>
      <c r="CH18" s="141"/>
      <c r="CI18" s="141"/>
      <c r="CJ18" s="141"/>
      <c r="CK18" s="141"/>
    </row>
    <row r="19" spans="1:89" ht="15.75" thickBot="1" x14ac:dyDescent="0.3">
      <c r="A19" s="30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s="289"/>
      <c r="M19" s="136"/>
      <c r="N19" s="136"/>
      <c r="O19" s="136"/>
      <c r="P19" s="136"/>
      <c r="Q19" s="136"/>
      <c r="R19" s="136"/>
      <c r="S19" s="136"/>
      <c r="T19" s="136"/>
      <c r="U19" s="136"/>
      <c r="V19" s="136"/>
      <c r="W19" s="178"/>
      <c r="X19" s="302" t="s">
        <v>197</v>
      </c>
      <c r="Y19" s="24">
        <v>3.6081959884693777</v>
      </c>
      <c r="Z19" s="15">
        <v>1.0896176198917364</v>
      </c>
      <c r="AA19" s="15">
        <v>0.52133332033509661</v>
      </c>
      <c r="AB19" s="15">
        <v>0.61230390630225018</v>
      </c>
      <c r="AC19" s="15">
        <v>1.1590587946309698</v>
      </c>
      <c r="AD19" s="15">
        <v>0.20156862242533449</v>
      </c>
      <c r="AE19" s="15">
        <v>0.72746076617617916</v>
      </c>
      <c r="AF19" s="15">
        <v>0.43858822435893791</v>
      </c>
      <c r="AG19" s="16">
        <v>0.86546076273546946</v>
      </c>
      <c r="AH19" s="141"/>
      <c r="AI19" s="144"/>
      <c r="AJ19" s="243"/>
      <c r="AK19" s="243"/>
      <c r="AL19" s="243"/>
      <c r="AM19" s="243"/>
      <c r="AN19" s="243"/>
      <c r="AO19" s="243"/>
      <c r="AP19" s="243"/>
      <c r="AQ19" s="243"/>
      <c r="AR19" s="243"/>
      <c r="AS19" s="246"/>
      <c r="AT19" s="289"/>
      <c r="AU19" s="8" t="s">
        <v>243</v>
      </c>
      <c r="AV19" s="7">
        <v>32.798785896601849</v>
      </c>
      <c r="AW19" s="7">
        <v>8.2210644781544584</v>
      </c>
      <c r="AX19" s="7">
        <v>3.8986473430051061</v>
      </c>
      <c r="AY19" s="7">
        <v>4.6576457941713585</v>
      </c>
      <c r="AZ19" s="7">
        <v>4.018864080978795</v>
      </c>
      <c r="BA19" s="7">
        <v>6.2022224088015134</v>
      </c>
      <c r="BB19" s="7">
        <v>2.2580594800318026</v>
      </c>
      <c r="BC19" s="48"/>
      <c r="BD19" s="8">
        <v>7.9076670860958824</v>
      </c>
      <c r="BE19" s="289"/>
      <c r="BF19" s="136"/>
      <c r="BG19" s="136"/>
      <c r="BH19" s="136"/>
      <c r="BI19" s="136"/>
      <c r="BJ19" s="136"/>
      <c r="BK19" s="136"/>
      <c r="BL19" s="136"/>
      <c r="BM19" s="136"/>
      <c r="BN19" s="136"/>
      <c r="BO19" s="136"/>
      <c r="BP19" s="136"/>
      <c r="BQ19" s="26" t="s">
        <v>197</v>
      </c>
      <c r="BR19" s="24">
        <v>76.770127414242083</v>
      </c>
      <c r="BS19" s="15">
        <v>23.183353614717799</v>
      </c>
      <c r="BT19" s="15">
        <v>11.092198305002055</v>
      </c>
      <c r="BU19" s="15">
        <v>13.027742687281918</v>
      </c>
      <c r="BV19" s="15">
        <v>24.660825417680211</v>
      </c>
      <c r="BW19" s="15">
        <v>4.2886940941560532</v>
      </c>
      <c r="BX19" s="15">
        <v>15.477888642046365</v>
      </c>
      <c r="BY19" s="15">
        <v>9.3316643480625086</v>
      </c>
      <c r="BZ19" s="16">
        <v>18.414058781605732</v>
      </c>
      <c r="CA19" s="136"/>
      <c r="CB19" s="136"/>
      <c r="CC19" s="136"/>
      <c r="CD19" s="136"/>
      <c r="CE19" s="136"/>
      <c r="CF19" s="136"/>
      <c r="CG19" s="136"/>
      <c r="CH19" s="136"/>
      <c r="CI19" s="141"/>
      <c r="CJ19" s="141"/>
      <c r="CK19" s="141"/>
    </row>
    <row r="20" spans="1:89" ht="15.75" x14ac:dyDescent="0.25">
      <c r="A20" s="301"/>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s="289"/>
      <c r="M20" s="289"/>
      <c r="N20" s="289"/>
      <c r="O20" s="289"/>
      <c r="P20" s="289"/>
      <c r="Q20" s="289"/>
      <c r="R20" s="289"/>
      <c r="S20" s="136"/>
      <c r="T20" s="289"/>
      <c r="U20" s="136"/>
      <c r="V20" s="136"/>
      <c r="W20" s="141"/>
      <c r="X20" s="140"/>
      <c r="Y20" s="141"/>
      <c r="Z20" s="141"/>
      <c r="AA20" s="141"/>
      <c r="AB20" s="141"/>
      <c r="AC20" s="141"/>
      <c r="AD20" s="141"/>
      <c r="AE20" s="141"/>
      <c r="AF20" s="141"/>
      <c r="AG20" s="141"/>
      <c r="AH20" s="141"/>
      <c r="AI20" s="144"/>
      <c r="AJ20" s="144"/>
      <c r="AK20" s="144"/>
      <c r="AL20" s="144"/>
      <c r="AM20" s="144"/>
      <c r="AN20" s="144"/>
      <c r="AO20" s="144"/>
      <c r="AP20" s="243"/>
      <c r="AQ20" s="243"/>
      <c r="AR20" s="243"/>
      <c r="AS20" s="246"/>
      <c r="AT20" s="289"/>
      <c r="AU20" s="8" t="s">
        <v>245</v>
      </c>
      <c r="AV20" s="7">
        <v>55.881871055730926</v>
      </c>
      <c r="AW20" s="7">
        <v>24.98480725983784</v>
      </c>
      <c r="AX20" s="7">
        <v>2.3598557654122918</v>
      </c>
      <c r="AY20" s="7">
        <v>3.2171847024197193</v>
      </c>
      <c r="AZ20" s="7">
        <v>5.535285961635779</v>
      </c>
      <c r="BA20" s="7">
        <v>4.3117881594205212</v>
      </c>
      <c r="BB20" s="7">
        <v>6.707407567096543</v>
      </c>
      <c r="BC20" s="7">
        <v>5.9265983012269938</v>
      </c>
      <c r="BD20" s="8">
        <v>14.789899948033799</v>
      </c>
      <c r="BE20" s="289"/>
      <c r="BF20" s="289"/>
      <c r="BG20" s="289"/>
      <c r="BH20" s="289"/>
      <c r="BI20" s="289"/>
      <c r="BJ20" s="289"/>
      <c r="BK20" s="289"/>
      <c r="BL20" s="136"/>
      <c r="BM20" s="289"/>
      <c r="BN20" s="136"/>
      <c r="BO20" s="136"/>
      <c r="BP20" s="136"/>
      <c r="BQ20" s="140"/>
      <c r="BR20" s="141"/>
      <c r="BS20" s="141"/>
      <c r="BT20" s="141"/>
      <c r="BU20" s="141"/>
      <c r="BV20" s="141"/>
      <c r="BW20" s="141"/>
      <c r="BX20" s="141"/>
      <c r="BY20" s="141"/>
      <c r="BZ20" s="141"/>
      <c r="CA20" s="136"/>
      <c r="CB20" s="289"/>
      <c r="CC20" s="136"/>
      <c r="CD20" s="136"/>
      <c r="CE20" s="136"/>
      <c r="CF20" s="136"/>
      <c r="CG20" s="136"/>
      <c r="CH20" s="136"/>
      <c r="CI20" s="141"/>
      <c r="CJ20" s="141"/>
      <c r="CK20" s="141"/>
    </row>
    <row r="21" spans="1:89" x14ac:dyDescent="0.25">
      <c r="A21" s="301"/>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s="289"/>
      <c r="M21" s="289"/>
      <c r="N21" s="289"/>
      <c r="O21" s="289"/>
      <c r="P21" s="289"/>
      <c r="Q21" s="289"/>
      <c r="R21" s="289"/>
      <c r="S21" s="289"/>
      <c r="T21" s="289"/>
      <c r="U21" s="289"/>
      <c r="V21" s="289"/>
      <c r="W21" s="136"/>
      <c r="X21" s="289"/>
      <c r="Y21" s="289"/>
      <c r="Z21" s="289"/>
      <c r="AA21" s="289"/>
      <c r="AB21" s="289"/>
      <c r="AC21" s="289"/>
      <c r="AD21" s="289"/>
      <c r="AE21" s="289"/>
      <c r="AF21" s="289"/>
      <c r="AG21" s="289"/>
      <c r="AH21" s="289"/>
      <c r="AI21" s="56"/>
      <c r="AJ21" s="144"/>
      <c r="AK21" s="144"/>
      <c r="AL21" s="144"/>
      <c r="AM21" s="144"/>
      <c r="AN21" s="144"/>
      <c r="AO21" s="144"/>
      <c r="AP21" s="243"/>
      <c r="AQ21" s="243"/>
      <c r="AR21" s="243"/>
      <c r="AS21" s="246"/>
      <c r="AT21" s="289"/>
      <c r="AU21" s="8" t="s">
        <v>247</v>
      </c>
      <c r="AV21" s="7">
        <v>70.339783684512611</v>
      </c>
      <c r="AW21" s="7">
        <v>17.464216798257475</v>
      </c>
      <c r="AX21" s="7">
        <v>2.2492472820129641</v>
      </c>
      <c r="AY21" s="7">
        <v>2.820755871647866</v>
      </c>
      <c r="AZ21" s="7">
        <v>13.135604126955709</v>
      </c>
      <c r="BA21" s="7">
        <v>23.819976499284</v>
      </c>
      <c r="BB21" s="7">
        <v>10.190020197880358</v>
      </c>
      <c r="BC21" s="7">
        <v>3.1366838359759357</v>
      </c>
      <c r="BD21" s="8">
        <v>10.826422843860012</v>
      </c>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141"/>
      <c r="CJ21" s="141"/>
      <c r="CK21" s="141"/>
    </row>
    <row r="22" spans="1:89" x14ac:dyDescent="0.25">
      <c r="A22" s="30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s="289"/>
      <c r="M22" s="289"/>
      <c r="N22" s="289"/>
      <c r="O22" s="289"/>
      <c r="P22" s="289"/>
      <c r="Q22" s="289"/>
      <c r="R22" s="289"/>
      <c r="S22" s="289"/>
      <c r="T22" s="289"/>
      <c r="U22" s="289"/>
      <c r="V22" s="289"/>
      <c r="W22" s="136"/>
      <c r="X22" s="289"/>
      <c r="Y22" s="289"/>
      <c r="Z22" s="289"/>
      <c r="AA22" s="289"/>
      <c r="AB22" s="289"/>
      <c r="AC22" s="289"/>
      <c r="AD22" s="289"/>
      <c r="AE22" s="289"/>
      <c r="AF22" s="289"/>
      <c r="AG22" s="289"/>
      <c r="AH22" s="289"/>
      <c r="AI22" s="56"/>
      <c r="AJ22" s="56"/>
      <c r="AK22" s="56"/>
      <c r="AL22" s="56"/>
      <c r="AM22" s="56"/>
      <c r="AN22" s="56"/>
      <c r="AO22" s="56"/>
      <c r="AP22" s="243"/>
      <c r="AQ22" s="243"/>
      <c r="AR22" s="243"/>
      <c r="AS22" s="246"/>
      <c r="AT22" s="289"/>
      <c r="AU22" s="8" t="s">
        <v>249</v>
      </c>
      <c r="AV22" s="7">
        <v>36.948603242696507</v>
      </c>
      <c r="AW22" s="7">
        <v>7.9486481799137723</v>
      </c>
      <c r="AX22" s="7">
        <v>2.6529915051976491</v>
      </c>
      <c r="AY22" s="7">
        <v>2.9980469860998662</v>
      </c>
      <c r="AZ22" s="7">
        <v>4.7153360931987596</v>
      </c>
      <c r="BA22" s="7">
        <v>14.860084133637285</v>
      </c>
      <c r="BB22" s="7">
        <v>3.8125610673600114</v>
      </c>
      <c r="BC22" s="7">
        <v>10.665643482670076</v>
      </c>
      <c r="BD22" s="8">
        <v>12.825990841362218</v>
      </c>
      <c r="BE22" s="289"/>
      <c r="BF22" s="289"/>
      <c r="BG22" s="289"/>
      <c r="BH22" s="289"/>
      <c r="BI22" s="289"/>
      <c r="BJ22" s="289"/>
      <c r="BK22" s="289"/>
      <c r="BL22" s="289"/>
      <c r="BM22" s="289"/>
      <c r="BN22" s="289"/>
      <c r="BO22" s="289"/>
      <c r="BP22" s="136"/>
      <c r="BQ22" s="289"/>
      <c r="BR22" s="289"/>
      <c r="BS22" s="289"/>
      <c r="BT22" s="289"/>
      <c r="BU22" s="289"/>
      <c r="BV22" s="289"/>
      <c r="BW22" s="289"/>
      <c r="BX22" s="289"/>
      <c r="BY22" s="289"/>
      <c r="BZ22" s="289"/>
      <c r="CA22" s="289"/>
      <c r="CB22" s="136"/>
      <c r="CC22" s="141"/>
      <c r="CD22" s="141"/>
      <c r="CE22" s="141"/>
      <c r="CF22" s="141"/>
      <c r="CG22" s="141"/>
      <c r="CH22" s="141"/>
      <c r="CI22" s="141"/>
      <c r="CJ22" s="141"/>
      <c r="CK22" s="141"/>
    </row>
    <row r="23" spans="1:89" x14ac:dyDescent="0.25">
      <c r="A23" s="301"/>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s="289"/>
      <c r="M23" s="289"/>
      <c r="N23" s="289"/>
      <c r="O23" s="289"/>
      <c r="P23" s="289"/>
      <c r="Q23" s="289"/>
      <c r="R23" s="289"/>
      <c r="S23" s="289"/>
      <c r="T23" s="289"/>
      <c r="U23" s="289"/>
      <c r="V23" s="289"/>
      <c r="W23" s="136"/>
      <c r="X23" s="289"/>
      <c r="Y23" s="289"/>
      <c r="Z23" s="289"/>
      <c r="AA23" s="289"/>
      <c r="AB23" s="289"/>
      <c r="AC23" s="289"/>
      <c r="AD23" s="289"/>
      <c r="AE23" s="289"/>
      <c r="AF23" s="289"/>
      <c r="AG23" s="289"/>
      <c r="AH23" s="289"/>
      <c r="AI23" s="144"/>
      <c r="AJ23" s="243"/>
      <c r="AK23" s="243"/>
      <c r="AL23" s="243"/>
      <c r="AM23" s="243"/>
      <c r="AN23" s="243"/>
      <c r="AO23" s="243"/>
      <c r="AP23" s="243"/>
      <c r="AQ23" s="243"/>
      <c r="AR23" s="243"/>
      <c r="AS23" s="246"/>
      <c r="AT23" s="289"/>
      <c r="AU23" s="8" t="s">
        <v>286</v>
      </c>
      <c r="AV23" s="7">
        <v>64.475814704095868</v>
      </c>
      <c r="AW23" s="7">
        <v>27.800012393145654</v>
      </c>
      <c r="AX23" s="7">
        <v>12.189461554854189</v>
      </c>
      <c r="AY23" s="7">
        <v>8.2150086385107848</v>
      </c>
      <c r="AZ23" s="7">
        <v>10.36661664645754</v>
      </c>
      <c r="BA23" s="7">
        <v>4.5070702669037601</v>
      </c>
      <c r="BB23" s="7">
        <v>5.5490979599806876</v>
      </c>
      <c r="BC23" s="7">
        <v>4.5652499714755326</v>
      </c>
      <c r="BD23" s="8">
        <v>10.81500394312118</v>
      </c>
      <c r="BE23" s="289"/>
      <c r="BF23" s="289"/>
      <c r="BG23" s="289"/>
      <c r="BH23" s="289"/>
      <c r="BI23" s="289"/>
      <c r="BJ23" s="289"/>
      <c r="BK23" s="289"/>
      <c r="BL23" s="289"/>
      <c r="BM23" s="289"/>
      <c r="BN23" s="289"/>
      <c r="BO23" s="289"/>
      <c r="BP23" s="136"/>
      <c r="BQ23" s="289"/>
      <c r="BR23" s="289"/>
      <c r="BS23" s="289"/>
      <c r="BT23" s="289"/>
      <c r="BU23" s="289"/>
      <c r="BV23" s="289"/>
      <c r="BW23" s="289"/>
      <c r="BX23" s="289"/>
      <c r="BY23" s="289"/>
      <c r="BZ23" s="289"/>
      <c r="CA23" s="289"/>
      <c r="CB23" s="136"/>
      <c r="CC23" s="141"/>
      <c r="CD23" s="141"/>
      <c r="CE23" s="141"/>
      <c r="CF23" s="141"/>
      <c r="CG23" s="141"/>
      <c r="CH23" s="141"/>
      <c r="CI23" s="141"/>
      <c r="CJ23" s="141"/>
      <c r="CK23" s="141"/>
    </row>
    <row r="24" spans="1:89" ht="16.5" thickBot="1" x14ac:dyDescent="0.3">
      <c r="A24" s="30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s="289"/>
      <c r="M24" s="289"/>
      <c r="N24" s="289"/>
      <c r="O24" s="289"/>
      <c r="P24" s="289"/>
      <c r="Q24" s="289"/>
      <c r="R24" s="289"/>
      <c r="S24" s="289"/>
      <c r="T24" s="289"/>
      <c r="U24" s="289"/>
      <c r="V24" s="289"/>
      <c r="W24" s="136"/>
      <c r="X24" s="140"/>
      <c r="Y24" s="142"/>
      <c r="Z24" s="142"/>
      <c r="AA24" s="142"/>
      <c r="AB24" s="142"/>
      <c r="AC24" s="142"/>
      <c r="AD24" s="142"/>
      <c r="AE24" s="142"/>
      <c r="AF24" s="142"/>
      <c r="AG24" s="142"/>
      <c r="AH24" s="136"/>
      <c r="AI24" s="144"/>
      <c r="AJ24" s="243"/>
      <c r="AK24" s="243"/>
      <c r="AL24" s="243"/>
      <c r="AM24" s="243"/>
      <c r="AN24" s="243"/>
      <c r="AO24" s="243"/>
      <c r="AP24" s="243"/>
      <c r="AQ24" s="243"/>
      <c r="AR24" s="243"/>
      <c r="AS24" s="246"/>
      <c r="AT24" s="289"/>
      <c r="AU24" s="16" t="s">
        <v>252</v>
      </c>
      <c r="AV24" s="24">
        <v>27.805689021948435</v>
      </c>
      <c r="AW24" s="172"/>
      <c r="AX24" s="15">
        <v>3.0928960352654036</v>
      </c>
      <c r="AY24" s="15">
        <v>3.4294471299432954</v>
      </c>
      <c r="AZ24" s="15">
        <v>6.8825842982801291</v>
      </c>
      <c r="BA24" s="172"/>
      <c r="BB24" s="15">
        <v>2.9199318344944034</v>
      </c>
      <c r="BC24" s="15">
        <v>5.7047227681529442</v>
      </c>
      <c r="BD24" s="16">
        <v>9.7989267330179342</v>
      </c>
      <c r="BE24" s="289"/>
      <c r="BF24" s="289"/>
      <c r="BG24" s="289"/>
      <c r="BH24" s="289"/>
      <c r="BI24" s="289"/>
      <c r="BJ24" s="289"/>
      <c r="BK24" s="289"/>
      <c r="BL24" s="289"/>
      <c r="BM24" s="289"/>
      <c r="BN24" s="289"/>
      <c r="BO24" s="289"/>
      <c r="BP24" s="136"/>
      <c r="BQ24" s="140"/>
      <c r="BR24" s="142"/>
      <c r="BS24" s="142"/>
      <c r="BT24" s="142"/>
      <c r="BU24" s="142"/>
      <c r="BV24" s="142"/>
      <c r="BW24" s="142"/>
      <c r="BX24" s="142"/>
      <c r="BY24" s="142"/>
      <c r="BZ24" s="142"/>
      <c r="CA24" s="136"/>
      <c r="CB24" s="136"/>
      <c r="CC24" s="141"/>
      <c r="CD24" s="141"/>
      <c r="CE24" s="141"/>
      <c r="CF24" s="141"/>
      <c r="CG24" s="7"/>
      <c r="CH24" s="7"/>
      <c r="CI24" s="7"/>
      <c r="CJ24" s="7"/>
      <c r="CK24" s="7"/>
    </row>
    <row r="25" spans="1:89" ht="15.75" x14ac:dyDescent="0.25">
      <c r="A25" s="56"/>
      <c r="B25" s="140"/>
      <c r="C25" s="141"/>
      <c r="D25" s="141"/>
      <c r="E25" s="141"/>
      <c r="F25" s="141"/>
      <c r="G25" s="141"/>
      <c r="H25" s="286"/>
      <c r="I25" s="141"/>
      <c r="J25" s="141"/>
      <c r="K25" s="141"/>
      <c r="L25" s="289"/>
      <c r="M25" s="289"/>
      <c r="N25" s="289"/>
      <c r="O25" s="289"/>
      <c r="P25" s="289"/>
      <c r="Q25" s="289"/>
      <c r="R25" s="289"/>
      <c r="S25" s="289"/>
      <c r="T25" s="289"/>
      <c r="U25" s="289"/>
      <c r="V25" s="289"/>
      <c r="W25" s="136"/>
      <c r="X25" s="289"/>
      <c r="Y25" s="289"/>
      <c r="Z25" s="289"/>
      <c r="AA25" s="289"/>
      <c r="AB25" s="289"/>
      <c r="AC25" s="289"/>
      <c r="AD25" s="289"/>
      <c r="AE25" s="289"/>
      <c r="AF25" s="289"/>
      <c r="AG25" s="289"/>
      <c r="AH25" s="136"/>
      <c r="AI25" s="144"/>
      <c r="AJ25" s="243"/>
      <c r="AK25" s="243"/>
      <c r="AL25" s="243"/>
      <c r="AM25" s="243"/>
      <c r="AN25" s="33"/>
      <c r="AO25" s="33"/>
      <c r="AP25" s="33"/>
      <c r="AQ25" s="33"/>
      <c r="AR25" s="33"/>
      <c r="AS25" s="246"/>
      <c r="AT25" s="289"/>
      <c r="AU25" s="140"/>
      <c r="AV25" s="141"/>
      <c r="AW25" s="286"/>
      <c r="AX25" s="141"/>
      <c r="AY25" s="141"/>
      <c r="AZ25" s="141"/>
      <c r="BA25" s="286"/>
      <c r="BB25" s="141"/>
      <c r="BC25" s="141"/>
      <c r="BD25" s="141"/>
      <c r="BE25" s="289"/>
      <c r="BF25" s="289"/>
      <c r="BG25" s="289"/>
      <c r="BH25" s="289"/>
      <c r="BI25" s="289"/>
      <c r="BJ25" s="289"/>
      <c r="BK25" s="289"/>
      <c r="BL25" s="289"/>
      <c r="BM25" s="289"/>
      <c r="BN25" s="289"/>
      <c r="BO25" s="289"/>
      <c r="BP25" s="136"/>
      <c r="BQ25" s="289"/>
      <c r="BR25" s="289"/>
      <c r="BS25" s="289"/>
      <c r="BT25" s="289"/>
      <c r="BU25" s="289"/>
      <c r="BV25" s="289"/>
      <c r="BW25" s="289"/>
      <c r="BX25" s="289"/>
      <c r="BY25" s="289"/>
      <c r="BZ25" s="289"/>
      <c r="CA25" s="136"/>
      <c r="CB25" s="136"/>
      <c r="CC25" s="141"/>
      <c r="CD25" s="141"/>
      <c r="CE25" s="141"/>
      <c r="CF25" s="141"/>
      <c r="CG25" s="7"/>
      <c r="CH25" s="7"/>
      <c r="CI25" s="7"/>
      <c r="CJ25" s="7"/>
      <c r="CK25" s="7"/>
    </row>
    <row r="26" spans="1:89" x14ac:dyDescent="0.25">
      <c r="A26" s="289"/>
      <c r="B26" s="289"/>
      <c r="C26" s="289"/>
      <c r="D26" s="289"/>
      <c r="E26" s="289"/>
      <c r="F26" s="289"/>
      <c r="G26" s="289"/>
      <c r="H26" s="289"/>
      <c r="I26" s="289"/>
      <c r="J26" s="289"/>
      <c r="K26" s="289"/>
      <c r="L26" s="289"/>
      <c r="M26" s="289"/>
      <c r="N26" s="289"/>
      <c r="O26" s="289"/>
      <c r="P26" s="289"/>
      <c r="Q26" s="289"/>
      <c r="R26" s="289"/>
      <c r="S26" s="289"/>
      <c r="T26" s="289"/>
      <c r="U26" s="289"/>
      <c r="V26" s="289"/>
      <c r="W26" s="136"/>
      <c r="X26" s="289"/>
      <c r="Y26" s="289"/>
      <c r="Z26" s="289"/>
      <c r="AA26" s="289"/>
      <c r="AB26" s="289"/>
      <c r="AC26" s="289"/>
      <c r="AD26" s="289"/>
      <c r="AE26" s="289"/>
      <c r="AF26" s="289"/>
      <c r="AG26" s="289"/>
      <c r="AH26" s="136"/>
      <c r="AI26" s="144"/>
      <c r="AJ26" s="243"/>
      <c r="AK26" s="243"/>
      <c r="AL26" s="243"/>
      <c r="AM26" s="243"/>
      <c r="AN26" s="33"/>
      <c r="AO26" s="33"/>
      <c r="AP26" s="33"/>
      <c r="AQ26" s="33"/>
      <c r="AR26" s="33"/>
      <c r="AS26" s="246"/>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136"/>
      <c r="BQ26" s="289"/>
      <c r="BR26" s="289"/>
      <c r="BS26" s="289"/>
      <c r="BT26" s="289"/>
      <c r="BU26" s="289"/>
      <c r="BV26" s="289"/>
      <c r="BW26" s="289"/>
      <c r="BX26" s="289"/>
      <c r="BY26" s="289"/>
      <c r="BZ26" s="289"/>
      <c r="CA26" s="136"/>
      <c r="CB26" s="136"/>
      <c r="CC26" s="141"/>
      <c r="CD26" s="141"/>
      <c r="CE26" s="141"/>
      <c r="CF26" s="7"/>
      <c r="CG26" s="7"/>
      <c r="CH26" s="7"/>
      <c r="CI26" s="7"/>
      <c r="CJ26" s="7"/>
      <c r="CK26" s="7"/>
    </row>
    <row r="27" spans="1:89" x14ac:dyDescent="0.25">
      <c r="A27" s="289"/>
      <c r="B27" s="289"/>
      <c r="C27" s="289"/>
      <c r="D27" s="289"/>
      <c r="E27" s="289"/>
      <c r="F27" s="289"/>
      <c r="G27" s="289"/>
      <c r="H27" s="289"/>
      <c r="I27" s="289"/>
      <c r="J27" s="289"/>
      <c r="K27" s="289"/>
      <c r="L27" s="289"/>
      <c r="M27" s="289"/>
      <c r="N27" s="289"/>
      <c r="O27" s="289"/>
      <c r="P27" s="289"/>
      <c r="Q27" s="289"/>
      <c r="R27" s="289"/>
      <c r="S27" s="289"/>
      <c r="T27" s="289"/>
      <c r="U27" s="289"/>
      <c r="V27" s="289"/>
      <c r="W27" s="136"/>
      <c r="X27" s="289"/>
      <c r="Y27" s="289"/>
      <c r="Z27" s="289"/>
      <c r="AA27" s="289"/>
      <c r="AB27" s="289"/>
      <c r="AC27" s="289"/>
      <c r="AD27" s="289"/>
      <c r="AE27" s="289"/>
      <c r="AF27" s="289"/>
      <c r="AG27" s="289"/>
      <c r="AH27" s="136"/>
      <c r="AI27" s="144"/>
      <c r="AJ27" s="243"/>
      <c r="AK27" s="243"/>
      <c r="AL27" s="243"/>
      <c r="AM27" s="243"/>
      <c r="AN27" s="33"/>
      <c r="AO27" s="33"/>
      <c r="AP27" s="33"/>
      <c r="AQ27" s="33"/>
      <c r="AR27" s="33"/>
      <c r="AS27" s="246"/>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136"/>
      <c r="BQ27" s="289"/>
      <c r="BR27" s="289"/>
      <c r="BS27" s="289"/>
      <c r="BT27" s="289"/>
      <c r="BU27" s="289"/>
      <c r="BV27" s="289"/>
      <c r="BW27" s="289"/>
      <c r="BX27" s="289"/>
      <c r="BY27" s="289"/>
      <c r="BZ27" s="289"/>
      <c r="CA27" s="136"/>
      <c r="CB27" s="136"/>
      <c r="CC27" s="141"/>
      <c r="CD27" s="141"/>
      <c r="CE27" s="141"/>
      <c r="CF27" s="7"/>
      <c r="CG27" s="7"/>
      <c r="CH27" s="7"/>
      <c r="CI27" s="7"/>
      <c r="CJ27" s="7"/>
      <c r="CK27" s="7"/>
    </row>
    <row r="28" spans="1:89" ht="15.75" x14ac:dyDescent="0.25">
      <c r="A28" s="289"/>
      <c r="B28" s="289"/>
      <c r="C28" s="289"/>
      <c r="D28" s="289"/>
      <c r="E28" s="289"/>
      <c r="F28" s="289"/>
      <c r="G28" s="289"/>
      <c r="H28" s="289"/>
      <c r="I28" s="289"/>
      <c r="J28" s="289"/>
      <c r="K28" s="289"/>
      <c r="L28" s="289"/>
      <c r="M28" s="289"/>
      <c r="N28" s="289"/>
      <c r="O28" s="289"/>
      <c r="P28" s="289"/>
      <c r="Q28" s="289"/>
      <c r="R28" s="289"/>
      <c r="S28" s="289"/>
      <c r="T28" s="289"/>
      <c r="U28" s="289"/>
      <c r="V28" s="289"/>
      <c r="W28" s="136"/>
      <c r="X28" s="289"/>
      <c r="Y28" s="289"/>
      <c r="Z28" s="289"/>
      <c r="AA28" s="289"/>
      <c r="AB28" s="289"/>
      <c r="AC28" s="289"/>
      <c r="AD28" s="289"/>
      <c r="AE28" s="289"/>
      <c r="AF28" s="289"/>
      <c r="AG28" s="289"/>
      <c r="AH28" s="136"/>
      <c r="AI28" s="144"/>
      <c r="AJ28" s="243"/>
      <c r="AK28" s="243"/>
      <c r="AL28" s="243"/>
      <c r="AM28" s="243"/>
      <c r="AN28" s="33"/>
      <c r="AO28" s="33"/>
      <c r="AP28" s="33"/>
      <c r="AQ28" s="33"/>
      <c r="AR28" s="33"/>
      <c r="AS28" s="246"/>
      <c r="AT28" s="289"/>
      <c r="AU28" s="140"/>
      <c r="AV28" s="141"/>
      <c r="AW28" s="141"/>
      <c r="AX28" s="141"/>
      <c r="AY28" s="141"/>
      <c r="AZ28" s="141"/>
      <c r="BA28" s="141"/>
      <c r="BB28" s="141"/>
      <c r="BC28" s="141"/>
      <c r="BD28" s="141"/>
      <c r="BE28" s="289"/>
      <c r="BF28" s="289"/>
      <c r="BG28" s="289"/>
      <c r="BH28" s="289"/>
      <c r="BI28" s="289"/>
      <c r="BJ28" s="289"/>
      <c r="BK28" s="289"/>
      <c r="BL28" s="289"/>
      <c r="BM28" s="289"/>
      <c r="BN28" s="289"/>
      <c r="BO28" s="289"/>
      <c r="BP28" s="136"/>
      <c r="BQ28" s="289"/>
      <c r="BR28" s="289"/>
      <c r="BS28" s="289"/>
      <c r="BT28" s="289"/>
      <c r="BU28" s="289"/>
      <c r="BV28" s="289"/>
      <c r="BW28" s="289"/>
      <c r="BX28" s="289"/>
      <c r="BY28" s="289"/>
      <c r="BZ28" s="289"/>
      <c r="CA28" s="136"/>
      <c r="CB28" s="136"/>
      <c r="CC28" s="141"/>
      <c r="CD28" s="141"/>
      <c r="CE28" s="141"/>
      <c r="CF28" s="7"/>
      <c r="CG28" s="7"/>
      <c r="CH28" s="7"/>
      <c r="CI28" s="7"/>
      <c r="CJ28" s="7"/>
      <c r="CK28" s="7"/>
    </row>
    <row r="29" spans="1:89" ht="15.75" x14ac:dyDescent="0.25">
      <c r="A29" s="289"/>
      <c r="B29" s="140"/>
      <c r="C29" s="142"/>
      <c r="D29" s="142"/>
      <c r="E29" s="142"/>
      <c r="F29" s="142"/>
      <c r="G29" s="142"/>
      <c r="H29" s="142"/>
      <c r="I29" s="142"/>
      <c r="J29" s="142"/>
      <c r="K29" s="142"/>
      <c r="L29" s="289"/>
      <c r="M29" s="289"/>
      <c r="N29" s="289"/>
      <c r="O29" s="289"/>
      <c r="P29" s="289"/>
      <c r="Q29" s="289"/>
      <c r="R29" s="289"/>
      <c r="S29" s="289"/>
      <c r="T29" s="289"/>
      <c r="U29" s="289"/>
      <c r="V29" s="289"/>
      <c r="W29" s="136"/>
      <c r="X29" s="289"/>
      <c r="Y29" s="289"/>
      <c r="Z29" s="289"/>
      <c r="AA29" s="289"/>
      <c r="AB29" s="289"/>
      <c r="AC29" s="289"/>
      <c r="AD29" s="289"/>
      <c r="AE29" s="289"/>
      <c r="AF29" s="289"/>
      <c r="AG29" s="289"/>
      <c r="AH29" s="136"/>
      <c r="AI29" s="144"/>
      <c r="AJ29" s="243"/>
      <c r="AK29" s="243"/>
      <c r="AL29" s="243"/>
      <c r="AM29" s="33"/>
      <c r="AN29" s="33"/>
      <c r="AO29" s="33"/>
      <c r="AP29" s="33"/>
      <c r="AQ29" s="33"/>
      <c r="AR29" s="33"/>
      <c r="AS29" s="246"/>
      <c r="AT29" s="289"/>
      <c r="AU29" s="140"/>
      <c r="AV29" s="142"/>
      <c r="AW29" s="142"/>
      <c r="AX29" s="142"/>
      <c r="AY29" s="142"/>
      <c r="AZ29" s="142"/>
      <c r="BA29" s="142"/>
      <c r="BB29" s="142"/>
      <c r="BC29" s="142"/>
      <c r="BD29" s="142"/>
      <c r="BE29" s="289"/>
      <c r="BF29" s="289"/>
      <c r="BG29" s="289"/>
      <c r="BH29" s="289"/>
      <c r="BI29" s="289"/>
      <c r="BJ29" s="289"/>
      <c r="BK29" s="289"/>
      <c r="BL29" s="289"/>
      <c r="BM29" s="289"/>
      <c r="BN29" s="289"/>
      <c r="BO29" s="289"/>
      <c r="BP29" s="136"/>
      <c r="BQ29" s="289"/>
      <c r="BR29" s="289"/>
      <c r="BS29" s="289"/>
      <c r="BT29" s="289"/>
      <c r="BU29" s="289"/>
      <c r="BV29" s="289"/>
      <c r="BW29" s="289"/>
      <c r="BX29" s="289"/>
      <c r="BY29" s="289"/>
      <c r="BZ29" s="289"/>
      <c r="CA29" s="136"/>
      <c r="CB29" s="136"/>
      <c r="CC29" s="141"/>
      <c r="CD29" s="141"/>
      <c r="CE29" s="141"/>
      <c r="CF29" s="141"/>
      <c r="CG29" s="141"/>
      <c r="CH29" s="141"/>
      <c r="CI29" s="7"/>
      <c r="CJ29" s="7"/>
      <c r="CK29" s="7"/>
    </row>
    <row r="30" spans="1:89" ht="15.75" x14ac:dyDescent="0.25">
      <c r="A30" s="289"/>
      <c r="B30" s="140"/>
      <c r="C30" s="142"/>
      <c r="D30" s="142"/>
      <c r="E30" s="142"/>
      <c r="F30" s="142"/>
      <c r="G30" s="142"/>
      <c r="H30" s="142"/>
      <c r="I30" s="142"/>
      <c r="J30" s="142"/>
      <c r="K30" s="142"/>
      <c r="L30" s="289"/>
      <c r="M30" s="289"/>
      <c r="N30" s="289"/>
      <c r="O30" s="289"/>
      <c r="P30" s="289"/>
      <c r="Q30" s="289"/>
      <c r="R30" s="289"/>
      <c r="S30" s="289"/>
      <c r="T30" s="289"/>
      <c r="U30" s="289"/>
      <c r="V30" s="289"/>
      <c r="W30" s="136"/>
      <c r="X30" s="289"/>
      <c r="Y30" s="289"/>
      <c r="Z30" s="289"/>
      <c r="AA30" s="289"/>
      <c r="AB30" s="289"/>
      <c r="AC30" s="289"/>
      <c r="AD30" s="289"/>
      <c r="AE30" s="289"/>
      <c r="AF30" s="289"/>
      <c r="AG30" s="289"/>
      <c r="AH30" s="136"/>
      <c r="AI30" s="144"/>
      <c r="AJ30" s="243"/>
      <c r="AK30" s="243"/>
      <c r="AL30" s="243"/>
      <c r="AM30" s="243"/>
      <c r="AN30" s="243"/>
      <c r="AO30" s="243"/>
      <c r="AP30" s="33"/>
      <c r="AQ30" s="33"/>
      <c r="AR30" s="33"/>
      <c r="AS30" s="246"/>
      <c r="AT30" s="289"/>
      <c r="AU30" s="140"/>
      <c r="AV30" s="142"/>
      <c r="AW30" s="142"/>
      <c r="AX30" s="142"/>
      <c r="AY30" s="142"/>
      <c r="AZ30" s="142"/>
      <c r="BA30" s="142"/>
      <c r="BB30" s="142"/>
      <c r="BC30" s="142"/>
      <c r="BD30" s="142"/>
      <c r="BE30" s="289"/>
      <c r="BF30" s="289"/>
      <c r="BG30" s="289"/>
      <c r="BH30" s="289"/>
      <c r="BI30" s="289"/>
      <c r="BJ30" s="289"/>
      <c r="BK30" s="289"/>
      <c r="BL30" s="289"/>
      <c r="BM30" s="289"/>
      <c r="BN30" s="289"/>
      <c r="BO30" s="289"/>
      <c r="BP30" s="136"/>
      <c r="BQ30" s="289"/>
      <c r="BR30" s="289"/>
      <c r="BS30" s="289"/>
      <c r="BT30" s="289"/>
      <c r="BU30" s="289"/>
      <c r="BV30" s="289"/>
      <c r="BW30" s="289"/>
      <c r="BX30" s="289"/>
      <c r="BY30" s="289"/>
      <c r="BZ30" s="289"/>
      <c r="CA30" s="136"/>
      <c r="CB30" s="136"/>
      <c r="CC30" s="141"/>
      <c r="CD30" s="141"/>
      <c r="CE30" s="141"/>
      <c r="CF30" s="141"/>
      <c r="CG30" s="141"/>
      <c r="CH30" s="141"/>
      <c r="CI30" s="7"/>
      <c r="CJ30" s="7"/>
      <c r="CK30" s="7"/>
    </row>
    <row r="31" spans="1:89" ht="15.75" x14ac:dyDescent="0.25">
      <c r="A31" s="289"/>
      <c r="B31" s="140"/>
      <c r="C31" s="136"/>
      <c r="D31" s="136"/>
      <c r="E31" s="136"/>
      <c r="F31" s="136"/>
      <c r="G31" s="136"/>
      <c r="H31" s="136"/>
      <c r="I31" s="136"/>
      <c r="J31" s="136"/>
      <c r="K31" s="136"/>
      <c r="L31" s="289"/>
      <c r="M31" s="289"/>
      <c r="N31" s="289"/>
      <c r="O31" s="289"/>
      <c r="P31" s="289"/>
      <c r="Q31" s="289"/>
      <c r="R31" s="289"/>
      <c r="S31" s="289"/>
      <c r="T31" s="289"/>
      <c r="U31" s="289"/>
      <c r="V31" s="289"/>
      <c r="W31" s="136"/>
      <c r="X31" s="289"/>
      <c r="Y31" s="289"/>
      <c r="Z31" s="289"/>
      <c r="AA31" s="289"/>
      <c r="AB31" s="289"/>
      <c r="AC31" s="289"/>
      <c r="AD31" s="289"/>
      <c r="AE31" s="289"/>
      <c r="AF31" s="289"/>
      <c r="AG31" s="289"/>
      <c r="AH31" s="136"/>
      <c r="AI31" s="144"/>
      <c r="AJ31" s="243"/>
      <c r="AK31" s="243"/>
      <c r="AL31" s="243"/>
      <c r="AM31" s="243"/>
      <c r="AN31" s="243"/>
      <c r="AO31" s="243"/>
      <c r="AP31" s="33"/>
      <c r="AQ31" s="33"/>
      <c r="AR31" s="33"/>
      <c r="AS31" s="246"/>
      <c r="AT31" s="289"/>
      <c r="AU31" s="140"/>
      <c r="AV31" s="142"/>
      <c r="AW31" s="142"/>
      <c r="AX31" s="142"/>
      <c r="AY31" s="142"/>
      <c r="AZ31" s="142"/>
      <c r="BA31" s="142"/>
      <c r="BB31" s="142"/>
      <c r="BC31" s="142"/>
      <c r="BD31" s="142"/>
      <c r="BE31" s="289"/>
      <c r="BF31" s="289"/>
      <c r="BG31" s="289"/>
      <c r="BH31" s="289"/>
      <c r="BI31" s="289"/>
      <c r="BJ31" s="289"/>
      <c r="BK31" s="289"/>
      <c r="BL31" s="289"/>
      <c r="BM31" s="289"/>
      <c r="BN31" s="289"/>
      <c r="BO31" s="289"/>
      <c r="BP31" s="136"/>
      <c r="BQ31" s="289"/>
      <c r="BR31" s="289"/>
      <c r="BS31" s="289"/>
      <c r="BT31" s="289"/>
      <c r="BU31" s="289"/>
      <c r="BV31" s="289"/>
      <c r="BW31" s="289"/>
      <c r="BX31" s="289"/>
      <c r="BY31" s="289"/>
      <c r="BZ31" s="289"/>
      <c r="CA31" s="136"/>
      <c r="CB31" s="136"/>
      <c r="CC31" s="141"/>
      <c r="CD31" s="141"/>
      <c r="CE31" s="141"/>
      <c r="CF31" s="141"/>
      <c r="CG31" s="141"/>
      <c r="CH31" s="141"/>
      <c r="CI31" s="7"/>
      <c r="CJ31" s="7"/>
      <c r="CK31" s="7"/>
    </row>
    <row r="32" spans="1:89" ht="18.75" x14ac:dyDescent="0.3">
      <c r="A32" s="289"/>
      <c r="B32" s="131" t="s">
        <v>270</v>
      </c>
      <c r="C32" s="136"/>
      <c r="D32" s="136"/>
      <c r="E32" s="136"/>
      <c r="F32" s="136"/>
      <c r="G32" s="136"/>
      <c r="H32" s="136"/>
      <c r="I32" s="136"/>
      <c r="J32" s="136"/>
      <c r="K32" s="136"/>
      <c r="L32" s="136"/>
      <c r="M32" s="143" t="s">
        <v>270</v>
      </c>
      <c r="N32" s="289"/>
      <c r="O32" s="289"/>
      <c r="P32" s="289"/>
      <c r="Q32" s="289"/>
      <c r="R32" s="289"/>
      <c r="S32" s="289"/>
      <c r="T32" s="289"/>
      <c r="U32" s="289"/>
      <c r="V32" s="289"/>
      <c r="W32" s="289"/>
      <c r="X32" s="131" t="s">
        <v>270</v>
      </c>
      <c r="Y32" s="289"/>
      <c r="Z32" s="289"/>
      <c r="AA32" s="289"/>
      <c r="AB32" s="289"/>
      <c r="AC32" s="289"/>
      <c r="AD32" s="289"/>
      <c r="AE32" s="289"/>
      <c r="AF32" s="289"/>
      <c r="AG32" s="289"/>
      <c r="AH32" s="289"/>
      <c r="AI32" s="143" t="s">
        <v>270</v>
      </c>
      <c r="AJ32" s="243"/>
      <c r="AK32" s="243"/>
      <c r="AL32" s="243"/>
      <c r="AM32" s="243"/>
      <c r="AN32" s="243"/>
      <c r="AO32" s="243"/>
      <c r="AP32" s="243"/>
      <c r="AQ32" s="243"/>
      <c r="AR32" s="243"/>
      <c r="AS32" s="246"/>
      <c r="AT32" s="289"/>
      <c r="AU32" s="131" t="s">
        <v>270</v>
      </c>
      <c r="AV32" s="136"/>
      <c r="AW32" s="136"/>
      <c r="AX32" s="136"/>
      <c r="AY32" s="136"/>
      <c r="AZ32" s="136"/>
      <c r="BA32" s="136"/>
      <c r="BB32" s="136"/>
      <c r="BC32" s="136"/>
      <c r="BD32" s="136"/>
      <c r="BE32" s="136"/>
      <c r="BF32" s="143" t="s">
        <v>270</v>
      </c>
      <c r="BG32" s="289"/>
      <c r="BH32" s="289"/>
      <c r="BI32" s="289"/>
      <c r="BJ32" s="289"/>
      <c r="BK32" s="289"/>
      <c r="BL32" s="289"/>
      <c r="BM32" s="289"/>
      <c r="BN32" s="289"/>
      <c r="BO32" s="289"/>
      <c r="BP32" s="136"/>
      <c r="BQ32" s="131" t="s">
        <v>270</v>
      </c>
      <c r="BR32" s="289"/>
      <c r="BS32" s="289"/>
      <c r="BT32" s="289"/>
      <c r="BU32" s="289"/>
      <c r="BV32" s="289"/>
      <c r="BW32" s="289"/>
      <c r="BX32" s="289"/>
      <c r="BY32" s="289"/>
      <c r="BZ32" s="289"/>
      <c r="CA32" s="136"/>
      <c r="CB32" s="143" t="s">
        <v>270</v>
      </c>
      <c r="CC32" s="141"/>
      <c r="CD32" s="141"/>
      <c r="CE32" s="141"/>
      <c r="CF32" s="141"/>
      <c r="CG32" s="141"/>
      <c r="CH32" s="141"/>
      <c r="CI32" s="141"/>
      <c r="CJ32" s="141"/>
      <c r="CK32" s="141"/>
    </row>
    <row r="33" spans="1:89" ht="15.75" thickBot="1" x14ac:dyDescent="0.3">
      <c r="A33" s="289"/>
      <c r="B33" s="1" t="s">
        <v>73</v>
      </c>
      <c r="C33" s="76" t="s">
        <v>8</v>
      </c>
      <c r="D33" s="76" t="s">
        <v>9</v>
      </c>
      <c r="E33" s="76" t="s">
        <v>10</v>
      </c>
      <c r="F33" s="76" t="s">
        <v>11</v>
      </c>
      <c r="G33" s="76" t="s">
        <v>12</v>
      </c>
      <c r="H33" s="77" t="s">
        <v>13</v>
      </c>
      <c r="I33" s="76" t="s">
        <v>14</v>
      </c>
      <c r="J33" s="76" t="s">
        <v>15</v>
      </c>
      <c r="K33" s="44" t="s">
        <v>16</v>
      </c>
      <c r="L33" s="144"/>
      <c r="M33" s="289" t="s">
        <v>0</v>
      </c>
      <c r="N33" s="289" t="s">
        <v>8</v>
      </c>
      <c r="O33" s="289" t="s">
        <v>9</v>
      </c>
      <c r="P33" s="289" t="s">
        <v>10</v>
      </c>
      <c r="Q33" s="289" t="s">
        <v>11</v>
      </c>
      <c r="R33" s="289" t="s">
        <v>12</v>
      </c>
      <c r="S33" s="289" t="s">
        <v>13</v>
      </c>
      <c r="T33" s="289" t="s">
        <v>14</v>
      </c>
      <c r="U33" s="289" t="s">
        <v>15</v>
      </c>
      <c r="V33" s="289" t="s">
        <v>16</v>
      </c>
      <c r="W33" s="289"/>
      <c r="X33" s="301" t="s">
        <v>0</v>
      </c>
      <c r="Y33" s="289" t="s">
        <v>8</v>
      </c>
      <c r="Z33" s="289" t="s">
        <v>9</v>
      </c>
      <c r="AA33" s="289" t="s">
        <v>10</v>
      </c>
      <c r="AB33" s="289" t="s">
        <v>11</v>
      </c>
      <c r="AC33" s="289" t="s">
        <v>12</v>
      </c>
      <c r="AD33" s="289" t="s">
        <v>13</v>
      </c>
      <c r="AE33" s="289" t="s">
        <v>14</v>
      </c>
      <c r="AF33" s="289" t="s">
        <v>15</v>
      </c>
      <c r="AG33" s="289" t="s">
        <v>16</v>
      </c>
      <c r="AH33" s="289"/>
      <c r="AI33" s="133" t="s">
        <v>0</v>
      </c>
      <c r="AJ33" s="134" t="s">
        <v>8</v>
      </c>
      <c r="AK33" s="134" t="s">
        <v>9</v>
      </c>
      <c r="AL33" s="134" t="s">
        <v>10</v>
      </c>
      <c r="AM33" s="134" t="s">
        <v>11</v>
      </c>
      <c r="AN33" s="134" t="s">
        <v>12</v>
      </c>
      <c r="AO33" s="134" t="s">
        <v>13</v>
      </c>
      <c r="AP33" s="134" t="s">
        <v>14</v>
      </c>
      <c r="AQ33" s="134" t="s">
        <v>15</v>
      </c>
      <c r="AR33" s="135" t="s">
        <v>16</v>
      </c>
      <c r="AS33" s="246"/>
      <c r="AT33" s="289"/>
      <c r="AU33" s="1" t="s">
        <v>73</v>
      </c>
      <c r="AV33" s="76" t="s">
        <v>8</v>
      </c>
      <c r="AW33" s="76" t="s">
        <v>9</v>
      </c>
      <c r="AX33" s="76" t="s">
        <v>10</v>
      </c>
      <c r="AY33" s="76" t="s">
        <v>11</v>
      </c>
      <c r="AZ33" s="76" t="s">
        <v>12</v>
      </c>
      <c r="BA33" s="77" t="s">
        <v>13</v>
      </c>
      <c r="BB33" s="76" t="s">
        <v>14</v>
      </c>
      <c r="BC33" s="76" t="s">
        <v>15</v>
      </c>
      <c r="BD33" s="44" t="s">
        <v>16</v>
      </c>
      <c r="BE33" s="136"/>
      <c r="BF33" s="289" t="s">
        <v>0</v>
      </c>
      <c r="BG33" s="289" t="s">
        <v>8</v>
      </c>
      <c r="BH33" s="289" t="s">
        <v>9</v>
      </c>
      <c r="BI33" s="289" t="s">
        <v>10</v>
      </c>
      <c r="BJ33" s="289" t="s">
        <v>11</v>
      </c>
      <c r="BK33" s="289" t="s">
        <v>12</v>
      </c>
      <c r="BL33" s="289" t="s">
        <v>13</v>
      </c>
      <c r="BM33" s="289" t="s">
        <v>14</v>
      </c>
      <c r="BN33" s="289" t="s">
        <v>15</v>
      </c>
      <c r="BO33" s="289" t="s">
        <v>16</v>
      </c>
      <c r="BP33" s="136"/>
      <c r="BQ33" s="301" t="s">
        <v>0</v>
      </c>
      <c r="BR33" s="110" t="s">
        <v>8</v>
      </c>
      <c r="BS33" s="26" t="s">
        <v>9</v>
      </c>
      <c r="BT33" s="26" t="s">
        <v>10</v>
      </c>
      <c r="BU33" s="26" t="s">
        <v>11</v>
      </c>
      <c r="BV33" s="26" t="s">
        <v>12</v>
      </c>
      <c r="BW33" s="26" t="s">
        <v>13</v>
      </c>
      <c r="BX33" s="26" t="s">
        <v>14</v>
      </c>
      <c r="BY33" s="26" t="s">
        <v>15</v>
      </c>
      <c r="BZ33" s="26" t="s">
        <v>16</v>
      </c>
      <c r="CA33" s="136"/>
      <c r="CB33" s="133" t="s">
        <v>0</v>
      </c>
      <c r="CC33" s="134" t="s">
        <v>8</v>
      </c>
      <c r="CD33" s="134" t="s">
        <v>9</v>
      </c>
      <c r="CE33" s="134" t="s">
        <v>10</v>
      </c>
      <c r="CF33" s="134" t="s">
        <v>11</v>
      </c>
      <c r="CG33" s="134" t="s">
        <v>12</v>
      </c>
      <c r="CH33" s="134" t="s">
        <v>13</v>
      </c>
      <c r="CI33" s="134" t="s">
        <v>14</v>
      </c>
      <c r="CJ33" s="134" t="s">
        <v>15</v>
      </c>
      <c r="CK33" s="135" t="s">
        <v>16</v>
      </c>
    </row>
    <row r="34" spans="1:89" ht="15.75" thickTop="1" x14ac:dyDescent="0.25">
      <c r="A34" s="301"/>
      <c r="B34" s="30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44"/>
      <c r="M34" s="210" t="s">
        <v>184</v>
      </c>
      <c r="N34" s="31">
        <v>2.6742450313631205</v>
      </c>
      <c r="O34" s="31">
        <v>1.6677548603791863</v>
      </c>
      <c r="P34" s="31">
        <v>0.20076470087675097</v>
      </c>
      <c r="Q34" s="31">
        <v>0.17103921142180864</v>
      </c>
      <c r="R34" s="31">
        <v>0.19450979907191812</v>
      </c>
      <c r="S34" s="31">
        <v>0.23623528822766829</v>
      </c>
      <c r="T34" s="31">
        <v>0.33928430526622327</v>
      </c>
      <c r="U34" s="31">
        <v>0.1304607810609886</v>
      </c>
      <c r="V34" s="27">
        <v>0.45717645918960104</v>
      </c>
      <c r="W34" s="289"/>
      <c r="X34" s="271" t="s">
        <v>155</v>
      </c>
      <c r="Y34" s="31">
        <v>5.7072267003870003</v>
      </c>
      <c r="Z34" s="31">
        <v>2.1003363054179998</v>
      </c>
      <c r="AA34" s="31">
        <v>0.437639047038</v>
      </c>
      <c r="AB34" s="31">
        <v>0.526643205138</v>
      </c>
      <c r="AC34" s="31">
        <v>1.63369310616</v>
      </c>
      <c r="AD34" s="31">
        <v>0.34203737791799999</v>
      </c>
      <c r="AE34" s="31">
        <v>2.075894394309</v>
      </c>
      <c r="AF34" s="31">
        <v>0.37832368852800002</v>
      </c>
      <c r="AG34" s="27">
        <v>2.378682805725</v>
      </c>
      <c r="AH34" s="6"/>
      <c r="AI34" s="301" t="s">
        <v>59</v>
      </c>
      <c r="AJ34" s="33">
        <v>3.3604499708656626</v>
      </c>
      <c r="AK34" s="33">
        <v>1.4807931689800415</v>
      </c>
      <c r="AL34" s="33">
        <v>0.23623636158824807</v>
      </c>
      <c r="AM34" s="33">
        <v>0.25930908866094005</v>
      </c>
      <c r="AN34" s="33">
        <v>0.76570226608880809</v>
      </c>
      <c r="AO34" s="33">
        <v>0.49902272294631372</v>
      </c>
      <c r="AP34" s="33">
        <v>0.97866817333335121</v>
      </c>
      <c r="AQ34" s="33">
        <v>0.58337726766952447</v>
      </c>
      <c r="AR34" s="10">
        <v>1.6197068041393283</v>
      </c>
      <c r="AS34" s="246"/>
      <c r="AT34" s="289"/>
      <c r="AU34" s="301" t="s">
        <v>384</v>
      </c>
      <c r="AV34" s="7">
        <v>61.601201562945214</v>
      </c>
      <c r="AW34" s="7">
        <v>11.860311677312323</v>
      </c>
      <c r="AX34" s="7">
        <v>5.8031181571734196</v>
      </c>
      <c r="AY34" s="7">
        <v>6.4189206451153957</v>
      </c>
      <c r="AZ34" s="7">
        <v>15.004210110563088</v>
      </c>
      <c r="BA34" s="7">
        <v>8.3731196399773609</v>
      </c>
      <c r="BB34" s="7">
        <v>20.496477660422755</v>
      </c>
      <c r="BC34" s="7">
        <v>4.038231421875337</v>
      </c>
      <c r="BD34" s="10">
        <v>27.887643642467488</v>
      </c>
      <c r="BE34" s="136"/>
      <c r="BF34" s="215" t="s">
        <v>184</v>
      </c>
      <c r="BG34" s="30">
        <v>33.851202928647091</v>
      </c>
      <c r="BH34" s="31">
        <v>21.110821017458054</v>
      </c>
      <c r="BI34" s="31">
        <v>2.5413253275538099</v>
      </c>
      <c r="BJ34" s="31">
        <v>2.1650533091368183</v>
      </c>
      <c r="BK34" s="31">
        <v>2.4621493553407356</v>
      </c>
      <c r="BL34" s="31">
        <v>2.9903201041476999</v>
      </c>
      <c r="BM34" s="31">
        <v>4.2947380413445977</v>
      </c>
      <c r="BN34" s="31">
        <v>1.6514022919112481</v>
      </c>
      <c r="BO34" s="27">
        <v>5.7870437872101395</v>
      </c>
      <c r="BP34" s="136"/>
      <c r="BQ34" s="271" t="s">
        <v>155</v>
      </c>
      <c r="BR34" s="7"/>
      <c r="BS34" s="7"/>
      <c r="BT34" s="7"/>
      <c r="BU34" s="7"/>
      <c r="BV34" s="7"/>
      <c r="BW34" s="7"/>
      <c r="BX34" s="7"/>
      <c r="BY34" s="7"/>
      <c r="BZ34" s="7"/>
      <c r="CA34" s="68"/>
      <c r="CB34" s="301" t="s">
        <v>59</v>
      </c>
      <c r="CC34" s="7">
        <v>53.340475728026391</v>
      </c>
      <c r="CD34" s="7">
        <v>23.504653475873674</v>
      </c>
      <c r="CE34" s="7">
        <v>3.7497835172737788</v>
      </c>
      <c r="CF34" s="7">
        <v>4.1160172803323816</v>
      </c>
      <c r="CG34" s="7">
        <v>12.154004223631874</v>
      </c>
      <c r="CH34" s="7">
        <v>7.9209956023224404</v>
      </c>
      <c r="CI34" s="7">
        <v>15.534415449735734</v>
      </c>
      <c r="CJ34" s="7">
        <v>9.2599566296749902</v>
      </c>
      <c r="CK34" s="10">
        <v>25.70963181173537</v>
      </c>
    </row>
    <row r="35" spans="1:89" x14ac:dyDescent="0.25">
      <c r="A35" s="30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44"/>
      <c r="M35" s="211" t="s">
        <v>187</v>
      </c>
      <c r="N35" s="48"/>
      <c r="O35" s="33">
        <v>1.3689384347585156</v>
      </c>
      <c r="P35" s="33">
        <v>1.1462692083452659</v>
      </c>
      <c r="Q35" s="33">
        <v>0.50795383621696666</v>
      </c>
      <c r="R35" s="33">
        <v>0.32342307059609243</v>
      </c>
      <c r="S35" s="33">
        <v>0.32744614744046757</v>
      </c>
      <c r="T35" s="33">
        <v>1.0824999788235248</v>
      </c>
      <c r="U35" s="33">
        <v>0.21212307277340575</v>
      </c>
      <c r="V35" s="8">
        <v>1.1704769001793938</v>
      </c>
      <c r="W35" s="289"/>
      <c r="X35" s="6" t="s">
        <v>156</v>
      </c>
      <c r="Y35" s="33">
        <v>3.2429381711762204</v>
      </c>
      <c r="Z35" s="33">
        <v>1.0595155238637277</v>
      </c>
      <c r="AA35" s="33">
        <v>0.22174431850375356</v>
      </c>
      <c r="AB35" s="33">
        <v>0.19452015638332687</v>
      </c>
      <c r="AC35" s="33">
        <v>0.39367174506149483</v>
      </c>
      <c r="AD35" s="33">
        <v>0.55617393628132084</v>
      </c>
      <c r="AE35" s="33">
        <v>0.8534051888327101</v>
      </c>
      <c r="AF35" s="33">
        <v>0.42550414365558648</v>
      </c>
      <c r="AG35" s="8">
        <v>1.4740557760433799</v>
      </c>
      <c r="AH35" s="6"/>
      <c r="AI35" s="301" t="s">
        <v>64</v>
      </c>
      <c r="AJ35" s="33">
        <v>3.5739780394162621</v>
      </c>
      <c r="AK35" s="33">
        <v>0.27707425677541891</v>
      </c>
      <c r="AL35" s="33">
        <v>0.23845178461884536</v>
      </c>
      <c r="AM35" s="33">
        <v>0.33416834605035373</v>
      </c>
      <c r="AN35" s="33">
        <v>1.258868693914984</v>
      </c>
      <c r="AO35" s="33">
        <v>1.0982215995825695</v>
      </c>
      <c r="AP35" s="33">
        <v>1.4866853050414397</v>
      </c>
      <c r="AQ35" s="33">
        <v>0.55582775147068886</v>
      </c>
      <c r="AR35" s="8">
        <v>2.0889719722946736</v>
      </c>
      <c r="AS35" s="246"/>
      <c r="AT35" s="289"/>
      <c r="AU35" s="301" t="s">
        <v>383</v>
      </c>
      <c r="AV35" s="7">
        <v>39.564187134317834</v>
      </c>
      <c r="AW35" s="7">
        <v>12.868305122675588</v>
      </c>
      <c r="AX35" s="7">
        <v>3.8782632956113683</v>
      </c>
      <c r="AY35" s="7">
        <v>4.5758155200102619</v>
      </c>
      <c r="AZ35" s="7">
        <v>6.7788049412595281</v>
      </c>
      <c r="BA35" s="7">
        <v>6.73115292382818</v>
      </c>
      <c r="BB35" s="7">
        <v>9.2309899767427321</v>
      </c>
      <c r="BC35" s="7">
        <v>3.6610800623184918</v>
      </c>
      <c r="BD35" s="8">
        <v>12.685944517505622</v>
      </c>
      <c r="BE35" s="136"/>
      <c r="BF35" s="6" t="s">
        <v>187</v>
      </c>
      <c r="BG35" s="307"/>
      <c r="BH35" s="33">
        <v>29.759531190402512</v>
      </c>
      <c r="BI35" s="33">
        <v>24.918895833592735</v>
      </c>
      <c r="BJ35" s="33">
        <v>11.042474700368841</v>
      </c>
      <c r="BK35" s="33">
        <v>7.0309363173063568</v>
      </c>
      <c r="BL35" s="33">
        <v>7.1183945095753822</v>
      </c>
      <c r="BM35" s="33">
        <v>23.532608235294017</v>
      </c>
      <c r="BN35" s="33">
        <v>4.6113711472479508</v>
      </c>
      <c r="BO35" s="8">
        <v>25.445150003899862</v>
      </c>
      <c r="BP35" s="136"/>
      <c r="BQ35" s="58" t="s">
        <v>156</v>
      </c>
      <c r="BR35" s="32">
        <v>54.965053748749497</v>
      </c>
      <c r="BS35" s="33">
        <v>17.957890234978436</v>
      </c>
      <c r="BT35" s="33">
        <v>3.7583782797246368</v>
      </c>
      <c r="BU35" s="33">
        <v>3.2969518031072349</v>
      </c>
      <c r="BV35" s="33">
        <v>6.6724024586694037</v>
      </c>
      <c r="BW35" s="33">
        <v>9.4266768861240831</v>
      </c>
      <c r="BX35" s="33">
        <v>14.464494725978136</v>
      </c>
      <c r="BY35" s="33">
        <v>7.2119346382302787</v>
      </c>
      <c r="BZ35" s="8">
        <v>24.983996204125084</v>
      </c>
      <c r="CA35" s="68"/>
      <c r="CB35" s="301" t="s">
        <v>64</v>
      </c>
      <c r="CC35" s="7">
        <v>38.429871391572711</v>
      </c>
      <c r="CD35" s="7">
        <v>2.9792930836066551</v>
      </c>
      <c r="CE35" s="7">
        <v>2.5639976840736063</v>
      </c>
      <c r="CF35" s="7">
        <v>3.5932080220468139</v>
      </c>
      <c r="CG35" s="7">
        <v>13.536222515214881</v>
      </c>
      <c r="CH35" s="7">
        <v>11.808834404113652</v>
      </c>
      <c r="CI35" s="7">
        <v>15.985863495069246</v>
      </c>
      <c r="CJ35" s="7">
        <v>5.9766424889321383</v>
      </c>
      <c r="CK35" s="8">
        <v>22.462064218222299</v>
      </c>
    </row>
    <row r="36" spans="1:89" x14ac:dyDescent="0.25">
      <c r="A36" s="301"/>
      <c r="B36" s="30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44"/>
      <c r="M36" s="6" t="s">
        <v>188</v>
      </c>
      <c r="N36" s="33">
        <v>1.7324729458917836</v>
      </c>
      <c r="O36" s="33">
        <v>0.66058316633266534</v>
      </c>
      <c r="P36" s="33">
        <v>0.12976953907815633</v>
      </c>
      <c r="Q36" s="33">
        <v>0.15742484969939879</v>
      </c>
      <c r="R36" s="33">
        <v>0.49080961923847694</v>
      </c>
      <c r="S36" s="33">
        <v>0.39327054108216436</v>
      </c>
      <c r="T36" s="33">
        <v>0.56323647294589174</v>
      </c>
      <c r="U36" s="33">
        <v>0.21397394789579158</v>
      </c>
      <c r="V36" s="8">
        <v>0.80064529058116229</v>
      </c>
      <c r="W36" s="289"/>
      <c r="X36" s="6" t="s">
        <v>161</v>
      </c>
      <c r="Y36" s="33">
        <v>2.0106540926798337</v>
      </c>
      <c r="Z36" s="33">
        <v>0.79401864699302172</v>
      </c>
      <c r="AA36" s="33">
        <v>0.22357295653009543</v>
      </c>
      <c r="AB36" s="33">
        <v>0.21436375503438648</v>
      </c>
      <c r="AC36" s="33">
        <v>0.26386051717174486</v>
      </c>
      <c r="AD36" s="33">
        <v>0.62670736954600048</v>
      </c>
      <c r="AE36" s="33">
        <v>0.69213511569154851</v>
      </c>
      <c r="AF36" s="33">
        <v>0.10892882206321766</v>
      </c>
      <c r="AG36" s="8">
        <v>0.85176846402270945</v>
      </c>
      <c r="AH36" s="68"/>
      <c r="AI36" s="301" t="s">
        <v>66</v>
      </c>
      <c r="AJ36" s="33">
        <v>4.6802582781456952</v>
      </c>
      <c r="AK36" s="33">
        <v>1.4468675496688741</v>
      </c>
      <c r="AL36" s="33">
        <v>0.44610596026490068</v>
      </c>
      <c r="AM36" s="33">
        <v>0.40618543046357608</v>
      </c>
      <c r="AN36" s="33">
        <v>1.608801324503311</v>
      </c>
      <c r="AO36" s="48"/>
      <c r="AP36" s="33">
        <v>0.95982119205298</v>
      </c>
      <c r="AQ36" s="33">
        <v>0.30653642384105961</v>
      </c>
      <c r="AR36" s="8">
        <v>1.6568145695364238</v>
      </c>
      <c r="AS36" s="246"/>
      <c r="AT36" s="289"/>
      <c r="AU36" s="301" t="s">
        <v>382</v>
      </c>
      <c r="AV36" s="7">
        <v>62.676144759489681</v>
      </c>
      <c r="AW36" s="7">
        <v>19.669668064372889</v>
      </c>
      <c r="AX36" s="7">
        <v>4.4500789477493186</v>
      </c>
      <c r="AY36" s="7">
        <v>4.2980252366765539</v>
      </c>
      <c r="AZ36" s="7">
        <v>10.917377466083716</v>
      </c>
      <c r="BA36" s="7">
        <v>8.3087676956016026</v>
      </c>
      <c r="BB36" s="7">
        <v>19.603870276672314</v>
      </c>
      <c r="BC36" s="7">
        <v>3.4616113423651198</v>
      </c>
      <c r="BD36" s="8">
        <v>26.195181432089427</v>
      </c>
      <c r="BE36" s="136"/>
      <c r="BF36" s="58" t="s">
        <v>188</v>
      </c>
      <c r="BG36" s="32">
        <v>34.649458917835666</v>
      </c>
      <c r="BH36" s="33">
        <v>13.211663326653307</v>
      </c>
      <c r="BI36" s="33">
        <v>2.5953907815631267</v>
      </c>
      <c r="BJ36" s="33">
        <v>3.1484969939879761</v>
      </c>
      <c r="BK36" s="33">
        <v>9.816192384769538</v>
      </c>
      <c r="BL36" s="33">
        <v>7.8654108216432883</v>
      </c>
      <c r="BM36" s="33">
        <v>11.264729458917836</v>
      </c>
      <c r="BN36" s="33">
        <v>4.2794789579158312</v>
      </c>
      <c r="BO36" s="8">
        <v>16.012905811623245</v>
      </c>
      <c r="BP36" s="136"/>
      <c r="BQ36" s="58" t="s">
        <v>161</v>
      </c>
      <c r="BR36" s="32">
        <v>34.666449873790235</v>
      </c>
      <c r="BS36" s="33">
        <v>13.689976672293477</v>
      </c>
      <c r="BT36" s="33">
        <v>3.8547061470706105</v>
      </c>
      <c r="BU36" s="33">
        <v>3.6959268109376979</v>
      </c>
      <c r="BV36" s="33">
        <v>4.5493192615818074</v>
      </c>
      <c r="BW36" s="33">
        <v>10.805299474931044</v>
      </c>
      <c r="BX36" s="33">
        <v>11.933364063647387</v>
      </c>
      <c r="BY36" s="33">
        <v>1.8780831390209942</v>
      </c>
      <c r="BZ36" s="8">
        <v>14.685663172805336</v>
      </c>
      <c r="CA36" s="68"/>
      <c r="CB36" s="301" t="s">
        <v>66</v>
      </c>
      <c r="CC36" s="7">
        <v>88.306759965013114</v>
      </c>
      <c r="CD36" s="7">
        <v>27.299387729601399</v>
      </c>
      <c r="CE36" s="7">
        <v>8.4170935899037858</v>
      </c>
      <c r="CF36" s="7">
        <v>7.6638760464825681</v>
      </c>
      <c r="CG36" s="7">
        <v>30.354741971760586</v>
      </c>
      <c r="CH36" s="48"/>
      <c r="CI36" s="7">
        <v>18.109833812320378</v>
      </c>
      <c r="CJ36" s="7">
        <v>5.783706110208672</v>
      </c>
      <c r="CK36" s="8">
        <v>31.260652255404224</v>
      </c>
    </row>
    <row r="37" spans="1:89" x14ac:dyDescent="0.25">
      <c r="A37" s="301"/>
      <c r="B37" s="30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289"/>
      <c r="M37" s="6" t="s">
        <v>189</v>
      </c>
      <c r="N37" s="33">
        <v>2.5222346487724341</v>
      </c>
      <c r="O37" s="33">
        <v>0.63026911704225064</v>
      </c>
      <c r="P37" s="33">
        <v>4.561590061704679E-2</v>
      </c>
      <c r="Q37" s="33">
        <v>0.11677561123576252</v>
      </c>
      <c r="R37" s="33">
        <v>0.62412255226498359</v>
      </c>
      <c r="S37" s="33">
        <v>0.50061672618408304</v>
      </c>
      <c r="T37" s="33">
        <v>1.3013754997708538</v>
      </c>
      <c r="U37" s="33">
        <v>0.29200742458173495</v>
      </c>
      <c r="V37" s="8">
        <v>1.7368240480642101</v>
      </c>
      <c r="W37" s="289"/>
      <c r="X37" s="6" t="s">
        <v>164</v>
      </c>
      <c r="Y37" s="33">
        <v>3.3870383960250674</v>
      </c>
      <c r="Z37" s="33">
        <v>1.0338373846624487</v>
      </c>
      <c r="AA37" s="33">
        <v>0.62633691993483753</v>
      </c>
      <c r="AB37" s="33">
        <v>0.34442019199485219</v>
      </c>
      <c r="AC37" s="33">
        <v>0.89257277690986381</v>
      </c>
      <c r="AD37" s="33">
        <v>0.46563326508917319</v>
      </c>
      <c r="AE37" s="33">
        <v>1.1254191418605271</v>
      </c>
      <c r="AF37" s="33">
        <v>0.21005944893332451</v>
      </c>
      <c r="AG37" s="8">
        <v>1.4300216956371903</v>
      </c>
      <c r="AH37" s="68"/>
      <c r="AI37" s="301" t="s">
        <v>69</v>
      </c>
      <c r="AJ37" s="33">
        <v>3.0871122901175161</v>
      </c>
      <c r="AK37" s="33">
        <v>0.86919593675168516</v>
      </c>
      <c r="AL37" s="33">
        <v>0.37222477158565553</v>
      </c>
      <c r="AM37" s="33">
        <v>0.31654753999250229</v>
      </c>
      <c r="AN37" s="33">
        <v>0.67350430055432109</v>
      </c>
      <c r="AO37" s="33">
        <v>0.36183284109264779</v>
      </c>
      <c r="AP37" s="33">
        <v>1.1971728711799248</v>
      </c>
      <c r="AQ37" s="33">
        <v>8.546973781520395E-2</v>
      </c>
      <c r="AR37" s="8">
        <v>1.4676915942466586</v>
      </c>
      <c r="AS37" s="246"/>
      <c r="AT37" s="289"/>
      <c r="AU37" s="301" t="s">
        <v>381</v>
      </c>
      <c r="AV37" s="7">
        <v>49.25277329379913</v>
      </c>
      <c r="AW37" s="7">
        <v>10.222855559779118</v>
      </c>
      <c r="AX37" s="7">
        <v>4.9311636231257845</v>
      </c>
      <c r="AY37" s="7">
        <v>5.0297662217761179</v>
      </c>
      <c r="AZ37" s="7">
        <v>18.241136186775638</v>
      </c>
      <c r="BA37" s="7">
        <v>8.3382078704915834</v>
      </c>
      <c r="BB37" s="7">
        <v>20.363590143396337</v>
      </c>
      <c r="BC37" s="7">
        <v>4.9985832217370199</v>
      </c>
      <c r="BD37" s="8">
        <v>25.820787432006728</v>
      </c>
      <c r="BE37" s="136"/>
      <c r="BF37" s="58" t="s">
        <v>189</v>
      </c>
      <c r="BG37" s="32">
        <v>53.664566995158175</v>
      </c>
      <c r="BH37" s="33">
        <v>13.409981213664906</v>
      </c>
      <c r="BI37" s="33">
        <v>0.97055107695844234</v>
      </c>
      <c r="BJ37" s="33">
        <v>2.48458747310133</v>
      </c>
      <c r="BK37" s="33">
        <v>13.279203239680502</v>
      </c>
      <c r="BL37" s="33">
        <v>10.651419706044321</v>
      </c>
      <c r="BM37" s="33">
        <v>27.688840420656465</v>
      </c>
      <c r="BN37" s="33">
        <v>6.2129239272709569</v>
      </c>
      <c r="BO37" s="8">
        <v>36.953703150302346</v>
      </c>
      <c r="BP37" s="136"/>
      <c r="BQ37" s="58" t="s">
        <v>164</v>
      </c>
      <c r="BR37" s="32">
        <v>49.809388176839228</v>
      </c>
      <c r="BS37" s="33">
        <v>15.203490950918363</v>
      </c>
      <c r="BT37" s="33">
        <v>9.2108370578652572</v>
      </c>
      <c r="BU37" s="33">
        <v>5.0650028234537086</v>
      </c>
      <c r="BV37" s="33">
        <v>13.126070248674468</v>
      </c>
      <c r="BW37" s="33">
        <v>6.847548016017253</v>
      </c>
      <c r="BX37" s="33">
        <v>16.55028149794893</v>
      </c>
      <c r="BY37" s="33">
        <v>3.0891095431371252</v>
      </c>
      <c r="BZ37" s="8">
        <v>21.029730818193975</v>
      </c>
      <c r="CA37" s="68"/>
      <c r="CB37" s="301" t="s">
        <v>69</v>
      </c>
      <c r="CC37" s="7">
        <v>49.679953172151855</v>
      </c>
      <c r="CD37" s="7">
        <v>13.987704164011669</v>
      </c>
      <c r="CE37" s="7">
        <v>5.9900993174389363</v>
      </c>
      <c r="CF37" s="7">
        <v>5.0941026712665316</v>
      </c>
      <c r="CG37" s="7">
        <v>10.838498560578067</v>
      </c>
      <c r="CH37" s="7">
        <v>5.8228651608086226</v>
      </c>
      <c r="CI37" s="7">
        <v>19.265736581588747</v>
      </c>
      <c r="CJ37" s="7">
        <v>1.3754383298230439</v>
      </c>
      <c r="CK37" s="8">
        <v>23.619111590709021</v>
      </c>
    </row>
    <row r="38" spans="1:89" x14ac:dyDescent="0.25">
      <c r="A38" s="301"/>
      <c r="B38" s="30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289"/>
      <c r="M38" s="6" t="s">
        <v>191</v>
      </c>
      <c r="N38" s="33">
        <v>1.5360128226453302</v>
      </c>
      <c r="O38" s="48"/>
      <c r="P38" s="33">
        <v>6.4977272528465774E-2</v>
      </c>
      <c r="Q38" s="33">
        <v>1.5808460670234968E-2</v>
      </c>
      <c r="R38" s="33">
        <v>1.02601102161775</v>
      </c>
      <c r="S38" s="33">
        <v>0.40415873738100722</v>
      </c>
      <c r="T38" s="33">
        <v>0.85900987047526778</v>
      </c>
      <c r="U38" s="33">
        <v>0.2689943535714982</v>
      </c>
      <c r="V38" s="8">
        <v>1.2882924033716483</v>
      </c>
      <c r="W38" s="136"/>
      <c r="X38" s="6" t="s">
        <v>166</v>
      </c>
      <c r="Y38" s="33">
        <v>2.2937353841982002</v>
      </c>
      <c r="Z38" s="48"/>
      <c r="AA38" s="33">
        <v>0.31198525948804956</v>
      </c>
      <c r="AB38" s="48"/>
      <c r="AC38" s="33">
        <v>0.92195407984839273</v>
      </c>
      <c r="AD38" s="33">
        <v>0.50717075070930906</v>
      </c>
      <c r="AE38" s="33">
        <v>1.1389011107467293</v>
      </c>
      <c r="AF38" s="33">
        <v>0.35246104359330555</v>
      </c>
      <c r="AG38" s="8">
        <v>1.5733445919470141</v>
      </c>
      <c r="AH38" s="68"/>
      <c r="AI38" s="6" t="s">
        <v>72</v>
      </c>
      <c r="AJ38" s="7">
        <v>4.3059771428571434</v>
      </c>
      <c r="AK38" s="7">
        <v>2.3934085714285716</v>
      </c>
      <c r="AL38" s="7">
        <v>0.40558285714285713</v>
      </c>
      <c r="AM38" s="7">
        <v>0.49288285714285712</v>
      </c>
      <c r="AN38" s="7">
        <v>0.60792857142857148</v>
      </c>
      <c r="AO38" s="7">
        <v>0.26400857142857137</v>
      </c>
      <c r="AP38" s="7">
        <v>0.79530857142857148</v>
      </c>
      <c r="AQ38" s="7">
        <v>0.19571142857142856</v>
      </c>
      <c r="AR38" s="8">
        <v>1.216662857142857</v>
      </c>
      <c r="AS38" s="246"/>
      <c r="AT38" s="289"/>
      <c r="AU38" s="301" t="s">
        <v>380</v>
      </c>
      <c r="AV38" s="7">
        <v>53.537193653121065</v>
      </c>
      <c r="AW38" s="7">
        <v>10.393537913699202</v>
      </c>
      <c r="AX38" s="7">
        <v>5.7066925010473391</v>
      </c>
      <c r="AY38" s="7">
        <v>5.0822816296606614</v>
      </c>
      <c r="AZ38" s="7">
        <v>11.283514872224547</v>
      </c>
      <c r="BA38" s="7">
        <v>14.46572580645161</v>
      </c>
      <c r="BB38" s="7">
        <v>13.337675429409297</v>
      </c>
      <c r="BC38" s="7">
        <v>7.7196795140343504</v>
      </c>
      <c r="BD38" s="8">
        <v>22.823300691244235</v>
      </c>
      <c r="BE38" s="136"/>
      <c r="BF38" s="58" t="s">
        <v>191</v>
      </c>
      <c r="BG38" s="32">
        <v>22.588423862431327</v>
      </c>
      <c r="BH38" s="48"/>
      <c r="BI38" s="33">
        <v>0.95554812541861434</v>
      </c>
      <c r="BJ38" s="33">
        <v>0.23247736279757306</v>
      </c>
      <c r="BK38" s="33">
        <v>15.088397376731619</v>
      </c>
      <c r="BL38" s="33">
        <v>5.9435108438383413</v>
      </c>
      <c r="BM38" s="33">
        <v>12.632498095224527</v>
      </c>
      <c r="BN38" s="33">
        <v>3.9557993172279144</v>
      </c>
      <c r="BO38" s="8">
        <v>18.945476520171297</v>
      </c>
      <c r="BP38" s="136"/>
      <c r="BQ38" s="58" t="s">
        <v>166</v>
      </c>
      <c r="BR38" s="32">
        <v>29.034625116432913</v>
      </c>
      <c r="BS38" s="48"/>
      <c r="BT38" s="33">
        <v>3.9491804998487283</v>
      </c>
      <c r="BU38" s="48"/>
      <c r="BV38" s="33">
        <v>11.670304808207502</v>
      </c>
      <c r="BW38" s="33">
        <v>6.4198829203710011</v>
      </c>
      <c r="BX38" s="33">
        <v>14.416469756287713</v>
      </c>
      <c r="BY38" s="33">
        <v>4.4615321973836144</v>
      </c>
      <c r="BZ38" s="8">
        <v>19.915754328443217</v>
      </c>
      <c r="CA38" s="68"/>
      <c r="CB38" s="6" t="s">
        <v>72</v>
      </c>
      <c r="CC38" s="32">
        <v>79.110364557360711</v>
      </c>
      <c r="CD38" s="33">
        <v>43.972231699955387</v>
      </c>
      <c r="CE38" s="33">
        <v>7.4514579669824936</v>
      </c>
      <c r="CF38" s="33">
        <v>9.0553528778772208</v>
      </c>
      <c r="CG38" s="33">
        <v>11.168998189023911</v>
      </c>
      <c r="CH38" s="33">
        <v>4.8504238733891487</v>
      </c>
      <c r="CI38" s="33">
        <v>14.611584997769087</v>
      </c>
      <c r="CJ38" s="33">
        <v>3.5956536573843203</v>
      </c>
      <c r="CK38" s="8">
        <v>22.352799139130205</v>
      </c>
    </row>
    <row r="39" spans="1:89" ht="15.75" thickBot="1" x14ac:dyDescent="0.3">
      <c r="A39" s="301"/>
      <c r="B39" s="30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289"/>
      <c r="M39" s="212" t="s">
        <v>199</v>
      </c>
      <c r="N39" s="15">
        <v>3.0143451216214068</v>
      </c>
      <c r="O39" s="15">
        <v>1.4849793983359583</v>
      </c>
      <c r="P39" s="15">
        <v>0.59367409599261844</v>
      </c>
      <c r="Q39" s="51"/>
      <c r="R39" s="15">
        <v>0.81000588618972624</v>
      </c>
      <c r="S39" s="15">
        <v>1.3714249351723697</v>
      </c>
      <c r="T39" s="15">
        <v>1.2645902734691929</v>
      </c>
      <c r="U39" s="15">
        <v>0.57719531013856407</v>
      </c>
      <c r="V39" s="16">
        <v>2.0477271353346378</v>
      </c>
      <c r="W39" s="136"/>
      <c r="X39" s="211" t="s">
        <v>169</v>
      </c>
      <c r="Y39" s="33">
        <v>5.2041646156252055</v>
      </c>
      <c r="Z39" s="33">
        <v>1.8736028232735278</v>
      </c>
      <c r="AA39" s="33">
        <v>0.47005481548118283</v>
      </c>
      <c r="AB39" s="33">
        <v>0.48360276129079088</v>
      </c>
      <c r="AC39" s="33">
        <v>0.93730826097443365</v>
      </c>
      <c r="AD39" s="33">
        <v>0.1265958960561098</v>
      </c>
      <c r="AE39" s="33">
        <v>1.2350206030171145</v>
      </c>
      <c r="AF39" s="33">
        <v>0.42817125196967976</v>
      </c>
      <c r="AG39" s="8">
        <v>1.9395411823782274</v>
      </c>
      <c r="AH39" s="6"/>
      <c r="AI39" s="14" t="s">
        <v>450</v>
      </c>
      <c r="AJ39" s="24">
        <v>3.9252946305515706</v>
      </c>
      <c r="AK39" s="15">
        <v>1.0910049784828284</v>
      </c>
      <c r="AL39" s="15">
        <v>0.42296008775630739</v>
      </c>
      <c r="AM39" s="15">
        <v>0.51379630410935784</v>
      </c>
      <c r="AN39" s="15">
        <v>1.0988172587404719</v>
      </c>
      <c r="AO39" s="15"/>
      <c r="AP39" s="15">
        <v>0.8283407869940651</v>
      </c>
      <c r="AQ39" s="15">
        <v>0.43357803842151155</v>
      </c>
      <c r="AR39" s="16">
        <v>1.429098810226985</v>
      </c>
      <c r="AS39" s="246"/>
      <c r="AT39" s="289"/>
      <c r="AU39" s="301" t="s">
        <v>379</v>
      </c>
      <c r="AV39" s="7">
        <v>53.35768500948766</v>
      </c>
      <c r="AW39" s="7">
        <v>17.104703171591215</v>
      </c>
      <c r="AX39" s="7">
        <v>4.0346977500677683</v>
      </c>
      <c r="AY39" s="7">
        <v>3.3696801301165622</v>
      </c>
      <c r="AZ39" s="7">
        <v>15.96415017619951</v>
      </c>
      <c r="BA39" s="7">
        <v>6.1089048522634863</v>
      </c>
      <c r="BB39" s="7">
        <v>19.433992952019516</v>
      </c>
      <c r="BC39" s="7">
        <v>5.7051368934670643</v>
      </c>
      <c r="BD39" s="8">
        <v>23.370222282461373</v>
      </c>
      <c r="BE39" s="136"/>
      <c r="BF39" s="110" t="s">
        <v>199</v>
      </c>
      <c r="BG39" s="24">
        <v>31.729948648646388</v>
      </c>
      <c r="BH39" s="15">
        <v>15.631362087746931</v>
      </c>
      <c r="BI39" s="15">
        <v>6.2492010104486155</v>
      </c>
      <c r="BJ39" s="172"/>
      <c r="BK39" s="15">
        <v>8.5263777493655404</v>
      </c>
      <c r="BL39" s="15">
        <v>14.43605194918284</v>
      </c>
      <c r="BM39" s="15">
        <v>13.31147656283361</v>
      </c>
      <c r="BN39" s="15">
        <v>6.0757401067217272</v>
      </c>
      <c r="BO39" s="16">
        <v>21.555022477206716</v>
      </c>
      <c r="BP39" s="136"/>
      <c r="BQ39" s="58" t="s">
        <v>169</v>
      </c>
      <c r="BR39" s="32">
        <v>60.513542042153553</v>
      </c>
      <c r="BS39" s="33">
        <v>21.786079340389858</v>
      </c>
      <c r="BT39" s="33">
        <v>5.4657536683858465</v>
      </c>
      <c r="BU39" s="33">
        <v>5.6232879219859404</v>
      </c>
      <c r="BV39" s="33">
        <v>10.898933267144576</v>
      </c>
      <c r="BW39" s="33">
        <v>1.4720453029780209</v>
      </c>
      <c r="BX39" s="33">
        <v>14.360704686245517</v>
      </c>
      <c r="BY39" s="33">
        <v>4.9787354880195318</v>
      </c>
      <c r="BZ39" s="8">
        <v>22.552804446258456</v>
      </c>
      <c r="CA39" s="136"/>
      <c r="CB39" s="14" t="s">
        <v>449</v>
      </c>
      <c r="CC39" s="15">
        <v>39.649440712642125</v>
      </c>
      <c r="CD39" s="15">
        <v>11.020252307907358</v>
      </c>
      <c r="CE39" s="15">
        <v>4.2723241187505794</v>
      </c>
      <c r="CF39" s="15">
        <v>5.1898616576702814</v>
      </c>
      <c r="CG39" s="15">
        <v>11.099164229701737</v>
      </c>
      <c r="CH39" s="172"/>
      <c r="CI39" s="15">
        <v>8.3670786565057078</v>
      </c>
      <c r="CJ39" s="15">
        <v>4.3795761456718338</v>
      </c>
      <c r="CK39" s="15">
        <v>14.435341517444293</v>
      </c>
    </row>
    <row r="40" spans="1:89" x14ac:dyDescent="0.25">
      <c r="A40" s="176"/>
      <c r="B40" s="301" t="s">
        <v>229</v>
      </c>
      <c r="C40" s="7">
        <v>3.8439000654835831</v>
      </c>
      <c r="D40" s="7">
        <v>0.72025715512723798</v>
      </c>
      <c r="E40" s="7">
        <v>0.29682857648525823</v>
      </c>
      <c r="F40" s="7">
        <v>0.21690714655231105</v>
      </c>
      <c r="G40" s="7">
        <v>0.40183572113127281</v>
      </c>
      <c r="H40" s="12">
        <v>0.48004286532073026</v>
      </c>
      <c r="I40" s="48"/>
      <c r="J40" s="48"/>
      <c r="K40" s="91"/>
      <c r="L40" s="289"/>
      <c r="M40" s="289"/>
      <c r="N40" s="289"/>
      <c r="O40" s="289"/>
      <c r="P40" s="289"/>
      <c r="Q40" s="289"/>
      <c r="R40" s="289"/>
      <c r="S40" s="289"/>
      <c r="T40" s="289"/>
      <c r="U40" s="289"/>
      <c r="V40" s="289"/>
      <c r="W40" s="136"/>
      <c r="X40" s="211" t="s">
        <v>171</v>
      </c>
      <c r="Y40" s="33">
        <v>3.7966363636363636</v>
      </c>
      <c r="Z40" s="33">
        <v>1.3650818181818181</v>
      </c>
      <c r="AA40" s="33">
        <v>0.26103636363636362</v>
      </c>
      <c r="AB40" s="33">
        <v>0.13195454545454544</v>
      </c>
      <c r="AC40" s="33">
        <v>0.5572818181818181</v>
      </c>
      <c r="AD40" s="33">
        <v>0.51330909090909083</v>
      </c>
      <c r="AE40" s="33">
        <v>0.62452727272727271</v>
      </c>
      <c r="AF40" s="33">
        <v>0.20800909090909089</v>
      </c>
      <c r="AG40" s="8">
        <v>0.97598181818181806</v>
      </c>
      <c r="AH40" s="289"/>
      <c r="AI40" s="289"/>
      <c r="AJ40" s="289"/>
      <c r="AK40" s="289"/>
      <c r="AL40" s="289"/>
      <c r="AM40" s="289"/>
      <c r="AN40" s="289"/>
      <c r="AO40" s="289"/>
      <c r="AP40" s="289"/>
      <c r="AQ40" s="289"/>
      <c r="AR40" s="289"/>
      <c r="AS40" s="246"/>
      <c r="AT40" s="289"/>
      <c r="AU40" s="301" t="s">
        <v>229</v>
      </c>
      <c r="AV40" s="7">
        <v>41.332258768640678</v>
      </c>
      <c r="AW40" s="7">
        <v>7.7447005927659998</v>
      </c>
      <c r="AX40" s="7">
        <v>3.1917051234974001</v>
      </c>
      <c r="AY40" s="7">
        <v>2.3323349091646346</v>
      </c>
      <c r="AZ40" s="7">
        <v>4.3208142057126109</v>
      </c>
      <c r="BA40" s="7">
        <v>5.1617512400078525</v>
      </c>
      <c r="BB40" s="48"/>
      <c r="BC40" s="48"/>
      <c r="BD40" s="91"/>
      <c r="BE40" s="136"/>
      <c r="BF40" s="289"/>
      <c r="BG40" s="289"/>
      <c r="BH40" s="289"/>
      <c r="BI40" s="289"/>
      <c r="BJ40" s="289"/>
      <c r="BK40" s="289"/>
      <c r="BL40" s="289"/>
      <c r="BM40" s="289"/>
      <c r="BN40" s="289"/>
      <c r="BO40" s="289"/>
      <c r="BP40" s="136"/>
      <c r="BQ40" s="58" t="s">
        <v>171</v>
      </c>
      <c r="BR40" s="32">
        <v>46.872053872053868</v>
      </c>
      <c r="BS40" s="33">
        <v>16.852861952861954</v>
      </c>
      <c r="BT40" s="33">
        <v>3.2226711560044889</v>
      </c>
      <c r="BU40" s="33">
        <v>1.6290684624017955</v>
      </c>
      <c r="BV40" s="33">
        <v>6.8800224466891127</v>
      </c>
      <c r="BW40" s="33">
        <v>6.3371492704826027</v>
      </c>
      <c r="BX40" s="33">
        <v>7.7102132435465762</v>
      </c>
      <c r="BY40" s="33">
        <v>2.5680134680134681</v>
      </c>
      <c r="BZ40" s="8">
        <v>12.049158249158246</v>
      </c>
      <c r="CA40" s="136"/>
      <c r="CB40" s="289"/>
      <c r="CC40" s="289"/>
      <c r="CD40" s="289"/>
      <c r="CE40" s="289"/>
      <c r="CF40" s="289"/>
      <c r="CG40" s="289"/>
      <c r="CH40" s="289"/>
      <c r="CI40" s="289"/>
      <c r="CJ40" s="289"/>
      <c r="CK40" s="289"/>
    </row>
    <row r="41" spans="1:89" x14ac:dyDescent="0.25">
      <c r="A41" s="301"/>
      <c r="B41" s="30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289"/>
      <c r="M41" s="289"/>
      <c r="N41" s="289"/>
      <c r="O41" s="289"/>
      <c r="P41" s="289"/>
      <c r="Q41" s="289"/>
      <c r="R41" s="289"/>
      <c r="S41" s="289"/>
      <c r="T41" s="289"/>
      <c r="U41" s="289"/>
      <c r="V41" s="289"/>
      <c r="W41" s="136"/>
      <c r="X41" s="6" t="s">
        <v>173</v>
      </c>
      <c r="Y41" s="33">
        <v>3.940555719364482</v>
      </c>
      <c r="Z41" s="33">
        <v>0.90612652513696623</v>
      </c>
      <c r="AA41" s="33">
        <v>0.49657814967024816</v>
      </c>
      <c r="AB41" s="33">
        <v>0.50576425362775013</v>
      </c>
      <c r="AC41" s="33">
        <v>0.69459303238463499</v>
      </c>
      <c r="AD41" s="33">
        <v>0.8192977434835601</v>
      </c>
      <c r="AE41" s="33">
        <v>0.76276672771915943</v>
      </c>
      <c r="AF41" s="33">
        <v>0.83986598111287769</v>
      </c>
      <c r="AG41" s="8">
        <v>1.666012359637687</v>
      </c>
      <c r="AH41" s="289"/>
      <c r="AI41" s="289"/>
      <c r="AJ41" s="289"/>
      <c r="AK41" s="289"/>
      <c r="AL41" s="289"/>
      <c r="AM41" s="289"/>
      <c r="AN41" s="289"/>
      <c r="AO41" s="289"/>
      <c r="AP41" s="289"/>
      <c r="AQ41" s="289"/>
      <c r="AR41" s="289"/>
      <c r="AS41" s="246"/>
      <c r="AT41" s="289"/>
      <c r="AU41" s="301" t="s">
        <v>232</v>
      </c>
      <c r="AV41" s="7">
        <v>32.736492348572476</v>
      </c>
      <c r="AW41" s="7">
        <v>9.8284569214079891</v>
      </c>
      <c r="AX41" s="7">
        <v>2.5867069739641129</v>
      </c>
      <c r="AY41" s="7">
        <v>3.5858468832637405</v>
      </c>
      <c r="AZ41" s="7">
        <v>4.0618036523331096</v>
      </c>
      <c r="BA41" s="7">
        <v>6.020578947188775</v>
      </c>
      <c r="BB41" s="7">
        <v>11.022265723206129</v>
      </c>
      <c r="BC41" s="7">
        <v>4.9921743552858917</v>
      </c>
      <c r="BD41" s="8">
        <v>16.509645510688575</v>
      </c>
      <c r="BE41" s="136"/>
      <c r="BF41" s="289"/>
      <c r="BG41" s="289"/>
      <c r="BH41" s="289"/>
      <c r="BI41" s="289"/>
      <c r="BJ41" s="289"/>
      <c r="BK41" s="289"/>
      <c r="BL41" s="289"/>
      <c r="BM41" s="289"/>
      <c r="BN41" s="289"/>
      <c r="BO41" s="289"/>
      <c r="BP41" s="136"/>
      <c r="BQ41" s="58" t="s">
        <v>173</v>
      </c>
      <c r="BR41" s="32">
        <v>72.973254062305216</v>
      </c>
      <c r="BS41" s="33">
        <v>16.780120835869745</v>
      </c>
      <c r="BT41" s="33">
        <v>9.1958916605601519</v>
      </c>
      <c r="BU41" s="33">
        <v>9.3660046968101884</v>
      </c>
      <c r="BV41" s="33">
        <v>12.862833933048798</v>
      </c>
      <c r="BW41" s="33">
        <v>15.172180434880742</v>
      </c>
      <c r="BX41" s="33">
        <v>14.125309772577026</v>
      </c>
      <c r="BY41" s="33">
        <v>15.553073724312549</v>
      </c>
      <c r="BZ41" s="8">
        <v>30.852080734031244</v>
      </c>
      <c r="CA41" s="136"/>
      <c r="CB41" s="289"/>
      <c r="CC41" s="289"/>
      <c r="CD41" s="289"/>
      <c r="CE41" s="289"/>
      <c r="CF41" s="289"/>
      <c r="CG41" s="289"/>
      <c r="CH41" s="289"/>
      <c r="CI41" s="289"/>
      <c r="CJ41" s="289"/>
      <c r="CK41" s="289"/>
    </row>
    <row r="42" spans="1:89" x14ac:dyDescent="0.25">
      <c r="A42" s="301"/>
      <c r="B42" s="30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9"/>
      <c r="N42" s="289"/>
      <c r="O42" s="289"/>
      <c r="P42" s="289"/>
      <c r="Q42" s="289"/>
      <c r="R42" s="289"/>
      <c r="S42" s="289"/>
      <c r="T42" s="289"/>
      <c r="U42" s="289"/>
      <c r="V42" s="289"/>
      <c r="W42" s="136"/>
      <c r="X42" s="6" t="s">
        <v>174</v>
      </c>
      <c r="Y42" s="33">
        <v>3.2721565238404704</v>
      </c>
      <c r="Z42" s="33">
        <v>0.94030719941305219</v>
      </c>
      <c r="AA42" s="33">
        <v>0.46983131056001159</v>
      </c>
      <c r="AB42" s="33">
        <v>0.30985541196487792</v>
      </c>
      <c r="AC42" s="33">
        <v>1.0284818954417076</v>
      </c>
      <c r="AD42" s="48"/>
      <c r="AE42" s="33">
        <v>1.1615903250003035</v>
      </c>
      <c r="AF42" s="33">
        <v>0.13221686332150906</v>
      </c>
      <c r="AG42" s="8">
        <v>1.2413614068347953</v>
      </c>
      <c r="AH42" s="289"/>
      <c r="AI42" s="289"/>
      <c r="AJ42" s="289"/>
      <c r="AK42" s="289"/>
      <c r="AL42" s="289"/>
      <c r="AM42" s="289"/>
      <c r="AN42" s="289"/>
      <c r="AO42" s="289"/>
      <c r="AP42" s="289"/>
      <c r="AQ42" s="289"/>
      <c r="AR42" s="289"/>
      <c r="AS42" s="246"/>
      <c r="AT42" s="289"/>
      <c r="AU42" s="301" t="s">
        <v>285</v>
      </c>
      <c r="AV42" s="7">
        <v>34.296932442605595</v>
      </c>
      <c r="AW42" s="7">
        <v>15.915439545572914</v>
      </c>
      <c r="AX42" s="7">
        <v>4.1609579844093512</v>
      </c>
      <c r="AY42" s="7">
        <v>3.7540602777345522</v>
      </c>
      <c r="AZ42" s="7">
        <v>5.1802030279107951</v>
      </c>
      <c r="BA42" s="7">
        <v>4.4362429477558205</v>
      </c>
      <c r="BB42" s="7">
        <v>12.381081006805434</v>
      </c>
      <c r="BC42" s="7">
        <v>5.4087301111826829</v>
      </c>
      <c r="BD42" s="8">
        <v>20.904390236343954</v>
      </c>
      <c r="BE42" s="136"/>
      <c r="BF42" s="289"/>
      <c r="BG42" s="289"/>
      <c r="BH42" s="289"/>
      <c r="BI42" s="289"/>
      <c r="BJ42" s="289"/>
      <c r="BK42" s="289"/>
      <c r="BL42" s="289"/>
      <c r="BM42" s="289"/>
      <c r="BN42" s="289"/>
      <c r="BO42" s="289"/>
      <c r="BP42" s="136"/>
      <c r="BQ42" s="58" t="s">
        <v>174</v>
      </c>
      <c r="BR42" s="32">
        <v>62.926086996932128</v>
      </c>
      <c r="BS42" s="33">
        <v>18.082830757943309</v>
      </c>
      <c r="BT42" s="33">
        <v>9.0352175107694546</v>
      </c>
      <c r="BU42" s="33">
        <v>5.9587579224014986</v>
      </c>
      <c r="BV42" s="33">
        <v>19.778497989263606</v>
      </c>
      <c r="BW42" s="48"/>
      <c r="BX42" s="33">
        <v>22.338275480775067</v>
      </c>
      <c r="BY42" s="33">
        <v>2.5426319869520975</v>
      </c>
      <c r="BZ42" s="8">
        <v>23.872334746822986</v>
      </c>
      <c r="CA42" s="136"/>
      <c r="CB42" s="289"/>
      <c r="CC42" s="289"/>
      <c r="CD42" s="289"/>
      <c r="CE42" s="289"/>
      <c r="CF42" s="289"/>
      <c r="CG42" s="289"/>
      <c r="CH42" s="289"/>
      <c r="CI42" s="289"/>
      <c r="CJ42" s="289"/>
      <c r="CK42" s="289"/>
    </row>
    <row r="43" spans="1:89" x14ac:dyDescent="0.25">
      <c r="A43" s="301"/>
      <c r="B43" s="30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9"/>
      <c r="N43" s="289"/>
      <c r="O43" s="289"/>
      <c r="P43" s="289"/>
      <c r="Q43" s="289"/>
      <c r="R43" s="289"/>
      <c r="S43" s="289"/>
      <c r="T43" s="289"/>
      <c r="U43" s="289"/>
      <c r="V43" s="289"/>
      <c r="W43" s="136"/>
      <c r="X43" s="6" t="s">
        <v>177</v>
      </c>
      <c r="Y43" s="33">
        <v>4.0821778515567813</v>
      </c>
      <c r="Z43" s="33">
        <v>1.6889639136405779</v>
      </c>
      <c r="AA43" s="33">
        <v>0.57993977902677363</v>
      </c>
      <c r="AB43" s="33">
        <v>0.5538162841503883</v>
      </c>
      <c r="AC43" s="33">
        <v>0.70019279522010958</v>
      </c>
      <c r="AD43" s="33">
        <v>0.13608434204024944</v>
      </c>
      <c r="AE43" s="33">
        <v>1.4990422203469551</v>
      </c>
      <c r="AF43" s="33">
        <v>0.4888644746825721</v>
      </c>
      <c r="AG43" s="8">
        <v>2.197536220327784</v>
      </c>
      <c r="AH43" s="136"/>
      <c r="AI43" s="289"/>
      <c r="AJ43" s="289"/>
      <c r="AK43" s="289"/>
      <c r="AL43" s="289"/>
      <c r="AM43" s="289"/>
      <c r="AN43" s="289"/>
      <c r="AO43" s="289"/>
      <c r="AP43" s="289"/>
      <c r="AQ43" s="289"/>
      <c r="AR43" s="289"/>
      <c r="AS43" s="246"/>
      <c r="AT43" s="289"/>
      <c r="AU43" s="301" t="s">
        <v>234</v>
      </c>
      <c r="AV43" s="7">
        <v>108.78441844820615</v>
      </c>
      <c r="AW43" s="7">
        <v>18.018798715187049</v>
      </c>
      <c r="AX43" s="7">
        <v>14.182212355902738</v>
      </c>
      <c r="AY43" s="7">
        <v>12.309266715818548</v>
      </c>
      <c r="AZ43" s="7">
        <v>17.649063689996137</v>
      </c>
      <c r="BA43" s="7">
        <v>25.959940618999603</v>
      </c>
      <c r="BB43" s="7">
        <v>19.059024434812468</v>
      </c>
      <c r="BC43" s="7">
        <v>2.7760642448019626</v>
      </c>
      <c r="BD43" s="8">
        <v>24.728957174285281</v>
      </c>
      <c r="BE43" s="136"/>
      <c r="BF43" s="289"/>
      <c r="BG43" s="289"/>
      <c r="BH43" s="289"/>
      <c r="BI43" s="289"/>
      <c r="BJ43" s="289"/>
      <c r="BK43" s="289"/>
      <c r="BL43" s="289"/>
      <c r="BM43" s="289"/>
      <c r="BN43" s="289"/>
      <c r="BO43" s="289"/>
      <c r="BP43" s="136"/>
      <c r="BQ43" s="58" t="s">
        <v>177</v>
      </c>
      <c r="BR43" s="32">
        <v>40.417602490661203</v>
      </c>
      <c r="BS43" s="33">
        <v>16.722414986540375</v>
      </c>
      <c r="BT43" s="33">
        <v>5.7419780101660756</v>
      </c>
      <c r="BU43" s="33">
        <v>5.483329546043449</v>
      </c>
      <c r="BV43" s="33">
        <v>6.9326019328723723</v>
      </c>
      <c r="BW43" s="33">
        <v>1.3473697231707864</v>
      </c>
      <c r="BX43" s="33">
        <v>14.842002181653021</v>
      </c>
      <c r="BY43" s="33">
        <v>4.8402423235898233</v>
      </c>
      <c r="BZ43" s="8">
        <v>21.757784359681029</v>
      </c>
      <c r="CA43" s="136"/>
      <c r="CB43" s="289"/>
      <c r="CC43" s="289"/>
      <c r="CD43" s="289"/>
      <c r="CE43" s="289"/>
      <c r="CF43" s="289"/>
      <c r="CG43" s="289"/>
      <c r="CH43" s="289"/>
      <c r="CI43" s="289"/>
      <c r="CJ43" s="289"/>
      <c r="CK43" s="289"/>
    </row>
    <row r="44" spans="1:89" x14ac:dyDescent="0.25">
      <c r="A44" s="301"/>
      <c r="B44" s="30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9"/>
      <c r="N44" s="289"/>
      <c r="O44" s="289"/>
      <c r="P44" s="289"/>
      <c r="Q44" s="289"/>
      <c r="R44" s="289"/>
      <c r="S44" s="289"/>
      <c r="T44" s="289"/>
      <c r="U44" s="289"/>
      <c r="V44" s="289"/>
      <c r="W44" s="136"/>
      <c r="X44" s="109" t="s">
        <v>178</v>
      </c>
      <c r="Y44" s="7">
        <v>4.131327291459141</v>
      </c>
      <c r="Z44" s="7">
        <v>0.7292045263465694</v>
      </c>
      <c r="AA44" s="7">
        <v>0.5791785853992214</v>
      </c>
      <c r="AB44" s="7">
        <v>0.50942584723137385</v>
      </c>
      <c r="AC44" s="7">
        <v>1.144968657765765</v>
      </c>
      <c r="AD44" s="12">
        <v>8.1977312267329225E-2</v>
      </c>
      <c r="AE44" s="7">
        <v>1.5308497824304672</v>
      </c>
      <c r="AF44" s="7">
        <v>0.45637981264609007</v>
      </c>
      <c r="AG44" s="8">
        <v>2.2092204012250094</v>
      </c>
      <c r="AH44" s="136"/>
      <c r="AI44" s="289"/>
      <c r="AJ44" s="289"/>
      <c r="AK44" s="289"/>
      <c r="AL44" s="289"/>
      <c r="AM44" s="289"/>
      <c r="AN44" s="289"/>
      <c r="AO44" s="289"/>
      <c r="AP44" s="289"/>
      <c r="AQ44" s="289"/>
      <c r="AR44" s="289"/>
      <c r="AS44" s="246"/>
      <c r="AT44" s="289"/>
      <c r="AU44" s="301" t="s">
        <v>235</v>
      </c>
      <c r="AV44" s="7">
        <v>78.457034902796707</v>
      </c>
      <c r="AW44" s="7">
        <v>17.344853832522411</v>
      </c>
      <c r="AX44" s="7">
        <v>3.473851707929255</v>
      </c>
      <c r="AY44" s="7">
        <v>5.6361832772934877</v>
      </c>
      <c r="AZ44" s="7">
        <v>13.974582408263913</v>
      </c>
      <c r="BA44" s="7">
        <v>23.416409633086701</v>
      </c>
      <c r="BB44" s="7">
        <v>14.217698002131437</v>
      </c>
      <c r="BC44" s="7">
        <v>13.91385008366559</v>
      </c>
      <c r="BD44" s="8">
        <v>30.863012328927759</v>
      </c>
      <c r="BE44" s="136"/>
      <c r="BF44" s="289"/>
      <c r="BG44" s="289"/>
      <c r="BH44" s="289"/>
      <c r="BI44" s="289"/>
      <c r="BJ44" s="289"/>
      <c r="BK44" s="289"/>
      <c r="BL44" s="289"/>
      <c r="BM44" s="289"/>
      <c r="BN44" s="289"/>
      <c r="BO44" s="289"/>
      <c r="BP44" s="136"/>
      <c r="BQ44" s="248" t="s">
        <v>178</v>
      </c>
      <c r="BR44" s="32"/>
      <c r="BS44" s="33"/>
      <c r="BT44" s="33"/>
      <c r="BU44" s="33"/>
      <c r="BV44" s="33"/>
      <c r="BW44" s="33"/>
      <c r="BX44" s="33"/>
      <c r="BY44" s="33"/>
      <c r="BZ44" s="8"/>
      <c r="CA44" s="136"/>
      <c r="CB44" s="289"/>
      <c r="CC44" s="289"/>
      <c r="CD44" s="289"/>
      <c r="CE44" s="289"/>
      <c r="CF44" s="289"/>
      <c r="CG44" s="289"/>
      <c r="CH44" s="289"/>
      <c r="CI44" s="289"/>
      <c r="CJ44" s="289"/>
      <c r="CK44" s="289"/>
    </row>
    <row r="45" spans="1:89" x14ac:dyDescent="0.25">
      <c r="A45" s="301"/>
      <c r="B45" s="30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9"/>
      <c r="N45" s="289"/>
      <c r="O45" s="289"/>
      <c r="P45" s="289"/>
      <c r="Q45" s="289"/>
      <c r="R45" s="289"/>
      <c r="S45" s="289"/>
      <c r="T45" s="289"/>
      <c r="U45" s="289"/>
      <c r="V45" s="289"/>
      <c r="W45" s="136"/>
      <c r="X45" s="6" t="s">
        <v>181</v>
      </c>
      <c r="Y45" s="33">
        <v>3.2998002428220246</v>
      </c>
      <c r="Z45" s="33">
        <v>0.68204591092290212</v>
      </c>
      <c r="AA45" s="33">
        <v>0.46455367214560223</v>
      </c>
      <c r="AB45" s="33">
        <v>0.43560870785006173</v>
      </c>
      <c r="AC45" s="33">
        <v>0.76856868866179218</v>
      </c>
      <c r="AD45" s="33">
        <v>0.21571615496044888</v>
      </c>
      <c r="AE45" s="33">
        <v>1.0376119460060147</v>
      </c>
      <c r="AF45" s="33">
        <v>0.26338802811985629</v>
      </c>
      <c r="AG45" s="8">
        <v>1.362211699646376</v>
      </c>
      <c r="AH45" s="136"/>
      <c r="AI45" s="289"/>
      <c r="AJ45" s="289"/>
      <c r="AK45" s="289"/>
      <c r="AL45" s="289"/>
      <c r="AM45" s="289"/>
      <c r="AN45" s="289"/>
      <c r="AO45" s="289"/>
      <c r="AP45" s="289"/>
      <c r="AQ45" s="289"/>
      <c r="AR45" s="289"/>
      <c r="AS45" s="246"/>
      <c r="AT45" s="289"/>
      <c r="AU45" s="301" t="s">
        <v>237</v>
      </c>
      <c r="AV45" s="7">
        <v>79.758706898082835</v>
      </c>
      <c r="AW45" s="7">
        <v>27.055831473859584</v>
      </c>
      <c r="AX45" s="7">
        <v>5.5123843240790924</v>
      </c>
      <c r="AY45" s="7">
        <v>6.9466641932382869</v>
      </c>
      <c r="AZ45" s="7">
        <v>14.665880630313675</v>
      </c>
      <c r="BA45" s="7">
        <v>15.730253146874938</v>
      </c>
      <c r="BB45" s="7">
        <v>17.492579253648184</v>
      </c>
      <c r="BC45" s="7">
        <v>5.3939120018651003</v>
      </c>
      <c r="BD45" s="8">
        <v>28.641455374114347</v>
      </c>
      <c r="BE45" s="136"/>
      <c r="BF45" s="289"/>
      <c r="BG45" s="289"/>
      <c r="BH45" s="289"/>
      <c r="BI45" s="289"/>
      <c r="BJ45" s="289"/>
      <c r="BK45" s="289"/>
      <c r="BL45" s="289"/>
      <c r="BM45" s="289"/>
      <c r="BN45" s="289"/>
      <c r="BO45" s="289"/>
      <c r="BP45" s="136"/>
      <c r="BQ45" s="58" t="s">
        <v>181</v>
      </c>
      <c r="BR45" s="32">
        <v>44.591895173270601</v>
      </c>
      <c r="BS45" s="33">
        <v>9.216836634093271</v>
      </c>
      <c r="BT45" s="33">
        <v>6.2777523262919219</v>
      </c>
      <c r="BU45" s="33">
        <v>5.8866041601359687</v>
      </c>
      <c r="BV45" s="33">
        <v>10.386063360294489</v>
      </c>
      <c r="BW45" s="33">
        <v>2.9150831751412012</v>
      </c>
      <c r="BX45" s="33">
        <v>14.021783054135335</v>
      </c>
      <c r="BY45" s="33">
        <v>3.5592976772953553</v>
      </c>
      <c r="BZ45" s="8">
        <v>18.408266211437514</v>
      </c>
      <c r="CA45" s="136"/>
      <c r="CB45" s="289"/>
      <c r="CC45" s="289"/>
      <c r="CD45" s="289"/>
      <c r="CE45" s="289"/>
      <c r="CF45" s="289"/>
      <c r="CG45" s="289"/>
      <c r="CH45" s="289"/>
      <c r="CI45" s="289"/>
      <c r="CJ45" s="289"/>
      <c r="CK45" s="289"/>
    </row>
    <row r="46" spans="1:89"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9"/>
      <c r="N46" s="289"/>
      <c r="O46" s="289"/>
      <c r="P46" s="289"/>
      <c r="Q46" s="289"/>
      <c r="R46" s="289"/>
      <c r="S46" s="289"/>
      <c r="T46" s="289"/>
      <c r="U46" s="289"/>
      <c r="V46" s="289"/>
      <c r="W46" s="136"/>
      <c r="X46" s="6" t="s">
        <v>194</v>
      </c>
      <c r="Y46" s="33">
        <v>2.732930960597427</v>
      </c>
      <c r="Z46" s="33">
        <v>1.3232864569299971</v>
      </c>
      <c r="AA46" s="33">
        <v>0.35351907531098353</v>
      </c>
      <c r="AB46" s="48"/>
      <c r="AC46" s="33">
        <v>0.61028267599149932</v>
      </c>
      <c r="AD46" s="33">
        <v>1.3433241867677961</v>
      </c>
      <c r="AE46" s="33">
        <v>0.8238835706728731</v>
      </c>
      <c r="AF46" s="33">
        <v>1.1506552137769184</v>
      </c>
      <c r="AG46" s="8">
        <v>1.9981010661157377</v>
      </c>
      <c r="AH46" s="136"/>
      <c r="AI46" s="289"/>
      <c r="AJ46" s="289"/>
      <c r="AK46" s="289"/>
      <c r="AL46" s="289"/>
      <c r="AM46" s="289"/>
      <c r="AN46" s="289"/>
      <c r="AO46" s="289"/>
      <c r="AP46" s="289"/>
      <c r="AQ46" s="289"/>
      <c r="AR46" s="289"/>
      <c r="AS46" s="246"/>
      <c r="AT46" s="289"/>
      <c r="AU46" s="6" t="s">
        <v>239</v>
      </c>
      <c r="AV46" s="7">
        <v>39.394524778434885</v>
      </c>
      <c r="AW46" s="7">
        <v>7.3076401268263371</v>
      </c>
      <c r="AX46" s="48"/>
      <c r="AY46" s="7">
        <v>5.8165234259697076</v>
      </c>
      <c r="AZ46" s="7">
        <v>8.9786012525701118</v>
      </c>
      <c r="BA46" s="7">
        <v>10.929649942754416</v>
      </c>
      <c r="BB46" s="7">
        <v>10.994723236848555</v>
      </c>
      <c r="BC46" s="7">
        <v>4.2849099495326337</v>
      </c>
      <c r="BD46" s="8">
        <v>15.642106567809739</v>
      </c>
      <c r="BE46" s="136"/>
      <c r="BF46" s="289"/>
      <c r="BG46" s="289"/>
      <c r="BH46" s="289"/>
      <c r="BI46" s="289"/>
      <c r="BJ46" s="289"/>
      <c r="BK46" s="289"/>
      <c r="BL46" s="289"/>
      <c r="BM46" s="289"/>
      <c r="BN46" s="289"/>
      <c r="BO46" s="289"/>
      <c r="BP46" s="136"/>
      <c r="BQ46" s="58" t="s">
        <v>194</v>
      </c>
      <c r="BR46" s="32">
        <v>28.46803083955653</v>
      </c>
      <c r="BS46" s="33">
        <v>13.784233926354137</v>
      </c>
      <c r="BT46" s="33">
        <v>3.6824903678227452</v>
      </c>
      <c r="BU46" s="48"/>
      <c r="BV46" s="33">
        <v>6.3571112082447847</v>
      </c>
      <c r="BW46" s="33">
        <v>13.992960278831209</v>
      </c>
      <c r="BX46" s="33">
        <v>8.5821205278424273</v>
      </c>
      <c r="BY46" s="33">
        <v>11.985991810176234</v>
      </c>
      <c r="BZ46" s="8">
        <v>20.813552772038936</v>
      </c>
      <c r="CA46" s="136"/>
      <c r="CB46" s="289"/>
      <c r="CC46" s="289"/>
      <c r="CD46" s="289"/>
      <c r="CE46" s="289"/>
      <c r="CF46" s="289"/>
      <c r="CG46" s="289"/>
      <c r="CH46" s="289"/>
      <c r="CI46" s="289"/>
      <c r="CJ46" s="289"/>
      <c r="CK46" s="289"/>
    </row>
    <row r="47" spans="1:89" x14ac:dyDescent="0.25">
      <c r="A47" s="30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9"/>
      <c r="N47" s="289"/>
      <c r="O47" s="289"/>
      <c r="P47" s="289"/>
      <c r="Q47" s="289"/>
      <c r="R47" s="289"/>
      <c r="S47" s="289"/>
      <c r="T47" s="289"/>
      <c r="U47" s="289"/>
      <c r="V47" s="289"/>
      <c r="W47" s="136"/>
      <c r="X47" s="6" t="s">
        <v>196</v>
      </c>
      <c r="Y47" s="33">
        <v>3.9103099016259431</v>
      </c>
      <c r="Z47" s="33">
        <v>1.7232439665722805</v>
      </c>
      <c r="AA47" s="33">
        <v>0.34947806178686797</v>
      </c>
      <c r="AB47" s="33">
        <v>0.32184879246591797</v>
      </c>
      <c r="AC47" s="33">
        <v>0.98230979265577723</v>
      </c>
      <c r="AD47" s="33">
        <v>0.18049025061966983</v>
      </c>
      <c r="AE47" s="33">
        <v>0.96899999999999997</v>
      </c>
      <c r="AF47" s="33">
        <v>0.44599757757411668</v>
      </c>
      <c r="AG47" s="8">
        <v>1.3863000515933543</v>
      </c>
      <c r="AH47" s="136"/>
      <c r="AI47" s="289"/>
      <c r="AJ47" s="289"/>
      <c r="AK47" s="289"/>
      <c r="AL47" s="289"/>
      <c r="AM47" s="289"/>
      <c r="AN47" s="289"/>
      <c r="AO47" s="289"/>
      <c r="AP47" s="289"/>
      <c r="AQ47" s="289"/>
      <c r="AR47" s="289"/>
      <c r="AS47" s="246"/>
      <c r="AT47" s="289"/>
      <c r="AU47" s="6" t="s">
        <v>241</v>
      </c>
      <c r="AV47" s="7">
        <v>51.211769848676028</v>
      </c>
      <c r="AW47" s="7">
        <v>6.8773813915852582</v>
      </c>
      <c r="AX47" s="7">
        <v>6.1915406150307071</v>
      </c>
      <c r="AY47" s="7">
        <v>6.3808118355743071</v>
      </c>
      <c r="AZ47" s="7">
        <v>9.547547224797162</v>
      </c>
      <c r="BA47" s="7">
        <v>11.429284489680764</v>
      </c>
      <c r="BB47" s="7">
        <v>16.25584012549875</v>
      </c>
      <c r="BC47" s="7">
        <v>6.351979364631549</v>
      </c>
      <c r="BD47" s="8">
        <v>22.804066308482632</v>
      </c>
      <c r="BE47" s="136"/>
      <c r="BF47" s="289"/>
      <c r="BG47" s="289"/>
      <c r="BH47" s="289"/>
      <c r="BI47" s="289"/>
      <c r="BJ47" s="289"/>
      <c r="BK47" s="289"/>
      <c r="BL47" s="289"/>
      <c r="BM47" s="289"/>
      <c r="BN47" s="289"/>
      <c r="BO47" s="289"/>
      <c r="BP47" s="136"/>
      <c r="BQ47" s="58" t="s">
        <v>196</v>
      </c>
      <c r="BR47" s="32">
        <v>68.601928098700753</v>
      </c>
      <c r="BS47" s="33">
        <v>30.232350290741763</v>
      </c>
      <c r="BT47" s="33">
        <v>6.1311940664362803</v>
      </c>
      <c r="BU47" s="33">
        <v>5.6464700432617185</v>
      </c>
      <c r="BV47" s="33">
        <v>17.23350513431188</v>
      </c>
      <c r="BW47" s="33">
        <v>3.1664956249064882</v>
      </c>
      <c r="BX47" s="33">
        <v>17</v>
      </c>
      <c r="BY47" s="33">
        <v>7.8245189048090653</v>
      </c>
      <c r="BZ47" s="8">
        <v>24.321053536725515</v>
      </c>
      <c r="CA47" s="136"/>
      <c r="CB47" s="289"/>
      <c r="CC47" s="289"/>
      <c r="CD47" s="289"/>
      <c r="CE47" s="289"/>
      <c r="CF47" s="289"/>
      <c r="CG47" s="289"/>
      <c r="CH47" s="289"/>
      <c r="CI47" s="289"/>
      <c r="CJ47" s="289"/>
      <c r="CK47" s="289"/>
    </row>
    <row r="48" spans="1:89"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L48" s="289"/>
      <c r="M48" s="289"/>
      <c r="N48" s="289"/>
      <c r="O48" s="289"/>
      <c r="P48" s="289"/>
      <c r="Q48" s="289"/>
      <c r="R48" s="289"/>
      <c r="S48" s="289"/>
      <c r="T48" s="289"/>
      <c r="U48" s="289"/>
      <c r="V48" s="289"/>
      <c r="W48" s="136"/>
      <c r="X48" s="14" t="s">
        <v>197</v>
      </c>
      <c r="Y48" s="15">
        <v>5.2352922024793953</v>
      </c>
      <c r="Z48" s="15">
        <v>1.3225992233358925</v>
      </c>
      <c r="AA48" s="15">
        <v>0.58357037300202996</v>
      </c>
      <c r="AB48" s="15">
        <v>0.75927072675389851</v>
      </c>
      <c r="AC48" s="15">
        <v>1.0361912929304089</v>
      </c>
      <c r="AD48" s="15">
        <v>0.3634981799281245</v>
      </c>
      <c r="AE48" s="15">
        <v>1.4704439825707294</v>
      </c>
      <c r="AF48" s="15">
        <v>0.32044764019048794</v>
      </c>
      <c r="AG48" s="16">
        <v>1.4905234041238307</v>
      </c>
      <c r="AH48" s="289"/>
      <c r="AI48" s="289"/>
      <c r="AJ48" s="289"/>
      <c r="AK48" s="289"/>
      <c r="AL48" s="289"/>
      <c r="AM48" s="289"/>
      <c r="AN48" s="289"/>
      <c r="AO48" s="289"/>
      <c r="AP48" s="289"/>
      <c r="AQ48" s="289"/>
      <c r="AR48" s="289"/>
      <c r="AS48" s="246"/>
      <c r="AT48" s="289"/>
      <c r="AU48" s="6" t="s">
        <v>243</v>
      </c>
      <c r="AV48" s="7">
        <v>37.05217685079522</v>
      </c>
      <c r="AW48" s="7">
        <v>5.6747396216134929</v>
      </c>
      <c r="AX48" s="7">
        <v>4.283271415076995</v>
      </c>
      <c r="AY48" s="7">
        <v>5.4972520002795058</v>
      </c>
      <c r="AZ48" s="7">
        <v>6.6874903588109129</v>
      </c>
      <c r="BA48" s="7">
        <v>6.7167917409952507</v>
      </c>
      <c r="BB48" s="7">
        <v>5.550700964224454</v>
      </c>
      <c r="BC48" s="48"/>
      <c r="BD48" s="8">
        <v>10.724769142427297</v>
      </c>
      <c r="BE48" s="289"/>
      <c r="BF48" s="289"/>
      <c r="BG48" s="289"/>
      <c r="BH48" s="289"/>
      <c r="BI48" s="289"/>
      <c r="BJ48" s="289"/>
      <c r="BK48" s="289"/>
      <c r="BL48" s="289"/>
      <c r="BM48" s="289"/>
      <c r="BN48" s="289"/>
      <c r="BO48" s="289"/>
      <c r="BP48" s="136"/>
      <c r="BQ48" s="110" t="s">
        <v>197</v>
      </c>
      <c r="BR48" s="24">
        <v>111.38919579743394</v>
      </c>
      <c r="BS48" s="15">
        <v>28.140409007146651</v>
      </c>
      <c r="BT48" s="15">
        <v>12.416390914936809</v>
      </c>
      <c r="BU48" s="15">
        <v>16.154696313912737</v>
      </c>
      <c r="BV48" s="15">
        <v>22.046623253838487</v>
      </c>
      <c r="BW48" s="15">
        <v>7.7340038282579684</v>
      </c>
      <c r="BX48" s="15">
        <v>31.286042182355942</v>
      </c>
      <c r="BY48" s="15">
        <v>6.8180348976699561</v>
      </c>
      <c r="BZ48" s="16">
        <v>31.713263917528309</v>
      </c>
      <c r="CA48" s="136"/>
      <c r="CB48" s="289"/>
      <c r="CC48" s="289"/>
      <c r="CD48" s="289"/>
      <c r="CE48" s="289"/>
      <c r="CF48" s="289"/>
      <c r="CG48" s="289"/>
      <c r="CH48" s="289"/>
      <c r="CI48" s="289"/>
      <c r="CJ48" s="289"/>
      <c r="CK48" s="289"/>
    </row>
    <row r="49" spans="1:89" x14ac:dyDescent="0.25">
      <c r="A49" s="289"/>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56"/>
      <c r="AJ49" s="56"/>
      <c r="AK49" s="56"/>
      <c r="AL49" s="56"/>
      <c r="AM49" s="56"/>
      <c r="AN49" s="56"/>
      <c r="AO49" s="56"/>
      <c r="AP49" s="56"/>
      <c r="AQ49" s="56"/>
      <c r="AR49" s="56"/>
      <c r="AS49" s="246"/>
      <c r="AT49" s="289"/>
      <c r="AU49" s="6" t="s">
        <v>245</v>
      </c>
      <c r="AV49" s="7">
        <v>60.455570693376451</v>
      </c>
      <c r="AW49" s="7">
        <v>26.315915056863151</v>
      </c>
      <c r="AX49" s="7">
        <v>2.6764726020579803</v>
      </c>
      <c r="AY49" s="7">
        <v>2.804282222432589</v>
      </c>
      <c r="AZ49" s="7">
        <v>5.4423452219469697</v>
      </c>
      <c r="BA49" s="7">
        <v>3.759470899087566</v>
      </c>
      <c r="BB49" s="7">
        <v>9.8171322352317567</v>
      </c>
      <c r="BC49" s="7">
        <v>5.2725042499055439</v>
      </c>
      <c r="BD49" s="8">
        <v>17.55090094192618</v>
      </c>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row>
    <row r="50" spans="1:89" x14ac:dyDescent="0.25">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c r="AI50" s="56"/>
      <c r="AJ50" s="56"/>
      <c r="AK50" s="56"/>
      <c r="AL50" s="56"/>
      <c r="AM50" s="56"/>
      <c r="AN50" s="56"/>
      <c r="AO50" s="56"/>
      <c r="AP50" s="56"/>
      <c r="AQ50" s="56"/>
      <c r="AR50" s="56"/>
      <c r="AS50" s="246"/>
      <c r="AT50" s="289"/>
      <c r="AU50" s="6" t="s">
        <v>247</v>
      </c>
      <c r="AV50" s="7">
        <v>79.112420697160076</v>
      </c>
      <c r="AW50" s="7">
        <v>17.989237269697171</v>
      </c>
      <c r="AX50" s="7">
        <v>2.186213078919101</v>
      </c>
      <c r="AY50" s="7">
        <v>2.7199976518101283</v>
      </c>
      <c r="AZ50" s="7">
        <v>16.120385035648539</v>
      </c>
      <c r="BA50" s="7">
        <v>25.171837632687392</v>
      </c>
      <c r="BB50" s="7">
        <v>17.211900224166765</v>
      </c>
      <c r="BC50" s="48"/>
      <c r="BD50" s="8">
        <v>14.570106104330446</v>
      </c>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row>
    <row r="51" spans="1:89" x14ac:dyDescent="0.25">
      <c r="A51" s="289"/>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c r="AI51" s="56"/>
      <c r="AJ51" s="56"/>
      <c r="AK51" s="56"/>
      <c r="AL51" s="56"/>
      <c r="AM51" s="56"/>
      <c r="AN51" s="56"/>
      <c r="AO51" s="56"/>
      <c r="AP51" s="56"/>
      <c r="AQ51" s="56"/>
      <c r="AR51" s="56"/>
      <c r="AS51" s="246"/>
      <c r="AT51" s="289"/>
      <c r="AU51" s="6" t="s">
        <v>249</v>
      </c>
      <c r="AV51" s="7">
        <v>44.210008224631522</v>
      </c>
      <c r="AW51" s="7">
        <v>10.041935767075451</v>
      </c>
      <c r="AX51" s="7">
        <v>2.4289253811681957</v>
      </c>
      <c r="AY51" s="7">
        <v>2.5729952857323557</v>
      </c>
      <c r="AZ51" s="7">
        <v>7.4339868125142372</v>
      </c>
      <c r="BA51" s="7">
        <v>12.084040546537624</v>
      </c>
      <c r="BB51" s="7">
        <v>11.241606470271105</v>
      </c>
      <c r="BC51" s="7">
        <v>7.2348015576808065</v>
      </c>
      <c r="BD51" s="8">
        <v>16.288004414319097</v>
      </c>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row>
    <row r="52" spans="1:89" x14ac:dyDescent="0.25">
      <c r="A52" s="289"/>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56"/>
      <c r="AJ52" s="56"/>
      <c r="AK52" s="56"/>
      <c r="AL52" s="56"/>
      <c r="AM52" s="56"/>
      <c r="AN52" s="56"/>
      <c r="AO52" s="56"/>
      <c r="AP52" s="56"/>
      <c r="AQ52" s="56"/>
      <c r="AR52" s="56"/>
      <c r="AS52" s="246"/>
      <c r="AT52" s="289"/>
      <c r="AU52" s="6" t="s">
        <v>286</v>
      </c>
      <c r="AV52" s="7">
        <v>66.839760378541484</v>
      </c>
      <c r="AW52" s="7">
        <v>13.470979993494336</v>
      </c>
      <c r="AX52" s="7">
        <v>10.313955794462542</v>
      </c>
      <c r="AY52" s="7">
        <v>11.759695848224764</v>
      </c>
      <c r="AZ52" s="7">
        <v>19.652655060656361</v>
      </c>
      <c r="BA52" s="7">
        <v>6.507799893299441</v>
      </c>
      <c r="BB52" s="7">
        <v>14.321040058199534</v>
      </c>
      <c r="BC52" s="7">
        <v>7.6577174496848448</v>
      </c>
      <c r="BD52" s="8">
        <v>19.327303741332042</v>
      </c>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row>
    <row r="53" spans="1:89" ht="15.7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89"/>
      <c r="AI53" s="56"/>
      <c r="AJ53" s="56"/>
      <c r="AK53" s="56"/>
      <c r="AL53" s="56"/>
      <c r="AM53" s="56"/>
      <c r="AN53" s="56"/>
      <c r="AO53" s="56"/>
      <c r="AP53" s="56"/>
      <c r="AQ53" s="56"/>
      <c r="AR53" s="56"/>
      <c r="AS53" s="246"/>
      <c r="AT53" s="289"/>
      <c r="AU53" s="60" t="s">
        <v>252</v>
      </c>
      <c r="AV53" s="24">
        <v>32.626179925179642</v>
      </c>
      <c r="AW53" s="172"/>
      <c r="AX53" s="15">
        <v>3.7730832822325531</v>
      </c>
      <c r="AY53" s="15">
        <v>3.2382227901847926</v>
      </c>
      <c r="AZ53" s="15">
        <v>9.8920839967471306</v>
      </c>
      <c r="BA53" s="51"/>
      <c r="BB53" s="15">
        <v>7.8151915576907172</v>
      </c>
      <c r="BC53" s="15">
        <v>5.6843878035090656</v>
      </c>
      <c r="BD53" s="16">
        <v>13.823445938751645</v>
      </c>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row>
    <row r="54" spans="1:89" x14ac:dyDescent="0.25">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56"/>
      <c r="AJ54" s="56"/>
      <c r="AK54" s="56"/>
      <c r="AL54" s="56"/>
      <c r="AM54" s="56"/>
      <c r="AN54" s="56"/>
      <c r="AO54" s="56"/>
      <c r="AP54" s="56"/>
      <c r="AQ54" s="56"/>
      <c r="AR54" s="56"/>
      <c r="AS54" s="246"/>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row>
    <row r="55" spans="1:89" x14ac:dyDescent="0.25">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56"/>
      <c r="AJ55" s="56"/>
      <c r="AK55" s="56"/>
      <c r="AL55" s="56"/>
      <c r="AM55" s="56"/>
      <c r="AN55" s="56"/>
      <c r="AO55" s="56"/>
      <c r="AP55" s="56"/>
      <c r="AQ55" s="56"/>
      <c r="AR55" s="56"/>
      <c r="AS55" s="246"/>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row>
    <row r="56" spans="1:89" x14ac:dyDescent="0.25">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56"/>
      <c r="AJ56" s="56"/>
      <c r="AK56" s="56"/>
      <c r="AL56" s="56"/>
      <c r="AM56" s="56"/>
      <c r="AN56" s="56"/>
      <c r="AO56" s="56"/>
      <c r="AP56" s="56"/>
      <c r="AQ56" s="56"/>
      <c r="AR56" s="56"/>
      <c r="AS56" s="246"/>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row>
    <row r="57" spans="1:89" x14ac:dyDescent="0.25">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289"/>
      <c r="AH57" s="289"/>
      <c r="AI57" s="56"/>
      <c r="AJ57" s="56"/>
      <c r="AK57" s="56"/>
      <c r="AL57" s="56"/>
      <c r="AM57" s="56"/>
      <c r="AN57" s="56"/>
      <c r="AO57" s="56"/>
      <c r="AP57" s="56"/>
      <c r="AQ57" s="56"/>
      <c r="AR57" s="56"/>
      <c r="AS57" s="246"/>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row>
    <row r="58" spans="1:89" x14ac:dyDescent="0.25">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56"/>
      <c r="AJ58" s="56"/>
      <c r="AK58" s="56"/>
      <c r="AL58" s="56"/>
      <c r="AM58" s="56"/>
      <c r="AN58" s="56"/>
      <c r="AO58" s="56"/>
      <c r="AP58" s="56"/>
      <c r="AQ58" s="56"/>
      <c r="AR58" s="56"/>
      <c r="AS58" s="246"/>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row>
    <row r="59" spans="1:89" x14ac:dyDescent="0.25">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56"/>
      <c r="AJ59" s="56"/>
      <c r="AK59" s="56"/>
      <c r="AL59" s="56"/>
      <c r="AM59" s="56"/>
      <c r="AN59" s="56"/>
      <c r="AO59" s="56"/>
      <c r="AP59" s="56"/>
      <c r="AQ59" s="56"/>
      <c r="AR59" s="56"/>
      <c r="AS59" s="246"/>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row>
    <row r="60" spans="1:89" x14ac:dyDescent="0.25">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56"/>
      <c r="AJ60" s="56"/>
      <c r="AK60" s="56"/>
      <c r="AL60" s="56"/>
      <c r="AM60" s="56"/>
      <c r="AN60" s="56"/>
      <c r="AO60" s="56"/>
      <c r="AP60" s="56"/>
      <c r="AQ60" s="56"/>
      <c r="AR60" s="56"/>
      <c r="AS60" s="246"/>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7"/>
      <c r="BW60" s="289"/>
      <c r="BX60" s="289"/>
      <c r="BY60" s="289"/>
      <c r="BZ60" s="289"/>
      <c r="CA60" s="289"/>
      <c r="CB60" s="289"/>
      <c r="CC60" s="56"/>
      <c r="CD60" s="289"/>
      <c r="CE60" s="289"/>
      <c r="CF60" s="289"/>
      <c r="CG60" s="289"/>
      <c r="CH60" s="289"/>
      <c r="CI60" s="289"/>
      <c r="CJ60" s="289"/>
      <c r="CK60" s="289"/>
    </row>
    <row r="61" spans="1:89" x14ac:dyDescent="0.25">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56"/>
      <c r="AJ61" s="56"/>
      <c r="AK61" s="56"/>
      <c r="AL61" s="56"/>
      <c r="AM61" s="56"/>
      <c r="AN61" s="56"/>
      <c r="AO61" s="56"/>
      <c r="AP61" s="56"/>
      <c r="AQ61" s="56"/>
      <c r="AR61" s="56"/>
      <c r="AS61" s="246"/>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row>
    <row r="62" spans="1:89" x14ac:dyDescent="0.25">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56"/>
      <c r="AJ62" s="56"/>
      <c r="AK62" s="56"/>
      <c r="AL62" s="56"/>
      <c r="AM62" s="56"/>
      <c r="AN62" s="56"/>
      <c r="AO62" s="56"/>
      <c r="AP62" s="56"/>
      <c r="AQ62" s="56"/>
      <c r="AR62" s="56"/>
      <c r="AS62" s="246"/>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row>
    <row r="63" spans="1:89" x14ac:dyDescent="0.25">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E63" s="289"/>
      <c r="AF63" s="289"/>
      <c r="AG63" s="289"/>
      <c r="AH63" s="289"/>
      <c r="AI63" s="56"/>
      <c r="AJ63" s="56"/>
      <c r="AK63" s="56"/>
      <c r="AL63" s="56"/>
      <c r="AM63" s="56"/>
      <c r="AN63" s="56"/>
      <c r="AO63" s="56"/>
      <c r="AP63" s="56"/>
      <c r="AQ63" s="56"/>
      <c r="AR63" s="56"/>
      <c r="AS63" s="246"/>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row>
    <row r="64" spans="1:89" x14ac:dyDescent="0.25">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9"/>
      <c r="AI64" s="56"/>
      <c r="AJ64" s="56"/>
      <c r="AK64" s="56"/>
      <c r="AL64" s="56"/>
      <c r="AM64" s="56"/>
      <c r="AN64" s="56"/>
      <c r="AO64" s="56"/>
      <c r="AP64" s="56"/>
      <c r="AQ64" s="56"/>
      <c r="AR64" s="56"/>
      <c r="AS64" s="246"/>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row>
    <row r="65" spans="1:89" ht="18.75" x14ac:dyDescent="0.3">
      <c r="A65" s="289"/>
      <c r="B65" s="143" t="s">
        <v>282</v>
      </c>
      <c r="C65" s="136"/>
      <c r="D65" s="136"/>
      <c r="E65" s="136"/>
      <c r="F65" s="136"/>
      <c r="G65" s="136"/>
      <c r="H65" s="136"/>
      <c r="I65" s="136"/>
      <c r="J65" s="136"/>
      <c r="K65" s="136"/>
      <c r="L65" s="289"/>
      <c r="M65" s="143" t="s">
        <v>282</v>
      </c>
      <c r="N65" s="289"/>
      <c r="O65" s="289"/>
      <c r="P65" s="289"/>
      <c r="Q65" s="289"/>
      <c r="R65" s="289"/>
      <c r="S65" s="289"/>
      <c r="T65" s="289"/>
      <c r="U65" s="289"/>
      <c r="V65" s="289"/>
      <c r="W65" s="289"/>
      <c r="X65" s="143" t="s">
        <v>282</v>
      </c>
      <c r="Y65" s="289"/>
      <c r="Z65" s="289"/>
      <c r="AA65" s="289"/>
      <c r="AB65" s="289"/>
      <c r="AC65" s="289"/>
      <c r="AD65" s="289"/>
      <c r="AE65" s="289"/>
      <c r="AF65" s="289"/>
      <c r="AG65" s="289"/>
      <c r="AH65" s="289"/>
      <c r="AI65" s="143" t="s">
        <v>282</v>
      </c>
      <c r="AJ65" s="144"/>
      <c r="AK65" s="144"/>
      <c r="AL65" s="144"/>
      <c r="AM65" s="144"/>
      <c r="AN65" s="144"/>
      <c r="AO65" s="144"/>
      <c r="AP65" s="144"/>
      <c r="AQ65" s="144"/>
      <c r="AR65" s="144"/>
      <c r="AS65" s="246"/>
      <c r="AT65" s="289"/>
      <c r="AU65" s="143" t="s">
        <v>282</v>
      </c>
      <c r="AV65" s="136"/>
      <c r="AW65" s="136"/>
      <c r="AX65" s="136"/>
      <c r="AY65" s="136"/>
      <c r="AZ65" s="136"/>
      <c r="BA65" s="136"/>
      <c r="BB65" s="136"/>
      <c r="BC65" s="136"/>
      <c r="BD65" s="136"/>
      <c r="BE65" s="289"/>
      <c r="BF65" s="143" t="s">
        <v>282</v>
      </c>
      <c r="BG65" s="289"/>
      <c r="BH65" s="289"/>
      <c r="BI65" s="289"/>
      <c r="BJ65" s="289"/>
      <c r="BK65" s="289"/>
      <c r="BL65" s="289"/>
      <c r="BM65" s="289"/>
      <c r="BN65" s="289"/>
      <c r="BO65" s="289"/>
      <c r="BP65" s="289"/>
      <c r="BQ65" s="143" t="s">
        <v>282</v>
      </c>
      <c r="BR65" s="289"/>
      <c r="BS65" s="289"/>
      <c r="BT65" s="289"/>
      <c r="BU65" s="289"/>
      <c r="BV65" s="289"/>
      <c r="BW65" s="289"/>
      <c r="BX65" s="289"/>
      <c r="BY65" s="289"/>
      <c r="BZ65" s="289"/>
      <c r="CA65" s="6"/>
      <c r="CB65" s="143" t="s">
        <v>282</v>
      </c>
      <c r="CC65" s="136"/>
      <c r="CD65" s="136"/>
      <c r="CE65" s="136"/>
      <c r="CF65" s="136"/>
      <c r="CG65" s="136"/>
      <c r="CH65" s="136"/>
      <c r="CI65" s="136"/>
      <c r="CJ65" s="136"/>
      <c r="CK65" s="136"/>
    </row>
    <row r="66" spans="1:89" ht="15.75" thickBot="1" x14ac:dyDescent="0.3">
      <c r="A66" s="301"/>
      <c r="B66" s="1" t="s">
        <v>73</v>
      </c>
      <c r="C66" s="110" t="s">
        <v>8</v>
      </c>
      <c r="D66" s="26" t="s">
        <v>9</v>
      </c>
      <c r="E66" s="26" t="s">
        <v>10</v>
      </c>
      <c r="F66" s="26" t="s">
        <v>11</v>
      </c>
      <c r="G66" s="26" t="s">
        <v>12</v>
      </c>
      <c r="H66" s="150" t="s">
        <v>13</v>
      </c>
      <c r="I66" s="26" t="s">
        <v>14</v>
      </c>
      <c r="J66" s="26" t="s">
        <v>15</v>
      </c>
      <c r="K66" s="302" t="s">
        <v>16</v>
      </c>
      <c r="L66" s="289"/>
      <c r="M66" s="133" t="s">
        <v>0</v>
      </c>
      <c r="N66" s="137" t="s">
        <v>8</v>
      </c>
      <c r="O66" s="137" t="s">
        <v>9</v>
      </c>
      <c r="P66" s="137" t="s">
        <v>10</v>
      </c>
      <c r="Q66" s="137" t="s">
        <v>11</v>
      </c>
      <c r="R66" s="137" t="s">
        <v>12</v>
      </c>
      <c r="S66" s="138" t="s">
        <v>13</v>
      </c>
      <c r="T66" s="137" t="s">
        <v>14</v>
      </c>
      <c r="U66" s="137" t="s">
        <v>15</v>
      </c>
      <c r="V66" s="139" t="s">
        <v>16</v>
      </c>
      <c r="W66" s="289"/>
      <c r="X66" s="301" t="s">
        <v>0</v>
      </c>
      <c r="Y66" s="289" t="s">
        <v>8</v>
      </c>
      <c r="Z66" s="289" t="s">
        <v>9</v>
      </c>
      <c r="AA66" s="289" t="s">
        <v>10</v>
      </c>
      <c r="AB66" s="289" t="s">
        <v>11</v>
      </c>
      <c r="AC66" s="289" t="s">
        <v>12</v>
      </c>
      <c r="AD66" s="289" t="s">
        <v>13</v>
      </c>
      <c r="AE66" s="289" t="s">
        <v>14</v>
      </c>
      <c r="AF66" s="289" t="s">
        <v>15</v>
      </c>
      <c r="AG66" s="289" t="s">
        <v>16</v>
      </c>
      <c r="AH66" s="6"/>
      <c r="AI66" s="1" t="s">
        <v>0</v>
      </c>
      <c r="AJ66" s="229" t="s">
        <v>8</v>
      </c>
      <c r="AK66" s="3" t="s">
        <v>9</v>
      </c>
      <c r="AL66" s="3" t="s">
        <v>10</v>
      </c>
      <c r="AM66" s="3" t="s">
        <v>11</v>
      </c>
      <c r="AN66" s="3" t="s">
        <v>12</v>
      </c>
      <c r="AO66" s="3" t="s">
        <v>13</v>
      </c>
      <c r="AP66" s="3" t="s">
        <v>14</v>
      </c>
      <c r="AQ66" s="3" t="s">
        <v>15</v>
      </c>
      <c r="AR66" s="4" t="s">
        <v>16</v>
      </c>
      <c r="AS66" s="246"/>
      <c r="AT66" s="289"/>
      <c r="AU66" s="1" t="s">
        <v>73</v>
      </c>
      <c r="AV66" s="110" t="s">
        <v>8</v>
      </c>
      <c r="AW66" s="26" t="s">
        <v>9</v>
      </c>
      <c r="AX66" s="26" t="s">
        <v>10</v>
      </c>
      <c r="AY66" s="26" t="s">
        <v>11</v>
      </c>
      <c r="AZ66" s="26" t="s">
        <v>12</v>
      </c>
      <c r="BA66" s="150" t="s">
        <v>13</v>
      </c>
      <c r="BB66" s="26" t="s">
        <v>14</v>
      </c>
      <c r="BC66" s="26" t="s">
        <v>15</v>
      </c>
      <c r="BD66" s="302" t="s">
        <v>16</v>
      </c>
      <c r="BE66" s="289"/>
      <c r="BF66" s="133" t="s">
        <v>0</v>
      </c>
      <c r="BG66" s="137" t="s">
        <v>8</v>
      </c>
      <c r="BH66" s="137" t="s">
        <v>9</v>
      </c>
      <c r="BI66" s="137" t="s">
        <v>10</v>
      </c>
      <c r="BJ66" s="137" t="s">
        <v>11</v>
      </c>
      <c r="BK66" s="137" t="s">
        <v>12</v>
      </c>
      <c r="BL66" s="138" t="s">
        <v>13</v>
      </c>
      <c r="BM66" s="137" t="s">
        <v>14</v>
      </c>
      <c r="BN66" s="137" t="s">
        <v>15</v>
      </c>
      <c r="BO66" s="139" t="s">
        <v>16</v>
      </c>
      <c r="BP66" s="289"/>
      <c r="BQ66" s="301" t="s">
        <v>0</v>
      </c>
      <c r="BR66" s="110" t="s">
        <v>8</v>
      </c>
      <c r="BS66" s="26" t="s">
        <v>9</v>
      </c>
      <c r="BT66" s="26" t="s">
        <v>10</v>
      </c>
      <c r="BU66" s="26" t="s">
        <v>11</v>
      </c>
      <c r="BV66" s="26" t="s">
        <v>12</v>
      </c>
      <c r="BW66" s="26" t="s">
        <v>13</v>
      </c>
      <c r="BX66" s="26" t="s">
        <v>14</v>
      </c>
      <c r="BY66" s="26" t="s">
        <v>15</v>
      </c>
      <c r="BZ66" s="26" t="s">
        <v>16</v>
      </c>
      <c r="CA66" s="6"/>
      <c r="CB66" s="1" t="s">
        <v>0</v>
      </c>
      <c r="CC66" s="229" t="s">
        <v>8</v>
      </c>
      <c r="CD66" s="3" t="s">
        <v>9</v>
      </c>
      <c r="CE66" s="3" t="s">
        <v>10</v>
      </c>
      <c r="CF66" s="3" t="s">
        <v>11</v>
      </c>
      <c r="CG66" s="3" t="s">
        <v>12</v>
      </c>
      <c r="CH66" s="3" t="s">
        <v>13</v>
      </c>
      <c r="CI66" s="3" t="s">
        <v>14</v>
      </c>
      <c r="CJ66" s="3" t="s">
        <v>15</v>
      </c>
      <c r="CK66" s="4" t="s">
        <v>16</v>
      </c>
    </row>
    <row r="67" spans="1:89" ht="15.75" thickTop="1" x14ac:dyDescent="0.25">
      <c r="A67" s="301"/>
      <c r="B67" s="301" t="s">
        <v>216</v>
      </c>
      <c r="C67" s="7">
        <v>48.341511737565909</v>
      </c>
      <c r="D67" s="7">
        <v>12.281694722074178</v>
      </c>
      <c r="E67" s="7">
        <v>-12.395596904327935</v>
      </c>
      <c r="F67" s="7">
        <v>7.5997703860010883</v>
      </c>
      <c r="G67" s="7">
        <v>139.926201058793</v>
      </c>
      <c r="H67" s="7">
        <v>-2.217904780922582</v>
      </c>
      <c r="I67" s="7">
        <v>151.41640758401391</v>
      </c>
      <c r="J67" s="7">
        <v>3.4978684007616452</v>
      </c>
      <c r="K67" s="8">
        <v>121.71694881107453</v>
      </c>
      <c r="L67" s="289"/>
      <c r="M67" s="211" t="s">
        <v>184</v>
      </c>
      <c r="N67" s="30">
        <v>-3.8082016442589177</v>
      </c>
      <c r="O67" s="31">
        <v>-16.135196869123263</v>
      </c>
      <c r="P67" s="31">
        <v>-7.652872494747073</v>
      </c>
      <c r="Q67" s="31">
        <v>4.2053323298888685</v>
      </c>
      <c r="R67" s="31">
        <v>12.248770186253388</v>
      </c>
      <c r="S67" s="31">
        <v>10.367368944350886</v>
      </c>
      <c r="T67" s="31">
        <v>-28.386440907578763</v>
      </c>
      <c r="U67" s="31">
        <v>-4.3190204879532574</v>
      </c>
      <c r="V67" s="27">
        <v>-31.215972812512</v>
      </c>
      <c r="W67" s="289"/>
      <c r="X67" s="271" t="s">
        <v>155</v>
      </c>
      <c r="Y67" s="31">
        <v>114.61029388903523</v>
      </c>
      <c r="Z67" s="31">
        <v>249.01336325418657</v>
      </c>
      <c r="AA67" s="31">
        <v>-10.790761041932425</v>
      </c>
      <c r="AB67" s="31">
        <v>18.25394700974277</v>
      </c>
      <c r="AC67" s="31">
        <v>480.89309786489662</v>
      </c>
      <c r="AD67" s="31">
        <v>-12.879834266631452</v>
      </c>
      <c r="AE67" s="31">
        <v>430.12156075162187</v>
      </c>
      <c r="AF67" s="31">
        <v>-23.49670832938277</v>
      </c>
      <c r="AG67" s="27">
        <v>213.35686482637857</v>
      </c>
      <c r="AH67" s="6"/>
      <c r="AI67" s="301" t="s">
        <v>59</v>
      </c>
      <c r="AJ67" s="33">
        <v>88.13576217692308</v>
      </c>
      <c r="AK67" s="33">
        <v>214.02212501637595</v>
      </c>
      <c r="AL67" s="33">
        <v>9.3975372423686405</v>
      </c>
      <c r="AM67" s="33">
        <v>-7.5505186093686243</v>
      </c>
      <c r="AN67" s="33">
        <v>144.76694921665208</v>
      </c>
      <c r="AO67" s="33">
        <v>-16.652827731161125</v>
      </c>
      <c r="AP67" s="33">
        <v>207.43299575631377</v>
      </c>
      <c r="AQ67" s="33">
        <v>126.82188590543359</v>
      </c>
      <c r="AR67" s="8">
        <v>99.168563691732686</v>
      </c>
      <c r="AS67" s="246"/>
      <c r="AT67" s="289"/>
      <c r="AU67" s="301" t="s">
        <v>216</v>
      </c>
      <c r="AV67" s="7">
        <v>48.341511737565895</v>
      </c>
      <c r="AW67" s="7">
        <v>12.281694722074175</v>
      </c>
      <c r="AX67" s="7">
        <v>-12.395596904327943</v>
      </c>
      <c r="AY67" s="7">
        <v>7.5997703860010883</v>
      </c>
      <c r="AZ67" s="7">
        <v>139.926201058793</v>
      </c>
      <c r="BA67" s="7">
        <v>-2.217904780922602</v>
      </c>
      <c r="BB67" s="7">
        <v>151.41640758401391</v>
      </c>
      <c r="BC67" s="7">
        <v>3.4978684007616461</v>
      </c>
      <c r="BD67" s="8">
        <v>121.71694881107452</v>
      </c>
      <c r="BE67" s="289"/>
      <c r="BF67" s="6" t="s">
        <v>184</v>
      </c>
      <c r="BG67" s="30">
        <v>-3.8082016442589279</v>
      </c>
      <c r="BH67" s="31">
        <v>-16.135196869123259</v>
      </c>
      <c r="BI67" s="31">
        <v>-7.6528724947470703</v>
      </c>
      <c r="BJ67" s="31">
        <v>4.2053323298888712</v>
      </c>
      <c r="BK67" s="31">
        <v>12.248770186253379</v>
      </c>
      <c r="BL67" s="31">
        <v>10.367368944350885</v>
      </c>
      <c r="BM67" s="31">
        <v>-28.38644090757878</v>
      </c>
      <c r="BN67" s="31">
        <v>-4.3190204879532601</v>
      </c>
      <c r="BO67" s="27">
        <v>-31.215972812511993</v>
      </c>
      <c r="BP67" s="289"/>
      <c r="BQ67" s="271" t="s">
        <v>155</v>
      </c>
      <c r="BR67" s="7"/>
      <c r="BS67" s="7"/>
      <c r="BT67" s="7"/>
      <c r="BU67" s="7"/>
      <c r="BV67" s="7"/>
      <c r="BW67" s="7"/>
      <c r="BX67" s="7"/>
      <c r="BY67" s="7"/>
      <c r="BZ67" s="27"/>
      <c r="CA67" s="6"/>
      <c r="CB67" s="301" t="s">
        <v>202</v>
      </c>
      <c r="CC67" s="7">
        <v>88.13576217692308</v>
      </c>
      <c r="CD67" s="7">
        <v>214.0221250163759</v>
      </c>
      <c r="CE67" s="7">
        <v>9.3975372423686441</v>
      </c>
      <c r="CF67" s="7">
        <v>-7.5505186093686287</v>
      </c>
      <c r="CG67" s="7">
        <v>144.76694921665205</v>
      </c>
      <c r="CH67" s="7">
        <v>-16.652827731161128</v>
      </c>
      <c r="CI67" s="7">
        <v>207.43299575631377</v>
      </c>
      <c r="CJ67" s="7">
        <v>126.82188590543358</v>
      </c>
      <c r="CK67" s="8">
        <v>99.168563691732672</v>
      </c>
    </row>
    <row r="68" spans="1:89" x14ac:dyDescent="0.25">
      <c r="A68" s="301"/>
      <c r="B68" s="101" t="s">
        <v>283</v>
      </c>
      <c r="C68" s="7">
        <v>2.6069704449076836</v>
      </c>
      <c r="D68" s="7">
        <v>14.732860967345085</v>
      </c>
      <c r="E68" s="7">
        <v>18.121383752053529</v>
      </c>
      <c r="F68" s="7">
        <v>41.576490458249999</v>
      </c>
      <c r="G68" s="7">
        <v>34.60977930621722</v>
      </c>
      <c r="H68" s="7">
        <v>1.5833685588006172</v>
      </c>
      <c r="I68" s="7">
        <v>158.41893270880419</v>
      </c>
      <c r="J68" s="7">
        <v>61.422616072852151</v>
      </c>
      <c r="K68" s="8">
        <v>157.69568717854474</v>
      </c>
      <c r="L68" s="289"/>
      <c r="M68" s="211" t="s">
        <v>187</v>
      </c>
      <c r="N68" s="48"/>
      <c r="O68" s="33">
        <v>44.853777186191465</v>
      </c>
      <c r="P68" s="33">
        <v>5.7561091762919085</v>
      </c>
      <c r="Q68" s="33">
        <v>-36.092511326232554</v>
      </c>
      <c r="R68" s="33">
        <v>18.238931781382995</v>
      </c>
      <c r="S68" s="33">
        <v>9.1902163603766324E-2</v>
      </c>
      <c r="T68" s="33">
        <v>101.69997115144582</v>
      </c>
      <c r="U68" s="33">
        <v>-30.185546495134929</v>
      </c>
      <c r="V68" s="8">
        <v>38.298746740533389</v>
      </c>
      <c r="W68" s="289"/>
      <c r="X68" s="6" t="s">
        <v>156</v>
      </c>
      <c r="Y68" s="33">
        <v>-3.7929715364284022</v>
      </c>
      <c r="Z68" s="33">
        <v>-33.505870033373917</v>
      </c>
      <c r="AA68" s="33">
        <v>12.505878697658929</v>
      </c>
      <c r="AB68" s="33">
        <v>1.4644275105750921</v>
      </c>
      <c r="AC68" s="33">
        <v>-34.990520377574875</v>
      </c>
      <c r="AD68" s="33">
        <v>4.9111634042665031</v>
      </c>
      <c r="AE68" s="33">
        <v>34.535373414019404</v>
      </c>
      <c r="AF68" s="33">
        <v>-15.639635776962468</v>
      </c>
      <c r="AG68" s="8">
        <v>14.876709857368816</v>
      </c>
      <c r="AH68" s="6"/>
      <c r="AI68" s="301" t="s">
        <v>64</v>
      </c>
      <c r="AJ68" s="33">
        <v>31.059200689377892</v>
      </c>
      <c r="AK68" s="33">
        <v>30.94968639271918</v>
      </c>
      <c r="AL68" s="33">
        <v>2.8691616364865746</v>
      </c>
      <c r="AM68" s="33">
        <v>25.125866347907593</v>
      </c>
      <c r="AN68" s="33">
        <v>439.08095909754979</v>
      </c>
      <c r="AO68" s="33">
        <v>-3.599028355554494</v>
      </c>
      <c r="AP68" s="33">
        <v>499.12387162109331</v>
      </c>
      <c r="AQ68" s="33">
        <v>1.4481629248232799</v>
      </c>
      <c r="AR68" s="8">
        <v>121.80017616518886</v>
      </c>
      <c r="AS68" s="246"/>
      <c r="AT68" s="289"/>
      <c r="AU68" s="301" t="s">
        <v>283</v>
      </c>
      <c r="AV68" s="7">
        <v>2.6069704449076845</v>
      </c>
      <c r="AW68" s="7">
        <v>14.732860967345083</v>
      </c>
      <c r="AX68" s="7">
        <v>18.121383752053543</v>
      </c>
      <c r="AY68" s="7">
        <v>41.576490458249999</v>
      </c>
      <c r="AZ68" s="7">
        <v>34.609779306217241</v>
      </c>
      <c r="BA68" s="7">
        <v>1.5833685588006117</v>
      </c>
      <c r="BB68" s="7">
        <v>158.41893270880419</v>
      </c>
      <c r="BC68" s="7">
        <v>61.422616072852179</v>
      </c>
      <c r="BD68" s="8">
        <v>157.69568717854474</v>
      </c>
      <c r="BE68" s="289"/>
      <c r="BF68" s="6" t="s">
        <v>187</v>
      </c>
      <c r="BG68" s="48"/>
      <c r="BH68" s="33">
        <v>44.853777186191458</v>
      </c>
      <c r="BI68" s="33">
        <v>5.7561091762919121</v>
      </c>
      <c r="BJ68" s="33">
        <v>-36.092511326232554</v>
      </c>
      <c r="BK68" s="33">
        <v>18.238931781382988</v>
      </c>
      <c r="BL68" s="33">
        <v>9.1902163603768627E-2</v>
      </c>
      <c r="BM68" s="33">
        <v>101.69997115144582</v>
      </c>
      <c r="BN68" s="33">
        <v>-30.18554649513494</v>
      </c>
      <c r="BO68" s="8">
        <v>38.298746740533367</v>
      </c>
      <c r="BP68" s="289"/>
      <c r="BQ68" s="6" t="s">
        <v>156</v>
      </c>
      <c r="BR68" s="32">
        <v>-3.792971536428412</v>
      </c>
      <c r="BS68" s="33">
        <v>-33.505870033373924</v>
      </c>
      <c r="BT68" s="33">
        <v>12.50587869765894</v>
      </c>
      <c r="BU68" s="33">
        <v>1.4644275105750826</v>
      </c>
      <c r="BV68" s="33">
        <v>-34.990520377574867</v>
      </c>
      <c r="BW68" s="33">
        <v>4.9111634042665111</v>
      </c>
      <c r="BX68" s="33">
        <v>34.535373414019389</v>
      </c>
      <c r="BY68" s="33">
        <v>-15.639635776962479</v>
      </c>
      <c r="BZ68" s="8">
        <v>14.876709857368823</v>
      </c>
      <c r="CA68" s="6"/>
      <c r="CB68" s="301" t="s">
        <v>205</v>
      </c>
      <c r="CC68" s="7">
        <v>31.059200689377885</v>
      </c>
      <c r="CD68" s="7">
        <v>30.94968639271918</v>
      </c>
      <c r="CE68" s="7">
        <v>2.8691616364865795</v>
      </c>
      <c r="CF68" s="7">
        <v>25.125866347907582</v>
      </c>
      <c r="CG68" s="7">
        <v>439.08095909754979</v>
      </c>
      <c r="CH68" s="7">
        <v>-3.5990283555544851</v>
      </c>
      <c r="CI68" s="7">
        <v>499.12387162109343</v>
      </c>
      <c r="CJ68" s="7">
        <v>1.4481629248232726</v>
      </c>
      <c r="CK68" s="8">
        <v>121.8001761651889</v>
      </c>
    </row>
    <row r="69" spans="1:89" x14ac:dyDescent="0.25">
      <c r="A69" s="301"/>
      <c r="B69" s="301" t="s">
        <v>219</v>
      </c>
      <c r="C69" s="7">
        <v>38.075356723540104</v>
      </c>
      <c r="D69" s="7">
        <v>14.971465543650666</v>
      </c>
      <c r="E69" s="7">
        <v>-12.441690867807937</v>
      </c>
      <c r="F69" s="7">
        <v>-2.7535126101730891</v>
      </c>
      <c r="G69" s="7">
        <v>151.06064154113673</v>
      </c>
      <c r="H69" s="7">
        <v>0.64518289596944933</v>
      </c>
      <c r="I69" s="7">
        <v>183.78803240821244</v>
      </c>
      <c r="J69" s="7">
        <v>-37.914468485769326</v>
      </c>
      <c r="K69" s="8">
        <v>109.5904345301519</v>
      </c>
      <c r="L69" s="289"/>
      <c r="M69" s="6" t="s">
        <v>188</v>
      </c>
      <c r="N69" s="32">
        <v>-10.122797992748319</v>
      </c>
      <c r="O69" s="33">
        <v>-20.384808570039851</v>
      </c>
      <c r="P69" s="33">
        <v>-11.777416326489073</v>
      </c>
      <c r="Q69" s="33">
        <v>-8.7603745801560251</v>
      </c>
      <c r="R69" s="33">
        <v>-7.9167954299864354</v>
      </c>
      <c r="S69" s="33">
        <v>-6.8917701874699731</v>
      </c>
      <c r="T69" s="33">
        <v>-1.6490059115227047</v>
      </c>
      <c r="U69" s="33">
        <v>-4.4104828174978801</v>
      </c>
      <c r="V69" s="8">
        <v>-21.188055447307907</v>
      </c>
      <c r="W69" s="289"/>
      <c r="X69" s="6" t="s">
        <v>161</v>
      </c>
      <c r="Y69" s="33">
        <v>36.210639415623497</v>
      </c>
      <c r="Z69" s="33">
        <v>57.495167400133859</v>
      </c>
      <c r="AA69" s="33">
        <v>10.754358792430102</v>
      </c>
      <c r="AB69" s="33">
        <v>-20.047537638363806</v>
      </c>
      <c r="AC69" s="33">
        <v>85.598200406892673</v>
      </c>
      <c r="AD69" s="33">
        <v>14.704622017331742</v>
      </c>
      <c r="AE69" s="33">
        <v>175.9403676399553</v>
      </c>
      <c r="AF69" s="33">
        <v>-39.890938774450689</v>
      </c>
      <c r="AG69" s="8">
        <v>45.974313222017742</v>
      </c>
      <c r="AH69" s="6"/>
      <c r="AI69" s="301" t="s">
        <v>66</v>
      </c>
      <c r="AJ69" s="33">
        <v>49.825777854716044</v>
      </c>
      <c r="AK69" s="33">
        <v>83.21746479551156</v>
      </c>
      <c r="AL69" s="33">
        <v>-10.1817809616473</v>
      </c>
      <c r="AM69" s="33">
        <v>-5.1040926442309675E-2</v>
      </c>
      <c r="AN69" s="33">
        <v>103.76061136040316</v>
      </c>
      <c r="AO69" s="48"/>
      <c r="AP69" s="33">
        <v>235.56977092539682</v>
      </c>
      <c r="AQ69" s="33">
        <v>28.438556519439786</v>
      </c>
      <c r="AR69" s="8">
        <v>172.72384873391977</v>
      </c>
      <c r="AS69" s="246"/>
      <c r="AT69" s="289"/>
      <c r="AU69" s="301" t="s">
        <v>219</v>
      </c>
      <c r="AV69" s="7">
        <v>38.075356723540118</v>
      </c>
      <c r="AW69" s="7">
        <v>14.97146554365065</v>
      </c>
      <c r="AX69" s="7">
        <v>-12.441690867807933</v>
      </c>
      <c r="AY69" s="7">
        <v>-2.7535126101730754</v>
      </c>
      <c r="AZ69" s="7">
        <v>151.06064154113673</v>
      </c>
      <c r="BA69" s="7">
        <v>0.64518289596945844</v>
      </c>
      <c r="BB69" s="7">
        <v>183.78803240821242</v>
      </c>
      <c r="BC69" s="7">
        <v>-37.914468485769326</v>
      </c>
      <c r="BD69" s="8">
        <v>109.5904345301519</v>
      </c>
      <c r="BE69" s="289"/>
      <c r="BF69" s="6" t="s">
        <v>188</v>
      </c>
      <c r="BG69" s="32">
        <v>-10.122797992748323</v>
      </c>
      <c r="BH69" s="33">
        <v>-20.384808570039851</v>
      </c>
      <c r="BI69" s="33">
        <v>-11.777416326489067</v>
      </c>
      <c r="BJ69" s="33">
        <v>-8.7603745801560198</v>
      </c>
      <c r="BK69" s="33">
        <v>-7.9167954299864407</v>
      </c>
      <c r="BL69" s="33">
        <v>-6.8917701874699668</v>
      </c>
      <c r="BM69" s="33">
        <v>-1.6490059115226967</v>
      </c>
      <c r="BN69" s="33">
        <v>-4.4104828174978854</v>
      </c>
      <c r="BO69" s="8">
        <v>-21.18805544730791</v>
      </c>
      <c r="BP69" s="289"/>
      <c r="BQ69" s="6" t="s">
        <v>161</v>
      </c>
      <c r="BR69" s="32">
        <v>36.210639415623469</v>
      </c>
      <c r="BS69" s="33">
        <v>57.495167400133887</v>
      </c>
      <c r="BT69" s="33">
        <v>10.754358792430098</v>
      </c>
      <c r="BU69" s="33">
        <v>-20.047537638363817</v>
      </c>
      <c r="BV69" s="33">
        <v>85.598200406892673</v>
      </c>
      <c r="BW69" s="33">
        <v>14.704622017331737</v>
      </c>
      <c r="BX69" s="33">
        <v>175.9403676399553</v>
      </c>
      <c r="BY69" s="33">
        <v>-39.890938774450689</v>
      </c>
      <c r="BZ69" s="8">
        <v>45.974313222017756</v>
      </c>
      <c r="CA69" s="6"/>
      <c r="CB69" s="301" t="s">
        <v>207</v>
      </c>
      <c r="CC69" s="7">
        <v>49.82577785471603</v>
      </c>
      <c r="CD69" s="7">
        <v>83.21746479551156</v>
      </c>
      <c r="CE69" s="7">
        <v>-10.181780961647311</v>
      </c>
      <c r="CF69" s="7">
        <v>-5.1040926442302688E-2</v>
      </c>
      <c r="CG69" s="7">
        <v>103.76061136040316</v>
      </c>
      <c r="CH69" s="48"/>
      <c r="CI69" s="7">
        <v>235.56977092539685</v>
      </c>
      <c r="CJ69" s="7">
        <v>28.438556519439789</v>
      </c>
      <c r="CK69" s="8">
        <v>172.72384873391977</v>
      </c>
    </row>
    <row r="70" spans="1:89" x14ac:dyDescent="0.25">
      <c r="A70" s="301"/>
      <c r="B70" s="301" t="s">
        <v>221</v>
      </c>
      <c r="C70" s="7">
        <v>50.454615212952362</v>
      </c>
      <c r="D70" s="7">
        <v>3.7225097067579966</v>
      </c>
      <c r="E70" s="7">
        <v>9.9771611037654964</v>
      </c>
      <c r="F70" s="7">
        <v>20.502957120219701</v>
      </c>
      <c r="G70" s="7">
        <v>342.92925896986998</v>
      </c>
      <c r="H70" s="7">
        <v>-15.533781140161532</v>
      </c>
      <c r="I70" s="7">
        <v>392.9633905018112</v>
      </c>
      <c r="J70" s="7">
        <v>-5.1645413422406525</v>
      </c>
      <c r="K70" s="8">
        <v>157.50265900506921</v>
      </c>
      <c r="L70" s="289"/>
      <c r="M70" s="6" t="s">
        <v>189</v>
      </c>
      <c r="N70" s="32">
        <v>8.4534132847623535</v>
      </c>
      <c r="O70" s="33">
        <v>-14.60607292744284</v>
      </c>
      <c r="P70" s="33">
        <v>-65.127167540692881</v>
      </c>
      <c r="Q70" s="33">
        <v>-46.61861249423319</v>
      </c>
      <c r="R70" s="33">
        <v>72.395616614207015</v>
      </c>
      <c r="S70" s="33">
        <v>15.819321189076474</v>
      </c>
      <c r="T70" s="33">
        <v>79.837767719374568</v>
      </c>
      <c r="U70" s="33">
        <v>1.0459440242301583</v>
      </c>
      <c r="V70" s="8">
        <v>42.937646653511536</v>
      </c>
      <c r="W70" s="289"/>
      <c r="X70" s="6" t="s">
        <v>164</v>
      </c>
      <c r="Y70" s="33">
        <v>24.595971547205558</v>
      </c>
      <c r="Z70" s="33">
        <v>-19.037983309407217</v>
      </c>
      <c r="AA70" s="33">
        <v>26.157903550604715</v>
      </c>
      <c r="AB70" s="33">
        <v>9.9107022294091802</v>
      </c>
      <c r="AC70" s="33">
        <v>120.70305605460776</v>
      </c>
      <c r="AD70" s="33">
        <v>24.65236401443816</v>
      </c>
      <c r="AE70" s="33">
        <v>169.31826021467677</v>
      </c>
      <c r="AF70" s="33">
        <v>-3.0909487992920828</v>
      </c>
      <c r="AG70" s="8">
        <v>126.91821745092007</v>
      </c>
      <c r="AH70" s="6"/>
      <c r="AI70" s="301" t="s">
        <v>69</v>
      </c>
      <c r="AJ70" s="33">
        <v>27.124071285552947</v>
      </c>
      <c r="AK70" s="33">
        <v>27.156370231797123</v>
      </c>
      <c r="AL70" s="33">
        <v>17.226900791509571</v>
      </c>
      <c r="AM70" s="33">
        <v>5.2880530271898589</v>
      </c>
      <c r="AN70" s="33">
        <v>130.68552337543724</v>
      </c>
      <c r="AO70" s="33">
        <v>110.73971548232902</v>
      </c>
      <c r="AP70" s="33">
        <v>55.959050204285454</v>
      </c>
      <c r="AQ70" s="33">
        <v>-46.788500249341695</v>
      </c>
      <c r="AR70" s="8">
        <v>43.607158427836247</v>
      </c>
      <c r="AS70" s="246"/>
      <c r="AT70" s="289"/>
      <c r="AU70" s="301" t="s">
        <v>221</v>
      </c>
      <c r="AV70" s="7">
        <v>50.454615212952348</v>
      </c>
      <c r="AW70" s="7">
        <v>3.7225097067580029</v>
      </c>
      <c r="AX70" s="7">
        <v>9.9771611037655106</v>
      </c>
      <c r="AY70" s="7">
        <v>20.502957120219694</v>
      </c>
      <c r="AZ70" s="7">
        <v>342.92925896987003</v>
      </c>
      <c r="BA70" s="7">
        <v>-15.533781140161526</v>
      </c>
      <c r="BB70" s="7">
        <v>392.96339050181109</v>
      </c>
      <c r="BC70" s="7">
        <v>-5.1645413422406534</v>
      </c>
      <c r="BD70" s="8">
        <v>157.50265900506923</v>
      </c>
      <c r="BE70" s="289"/>
      <c r="BF70" s="6" t="s">
        <v>189</v>
      </c>
      <c r="BG70" s="32">
        <v>8.4534132847623678</v>
      </c>
      <c r="BH70" s="33">
        <v>-14.606072927442849</v>
      </c>
      <c r="BI70" s="33">
        <v>-65.127167540692895</v>
      </c>
      <c r="BJ70" s="33">
        <v>-46.618612494233204</v>
      </c>
      <c r="BK70" s="33">
        <v>72.395616614207015</v>
      </c>
      <c r="BL70" s="33">
        <v>15.819321189076465</v>
      </c>
      <c r="BM70" s="33">
        <v>79.837767719374568</v>
      </c>
      <c r="BN70" s="33">
        <v>1.0459440242301659</v>
      </c>
      <c r="BO70" s="8">
        <v>42.937646653511557</v>
      </c>
      <c r="BP70" s="289"/>
      <c r="BQ70" s="6" t="s">
        <v>164</v>
      </c>
      <c r="BR70" s="32">
        <v>24.595971547205576</v>
      </c>
      <c r="BS70" s="33">
        <v>-19.037983309407213</v>
      </c>
      <c r="BT70" s="33">
        <v>26.157903550604711</v>
      </c>
      <c r="BU70" s="33">
        <v>9.9107022294091927</v>
      </c>
      <c r="BV70" s="33">
        <v>120.70305605460779</v>
      </c>
      <c r="BW70" s="33">
        <v>24.65236401443816</v>
      </c>
      <c r="BX70" s="33">
        <v>169.3182602146768</v>
      </c>
      <c r="BY70" s="33">
        <v>-3.0909487992920819</v>
      </c>
      <c r="BZ70" s="8">
        <v>126.9182174509201</v>
      </c>
      <c r="CA70" s="6"/>
      <c r="CB70" s="301" t="s">
        <v>209</v>
      </c>
      <c r="CC70" s="7">
        <v>27.124071285552954</v>
      </c>
      <c r="CD70" s="7">
        <v>27.156370231797112</v>
      </c>
      <c r="CE70" s="7">
        <v>17.226900791509554</v>
      </c>
      <c r="CF70" s="7">
        <v>5.2880530271898429</v>
      </c>
      <c r="CG70" s="7">
        <v>130.68552337543724</v>
      </c>
      <c r="CH70" s="7">
        <v>110.73971548232903</v>
      </c>
      <c r="CI70" s="7">
        <v>55.959050204285468</v>
      </c>
      <c r="CJ70" s="7">
        <v>-46.788500249341695</v>
      </c>
      <c r="CK70" s="8">
        <v>43.607158427836218</v>
      </c>
    </row>
    <row r="71" spans="1:89" x14ac:dyDescent="0.25">
      <c r="A71" s="301"/>
      <c r="B71" s="301" t="s">
        <v>223</v>
      </c>
      <c r="C71" s="7">
        <v>17.105624700452125</v>
      </c>
      <c r="D71" s="7">
        <v>6.4541119298438216</v>
      </c>
      <c r="E71" s="7">
        <v>-5.4221640535809534</v>
      </c>
      <c r="F71" s="7">
        <v>-2.5911799710137369</v>
      </c>
      <c r="G71" s="7">
        <v>71.524226082575964</v>
      </c>
      <c r="H71" s="7">
        <v>5.9670006686913446</v>
      </c>
      <c r="I71" s="7">
        <v>78.463680777956171</v>
      </c>
      <c r="J71" s="7">
        <v>27.285581737872761</v>
      </c>
      <c r="K71" s="8">
        <v>44.335697415581699</v>
      </c>
      <c r="L71" s="289"/>
      <c r="M71" s="6" t="s">
        <v>191</v>
      </c>
      <c r="N71" s="32">
        <v>10.480523268778759</v>
      </c>
      <c r="O71" s="48"/>
      <c r="P71" s="33">
        <v>-35.793586296930748</v>
      </c>
      <c r="Q71" s="33">
        <v>-91.061830665317473</v>
      </c>
      <c r="R71" s="33">
        <v>53.064534841256084</v>
      </c>
      <c r="S71" s="33">
        <v>-1.1712514199635218</v>
      </c>
      <c r="T71" s="33">
        <v>87.596674556337035</v>
      </c>
      <c r="U71" s="33">
        <v>-40.856747769622558</v>
      </c>
      <c r="V71" s="8">
        <v>18.749051870102907</v>
      </c>
      <c r="W71" s="289"/>
      <c r="X71" s="6" t="s">
        <v>166</v>
      </c>
      <c r="Y71" s="33">
        <v>11.697840373751047</v>
      </c>
      <c r="Z71" s="48"/>
      <c r="AA71" s="33">
        <v>-3.5892353247123836</v>
      </c>
      <c r="AB71" s="48"/>
      <c r="AC71" s="33">
        <v>94.062058014166624</v>
      </c>
      <c r="AD71" s="33">
        <v>-29.863846659594568</v>
      </c>
      <c r="AE71" s="33">
        <v>95.5633916277297</v>
      </c>
      <c r="AF71" s="33">
        <v>-6.2578111875790796</v>
      </c>
      <c r="AG71" s="8">
        <v>61.550500416594367</v>
      </c>
      <c r="AH71" s="6"/>
      <c r="AI71" s="6" t="s">
        <v>72</v>
      </c>
      <c r="AJ71" s="289">
        <v>4.9555210610484339</v>
      </c>
      <c r="AK71" s="289">
        <v>-4.4939447771360763</v>
      </c>
      <c r="AL71" s="289">
        <v>1.4548487832494652</v>
      </c>
      <c r="AM71" s="289">
        <v>-4.3879395905289833</v>
      </c>
      <c r="AN71" s="289">
        <v>3.5643531867942548</v>
      </c>
      <c r="AO71" s="289">
        <v>-6.656088124252495</v>
      </c>
      <c r="AP71" s="289">
        <v>-4.8440556731055944</v>
      </c>
      <c r="AQ71" s="289">
        <v>-26.70446614548111</v>
      </c>
      <c r="AR71" s="301">
        <v>1.9146053819120559</v>
      </c>
      <c r="AS71" s="246"/>
      <c r="AT71" s="289"/>
      <c r="AU71" s="301" t="s">
        <v>223</v>
      </c>
      <c r="AV71" s="7">
        <v>17.105624700452111</v>
      </c>
      <c r="AW71" s="7">
        <v>6.454111929843795</v>
      </c>
      <c r="AX71" s="7">
        <v>-5.4221640535809534</v>
      </c>
      <c r="AY71" s="7">
        <v>-2.5911799710137369</v>
      </c>
      <c r="AZ71" s="7">
        <v>71.524226082575964</v>
      </c>
      <c r="BA71" s="7">
        <v>5.9670006686913446</v>
      </c>
      <c r="BB71" s="7">
        <v>78.463680777956156</v>
      </c>
      <c r="BC71" s="7">
        <v>27.285581737872739</v>
      </c>
      <c r="BD71" s="8">
        <v>44.335697415581684</v>
      </c>
      <c r="BE71" s="289"/>
      <c r="BF71" s="6" t="s">
        <v>191</v>
      </c>
      <c r="BG71" s="32">
        <v>10.480523268778748</v>
      </c>
      <c r="BH71" s="48"/>
      <c r="BI71" s="33">
        <v>-35.793586296930755</v>
      </c>
      <c r="BJ71" s="33">
        <v>-91.061830665317473</v>
      </c>
      <c r="BK71" s="33">
        <v>53.064534841256105</v>
      </c>
      <c r="BL71" s="33">
        <v>-1.1712514199635258</v>
      </c>
      <c r="BM71" s="33">
        <v>87.596674556337035</v>
      </c>
      <c r="BN71" s="33">
        <v>-40.856747769622551</v>
      </c>
      <c r="BO71" s="8">
        <v>18.749051870102907</v>
      </c>
      <c r="BP71" s="289"/>
      <c r="BQ71" s="6" t="s">
        <v>166</v>
      </c>
      <c r="BR71" s="32">
        <v>11.69784037375104</v>
      </c>
      <c r="BS71" s="48"/>
      <c r="BT71" s="33">
        <v>-3.5892353247123818</v>
      </c>
      <c r="BU71" s="48"/>
      <c r="BV71" s="33">
        <v>94.06205801416661</v>
      </c>
      <c r="BW71" s="33">
        <v>-29.863846659594561</v>
      </c>
      <c r="BX71" s="33">
        <v>95.5633916277297</v>
      </c>
      <c r="BY71" s="33">
        <v>-6.2578111875790903</v>
      </c>
      <c r="BZ71" s="8">
        <v>61.550500416594353</v>
      </c>
      <c r="CA71" s="289"/>
      <c r="CB71" s="6" t="s">
        <v>210</v>
      </c>
      <c r="CC71" s="7">
        <v>4.9555210610484437</v>
      </c>
      <c r="CD71" s="7">
        <v>-4.4939447771360754</v>
      </c>
      <c r="CE71" s="7">
        <v>1.4548487832494661</v>
      </c>
      <c r="CF71" s="7">
        <v>-4.3879395905289842</v>
      </c>
      <c r="CG71" s="7">
        <v>3.5643531867942566</v>
      </c>
      <c r="CH71" s="7">
        <v>-6.6560881242524976</v>
      </c>
      <c r="CI71" s="7">
        <v>-4.8440556731055979</v>
      </c>
      <c r="CJ71" s="7">
        <v>-26.704466145481113</v>
      </c>
      <c r="CK71" s="8">
        <v>1.9146053819120565</v>
      </c>
    </row>
    <row r="72" spans="1:89" ht="15.75" thickBot="1" x14ac:dyDescent="0.3">
      <c r="A72" s="301"/>
      <c r="B72" s="301" t="s">
        <v>228</v>
      </c>
      <c r="C72" s="7">
        <v>25.200310148230702</v>
      </c>
      <c r="D72" s="7">
        <v>2.1846540139830726</v>
      </c>
      <c r="E72" s="7">
        <v>10.987251900418476</v>
      </c>
      <c r="F72" s="7">
        <v>-11.06886724407881</v>
      </c>
      <c r="G72" s="7">
        <v>141.54528541152294</v>
      </c>
      <c r="H72" s="7">
        <v>-10.191910560421583</v>
      </c>
      <c r="I72" s="7">
        <v>114.56535204944625</v>
      </c>
      <c r="J72" s="7">
        <v>5.2977083897213868</v>
      </c>
      <c r="K72" s="8">
        <v>57.126199253834152</v>
      </c>
      <c r="L72" s="289"/>
      <c r="M72" s="212" t="s">
        <v>199</v>
      </c>
      <c r="N72" s="24">
        <v>-17.867686277717223</v>
      </c>
      <c r="O72" s="15">
        <v>-9.5402323823367432</v>
      </c>
      <c r="P72" s="15">
        <v>-4.7128856003377937</v>
      </c>
      <c r="Q72" s="51"/>
      <c r="R72" s="15">
        <v>-7.1292246905321512</v>
      </c>
      <c r="S72" s="15">
        <v>8.9077279817981374</v>
      </c>
      <c r="T72" s="15">
        <v>2.9289279275077811</v>
      </c>
      <c r="U72" s="15">
        <v>8.7039665962100905</v>
      </c>
      <c r="V72" s="16">
        <v>23.044613371995379</v>
      </c>
      <c r="W72" s="289"/>
      <c r="X72" s="211" t="s">
        <v>169</v>
      </c>
      <c r="Y72" s="33">
        <v>46.272523195097001</v>
      </c>
      <c r="Z72" s="33">
        <v>30.76180802421154</v>
      </c>
      <c r="AA72" s="33">
        <v>-2.311268106565096</v>
      </c>
      <c r="AB72" s="33">
        <v>-8.5175349022032432</v>
      </c>
      <c r="AC72" s="33">
        <v>19.459755822811761</v>
      </c>
      <c r="AD72" s="33">
        <v>-37.250613715708333</v>
      </c>
      <c r="AE72" s="33">
        <v>64.810389022157452</v>
      </c>
      <c r="AF72" s="33">
        <v>97.778256037527427</v>
      </c>
      <c r="AG72" s="8">
        <v>93.934609158773469</v>
      </c>
      <c r="AH72" s="6"/>
      <c r="AI72" s="14" t="s">
        <v>449</v>
      </c>
      <c r="AJ72" s="26">
        <v>-10.221947159232318</v>
      </c>
      <c r="AK72" s="26">
        <v>-15.913994962704187</v>
      </c>
      <c r="AL72" s="26">
        <v>-31.597167582576546</v>
      </c>
      <c r="AM72" s="26">
        <v>-17.918288280053652</v>
      </c>
      <c r="AN72" s="26">
        <v>33.697444450220949</v>
      </c>
      <c r="AO72" s="300"/>
      <c r="AP72" s="26">
        <v>78.498798955203299</v>
      </c>
      <c r="AQ72" s="26">
        <v>-0.45392207798201012</v>
      </c>
      <c r="AR72" s="302">
        <v>62.518784642365475</v>
      </c>
      <c r="AS72" s="246"/>
      <c r="AT72" s="289"/>
      <c r="AU72" s="301" t="s">
        <v>228</v>
      </c>
      <c r="AV72" s="7">
        <v>25.200310148230692</v>
      </c>
      <c r="AW72" s="7">
        <v>2.1846540139830859</v>
      </c>
      <c r="AX72" s="7">
        <v>10.987251900418471</v>
      </c>
      <c r="AY72" s="7">
        <v>-11.068867244078815</v>
      </c>
      <c r="AZ72" s="7">
        <v>141.54528541152294</v>
      </c>
      <c r="BA72" s="7">
        <v>-10.191910560421581</v>
      </c>
      <c r="BB72" s="7">
        <v>114.56535204944622</v>
      </c>
      <c r="BC72" s="7">
        <v>5.2977083897213912</v>
      </c>
      <c r="BD72" s="8">
        <v>57.126199253834166</v>
      </c>
      <c r="BE72" s="289"/>
      <c r="BF72" s="14" t="s">
        <v>199</v>
      </c>
      <c r="BG72" s="24">
        <v>-17.867686277717219</v>
      </c>
      <c r="BH72" s="15">
        <v>-9.5402323823367201</v>
      </c>
      <c r="BI72" s="15">
        <v>-4.7128856003377901</v>
      </c>
      <c r="BJ72" s="172"/>
      <c r="BK72" s="15">
        <v>-7.1292246905321486</v>
      </c>
      <c r="BL72" s="15">
        <v>8.9077279817981463</v>
      </c>
      <c r="BM72" s="15">
        <v>2.928927927507782</v>
      </c>
      <c r="BN72" s="15">
        <v>8.7039665962100923</v>
      </c>
      <c r="BO72" s="16">
        <v>23.044613371995379</v>
      </c>
      <c r="BP72" s="289"/>
      <c r="BQ72" s="6" t="s">
        <v>169</v>
      </c>
      <c r="BR72" s="32">
        <v>46.272523195097001</v>
      </c>
      <c r="BS72" s="33">
        <v>30.76180802421154</v>
      </c>
      <c r="BT72" s="33">
        <v>-2.3112681065650995</v>
      </c>
      <c r="BU72" s="33">
        <v>-8.5175349022032396</v>
      </c>
      <c r="BV72" s="33">
        <v>19.459755822811744</v>
      </c>
      <c r="BW72" s="33">
        <v>-37.250613715708333</v>
      </c>
      <c r="BX72" s="33">
        <v>64.810389022157466</v>
      </c>
      <c r="BY72" s="33">
        <v>97.778256037527413</v>
      </c>
      <c r="BZ72" s="8">
        <v>93.934609158773455</v>
      </c>
      <c r="CA72" s="289"/>
      <c r="CB72" s="14" t="s">
        <v>454</v>
      </c>
      <c r="CC72" s="24">
        <v>-10.221947159232329</v>
      </c>
      <c r="CD72" s="15">
        <v>-15.913994962704194</v>
      </c>
      <c r="CE72" s="15">
        <v>-31.597167582576553</v>
      </c>
      <c r="CF72" s="15">
        <v>-17.918288280053645</v>
      </c>
      <c r="CG72" s="15">
        <v>33.697444450220942</v>
      </c>
      <c r="CH72" s="172"/>
      <c r="CI72" s="15">
        <v>78.498798955203299</v>
      </c>
      <c r="CJ72" s="15">
        <v>-0.45392207798200118</v>
      </c>
      <c r="CK72" s="16">
        <v>62.518784642365468</v>
      </c>
    </row>
    <row r="73" spans="1:89" x14ac:dyDescent="0.25">
      <c r="A73" s="176"/>
      <c r="B73" s="301" t="s">
        <v>229</v>
      </c>
      <c r="C73" s="7">
        <v>-3.7604423991685012</v>
      </c>
      <c r="D73" s="7">
        <v>-40.687421434258063</v>
      </c>
      <c r="E73" s="7">
        <v>38.44896914781522</v>
      </c>
      <c r="F73" s="7">
        <v>5.7791969826489478</v>
      </c>
      <c r="G73" s="7">
        <v>69.639628028672035</v>
      </c>
      <c r="H73" s="7">
        <v>-44.651303392981468</v>
      </c>
      <c r="I73" s="48"/>
      <c r="J73" s="48"/>
      <c r="K73" s="91"/>
      <c r="L73" s="289"/>
      <c r="M73" s="289"/>
      <c r="N73" s="289"/>
      <c r="O73" s="289"/>
      <c r="P73" s="289"/>
      <c r="Q73" s="289"/>
      <c r="R73" s="289"/>
      <c r="S73" s="289"/>
      <c r="T73" s="289"/>
      <c r="U73" s="289"/>
      <c r="V73" s="289"/>
      <c r="W73" s="289"/>
      <c r="X73" s="211" t="s">
        <v>171</v>
      </c>
      <c r="Y73" s="33">
        <v>-10.043327310565525</v>
      </c>
      <c r="Z73" s="33">
        <v>-22.644375203380132</v>
      </c>
      <c r="AA73" s="33">
        <v>-27.692427145348354</v>
      </c>
      <c r="AB73" s="33">
        <v>-18.525621535654981</v>
      </c>
      <c r="AC73" s="33">
        <v>-14.362050760263067</v>
      </c>
      <c r="AD73" s="33">
        <v>-7.8494840088999664</v>
      </c>
      <c r="AE73" s="33">
        <v>160.13840371853493</v>
      </c>
      <c r="AF73" s="33">
        <v>1.600011840975694</v>
      </c>
      <c r="AG73" s="8">
        <v>54.120643473329942</v>
      </c>
      <c r="AH73" s="289"/>
      <c r="AI73" s="289"/>
      <c r="AJ73" s="289"/>
      <c r="AK73" s="289"/>
      <c r="AL73" s="289"/>
      <c r="AM73" s="289"/>
      <c r="AN73" s="289"/>
      <c r="AO73" s="289"/>
      <c r="AP73" s="289"/>
      <c r="AQ73" s="289"/>
      <c r="AR73" s="289"/>
      <c r="AS73" s="246"/>
      <c r="AT73" s="289"/>
      <c r="AU73" s="301" t="s">
        <v>229</v>
      </c>
      <c r="AV73" s="7">
        <v>-3.7604423991685163</v>
      </c>
      <c r="AW73" s="7">
        <v>-40.687421434258056</v>
      </c>
      <c r="AX73" s="7">
        <v>38.448969147815212</v>
      </c>
      <c r="AY73" s="7">
        <v>5.7791969826489318</v>
      </c>
      <c r="AZ73" s="7">
        <v>69.639628028672035</v>
      </c>
      <c r="BA73" s="7">
        <v>-44.651303392981461</v>
      </c>
      <c r="BB73" s="48"/>
      <c r="BC73" s="48"/>
      <c r="BD73" s="288"/>
      <c r="BE73" s="58"/>
      <c r="BF73" s="289"/>
      <c r="BG73" s="289"/>
      <c r="BH73" s="289"/>
      <c r="BI73" s="289"/>
      <c r="BJ73" s="289"/>
      <c r="BK73" s="289"/>
      <c r="BL73" s="289"/>
      <c r="BM73" s="289"/>
      <c r="BN73" s="289"/>
      <c r="BO73" s="289"/>
      <c r="BP73" s="289"/>
      <c r="BQ73" s="6" t="s">
        <v>171</v>
      </c>
      <c r="BR73" s="32">
        <v>-10.043327310565523</v>
      </c>
      <c r="BS73" s="33">
        <v>-22.644375203380118</v>
      </c>
      <c r="BT73" s="33">
        <v>-27.692427145348358</v>
      </c>
      <c r="BU73" s="33">
        <v>-18.525621535654981</v>
      </c>
      <c r="BV73" s="33">
        <v>-14.362050760263061</v>
      </c>
      <c r="BW73" s="33">
        <v>-7.8494840088999593</v>
      </c>
      <c r="BX73" s="33">
        <v>160.13840371853493</v>
      </c>
      <c r="BY73" s="33">
        <v>1.6000118409757038</v>
      </c>
      <c r="BZ73" s="8">
        <v>54.120643473329942</v>
      </c>
      <c r="CA73" s="289"/>
      <c r="CB73" s="289"/>
      <c r="CC73" s="289"/>
      <c r="CD73" s="289"/>
      <c r="CE73" s="289"/>
      <c r="CF73" s="289"/>
      <c r="CG73" s="289"/>
      <c r="CH73" s="289"/>
      <c r="CI73" s="289"/>
      <c r="CJ73" s="289"/>
      <c r="CK73" s="289"/>
    </row>
    <row r="74" spans="1:89" x14ac:dyDescent="0.25">
      <c r="A74" s="301"/>
      <c r="B74" s="301" t="s">
        <v>232</v>
      </c>
      <c r="C74" s="7">
        <v>4.7678307309736478</v>
      </c>
      <c r="D74" s="7">
        <v>-10.133713980633193</v>
      </c>
      <c r="E74" s="7">
        <v>-19.643771174143957</v>
      </c>
      <c r="F74" s="7">
        <v>-4.1755800414818696</v>
      </c>
      <c r="G74" s="7">
        <v>54.136125628954765</v>
      </c>
      <c r="H74" s="7">
        <v>-7.0714898033476112</v>
      </c>
      <c r="I74" s="7">
        <v>121.41645584757077</v>
      </c>
      <c r="J74" s="7">
        <v>2.6003993414169155</v>
      </c>
      <c r="K74" s="8">
        <v>40.439857862295284</v>
      </c>
      <c r="L74" s="289"/>
      <c r="M74" s="289"/>
      <c r="N74" s="289"/>
      <c r="O74" s="289"/>
      <c r="P74" s="289"/>
      <c r="Q74" s="289"/>
      <c r="R74" s="289"/>
      <c r="S74" s="289"/>
      <c r="T74" s="289"/>
      <c r="U74" s="289"/>
      <c r="V74" s="289"/>
      <c r="W74" s="289"/>
      <c r="X74" s="6" t="s">
        <v>173</v>
      </c>
      <c r="Y74" s="33">
        <v>25.114770517165617</v>
      </c>
      <c r="Z74" s="33">
        <v>-14.732933341616592</v>
      </c>
      <c r="AA74" s="33">
        <v>-14.870326158711162</v>
      </c>
      <c r="AB74" s="33">
        <v>-3.5659245081998949</v>
      </c>
      <c r="AC74" s="33">
        <v>154.92127153363887</v>
      </c>
      <c r="AD74" s="33">
        <v>38.236042177470104</v>
      </c>
      <c r="AE74" s="33">
        <v>479.49990936166864</v>
      </c>
      <c r="AF74" s="33">
        <v>15.74610936356788</v>
      </c>
      <c r="AG74" s="8">
        <v>97.884610912851997</v>
      </c>
      <c r="AH74" s="289"/>
      <c r="AI74" s="289"/>
      <c r="AJ74" s="289"/>
      <c r="AK74" s="289"/>
      <c r="AL74" s="289"/>
      <c r="AM74" s="289"/>
      <c r="AN74" s="289"/>
      <c r="AO74" s="289"/>
      <c r="AP74" s="289"/>
      <c r="AQ74" s="289"/>
      <c r="AR74" s="289"/>
      <c r="AS74" s="246"/>
      <c r="AT74" s="289"/>
      <c r="AU74" s="301" t="s">
        <v>232</v>
      </c>
      <c r="AV74" s="7">
        <v>4.7678307309736594</v>
      </c>
      <c r="AW74" s="7">
        <v>-10.133713980633177</v>
      </c>
      <c r="AX74" s="7">
        <v>-19.64377117414395</v>
      </c>
      <c r="AY74" s="7">
        <v>-4.1755800414818838</v>
      </c>
      <c r="AZ74" s="7">
        <v>54.136125628954787</v>
      </c>
      <c r="BA74" s="7">
        <v>-7.0714898033476095</v>
      </c>
      <c r="BB74" s="7">
        <v>121.41645584757082</v>
      </c>
      <c r="BC74" s="7">
        <v>2.600399341416904</v>
      </c>
      <c r="BD74" s="8">
        <v>40.439857862295305</v>
      </c>
      <c r="BE74" s="289"/>
      <c r="BF74" s="289"/>
      <c r="BG74" s="289"/>
      <c r="BH74" s="289"/>
      <c r="BI74" s="289"/>
      <c r="BJ74" s="289"/>
      <c r="BK74" s="289"/>
      <c r="BL74" s="289"/>
      <c r="BM74" s="289"/>
      <c r="BN74" s="289"/>
      <c r="BO74" s="289"/>
      <c r="BP74" s="289"/>
      <c r="BQ74" s="6" t="s">
        <v>173</v>
      </c>
      <c r="BR74" s="32">
        <v>25.114770517165603</v>
      </c>
      <c r="BS74" s="33">
        <v>-14.732933341616603</v>
      </c>
      <c r="BT74" s="33">
        <v>-14.870326158711144</v>
      </c>
      <c r="BU74" s="33">
        <v>-3.5659245081998927</v>
      </c>
      <c r="BV74" s="33">
        <v>154.9212715336389</v>
      </c>
      <c r="BW74" s="33">
        <v>38.236042177470104</v>
      </c>
      <c r="BX74" s="33">
        <v>479.49990936166864</v>
      </c>
      <c r="BY74" s="33">
        <v>15.746109363567873</v>
      </c>
      <c r="BZ74" s="8">
        <v>97.884610912852011</v>
      </c>
      <c r="CA74" s="289"/>
      <c r="CB74" s="289"/>
      <c r="CC74" s="289"/>
      <c r="CD74" s="289"/>
      <c r="CE74" s="289"/>
      <c r="CF74" s="289"/>
      <c r="CG74" s="289"/>
      <c r="CH74" s="289"/>
      <c r="CI74" s="289"/>
      <c r="CJ74" s="289"/>
      <c r="CK74" s="289"/>
    </row>
    <row r="75" spans="1:89" x14ac:dyDescent="0.25">
      <c r="A75" s="176"/>
      <c r="B75" s="301" t="s">
        <v>285</v>
      </c>
      <c r="C75" s="7">
        <v>3.3369589416358139</v>
      </c>
      <c r="D75" s="48"/>
      <c r="E75" s="7">
        <v>8.1113901708484857</v>
      </c>
      <c r="F75" s="7">
        <v>39.274270093631351</v>
      </c>
      <c r="G75" s="7">
        <v>82.879914505928625</v>
      </c>
      <c r="H75" s="7">
        <v>-1.689294605897123</v>
      </c>
      <c r="I75" s="7">
        <v>74.163039727842033</v>
      </c>
      <c r="J75" s="7">
        <v>-25.177907865634968</v>
      </c>
      <c r="K75" s="8">
        <v>27.157907127897641</v>
      </c>
      <c r="L75" s="289"/>
      <c r="M75" s="289"/>
      <c r="N75" s="289"/>
      <c r="O75" s="289"/>
      <c r="P75" s="289"/>
      <c r="Q75" s="289"/>
      <c r="R75" s="289"/>
      <c r="S75" s="289"/>
      <c r="T75" s="289"/>
      <c r="U75" s="289"/>
      <c r="V75" s="289"/>
      <c r="W75" s="289"/>
      <c r="X75" s="6" t="s">
        <v>174</v>
      </c>
      <c r="Y75" s="33">
        <v>21.690055952143311</v>
      </c>
      <c r="Z75" s="33">
        <v>59.54564997882629</v>
      </c>
      <c r="AA75" s="33">
        <v>11.906978884421539</v>
      </c>
      <c r="AB75" s="33">
        <v>24.253825086893688</v>
      </c>
      <c r="AC75" s="33">
        <v>31.561563940779646</v>
      </c>
      <c r="AD75" s="48"/>
      <c r="AE75" s="33">
        <v>53.870538900516507</v>
      </c>
      <c r="AF75" s="33">
        <v>-48.964705419654123</v>
      </c>
      <c r="AG75" s="8">
        <v>20.921877147648448</v>
      </c>
      <c r="AH75" s="289"/>
      <c r="AI75" s="289"/>
      <c r="AJ75" s="289"/>
      <c r="AK75" s="289"/>
      <c r="AL75" s="289"/>
      <c r="AM75" s="289"/>
      <c r="AN75" s="289"/>
      <c r="AO75" s="289"/>
      <c r="AP75" s="289"/>
      <c r="AQ75" s="289"/>
      <c r="AR75" s="289"/>
      <c r="AS75" s="246"/>
      <c r="AT75" s="289"/>
      <c r="AU75" s="301" t="s">
        <v>285</v>
      </c>
      <c r="AV75" s="7">
        <v>3.3369589416358161</v>
      </c>
      <c r="AW75" s="48"/>
      <c r="AX75" s="7">
        <v>8.111390170848491</v>
      </c>
      <c r="AY75" s="7">
        <v>39.274270093631344</v>
      </c>
      <c r="AZ75" s="7">
        <v>82.879914505928625</v>
      </c>
      <c r="BA75" s="7">
        <v>-1.6892946058971305</v>
      </c>
      <c r="BB75" s="7">
        <v>74.163039727842033</v>
      </c>
      <c r="BC75" s="7">
        <v>-25.177907865634968</v>
      </c>
      <c r="BD75" s="8">
        <v>27.157907127897644</v>
      </c>
      <c r="BE75" s="289"/>
      <c r="BF75" s="289"/>
      <c r="BG75" s="289"/>
      <c r="BH75" s="289"/>
      <c r="BI75" s="289"/>
      <c r="BJ75" s="289"/>
      <c r="BK75" s="289"/>
      <c r="BL75" s="289"/>
      <c r="BM75" s="289"/>
      <c r="BN75" s="289"/>
      <c r="BO75" s="289"/>
      <c r="BP75" s="289"/>
      <c r="BQ75" s="6" t="s">
        <v>174</v>
      </c>
      <c r="BR75" s="32">
        <v>21.690055952143318</v>
      </c>
      <c r="BS75" s="33">
        <v>59.54564997882629</v>
      </c>
      <c r="BT75" s="33">
        <v>11.90697888442155</v>
      </c>
      <c r="BU75" s="33">
        <v>24.253825086893702</v>
      </c>
      <c r="BV75" s="33">
        <v>31.561563940779624</v>
      </c>
      <c r="BW75" s="48"/>
      <c r="BX75" s="33">
        <v>53.870538900516507</v>
      </c>
      <c r="BY75" s="33">
        <v>-48.964705419654123</v>
      </c>
      <c r="BZ75" s="8">
        <v>20.921877147648456</v>
      </c>
      <c r="CA75" s="289"/>
      <c r="CB75" s="289"/>
      <c r="CC75" s="289"/>
      <c r="CD75" s="289"/>
      <c r="CE75" s="289"/>
      <c r="CF75" s="289"/>
      <c r="CG75" s="289"/>
      <c r="CH75" s="289"/>
      <c r="CI75" s="289"/>
      <c r="CJ75" s="289"/>
      <c r="CK75" s="289"/>
    </row>
    <row r="76" spans="1:89" x14ac:dyDescent="0.25">
      <c r="A76" s="301"/>
      <c r="B76" s="301" t="s">
        <v>234</v>
      </c>
      <c r="C76" s="7">
        <v>18.091879757294276</v>
      </c>
      <c r="D76" s="7">
        <v>6.1483105068573192</v>
      </c>
      <c r="E76" s="7">
        <v>-6.6126668433064948</v>
      </c>
      <c r="F76" s="7">
        <v>-4.3504783653918055</v>
      </c>
      <c r="G76" s="7">
        <v>29.322646995836347</v>
      </c>
      <c r="H76" s="7">
        <v>-4.4794867322348972</v>
      </c>
      <c r="I76" s="7">
        <v>55.966295059793772</v>
      </c>
      <c r="J76" s="7">
        <v>-42.039659681649397</v>
      </c>
      <c r="K76" s="8">
        <v>12.579821845448119</v>
      </c>
      <c r="L76" s="289"/>
      <c r="M76" s="289"/>
      <c r="N76" s="289"/>
      <c r="O76" s="289"/>
      <c r="P76" s="289"/>
      <c r="Q76" s="289"/>
      <c r="R76" s="289"/>
      <c r="S76" s="289"/>
      <c r="T76" s="289"/>
      <c r="U76" s="289"/>
      <c r="V76" s="289"/>
      <c r="W76" s="289"/>
      <c r="X76" s="6" t="s">
        <v>177</v>
      </c>
      <c r="Y76" s="33">
        <v>26.071950910029017</v>
      </c>
      <c r="Z76" s="33">
        <v>37.94005009910564</v>
      </c>
      <c r="AA76" s="33">
        <v>41.943425776325988</v>
      </c>
      <c r="AB76" s="33">
        <v>-9.7407211812241403</v>
      </c>
      <c r="AC76" s="33">
        <v>33.200052132966526</v>
      </c>
      <c r="AD76" s="33">
        <v>-45.186745051405261</v>
      </c>
      <c r="AE76" s="33">
        <v>457.85953300643945</v>
      </c>
      <c r="AF76" s="33">
        <v>9.6532992298531308</v>
      </c>
      <c r="AG76" s="8">
        <v>199.55240053946119</v>
      </c>
      <c r="AH76" s="289"/>
      <c r="AI76" s="289"/>
      <c r="AJ76" s="289"/>
      <c r="AK76" s="289"/>
      <c r="AL76" s="289"/>
      <c r="AM76" s="289"/>
      <c r="AN76" s="289"/>
      <c r="AO76" s="289"/>
      <c r="AP76" s="289"/>
      <c r="AQ76" s="289"/>
      <c r="AR76" s="289"/>
      <c r="AS76" s="246"/>
      <c r="AT76" s="289"/>
      <c r="AU76" s="301" t="s">
        <v>234</v>
      </c>
      <c r="AV76" s="7">
        <v>18.091879757294276</v>
      </c>
      <c r="AW76" s="7">
        <v>6.148310506857305</v>
      </c>
      <c r="AX76" s="7">
        <v>-6.6126668433064903</v>
      </c>
      <c r="AY76" s="7">
        <v>-4.3504783653917922</v>
      </c>
      <c r="AZ76" s="7">
        <v>29.322646995836372</v>
      </c>
      <c r="BA76" s="7">
        <v>-4.4794867322349008</v>
      </c>
      <c r="BB76" s="7">
        <v>55.966295059793779</v>
      </c>
      <c r="BC76" s="7">
        <v>-42.039659681649397</v>
      </c>
      <c r="BD76" s="8">
        <v>12.579821845448125</v>
      </c>
      <c r="BE76" s="289"/>
      <c r="BF76" s="289"/>
      <c r="BG76" s="289"/>
      <c r="BH76" s="289"/>
      <c r="BI76" s="289"/>
      <c r="BJ76" s="289"/>
      <c r="BK76" s="289"/>
      <c r="BL76" s="289"/>
      <c r="BM76" s="289"/>
      <c r="BN76" s="289"/>
      <c r="BO76" s="289"/>
      <c r="BP76" s="289"/>
      <c r="BQ76" s="6" t="s">
        <v>177</v>
      </c>
      <c r="BR76" s="32">
        <v>26.071950910029024</v>
      </c>
      <c r="BS76" s="33">
        <v>37.940050099105655</v>
      </c>
      <c r="BT76" s="33">
        <v>41.943425776325988</v>
      </c>
      <c r="BU76" s="33">
        <v>-9.7407211812241279</v>
      </c>
      <c r="BV76" s="33">
        <v>33.200052132966547</v>
      </c>
      <c r="BW76" s="33">
        <v>-45.186745051405261</v>
      </c>
      <c r="BX76" s="33">
        <v>457.85953300643951</v>
      </c>
      <c r="BY76" s="33">
        <v>9.6532992298531326</v>
      </c>
      <c r="BZ76" s="8">
        <v>199.55240053946125</v>
      </c>
      <c r="CA76" s="289"/>
      <c r="CB76" s="289"/>
      <c r="CC76" s="289"/>
      <c r="CD76" s="289"/>
      <c r="CE76" s="289"/>
      <c r="CF76" s="289"/>
      <c r="CG76" s="289"/>
      <c r="CH76" s="289"/>
      <c r="CI76" s="289"/>
      <c r="CJ76" s="289"/>
      <c r="CK76" s="289"/>
    </row>
    <row r="77" spans="1:89" x14ac:dyDescent="0.25">
      <c r="A77" s="301"/>
      <c r="B77" s="301" t="s">
        <v>235</v>
      </c>
      <c r="C77" s="7">
        <v>9.6489139587493735</v>
      </c>
      <c r="D77" s="7">
        <v>17.243733372006826</v>
      </c>
      <c r="E77" s="7">
        <v>22.167166811470278</v>
      </c>
      <c r="F77" s="7">
        <v>-3.1812505456407467</v>
      </c>
      <c r="G77" s="7">
        <v>220.4865514620148</v>
      </c>
      <c r="H77" s="7">
        <v>-26.581973678147659</v>
      </c>
      <c r="I77" s="7">
        <v>155.49524902168113</v>
      </c>
      <c r="J77" s="7">
        <v>-34.625075633119756</v>
      </c>
      <c r="K77" s="8">
        <v>-0.25200728323770077</v>
      </c>
      <c r="L77" s="289"/>
      <c r="M77" s="289"/>
      <c r="N77" s="289"/>
      <c r="O77" s="289"/>
      <c r="P77" s="289"/>
      <c r="Q77" s="289"/>
      <c r="R77" s="289"/>
      <c r="S77" s="289"/>
      <c r="T77" s="289"/>
      <c r="U77" s="289"/>
      <c r="V77" s="289"/>
      <c r="W77" s="289"/>
      <c r="X77" s="109" t="s">
        <v>178</v>
      </c>
      <c r="Y77" s="33">
        <v>63.749175754756017</v>
      </c>
      <c r="Z77" s="33">
        <v>-33.994133710514497</v>
      </c>
      <c r="AA77" s="33">
        <v>111.39728016352815</v>
      </c>
      <c r="AB77" s="33">
        <v>92.459108503381344</v>
      </c>
      <c r="AC77" s="33">
        <v>334.43504186804233</v>
      </c>
      <c r="AD77" s="33">
        <v>-36.143909859926133</v>
      </c>
      <c r="AE77" s="33">
        <v>1053.0628502560794</v>
      </c>
      <c r="AF77" s="33">
        <v>64.261010177088039</v>
      </c>
      <c r="AG77" s="8">
        <v>619.45296494031231</v>
      </c>
      <c r="AH77" s="289"/>
      <c r="AI77" s="289"/>
      <c r="AJ77" s="289"/>
      <c r="AK77" s="289"/>
      <c r="AL77" s="289"/>
      <c r="AM77" s="289"/>
      <c r="AN77" s="289"/>
      <c r="AO77" s="289"/>
      <c r="AP77" s="289"/>
      <c r="AQ77" s="289"/>
      <c r="AR77" s="289"/>
      <c r="AS77" s="246"/>
      <c r="AT77" s="289"/>
      <c r="AU77" s="301" t="s">
        <v>235</v>
      </c>
      <c r="AV77" s="7">
        <v>9.6489139587493504</v>
      </c>
      <c r="AW77" s="7">
        <v>17.24373337200684</v>
      </c>
      <c r="AX77" s="7">
        <v>22.16716681147027</v>
      </c>
      <c r="AY77" s="7">
        <v>-3.1812505456407543</v>
      </c>
      <c r="AZ77" s="7">
        <v>220.4865514620148</v>
      </c>
      <c r="BA77" s="7">
        <v>-26.581973678147662</v>
      </c>
      <c r="BB77" s="7">
        <v>155.49524902168116</v>
      </c>
      <c r="BC77" s="7">
        <v>-34.625075633119764</v>
      </c>
      <c r="BD77" s="8">
        <v>-0.25200728323770077</v>
      </c>
      <c r="BE77" s="289"/>
      <c r="BF77" s="289"/>
      <c r="BG77" s="289"/>
      <c r="BH77" s="289"/>
      <c r="BI77" s="289"/>
      <c r="BJ77" s="289"/>
      <c r="BK77" s="289"/>
      <c r="BL77" s="289"/>
      <c r="BM77" s="289"/>
      <c r="BN77" s="289"/>
      <c r="BO77" s="289"/>
      <c r="BP77" s="289"/>
      <c r="BQ77" s="109" t="s">
        <v>178</v>
      </c>
      <c r="BR77" s="32"/>
      <c r="BS77" s="33"/>
      <c r="BT77" s="33"/>
      <c r="BU77" s="33"/>
      <c r="BV77" s="33"/>
      <c r="BW77" s="33"/>
      <c r="BX77" s="33"/>
      <c r="BY77" s="33"/>
      <c r="BZ77" s="8"/>
      <c r="CA77" s="289"/>
      <c r="CB77" s="289"/>
      <c r="CC77" s="289"/>
      <c r="CD77" s="289"/>
      <c r="CE77" s="289"/>
      <c r="CF77" s="289"/>
      <c r="CG77" s="289"/>
      <c r="CH77" s="289"/>
      <c r="CI77" s="289"/>
      <c r="CJ77" s="289"/>
      <c r="CK77" s="289"/>
    </row>
    <row r="78" spans="1:89" x14ac:dyDescent="0.25">
      <c r="A78" s="301"/>
      <c r="B78" s="301" t="s">
        <v>237</v>
      </c>
      <c r="C78" s="7">
        <v>7.9152047912537382</v>
      </c>
      <c r="D78" s="7">
        <v>-28.935021646736971</v>
      </c>
      <c r="E78" s="7">
        <v>6.2541031697501523</v>
      </c>
      <c r="F78" s="7">
        <v>9.0136460893882209</v>
      </c>
      <c r="G78" s="7">
        <v>103.35577963260143</v>
      </c>
      <c r="H78" s="7">
        <v>18.698103873801262</v>
      </c>
      <c r="I78" s="7">
        <v>82.010478924902486</v>
      </c>
      <c r="J78" s="7">
        <v>-3.4220707041512601</v>
      </c>
      <c r="K78" s="8">
        <v>70.72441471146621</v>
      </c>
      <c r="L78" s="289"/>
      <c r="M78" s="289"/>
      <c r="N78" s="7"/>
      <c r="O78" s="7"/>
      <c r="P78" s="7"/>
      <c r="Q78" s="7"/>
      <c r="R78" s="7"/>
      <c r="S78" s="7"/>
      <c r="T78" s="7"/>
      <c r="U78" s="7"/>
      <c r="V78" s="7"/>
      <c r="W78" s="289"/>
      <c r="X78" s="6" t="s">
        <v>181</v>
      </c>
      <c r="Y78" s="33">
        <v>18.313347068805193</v>
      </c>
      <c r="Z78" s="33">
        <v>0.39438359762485886</v>
      </c>
      <c r="AA78" s="33">
        <v>-1.5482364490619982</v>
      </c>
      <c r="AB78" s="33">
        <v>21.327623036637661</v>
      </c>
      <c r="AC78" s="33">
        <v>38.51970470587387</v>
      </c>
      <c r="AD78" s="33">
        <v>-5.5162488679852446</v>
      </c>
      <c r="AE78" s="33">
        <v>142.38440123933606</v>
      </c>
      <c r="AF78" s="33">
        <v>-12.554577035121998</v>
      </c>
      <c r="AG78" s="8">
        <v>37.402410925299087</v>
      </c>
      <c r="AH78" s="289"/>
      <c r="AI78" s="56"/>
      <c r="AJ78" s="56"/>
      <c r="AK78" s="56"/>
      <c r="AL78" s="56"/>
      <c r="AM78" s="56"/>
      <c r="AN78" s="56"/>
      <c r="AO78" s="56"/>
      <c r="AP78" s="56"/>
      <c r="AQ78" s="56"/>
      <c r="AR78" s="56"/>
      <c r="AS78" s="246"/>
      <c r="AT78" s="289"/>
      <c r="AU78" s="301" t="s">
        <v>237</v>
      </c>
      <c r="AV78" s="7">
        <v>7.9152047912537382</v>
      </c>
      <c r="AW78" s="7">
        <v>-28.935021646736956</v>
      </c>
      <c r="AX78" s="7">
        <v>6.254103169750155</v>
      </c>
      <c r="AY78" s="7">
        <v>9.0136460893882209</v>
      </c>
      <c r="AZ78" s="7">
        <v>103.35577963260141</v>
      </c>
      <c r="BA78" s="7">
        <v>18.698103873801273</v>
      </c>
      <c r="BB78" s="7">
        <v>82.010478924902472</v>
      </c>
      <c r="BC78" s="7">
        <v>-3.4220707041512455</v>
      </c>
      <c r="BD78" s="8">
        <v>70.724414711466196</v>
      </c>
      <c r="BE78" s="289"/>
      <c r="BF78" s="289"/>
      <c r="BG78" s="254"/>
      <c r="BH78" s="254"/>
      <c r="BI78" s="254"/>
      <c r="BJ78" s="254"/>
      <c r="BK78" s="254"/>
      <c r="BL78" s="253"/>
      <c r="BM78" s="254"/>
      <c r="BN78" s="254"/>
      <c r="BO78" s="254"/>
      <c r="BP78" s="289"/>
      <c r="BQ78" s="6" t="s">
        <v>181</v>
      </c>
      <c r="BR78" s="32">
        <v>18.313347068805189</v>
      </c>
      <c r="BS78" s="33">
        <v>0.39438359762484188</v>
      </c>
      <c r="BT78" s="33">
        <v>-1.5482364490619889</v>
      </c>
      <c r="BU78" s="33">
        <v>21.327623036637636</v>
      </c>
      <c r="BV78" s="33">
        <v>38.519704705873878</v>
      </c>
      <c r="BW78" s="33">
        <v>-5.5162488679852419</v>
      </c>
      <c r="BX78" s="33">
        <v>142.38440123933611</v>
      </c>
      <c r="BY78" s="33">
        <v>-12.554577035121991</v>
      </c>
      <c r="BZ78" s="8">
        <v>37.402410925299087</v>
      </c>
      <c r="CA78" s="289"/>
      <c r="CB78" s="289"/>
      <c r="CC78" s="289"/>
      <c r="CD78" s="289"/>
      <c r="CE78" s="289"/>
      <c r="CF78" s="289"/>
      <c r="CG78" s="289"/>
      <c r="CH78" s="289"/>
      <c r="CI78" s="289"/>
      <c r="CJ78" s="289"/>
      <c r="CK78" s="289"/>
    </row>
    <row r="79" spans="1:89" x14ac:dyDescent="0.25">
      <c r="A79" s="176"/>
      <c r="B79" s="6" t="s">
        <v>239</v>
      </c>
      <c r="C79" s="7">
        <v>15.44507592773326</v>
      </c>
      <c r="D79" s="7">
        <v>-30.679529920787367</v>
      </c>
      <c r="E79" s="48"/>
      <c r="F79" s="7">
        <v>8.415125615300461</v>
      </c>
      <c r="G79" s="7">
        <v>69.264887977631062</v>
      </c>
      <c r="H79" s="7">
        <v>10.211990555390072</v>
      </c>
      <c r="I79" s="7">
        <v>27.458475148933232</v>
      </c>
      <c r="J79" s="7">
        <v>-23.564772635870181</v>
      </c>
      <c r="K79" s="8">
        <v>1.9474272002602231</v>
      </c>
      <c r="L79" s="289"/>
      <c r="M79" s="289"/>
      <c r="N79" s="149"/>
      <c r="O79" s="149"/>
      <c r="P79" s="149"/>
      <c r="Q79" s="149"/>
      <c r="R79" s="149"/>
      <c r="S79" s="149"/>
      <c r="T79" s="149"/>
      <c r="U79" s="149"/>
      <c r="V79" s="149"/>
      <c r="W79" s="289"/>
      <c r="X79" s="6" t="s">
        <v>194</v>
      </c>
      <c r="Y79" s="33">
        <v>-14.200849461487541</v>
      </c>
      <c r="Z79" s="33">
        <v>-6.981578578458036</v>
      </c>
      <c r="AA79" s="33">
        <v>-35.676480094721725</v>
      </c>
      <c r="AB79" s="48"/>
      <c r="AC79" s="33">
        <v>-6.7060409279831577</v>
      </c>
      <c r="AD79" s="33">
        <v>440.76810834109665</v>
      </c>
      <c r="AE79" s="33">
        <v>240.44775647639386</v>
      </c>
      <c r="AF79" s="33">
        <v>93.205373827758137</v>
      </c>
      <c r="AG79" s="8">
        <v>163.27247915606856</v>
      </c>
      <c r="AH79" s="289"/>
      <c r="AI79" s="56"/>
      <c r="AJ79" s="56"/>
      <c r="AK79" s="56"/>
      <c r="AL79" s="56"/>
      <c r="AM79" s="56"/>
      <c r="AN79" s="56"/>
      <c r="AO79" s="56"/>
      <c r="AP79" s="56"/>
      <c r="AQ79" s="56"/>
      <c r="AR79" s="56"/>
      <c r="AS79" s="246"/>
      <c r="AT79" s="289"/>
      <c r="AU79" s="6" t="s">
        <v>239</v>
      </c>
      <c r="AV79" s="7">
        <v>15.445075927733253</v>
      </c>
      <c r="AW79" s="7">
        <v>-30.679529920787381</v>
      </c>
      <c r="AX79" s="48"/>
      <c r="AY79" s="7">
        <v>8.4151256153004361</v>
      </c>
      <c r="AZ79" s="7">
        <v>69.264887977631076</v>
      </c>
      <c r="BA79" s="7">
        <v>10.211990555390067</v>
      </c>
      <c r="BB79" s="7">
        <v>27.458475148933246</v>
      </c>
      <c r="BC79" s="7">
        <v>-23.564772635870181</v>
      </c>
      <c r="BD79" s="8">
        <v>1.9474272002602142</v>
      </c>
      <c r="BE79" s="289"/>
      <c r="BF79" s="289"/>
      <c r="BG79" s="149"/>
      <c r="BH79" s="149"/>
      <c r="BI79" s="149"/>
      <c r="BJ79" s="149"/>
      <c r="BK79" s="149"/>
      <c r="BL79" s="149"/>
      <c r="BM79" s="149"/>
      <c r="BN79" s="149"/>
      <c r="BO79" s="149"/>
      <c r="BP79" s="289"/>
      <c r="BQ79" s="6" t="s">
        <v>194</v>
      </c>
      <c r="BR79" s="32">
        <v>9.8165820526489735</v>
      </c>
      <c r="BS79" s="33">
        <v>17.26226089294769</v>
      </c>
      <c r="BT79" s="33">
        <v>-2.46319929513596</v>
      </c>
      <c r="BU79" s="48"/>
      <c r="BV79" s="33">
        <v>200.72705671940381</v>
      </c>
      <c r="BW79" s="33">
        <v>1.3342527060990479</v>
      </c>
      <c r="BX79" s="33">
        <v>72.224912769894786</v>
      </c>
      <c r="BY79" s="33">
        <v>4.7283288260424596</v>
      </c>
      <c r="BZ79" s="8">
        <v>29.648161304447424</v>
      </c>
      <c r="CA79" s="289"/>
      <c r="CB79" s="289"/>
      <c r="CC79" s="74"/>
      <c r="CD79" s="74"/>
      <c r="CE79" s="74"/>
      <c r="CF79" s="289"/>
      <c r="CG79" s="289"/>
      <c r="CH79" s="289"/>
      <c r="CI79" s="289"/>
      <c r="CJ79" s="289"/>
      <c r="CK79" s="289"/>
    </row>
    <row r="80" spans="1:89" x14ac:dyDescent="0.25">
      <c r="A80" s="301"/>
      <c r="B80" s="6" t="s">
        <v>241</v>
      </c>
      <c r="C80" s="7">
        <v>3.0646145522685586</v>
      </c>
      <c r="D80" s="7">
        <v>-45.939459795842183</v>
      </c>
      <c r="E80" s="7">
        <v>-8.1428450212618451</v>
      </c>
      <c r="F80" s="7">
        <v>10.272274670439643</v>
      </c>
      <c r="G80" s="7">
        <v>186.64416834244463</v>
      </c>
      <c r="H80" s="7">
        <v>-22.37308349203056</v>
      </c>
      <c r="I80" s="7">
        <v>139.03417966275987</v>
      </c>
      <c r="J80" s="7">
        <v>-33.212916710567129</v>
      </c>
      <c r="K80" s="8">
        <v>40.922689348257904</v>
      </c>
      <c r="L80" s="289"/>
      <c r="M80" s="289"/>
      <c r="N80" s="289"/>
      <c r="O80" s="289"/>
      <c r="P80" s="289"/>
      <c r="Q80" s="289"/>
      <c r="R80" s="289"/>
      <c r="S80" s="289"/>
      <c r="T80" s="289"/>
      <c r="U80" s="289"/>
      <c r="V80" s="289"/>
      <c r="W80" s="289"/>
      <c r="X80" s="6" t="s">
        <v>196</v>
      </c>
      <c r="Y80" s="33">
        <v>8.3729906613172691</v>
      </c>
      <c r="Z80" s="33">
        <v>58.15125738729342</v>
      </c>
      <c r="AA80" s="33">
        <v>-32.964564482041069</v>
      </c>
      <c r="AB80" s="33">
        <v>-47.436429989547626</v>
      </c>
      <c r="AC80" s="33">
        <v>-15.249356011440932</v>
      </c>
      <c r="AD80" s="33">
        <v>-10.457169152640589</v>
      </c>
      <c r="AE80" s="33">
        <v>33.203059883689164</v>
      </c>
      <c r="AF80" s="33">
        <v>1.6893643749803466</v>
      </c>
      <c r="AG80" s="8">
        <v>60.180577939970789</v>
      </c>
      <c r="AH80" s="289"/>
      <c r="AI80" s="56"/>
      <c r="AJ80" s="245"/>
      <c r="AK80" s="245"/>
      <c r="AL80" s="245"/>
      <c r="AM80" s="56"/>
      <c r="AN80" s="56"/>
      <c r="AO80" s="56"/>
      <c r="AP80" s="56"/>
      <c r="AQ80" s="56"/>
      <c r="AR80" s="56"/>
      <c r="AS80" s="246"/>
      <c r="AT80" s="289"/>
      <c r="AU80" s="6" t="s">
        <v>241</v>
      </c>
      <c r="AV80" s="7">
        <v>3.0646145522685697</v>
      </c>
      <c r="AW80" s="7">
        <v>-45.939459795842183</v>
      </c>
      <c r="AX80" s="7">
        <v>-8.1428450212618291</v>
      </c>
      <c r="AY80" s="7">
        <v>10.272274670439643</v>
      </c>
      <c r="AZ80" s="7">
        <v>186.64416834244463</v>
      </c>
      <c r="BA80" s="7">
        <v>-22.373083492030567</v>
      </c>
      <c r="BB80" s="7">
        <v>139.03417966275987</v>
      </c>
      <c r="BC80" s="7">
        <v>-33.212916710567129</v>
      </c>
      <c r="BD80" s="8">
        <v>40.922689348257911</v>
      </c>
      <c r="BE80" s="289"/>
      <c r="BF80" s="289"/>
      <c r="BG80" s="251"/>
      <c r="BH80" s="251"/>
      <c r="BI80" s="251"/>
      <c r="BJ80" s="251"/>
      <c r="BK80" s="251"/>
      <c r="BL80" s="251"/>
      <c r="BM80" s="251"/>
      <c r="BN80" s="251"/>
      <c r="BO80" s="251"/>
      <c r="BP80" s="289"/>
      <c r="BQ80" s="6" t="s">
        <v>196</v>
      </c>
      <c r="BR80" s="32">
        <v>22.762438107290681</v>
      </c>
      <c r="BS80" s="33">
        <v>21.132830049986381</v>
      </c>
      <c r="BT80" s="33">
        <v>-36.411750783092039</v>
      </c>
      <c r="BU80" s="33">
        <v>-31.015878841196091</v>
      </c>
      <c r="BV80" s="33">
        <v>50.165772677686057</v>
      </c>
      <c r="BW80" s="33">
        <v>-27.341908704513802</v>
      </c>
      <c r="BX80" s="33">
        <v>300.41322314049592</v>
      </c>
      <c r="BY80" s="33">
        <v>-25.112989825475481</v>
      </c>
      <c r="BZ80" s="8">
        <v>82.660756068095409</v>
      </c>
      <c r="CA80" s="289"/>
      <c r="CB80" s="289"/>
      <c r="CC80" s="25"/>
      <c r="CD80" s="25"/>
      <c r="CE80" s="25"/>
      <c r="CF80" s="289"/>
      <c r="CG80" s="289"/>
      <c r="CH80" s="289"/>
      <c r="CI80" s="289"/>
      <c r="CJ80" s="289"/>
      <c r="CK80" s="289"/>
    </row>
    <row r="81" spans="1:89" ht="15.75" thickBot="1" x14ac:dyDescent="0.3">
      <c r="A81" s="176"/>
      <c r="B81" s="6" t="s">
        <v>243</v>
      </c>
      <c r="C81" s="7">
        <v>12.968135368187625</v>
      </c>
      <c r="D81" s="7">
        <v>-30.973177053983996</v>
      </c>
      <c r="E81" s="7">
        <v>9.8655774229483892</v>
      </c>
      <c r="F81" s="7">
        <v>18.026407400039773</v>
      </c>
      <c r="G81" s="7">
        <v>66.402501404878905</v>
      </c>
      <c r="H81" s="7">
        <v>8.2965314411091882</v>
      </c>
      <c r="I81" s="7">
        <v>145.81730522644506</v>
      </c>
      <c r="J81" s="48"/>
      <c r="K81" s="8">
        <v>35.624945077477385</v>
      </c>
      <c r="L81" s="289"/>
      <c r="M81" s="289"/>
      <c r="N81" s="289"/>
      <c r="O81" s="289"/>
      <c r="P81" s="289"/>
      <c r="Q81" s="289"/>
      <c r="R81" s="289"/>
      <c r="S81" s="289"/>
      <c r="T81" s="289"/>
      <c r="U81" s="289"/>
      <c r="V81" s="289"/>
      <c r="W81" s="289"/>
      <c r="X81" s="14" t="s">
        <v>197</v>
      </c>
      <c r="Y81" s="15">
        <v>110.36824713548279</v>
      </c>
      <c r="Z81" s="15">
        <v>17.201362087111455</v>
      </c>
      <c r="AA81" s="15">
        <v>61.0085314878445</v>
      </c>
      <c r="AB81" s="15">
        <v>24.002267328195263</v>
      </c>
      <c r="AC81" s="15">
        <v>410.60069371127923</v>
      </c>
      <c r="AD81" s="15">
        <v>-72.579354421010805</v>
      </c>
      <c r="AE81" s="15">
        <v>207.38212976432027</v>
      </c>
      <c r="AF81" s="15">
        <v>-70.834055734870077</v>
      </c>
      <c r="AG81" s="16">
        <v>-3.2863642370395354</v>
      </c>
      <c r="AH81" s="289"/>
      <c r="AI81" s="56"/>
      <c r="AJ81" s="105"/>
      <c r="AK81" s="105"/>
      <c r="AL81" s="105"/>
      <c r="AM81" s="56"/>
      <c r="AN81" s="56"/>
      <c r="AO81" s="56"/>
      <c r="AP81" s="56"/>
      <c r="AQ81" s="56"/>
      <c r="AR81" s="56"/>
      <c r="AS81" s="246"/>
      <c r="AT81" s="289"/>
      <c r="AU81" s="6" t="s">
        <v>243</v>
      </c>
      <c r="AV81" s="7">
        <v>12.96813536818766</v>
      </c>
      <c r="AW81" s="7">
        <v>-30.973177053983992</v>
      </c>
      <c r="AX81" s="7">
        <v>9.8655774229483892</v>
      </c>
      <c r="AY81" s="7">
        <v>18.02640740003978</v>
      </c>
      <c r="AZ81" s="7">
        <v>66.402501404878905</v>
      </c>
      <c r="BA81" s="7">
        <v>8.2965314411091882</v>
      </c>
      <c r="BB81" s="7">
        <v>145.81730522644506</v>
      </c>
      <c r="BC81" s="48"/>
      <c r="BD81" s="8">
        <v>35.624945077477385</v>
      </c>
      <c r="BE81" s="289"/>
      <c r="BF81" s="289"/>
      <c r="BG81" s="289"/>
      <c r="BH81" s="289"/>
      <c r="BI81" s="289"/>
      <c r="BJ81" s="289"/>
      <c r="BK81" s="289"/>
      <c r="BL81" s="289"/>
      <c r="BM81" s="289"/>
      <c r="BN81" s="289"/>
      <c r="BO81" s="289"/>
      <c r="BP81" s="289"/>
      <c r="BQ81" s="14" t="s">
        <v>197</v>
      </c>
      <c r="BR81" s="24">
        <v>45.094452164175344</v>
      </c>
      <c r="BS81" s="15">
        <v>21.381959982191269</v>
      </c>
      <c r="BT81" s="15">
        <v>11.938053878261492</v>
      </c>
      <c r="BU81" s="15">
        <v>24.002267328195288</v>
      </c>
      <c r="BV81" s="15">
        <v>-10.600627187310248</v>
      </c>
      <c r="BW81" s="15">
        <v>80.334704655121769</v>
      </c>
      <c r="BX81" s="15">
        <v>102.13378520740895</v>
      </c>
      <c r="BY81" s="15">
        <v>-26.936560903140993</v>
      </c>
      <c r="BZ81" s="16">
        <v>72.223105691437723</v>
      </c>
      <c r="CA81" s="289"/>
      <c r="CB81" s="289"/>
      <c r="CC81" s="25"/>
      <c r="CD81" s="25"/>
      <c r="CE81" s="25"/>
      <c r="CF81" s="289"/>
      <c r="CG81" s="289"/>
      <c r="CH81" s="289"/>
      <c r="CI81" s="289"/>
      <c r="CJ81" s="289"/>
      <c r="CK81" s="289"/>
    </row>
    <row r="82" spans="1:89" x14ac:dyDescent="0.25">
      <c r="A82" s="289"/>
      <c r="B82" s="211" t="s">
        <v>245</v>
      </c>
      <c r="C82" s="7">
        <v>8.1845857184777806</v>
      </c>
      <c r="D82" s="7">
        <v>5.3276688636498637</v>
      </c>
      <c r="E82" s="7">
        <v>13.416787639577288</v>
      </c>
      <c r="F82" s="7">
        <v>-12.834279600937332</v>
      </c>
      <c r="G82" s="7">
        <v>-1.6790594078240344</v>
      </c>
      <c r="H82" s="7">
        <v>-12.809471150066495</v>
      </c>
      <c r="I82" s="7">
        <v>46.362542264318229</v>
      </c>
      <c r="J82" s="7">
        <v>-11.036584868355797</v>
      </c>
      <c r="K82" s="8">
        <v>18.668151938779225</v>
      </c>
      <c r="L82" s="289"/>
      <c r="M82" s="289"/>
      <c r="N82" s="289"/>
      <c r="O82" s="289"/>
      <c r="P82" s="289"/>
      <c r="Q82" s="289"/>
      <c r="R82" s="289"/>
      <c r="S82" s="289"/>
      <c r="T82" s="289"/>
      <c r="U82" s="289"/>
      <c r="V82" s="289"/>
      <c r="W82" s="289"/>
      <c r="X82" s="289"/>
      <c r="Y82" s="289"/>
      <c r="Z82" s="289"/>
      <c r="AA82" s="289"/>
      <c r="AB82" s="289"/>
      <c r="AC82" s="289"/>
      <c r="AD82" s="289"/>
      <c r="AE82" s="289"/>
      <c r="AF82" s="289"/>
      <c r="AG82" s="289"/>
      <c r="AH82" s="289"/>
      <c r="AI82" s="56"/>
      <c r="AJ82" s="105"/>
      <c r="AK82" s="105"/>
      <c r="AL82" s="105"/>
      <c r="AM82" s="56"/>
      <c r="AN82" s="56"/>
      <c r="AO82" s="56"/>
      <c r="AP82" s="56"/>
      <c r="AQ82" s="56"/>
      <c r="AR82" s="56"/>
      <c r="AS82" s="246"/>
      <c r="AT82" s="289"/>
      <c r="AU82" s="6" t="s">
        <v>245</v>
      </c>
      <c r="AV82" s="7">
        <v>8.1845857184777859</v>
      </c>
      <c r="AW82" s="7">
        <v>5.3276688636498619</v>
      </c>
      <c r="AX82" s="7">
        <v>13.416787639577294</v>
      </c>
      <c r="AY82" s="7">
        <v>-12.834279600937329</v>
      </c>
      <c r="AZ82" s="7">
        <v>-1.6790594078240473</v>
      </c>
      <c r="BA82" s="7">
        <v>-12.809471150066503</v>
      </c>
      <c r="BB82" s="7">
        <v>46.362542264318229</v>
      </c>
      <c r="BC82" s="7">
        <v>-11.036584868355794</v>
      </c>
      <c r="BD82" s="8">
        <v>18.668151938779236</v>
      </c>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row>
    <row r="83" spans="1:89" x14ac:dyDescent="0.25">
      <c r="A83" s="176"/>
      <c r="B83" s="211" t="s">
        <v>247</v>
      </c>
      <c r="C83" s="7">
        <v>12.471799816721649</v>
      </c>
      <c r="D83" s="7">
        <v>3.0062640512575349</v>
      </c>
      <c r="E83" s="7">
        <v>-2.8024576754162314</v>
      </c>
      <c r="F83" s="7">
        <v>-3.5720290738551377</v>
      </c>
      <c r="G83" s="7">
        <v>22.722829341116714</v>
      </c>
      <c r="H83" s="7">
        <v>5.6753252189145753</v>
      </c>
      <c r="I83" s="7">
        <v>68.909382807180691</v>
      </c>
      <c r="J83" s="48"/>
      <c r="K83" s="8">
        <v>34.579133980468804</v>
      </c>
      <c r="L83" s="289"/>
      <c r="M83" s="289"/>
      <c r="N83" s="289"/>
      <c r="O83" s="289"/>
      <c r="P83" s="289"/>
      <c r="Q83" s="289"/>
      <c r="R83" s="289"/>
      <c r="S83" s="289"/>
      <c r="T83" s="289"/>
      <c r="U83" s="289"/>
      <c r="V83" s="289"/>
      <c r="W83" s="289"/>
      <c r="X83" s="289"/>
      <c r="Y83" s="289"/>
      <c r="Z83" s="289"/>
      <c r="AA83" s="289"/>
      <c r="AB83" s="289"/>
      <c r="AC83" s="289"/>
      <c r="AD83" s="289"/>
      <c r="AE83" s="289"/>
      <c r="AF83" s="289"/>
      <c r="AG83" s="289"/>
      <c r="AH83" s="289"/>
      <c r="AI83" s="56"/>
      <c r="AJ83" s="56"/>
      <c r="AK83" s="56"/>
      <c r="AL83" s="56"/>
      <c r="AM83" s="56"/>
      <c r="AN83" s="56"/>
      <c r="AO83" s="56"/>
      <c r="AP83" s="56"/>
      <c r="AQ83" s="56"/>
      <c r="AR83" s="56"/>
      <c r="AS83" s="246"/>
      <c r="AT83" s="289"/>
      <c r="AU83" s="6" t="s">
        <v>247</v>
      </c>
      <c r="AV83" s="7">
        <v>12.471799816721672</v>
      </c>
      <c r="AW83" s="7">
        <v>3.0062640512575447</v>
      </c>
      <c r="AX83" s="7">
        <v>-2.8024576754162234</v>
      </c>
      <c r="AY83" s="7">
        <v>-3.5720290738551381</v>
      </c>
      <c r="AZ83" s="7">
        <v>22.722829341116714</v>
      </c>
      <c r="BA83" s="7">
        <v>5.6753252189145869</v>
      </c>
      <c r="BB83" s="7">
        <v>68.909382807180691</v>
      </c>
      <c r="BC83" s="48"/>
      <c r="BD83" s="8">
        <v>34.579133980468796</v>
      </c>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row>
    <row r="84" spans="1:89" x14ac:dyDescent="0.25">
      <c r="A84" s="289"/>
      <c r="B84" s="6" t="s">
        <v>249</v>
      </c>
      <c r="C84" s="7">
        <v>19.652718491788608</v>
      </c>
      <c r="D84" s="7">
        <v>26.335139507764527</v>
      </c>
      <c r="E84" s="7">
        <v>-8.4457912356851157</v>
      </c>
      <c r="F84" s="7">
        <v>-14.177619708370775</v>
      </c>
      <c r="G84" s="7">
        <v>57.655502504620358</v>
      </c>
      <c r="H84" s="7">
        <v>-18.681210430133504</v>
      </c>
      <c r="I84" s="7">
        <v>194.85708613331926</v>
      </c>
      <c r="J84" s="7">
        <v>-32.167228639920552</v>
      </c>
      <c r="K84" s="8">
        <v>26.99217250173232</v>
      </c>
      <c r="L84" s="289"/>
      <c r="M84" s="289"/>
      <c r="N84" s="289"/>
      <c r="O84" s="289"/>
      <c r="P84" s="289"/>
      <c r="Q84" s="289"/>
      <c r="R84" s="289"/>
      <c r="S84" s="289"/>
      <c r="T84" s="289"/>
      <c r="U84" s="289"/>
      <c r="V84" s="289"/>
      <c r="W84" s="289"/>
      <c r="X84" s="289"/>
      <c r="Y84" s="289"/>
      <c r="Z84" s="289"/>
      <c r="AA84" s="289"/>
      <c r="AB84" s="289"/>
      <c r="AC84" s="289"/>
      <c r="AD84" s="289"/>
      <c r="AE84" s="289"/>
      <c r="AF84" s="289"/>
      <c r="AG84" s="289"/>
      <c r="AH84" s="289"/>
      <c r="AI84" s="56"/>
      <c r="AJ84" s="56"/>
      <c r="AK84" s="56"/>
      <c r="AL84" s="56"/>
      <c r="AM84" s="56"/>
      <c r="AN84" s="56"/>
      <c r="AO84" s="56"/>
      <c r="AP84" s="56"/>
      <c r="AQ84" s="56"/>
      <c r="AR84" s="56"/>
      <c r="AS84" s="246"/>
      <c r="AT84" s="289"/>
      <c r="AU84" s="6" t="s">
        <v>249</v>
      </c>
      <c r="AV84" s="7">
        <v>19.652718491788594</v>
      </c>
      <c r="AW84" s="7">
        <v>26.335139507764538</v>
      </c>
      <c r="AX84" s="7">
        <v>-8.4457912356851068</v>
      </c>
      <c r="AY84" s="7">
        <v>-14.17761970837077</v>
      </c>
      <c r="AZ84" s="7">
        <v>57.655502504620337</v>
      </c>
      <c r="BA84" s="7">
        <v>-18.681210430133493</v>
      </c>
      <c r="BB84" s="7">
        <v>194.85708613331926</v>
      </c>
      <c r="BC84" s="7">
        <v>-32.167228639920559</v>
      </c>
      <c r="BD84" s="8">
        <v>26.992172501732327</v>
      </c>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row>
    <row r="85" spans="1:89" x14ac:dyDescent="0.25">
      <c r="A85" s="289"/>
      <c r="B85" s="211" t="s">
        <v>286</v>
      </c>
      <c r="C85" s="7">
        <v>3.6664068306770075</v>
      </c>
      <c r="D85" s="7">
        <v>-51.543259035324297</v>
      </c>
      <c r="E85" s="7">
        <v>-15.386288819662974</v>
      </c>
      <c r="F85" s="7">
        <v>43.148916400367405</v>
      </c>
      <c r="G85" s="7">
        <v>89.576365470908229</v>
      </c>
      <c r="H85" s="7">
        <v>44.39091267530052</v>
      </c>
      <c r="I85" s="7">
        <v>158.07870326818627</v>
      </c>
      <c r="J85" s="7">
        <v>67.739280379641457</v>
      </c>
      <c r="K85" s="8">
        <v>78.708244980576822</v>
      </c>
      <c r="L85" s="289"/>
      <c r="M85" s="289"/>
      <c r="N85" s="289"/>
      <c r="O85" s="289"/>
      <c r="P85" s="289"/>
      <c r="Q85" s="289"/>
      <c r="R85" s="289"/>
      <c r="S85" s="289"/>
      <c r="T85" s="289"/>
      <c r="U85" s="289"/>
      <c r="V85" s="289"/>
      <c r="W85" s="289"/>
      <c r="X85" s="289"/>
      <c r="Y85" s="289"/>
      <c r="Z85" s="289"/>
      <c r="AA85" s="289"/>
      <c r="AB85" s="289"/>
      <c r="AC85" s="289"/>
      <c r="AD85" s="289"/>
      <c r="AE85" s="289"/>
      <c r="AF85" s="289"/>
      <c r="AG85" s="289"/>
      <c r="AH85" s="289"/>
      <c r="AI85" s="56"/>
      <c r="AJ85" s="56"/>
      <c r="AK85" s="56"/>
      <c r="AL85" s="56"/>
      <c r="AM85" s="56"/>
      <c r="AN85" s="56"/>
      <c r="AO85" s="56"/>
      <c r="AP85" s="56"/>
      <c r="AQ85" s="56"/>
      <c r="AR85" s="56"/>
      <c r="AS85" s="246"/>
      <c r="AT85" s="289"/>
      <c r="AU85" s="6" t="s">
        <v>286</v>
      </c>
      <c r="AV85" s="7">
        <v>3.6664068306770008</v>
      </c>
      <c r="AW85" s="7">
        <v>-51.543259035324283</v>
      </c>
      <c r="AX85" s="7">
        <v>-15.386288819662978</v>
      </c>
      <c r="AY85" s="7">
        <v>43.148916400367405</v>
      </c>
      <c r="AZ85" s="7">
        <v>89.576365470908272</v>
      </c>
      <c r="BA85" s="7">
        <v>44.390912675300491</v>
      </c>
      <c r="BB85" s="7">
        <v>158.07870326818625</v>
      </c>
      <c r="BC85" s="7">
        <v>67.739280379641443</v>
      </c>
      <c r="BD85" s="8">
        <v>78.708244980576822</v>
      </c>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row>
    <row r="86" spans="1:89" ht="15.75" thickBot="1" x14ac:dyDescent="0.3">
      <c r="A86" s="176"/>
      <c r="B86" s="60" t="s">
        <v>252</v>
      </c>
      <c r="C86" s="24">
        <v>17.336347606513723</v>
      </c>
      <c r="D86" s="15"/>
      <c r="E86" s="15">
        <v>21.991920815042278</v>
      </c>
      <c r="F86" s="15">
        <v>-5.5759524061146326</v>
      </c>
      <c r="G86" s="15">
        <v>43.726303493573454</v>
      </c>
      <c r="H86" s="172"/>
      <c r="I86" s="15">
        <v>167.64979460706985</v>
      </c>
      <c r="J86" s="15">
        <v>-0.35645841998492817</v>
      </c>
      <c r="K86" s="16">
        <v>41.071020484038392</v>
      </c>
      <c r="L86" s="289"/>
      <c r="M86" s="289"/>
      <c r="N86" s="289"/>
      <c r="O86" s="289"/>
      <c r="P86" s="289"/>
      <c r="Q86" s="289"/>
      <c r="R86" s="289"/>
      <c r="S86" s="289"/>
      <c r="T86" s="289"/>
      <c r="U86" s="289"/>
      <c r="V86" s="289"/>
      <c r="W86" s="289"/>
      <c r="X86" s="289"/>
      <c r="Y86" s="289"/>
      <c r="Z86" s="289"/>
      <c r="AA86" s="289"/>
      <c r="AB86" s="289"/>
      <c r="AC86" s="289"/>
      <c r="AD86" s="289"/>
      <c r="AE86" s="289"/>
      <c r="AF86" s="289"/>
      <c r="AG86" s="289"/>
      <c r="AH86" s="289"/>
      <c r="AI86" s="56"/>
      <c r="AJ86" s="56"/>
      <c r="AK86" s="56"/>
      <c r="AL86" s="56"/>
      <c r="AM86" s="56"/>
      <c r="AN86" s="56"/>
      <c r="AO86" s="56"/>
      <c r="AP86" s="56"/>
      <c r="AQ86" s="56"/>
      <c r="AR86" s="56"/>
      <c r="AS86" s="246"/>
      <c r="AT86" s="289"/>
      <c r="AU86" s="60" t="s">
        <v>252</v>
      </c>
      <c r="AV86" s="24">
        <v>17.336347606513726</v>
      </c>
      <c r="AW86" s="51"/>
      <c r="AX86" s="15">
        <v>21.991920815042274</v>
      </c>
      <c r="AY86" s="15">
        <v>-5.5759524061146424</v>
      </c>
      <c r="AZ86" s="15">
        <v>43.72630349357344</v>
      </c>
      <c r="BA86" s="172"/>
      <c r="BB86" s="15">
        <v>167.64979460706982</v>
      </c>
      <c r="BC86" s="15">
        <v>-0.35645841998493144</v>
      </c>
      <c r="BD86" s="16">
        <v>41.071020484038399</v>
      </c>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row>
    <row r="87" spans="1:89" x14ac:dyDescent="0.25">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56"/>
      <c r="AJ87" s="56"/>
      <c r="AK87" s="56"/>
      <c r="AL87" s="56"/>
      <c r="AM87" s="56"/>
      <c r="AN87" s="56"/>
      <c r="AO87" s="56"/>
      <c r="AP87" s="56"/>
      <c r="AQ87" s="56"/>
      <c r="AR87" s="56"/>
      <c r="AS87" s="246"/>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52"/>
      <c r="BS87" s="252"/>
      <c r="BT87" s="252"/>
      <c r="BU87" s="252"/>
      <c r="BV87" s="252"/>
      <c r="BW87" s="252"/>
      <c r="BX87" s="252"/>
      <c r="BY87" s="252"/>
      <c r="BZ87" s="252"/>
      <c r="CA87" s="289"/>
      <c r="CB87" s="289"/>
      <c r="CC87" s="289"/>
      <c r="CD87" s="289"/>
      <c r="CE87" s="289"/>
      <c r="CF87" s="289"/>
      <c r="CG87" s="289"/>
      <c r="CH87" s="289"/>
      <c r="CI87" s="289"/>
      <c r="CJ87" s="289"/>
      <c r="CK87" s="289"/>
    </row>
    <row r="88" spans="1:89" x14ac:dyDescent="0.25">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E88" s="289"/>
      <c r="AF88" s="289"/>
      <c r="AG88" s="289"/>
      <c r="AH88" s="289"/>
      <c r="AI88" s="56"/>
      <c r="AJ88" s="56"/>
      <c r="AK88" s="56"/>
      <c r="AL88" s="56"/>
      <c r="AM88" s="56"/>
      <c r="AN88" s="56"/>
      <c r="AO88" s="56"/>
      <c r="AP88" s="56"/>
      <c r="AQ88" s="56"/>
      <c r="AR88" s="56"/>
      <c r="AS88" s="246"/>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row>
    <row r="89" spans="1:89" x14ac:dyDescent="0.25">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56"/>
      <c r="AJ89" s="56"/>
      <c r="AK89" s="56"/>
      <c r="AL89" s="56"/>
      <c r="AM89" s="56"/>
      <c r="AN89" s="56"/>
      <c r="AO89" s="56"/>
      <c r="AP89" s="56"/>
      <c r="AQ89" s="56"/>
      <c r="AR89" s="56"/>
      <c r="AS89" s="246"/>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row>
    <row r="90" spans="1:89" x14ac:dyDescent="0.25">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56"/>
      <c r="AJ90" s="56"/>
      <c r="AK90" s="56"/>
      <c r="AL90" s="56"/>
      <c r="AM90" s="56"/>
      <c r="AN90" s="56"/>
      <c r="AO90" s="56"/>
      <c r="AP90" s="56"/>
      <c r="AQ90" s="56"/>
      <c r="AR90" s="56"/>
      <c r="AS90" s="246"/>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row>
    <row r="91" spans="1:89" x14ac:dyDescent="0.25">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E91" s="289"/>
      <c r="AF91" s="289"/>
      <c r="AG91" s="289"/>
      <c r="AH91" s="289"/>
      <c r="AI91" s="289"/>
      <c r="AJ91" s="289"/>
      <c r="AK91" s="289"/>
      <c r="AL91" s="289"/>
      <c r="AM91" s="289"/>
      <c r="AN91" s="289"/>
      <c r="AO91" s="289"/>
      <c r="AP91" s="289"/>
      <c r="AQ91" s="289"/>
      <c r="AR91" s="289"/>
      <c r="AS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row>
    <row r="92" spans="1:89" x14ac:dyDescent="0.25">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row>
    <row r="93" spans="1:89" x14ac:dyDescent="0.25">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289"/>
      <c r="AK93" s="289"/>
      <c r="AL93" s="289"/>
      <c r="AM93" s="289"/>
      <c r="AN93" s="289"/>
      <c r="AO93" s="289"/>
      <c r="AP93" s="289"/>
      <c r="AQ93" s="289"/>
      <c r="AR93" s="289"/>
      <c r="AS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row>
    <row r="94" spans="1:89" x14ac:dyDescent="0.25">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BF94" s="289"/>
      <c r="BG94" s="289"/>
      <c r="BH94" s="289"/>
      <c r="BI94" s="289"/>
      <c r="BJ94" s="289"/>
      <c r="BK94" s="289"/>
      <c r="BL94" s="289"/>
      <c r="BM94" s="289"/>
      <c r="BN94" s="289"/>
      <c r="BO94" s="289"/>
      <c r="BP94" s="289"/>
    </row>
    <row r="131" spans="71:71" x14ac:dyDescent="0.25">
      <c r="BS131" t="s">
        <v>457</v>
      </c>
    </row>
  </sheetData>
  <conditionalFormatting sqref="Y26:AG28">
    <cfRule type="colorScale" priority="15">
      <colorScale>
        <cfvo type="num" val="-100"/>
        <cfvo type="num" val="0"/>
        <cfvo type="num" val="100"/>
        <color rgb="FFF8696B"/>
        <color theme="0"/>
        <color rgb="FF63BE7B"/>
      </colorScale>
    </cfRule>
  </conditionalFormatting>
  <conditionalFormatting sqref="Y82:AG82 N73:V73 C87:K87">
    <cfRule type="colorScale" priority="14">
      <colorScale>
        <cfvo type="num" val="-100"/>
        <cfvo type="num" val="0"/>
        <cfvo type="num" val="100"/>
        <color rgb="FFF8696B"/>
        <color theme="0"/>
        <color rgb="FF63BE7B"/>
      </colorScale>
    </cfRule>
  </conditionalFormatting>
  <conditionalFormatting sqref="BR82:BZ82 BG73:BO73 AV87:BD87">
    <cfRule type="colorScale" priority="12">
      <colorScale>
        <cfvo type="num" val="-100"/>
        <cfvo type="num" val="0"/>
        <cfvo type="num" val="100"/>
        <color rgb="FFF8696B"/>
        <color theme="0"/>
        <color rgb="FF63BE7B"/>
      </colorScale>
    </cfRule>
  </conditionalFormatting>
  <conditionalFormatting sqref="BR26:BZ28">
    <cfRule type="colorScale" priority="13">
      <colorScale>
        <cfvo type="num" val="-100"/>
        <cfvo type="num" val="0"/>
        <cfvo type="num" val="100"/>
        <color rgb="FFF8696B"/>
        <color theme="0"/>
        <color rgb="FF63BE7B"/>
      </colorScale>
    </cfRule>
  </conditionalFormatting>
  <conditionalFormatting sqref="BG80:BO80">
    <cfRule type="colorScale" priority="11">
      <colorScale>
        <cfvo type="num" val="-100"/>
        <cfvo type="num" val="0"/>
        <cfvo type="num" val="100"/>
        <color rgb="FFF8696B"/>
        <color theme="0"/>
        <color rgb="FF63BE7B"/>
      </colorScale>
    </cfRule>
  </conditionalFormatting>
  <conditionalFormatting sqref="CC73:CK73">
    <cfRule type="colorScale" priority="10">
      <colorScale>
        <cfvo type="num" val="-100"/>
        <cfvo type="num" val="0"/>
        <cfvo type="num" val="100"/>
        <color rgb="FFF8696B"/>
        <color theme="0"/>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6"/>
  <sheetViews>
    <sheetView topLeftCell="D1" workbookViewId="0">
      <selection activeCell="R45" sqref="R45"/>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5.42578125" customWidth="1"/>
    <col min="19" max="19" width="19.28515625" customWidth="1"/>
    <col min="20" max="23" width="13.42578125" bestFit="1" customWidth="1"/>
    <col min="24" max="24" width="14.140625" customWidth="1"/>
    <col min="25" max="25" width="14"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44"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s="11" t="s">
        <v>36</v>
      </c>
      <c r="B2" s="11"/>
      <c r="C2" s="7">
        <v>0.79144670245937387</v>
      </c>
      <c r="D2" s="7">
        <v>0.76883939036067894</v>
      </c>
      <c r="E2" s="7">
        <v>0.66467405360213538</v>
      </c>
      <c r="F2" s="7">
        <v>0.61011125815718392</v>
      </c>
      <c r="G2" s="20">
        <v>2.8584999999999998</v>
      </c>
      <c r="H2" s="22">
        <v>8.2036999999999995</v>
      </c>
      <c r="I2" s="7">
        <v>2.7801175121740633</v>
      </c>
      <c r="J2" s="7">
        <v>1.9886231149634266</v>
      </c>
      <c r="K2" s="7">
        <v>0.21740221520732303</v>
      </c>
      <c r="L2" s="7">
        <v>0.16413671699672708</v>
      </c>
      <c r="M2" s="7">
        <v>0.17328457028898378</v>
      </c>
      <c r="N2" s="9">
        <v>0.21404450471840292</v>
      </c>
      <c r="O2" s="7">
        <v>0.47377104219657373</v>
      </c>
      <c r="P2" s="7">
        <v>0.13634975491086282</v>
      </c>
      <c r="Q2" s="10">
        <v>0.66465497570163012</v>
      </c>
      <c r="S2" s="7">
        <v>95.389502526138827</v>
      </c>
      <c r="T2" s="20">
        <v>8.2970000000000006</v>
      </c>
      <c r="U2" s="20">
        <v>8.06</v>
      </c>
      <c r="V2" s="20">
        <v>6.968</v>
      </c>
      <c r="W2" s="20">
        <v>6.395999999999999</v>
      </c>
      <c r="X2" s="20">
        <v>2.8584999999999998</v>
      </c>
      <c r="Y2" s="22">
        <v>8.2036999999999995</v>
      </c>
      <c r="Z2" s="7">
        <v>29.1449</v>
      </c>
      <c r="AA2" s="7">
        <v>20.8474</v>
      </c>
      <c r="AB2" s="7">
        <v>2.2791000000000001</v>
      </c>
      <c r="AC2" s="7">
        <v>1.7206999999999999</v>
      </c>
      <c r="AD2" s="7">
        <v>1.8166</v>
      </c>
      <c r="AE2" s="12">
        <v>2.2439</v>
      </c>
      <c r="AF2" s="7">
        <v>4.9667000000000003</v>
      </c>
      <c r="AG2" s="7">
        <v>1.4294</v>
      </c>
      <c r="AH2" s="8">
        <v>6.9678000000000004</v>
      </c>
    </row>
    <row r="3" spans="1:34" x14ac:dyDescent="0.25">
      <c r="A3" s="11" t="s">
        <v>37</v>
      </c>
      <c r="B3" s="11"/>
      <c r="C3" s="7">
        <v>1.0064705631412858</v>
      </c>
      <c r="D3" s="7">
        <v>0.80254899959814585</v>
      </c>
      <c r="E3" s="7">
        <v>0.45715685134695272</v>
      </c>
      <c r="F3" s="7">
        <v>0.46970587064191516</v>
      </c>
      <c r="G3" s="47">
        <v>20.262599999999999</v>
      </c>
      <c r="H3" s="22">
        <v>-2.7498</v>
      </c>
      <c r="I3" s="7">
        <v>2.6742450313631205</v>
      </c>
      <c r="J3" s="7">
        <v>1.6677548603791863</v>
      </c>
      <c r="K3" s="7">
        <v>0.20076470087675097</v>
      </c>
      <c r="L3" s="7">
        <v>0.17103921142180864</v>
      </c>
      <c r="M3" s="7">
        <v>0.19450979907191812</v>
      </c>
      <c r="N3" s="12">
        <v>0.23623528822766829</v>
      </c>
      <c r="O3" s="7">
        <v>0.33928430526622327</v>
      </c>
      <c r="P3" s="7">
        <v>0.1304607810609886</v>
      </c>
      <c r="Q3" s="8">
        <v>0.45717645918960104</v>
      </c>
      <c r="R3" s="53" t="s">
        <v>469</v>
      </c>
      <c r="S3" s="7">
        <v>98.039213241894203</v>
      </c>
      <c r="T3" s="20">
        <v>10.266</v>
      </c>
      <c r="U3" s="20">
        <v>8.1859999999999999</v>
      </c>
      <c r="V3" s="20">
        <v>4.6630000000000003</v>
      </c>
      <c r="W3" s="20">
        <v>4.7910000000000004</v>
      </c>
      <c r="X3" s="47">
        <v>20.262599999999999</v>
      </c>
      <c r="Y3" s="22">
        <v>-2.7498</v>
      </c>
      <c r="Z3" s="7">
        <v>27.2773</v>
      </c>
      <c r="AA3" s="7">
        <v>17.011099999999999</v>
      </c>
      <c r="AB3" s="7">
        <v>2.0478000000000001</v>
      </c>
      <c r="AC3" s="7">
        <v>1.7445999999999999</v>
      </c>
      <c r="AD3" s="7">
        <v>1.984</v>
      </c>
      <c r="AE3" s="12">
        <v>2.4096000000000002</v>
      </c>
      <c r="AF3" s="7">
        <v>3.4607000000000001</v>
      </c>
      <c r="AG3" s="7">
        <v>1.3307</v>
      </c>
      <c r="AH3" s="8">
        <v>4.6631999999999998</v>
      </c>
    </row>
    <row r="4" spans="1:34" ht="15.75" thickBot="1" x14ac:dyDescent="0.3">
      <c r="A4" s="13" t="s">
        <v>22</v>
      </c>
      <c r="B4" s="14"/>
      <c r="C4" s="7">
        <v>27.168457460715672</v>
      </c>
      <c r="D4" s="7">
        <v>4.3844799915432286</v>
      </c>
      <c r="E4" s="7">
        <v>-31.220897089417537</v>
      </c>
      <c r="F4" s="7">
        <v>-23.013079276615464</v>
      </c>
      <c r="G4" s="15"/>
      <c r="H4" s="16"/>
      <c r="I4" s="7">
        <v>-3.8082016442589177</v>
      </c>
      <c r="J4" s="7">
        <v>-16.135196869123263</v>
      </c>
      <c r="K4" s="7">
        <v>-7.652872494747073</v>
      </c>
      <c r="L4" s="7">
        <v>4.2053323298888685</v>
      </c>
      <c r="M4" s="7">
        <v>12.248770186253388</v>
      </c>
      <c r="N4" s="12">
        <v>10.367368944350886</v>
      </c>
      <c r="O4" s="7">
        <v>-28.386440907578763</v>
      </c>
      <c r="P4" s="7">
        <v>-4.3190204879532574</v>
      </c>
      <c r="Q4" s="8">
        <v>-31.215972812512</v>
      </c>
      <c r="S4" s="7"/>
      <c r="T4" s="15">
        <f>(T3-T2)/T3*100</f>
        <v>19.179816871225398</v>
      </c>
      <c r="U4" s="15">
        <f>(U3-U2)/U3*100</f>
        <v>1.539213290984601</v>
      </c>
      <c r="V4" s="15">
        <f>(V3-V2)/V3*100</f>
        <v>-49.431696332832928</v>
      </c>
      <c r="W4" s="15">
        <f>(W3-W2)/W3*100</f>
        <v>-33.500313087038165</v>
      </c>
      <c r="X4" s="15"/>
      <c r="Y4" s="16"/>
      <c r="Z4" s="15">
        <f t="shared" ref="Z4:AH4" si="0">(Z3-Z2)/Z2*100</f>
        <v>-6.4079821855624806</v>
      </c>
      <c r="AA4" s="15">
        <f t="shared" si="0"/>
        <v>-18.401815094448235</v>
      </c>
      <c r="AB4" s="15">
        <f t="shared" si="0"/>
        <v>-10.148742924838754</v>
      </c>
      <c r="AC4" s="15">
        <f t="shared" si="0"/>
        <v>1.3889696053931559</v>
      </c>
      <c r="AD4" s="15">
        <f t="shared" si="0"/>
        <v>9.2150170648464158</v>
      </c>
      <c r="AE4" s="17">
        <f t="shared" si="0"/>
        <v>7.3844645483310396</v>
      </c>
      <c r="AF4" s="15">
        <f t="shared" si="0"/>
        <v>-30.321944148025853</v>
      </c>
      <c r="AG4" s="15">
        <f t="shared" si="0"/>
        <v>-6.9049951028403527</v>
      </c>
      <c r="AH4" s="16">
        <f t="shared" si="0"/>
        <v>-33.075002152759851</v>
      </c>
    </row>
    <row r="5" spans="1:34" ht="15" customHeight="1" x14ac:dyDescent="0.25">
      <c r="A5" s="11" t="s">
        <v>38</v>
      </c>
      <c r="B5" s="330" t="s">
        <v>39</v>
      </c>
      <c r="C5" s="30">
        <v>2.6996080448047897</v>
      </c>
      <c r="D5" s="31">
        <v>2.4793836731401888</v>
      </c>
      <c r="E5" s="31">
        <v>0.8463365560268461</v>
      </c>
      <c r="F5" s="31">
        <v>0.84052470892193476</v>
      </c>
      <c r="G5" s="7"/>
      <c r="H5" s="8">
        <v>0.68670637744813379</v>
      </c>
      <c r="I5" s="31"/>
      <c r="J5" s="31">
        <v>0.94504849051945394</v>
      </c>
      <c r="K5" s="31">
        <v>0.27353348488811041</v>
      </c>
      <c r="L5" s="31">
        <v>0.32714549365366763</v>
      </c>
      <c r="M5" s="31">
        <v>1.0838798980723405</v>
      </c>
      <c r="N5" s="31">
        <v>0.7948267828359683</v>
      </c>
      <c r="O5" s="31">
        <v>0.53668821698082092</v>
      </c>
      <c r="P5" s="31">
        <v>0.30383833450565334</v>
      </c>
      <c r="Q5" s="27">
        <v>0.84633948446066698</v>
      </c>
      <c r="S5" s="7">
        <v>69.284064054739218</v>
      </c>
      <c r="T5" s="7">
        <v>38.964343123288955</v>
      </c>
      <c r="U5" s="7">
        <v>35.785771330926892</v>
      </c>
      <c r="V5" s="7">
        <v>12.215457732938146</v>
      </c>
      <c r="W5" s="7">
        <v>12.131573405651579</v>
      </c>
      <c r="X5" s="7">
        <v>8.1576424432579078</v>
      </c>
      <c r="Y5" s="8">
        <v>0.68670637744813379</v>
      </c>
      <c r="Z5" s="48"/>
      <c r="AA5" s="7">
        <v>13.6402</v>
      </c>
      <c r="AB5" s="7">
        <v>15.644</v>
      </c>
      <c r="AC5" s="7">
        <v>11.472</v>
      </c>
      <c r="AD5" s="7">
        <v>3.948</v>
      </c>
      <c r="AE5" s="12">
        <v>4.7218</v>
      </c>
      <c r="AF5" s="7">
        <v>7.7462</v>
      </c>
      <c r="AG5" s="7">
        <v>4.3853999999999997</v>
      </c>
      <c r="AH5" s="8">
        <v>12.2155</v>
      </c>
    </row>
    <row r="6" spans="1:34" x14ac:dyDescent="0.25">
      <c r="A6" s="11" t="s">
        <v>40</v>
      </c>
      <c r="B6" s="331"/>
      <c r="C6" s="32">
        <v>1.8551538098622808</v>
      </c>
      <c r="D6" s="33">
        <v>2.305076877983709</v>
      </c>
      <c r="E6" s="33">
        <v>1.1704615155643103</v>
      </c>
      <c r="F6" s="33">
        <v>1.2946153592893888</v>
      </c>
      <c r="G6" s="47"/>
      <c r="H6" s="8">
        <v>-10.6069</v>
      </c>
      <c r="I6" s="33"/>
      <c r="J6" s="33">
        <v>1.3689384347585156</v>
      </c>
      <c r="K6" s="33">
        <v>0.32342307059609243</v>
      </c>
      <c r="L6" s="33">
        <v>0.32744614744046757</v>
      </c>
      <c r="M6" s="33">
        <v>1.1462692083452659</v>
      </c>
      <c r="N6" s="33">
        <v>0.50795383621696666</v>
      </c>
      <c r="O6" s="33">
        <v>1.0824999788235248</v>
      </c>
      <c r="P6" s="33">
        <v>0.21212307277340575</v>
      </c>
      <c r="Q6" s="8">
        <v>1.1704769001793938</v>
      </c>
      <c r="R6" s="53" t="s">
        <v>469</v>
      </c>
      <c r="S6" s="7">
        <v>76.923075418264332</v>
      </c>
      <c r="T6" s="20">
        <v>24.117000000000001</v>
      </c>
      <c r="U6" s="20">
        <v>29.966000000000001</v>
      </c>
      <c r="V6" s="20">
        <v>15.216000000000001</v>
      </c>
      <c r="W6" s="20">
        <v>16.830000000000002</v>
      </c>
      <c r="X6" s="47">
        <v>-24.255700000000001</v>
      </c>
      <c r="Y6" s="8">
        <v>-10.6069</v>
      </c>
      <c r="Z6" s="48"/>
      <c r="AA6" s="7">
        <v>17.796199999999999</v>
      </c>
      <c r="AB6" s="7">
        <v>14.9015</v>
      </c>
      <c r="AC6" s="7">
        <v>6.6033999999999997</v>
      </c>
      <c r="AD6" s="7">
        <v>4.2045000000000003</v>
      </c>
      <c r="AE6" s="7">
        <v>4.2568000000000001</v>
      </c>
      <c r="AF6" s="7">
        <v>14.0725</v>
      </c>
      <c r="AG6" s="7">
        <v>2.7576000000000001</v>
      </c>
      <c r="AH6" s="8">
        <v>15.216200000000001</v>
      </c>
    </row>
    <row r="7" spans="1:34" ht="15.75" thickBot="1" x14ac:dyDescent="0.3">
      <c r="A7" s="13" t="s">
        <v>22</v>
      </c>
      <c r="B7" s="332"/>
      <c r="C7" s="24">
        <v>-31.280623739716695</v>
      </c>
      <c r="D7" s="15">
        <v>-7.0302469539019281</v>
      </c>
      <c r="E7" s="15">
        <v>38.29740748279611</v>
      </c>
      <c r="F7" s="15">
        <v>54.024664063698388</v>
      </c>
      <c r="G7" s="15"/>
      <c r="H7" s="16"/>
      <c r="I7" s="15"/>
      <c r="J7" s="15">
        <v>44.853777186191465</v>
      </c>
      <c r="K7" s="15">
        <v>18.238931781382995</v>
      </c>
      <c r="L7" s="15">
        <v>9.1902163603766324E-2</v>
      </c>
      <c r="M7" s="15">
        <v>5.7561091762919085</v>
      </c>
      <c r="N7" s="15">
        <v>-36.092511326232554</v>
      </c>
      <c r="O7" s="15">
        <v>101.69997115144582</v>
      </c>
      <c r="P7" s="15">
        <v>-30.185546495134929</v>
      </c>
      <c r="Q7" s="16">
        <v>38.298746740533389</v>
      </c>
      <c r="S7" s="7"/>
      <c r="T7" s="15">
        <f>(T6-T5)/T6*100</f>
        <v>-61.563806125508791</v>
      </c>
      <c r="U7" s="15">
        <f>(U6-U5)/U6*100</f>
        <v>-19.421248518076791</v>
      </c>
      <c r="V7" s="15">
        <f>(V6-V5)/V6*100</f>
        <v>19.719652123172018</v>
      </c>
      <c r="W7" s="15">
        <f>(W6-W5)/W6*100</f>
        <v>27.916973228451702</v>
      </c>
      <c r="X7" s="15"/>
      <c r="Y7" s="16"/>
      <c r="Z7" s="48"/>
      <c r="AA7" s="15">
        <f t="shared" ref="AA7:AH7" si="1">(AA6-AA5)/AA5*100</f>
        <v>30.46876145511062</v>
      </c>
      <c r="AB7" s="15">
        <f t="shared" si="1"/>
        <v>-4.7462285860393738</v>
      </c>
      <c r="AC7" s="15">
        <f t="shared" si="1"/>
        <v>-42.438981868898182</v>
      </c>
      <c r="AD7" s="15">
        <f t="shared" si="1"/>
        <v>6.4969604863221981</v>
      </c>
      <c r="AE7" s="17">
        <f t="shared" si="1"/>
        <v>-9.8479393451649759</v>
      </c>
      <c r="AF7" s="15">
        <f t="shared" si="1"/>
        <v>81.669721928171242</v>
      </c>
      <c r="AG7" s="15">
        <f t="shared" si="1"/>
        <v>-37.118620878369128</v>
      </c>
      <c r="AH7" s="16">
        <f t="shared" si="1"/>
        <v>24.56469239900127</v>
      </c>
    </row>
    <row r="8" spans="1:34" x14ac:dyDescent="0.25">
      <c r="A8" s="11" t="s">
        <v>41</v>
      </c>
      <c r="B8" s="11"/>
      <c r="C8" s="7">
        <v>1.0978785686666668</v>
      </c>
      <c r="D8" s="7">
        <v>1.27502187</v>
      </c>
      <c r="E8" s="7">
        <v>1.0158945873333334</v>
      </c>
      <c r="F8" s="7">
        <v>0.79652662733333346</v>
      </c>
      <c r="G8" s="47">
        <v>-16.13505412</v>
      </c>
      <c r="H8" s="49">
        <v>21.59357507</v>
      </c>
      <c r="I8" s="7">
        <v>1.9276000000000002</v>
      </c>
      <c r="J8" s="7">
        <v>0.82972000000000001</v>
      </c>
      <c r="K8" s="7">
        <v>0.14709333333333333</v>
      </c>
      <c r="L8" s="7">
        <v>0.17254</v>
      </c>
      <c r="M8" s="7">
        <v>0.53300666666666663</v>
      </c>
      <c r="N8" s="12">
        <v>0.42238000000000003</v>
      </c>
      <c r="O8" s="7">
        <v>0.57267999999999997</v>
      </c>
      <c r="P8" s="7">
        <v>0.22384666666666667</v>
      </c>
      <c r="Q8" s="8">
        <v>1.0158933333333335</v>
      </c>
      <c r="S8" s="7">
        <v>66.666666666666671</v>
      </c>
      <c r="T8" s="7">
        <v>16.468178529999999</v>
      </c>
      <c r="U8" s="7">
        <v>19.12532805</v>
      </c>
      <c r="V8" s="7">
        <v>15.238418810000001</v>
      </c>
      <c r="W8" s="7">
        <v>11.94789941</v>
      </c>
      <c r="X8" s="47">
        <v>-16.13505412</v>
      </c>
      <c r="Y8" s="49">
        <v>21.59357507</v>
      </c>
      <c r="Z8" s="7">
        <v>28.914000000000001</v>
      </c>
      <c r="AA8" s="7">
        <v>12.4458</v>
      </c>
      <c r="AB8" s="7">
        <v>2.2063999999999999</v>
      </c>
      <c r="AC8" s="7">
        <v>2.5880999999999998</v>
      </c>
      <c r="AD8" s="7">
        <v>7.9950999999999999</v>
      </c>
      <c r="AE8" s="12">
        <v>6.3357000000000001</v>
      </c>
      <c r="AF8" s="7">
        <v>8.5901999999999994</v>
      </c>
      <c r="AG8" s="7">
        <v>3.3576999999999999</v>
      </c>
      <c r="AH8" s="8">
        <v>15.2384</v>
      </c>
    </row>
    <row r="9" spans="1:34" x14ac:dyDescent="0.25">
      <c r="A9" s="11" t="s">
        <v>42</v>
      </c>
      <c r="B9" s="11"/>
      <c r="C9" s="7">
        <v>1.0718934745490982</v>
      </c>
      <c r="D9" s="7">
        <v>1.1712737440881762</v>
      </c>
      <c r="E9" s="7">
        <v>0.80064742785571152</v>
      </c>
      <c r="F9" s="7">
        <v>0.77720927134268536</v>
      </c>
      <c r="G9" s="7">
        <v>-9.2714688540000001</v>
      </c>
      <c r="H9" s="8">
        <v>2.9274004699999998</v>
      </c>
      <c r="I9" s="7">
        <v>1.7324729458917836</v>
      </c>
      <c r="J9" s="7">
        <v>0.66058316633266534</v>
      </c>
      <c r="K9" s="7">
        <v>0.12976953907815633</v>
      </c>
      <c r="L9" s="7">
        <v>0.15742484969939879</v>
      </c>
      <c r="M9" s="7">
        <v>0.49080961923847694</v>
      </c>
      <c r="N9" s="12">
        <v>0.39327054108216436</v>
      </c>
      <c r="O9" s="7">
        <v>0.56323647294589174</v>
      </c>
      <c r="P9" s="7">
        <v>0.21397394789579158</v>
      </c>
      <c r="Q9" s="8">
        <v>0.80064529058116229</v>
      </c>
      <c r="R9" s="53" t="s">
        <v>470</v>
      </c>
      <c r="S9" s="7">
        <v>60.120240480961925</v>
      </c>
      <c r="T9" s="7">
        <v>17.829161460000002</v>
      </c>
      <c r="U9" s="7">
        <v>19.482186609999999</v>
      </c>
      <c r="V9" s="7">
        <v>13.317435550000001</v>
      </c>
      <c r="W9" s="7">
        <v>12.927580880000001</v>
      </c>
      <c r="X9" s="7">
        <v>-9.2714688540000001</v>
      </c>
      <c r="Y9" s="8">
        <v>2.9274004699999998</v>
      </c>
      <c r="Z9" s="7">
        <v>28.816800000000001</v>
      </c>
      <c r="AA9" s="7">
        <v>10.9877</v>
      </c>
      <c r="AB9" s="7">
        <v>2.1585000000000001</v>
      </c>
      <c r="AC9" s="7">
        <v>2.6185</v>
      </c>
      <c r="AD9" s="7">
        <v>8.1638000000000002</v>
      </c>
      <c r="AE9" s="12">
        <v>6.5414000000000003</v>
      </c>
      <c r="AF9" s="7">
        <v>9.3684999999999992</v>
      </c>
      <c r="AG9" s="7">
        <v>3.5590999999999999</v>
      </c>
      <c r="AH9" s="8">
        <v>13.317399999999999</v>
      </c>
    </row>
    <row r="10" spans="1:34" ht="15.75" thickBot="1" x14ac:dyDescent="0.3">
      <c r="A10" s="13" t="s">
        <v>22</v>
      </c>
      <c r="B10" s="50"/>
      <c r="C10" s="7">
        <v>-2.3668459207766936</v>
      </c>
      <c r="D10" s="7">
        <v>-8.1369683417135263</v>
      </c>
      <c r="E10" s="7">
        <v>-21.187942347702986</v>
      </c>
      <c r="F10" s="7">
        <v>-2.4251990238317669</v>
      </c>
      <c r="G10" s="15"/>
      <c r="H10" s="16"/>
      <c r="I10" s="7">
        <v>-10.122797992748319</v>
      </c>
      <c r="J10" s="7">
        <v>-20.384808570039851</v>
      </c>
      <c r="K10" s="7">
        <v>-11.777416326489073</v>
      </c>
      <c r="L10" s="7">
        <v>-8.7603745801560251</v>
      </c>
      <c r="M10" s="7">
        <v>-7.9167954299864354</v>
      </c>
      <c r="N10" s="12">
        <v>-6.8917701874699731</v>
      </c>
      <c r="O10" s="7">
        <v>-1.6490059115227047</v>
      </c>
      <c r="P10" s="7">
        <v>-4.4104828174978801</v>
      </c>
      <c r="Q10" s="16">
        <v>-21.188055447307907</v>
      </c>
      <c r="S10" s="7"/>
      <c r="T10" s="15">
        <f>(T9-T8)/T9*100</f>
        <v>7.6334657300254332</v>
      </c>
      <c r="U10" s="15">
        <f>(U9-U8)/U9*100</f>
        <v>1.8317171842344815</v>
      </c>
      <c r="V10" s="15">
        <f>(V9-V8)/V9*100</f>
        <v>-14.424573355641279</v>
      </c>
      <c r="W10" s="15">
        <f>(W9-W8)/W9*100</f>
        <v>7.5782273504522903</v>
      </c>
      <c r="X10" s="15"/>
      <c r="Y10" s="16"/>
      <c r="Z10" s="15">
        <f t="shared" ref="Z10:AH10" si="2">(Z9-Z8)/Z8*100</f>
        <v>-0.33616932973646274</v>
      </c>
      <c r="AA10" s="15">
        <f t="shared" si="2"/>
        <v>-11.715598836555303</v>
      </c>
      <c r="AB10" s="15">
        <f t="shared" si="2"/>
        <v>-2.1709572153734515</v>
      </c>
      <c r="AC10" s="15">
        <f t="shared" si="2"/>
        <v>1.1746068544492179</v>
      </c>
      <c r="AD10" s="15">
        <f t="shared" si="2"/>
        <v>2.110042400970598</v>
      </c>
      <c r="AE10" s="17">
        <f t="shared" si="2"/>
        <v>3.246681503227745</v>
      </c>
      <c r="AF10" s="15">
        <f t="shared" si="2"/>
        <v>9.0603245558892667</v>
      </c>
      <c r="AG10" s="15">
        <f t="shared" si="2"/>
        <v>5.9981534979301321</v>
      </c>
      <c r="AH10" s="16">
        <f t="shared" si="2"/>
        <v>-12.606310373792532</v>
      </c>
    </row>
    <row r="11" spans="1:34" x14ac:dyDescent="0.25">
      <c r="A11" s="11" t="s">
        <v>43</v>
      </c>
      <c r="B11" s="11"/>
      <c r="C11" s="30">
        <v>1.5875575136131383</v>
      </c>
      <c r="D11" s="31">
        <v>1.1438672056427925</v>
      </c>
      <c r="E11" s="31">
        <v>1.2150746012831437</v>
      </c>
      <c r="F11" s="31">
        <v>1.0126496461089758</v>
      </c>
      <c r="G11" s="18">
        <v>27.950500000000002</v>
      </c>
      <c r="H11" s="49">
        <v>16.662400000000002</v>
      </c>
      <c r="I11" s="31">
        <v>2.3256387903162534</v>
      </c>
      <c r="J11" s="31">
        <v>0.73807252886581287</v>
      </c>
      <c r="K11" s="31">
        <v>0.13080641118061087</v>
      </c>
      <c r="L11" s="31">
        <v>0.21875716741747714</v>
      </c>
      <c r="M11" s="31">
        <v>0.3620292467538006</v>
      </c>
      <c r="N11" s="28">
        <v>0.43223938894169484</v>
      </c>
      <c r="O11" s="31">
        <v>0.7236385973170929</v>
      </c>
      <c r="P11" s="31">
        <v>0.28898480527997589</v>
      </c>
      <c r="Q11" s="27">
        <v>1.2150920969577483</v>
      </c>
      <c r="S11" s="7">
        <v>87.478373022544545</v>
      </c>
      <c r="T11" s="20">
        <v>18.148</v>
      </c>
      <c r="U11" s="20">
        <v>13.076000000000001</v>
      </c>
      <c r="V11" s="20">
        <v>13.89</v>
      </c>
      <c r="W11" s="20">
        <v>11.576000000000001</v>
      </c>
      <c r="X11" s="18">
        <v>27.950500000000002</v>
      </c>
      <c r="Y11" s="49">
        <v>16.662400000000002</v>
      </c>
      <c r="Z11" s="7">
        <v>26.5853</v>
      </c>
      <c r="AA11" s="7">
        <v>8.4372000000000007</v>
      </c>
      <c r="AB11" s="7">
        <v>1.4953000000000001</v>
      </c>
      <c r="AC11" s="7">
        <v>2.5007000000000001</v>
      </c>
      <c r="AD11" s="7">
        <v>4.1384999999999996</v>
      </c>
      <c r="AE11" s="12">
        <v>4.9410999999999996</v>
      </c>
      <c r="AF11" s="7">
        <v>8.2721999999999998</v>
      </c>
      <c r="AG11" s="7">
        <v>3.3035000000000001</v>
      </c>
      <c r="AH11" s="8">
        <v>13.8902</v>
      </c>
    </row>
    <row r="12" spans="1:34" x14ac:dyDescent="0.25">
      <c r="A12" s="11" t="s">
        <v>44</v>
      </c>
      <c r="B12" s="6"/>
      <c r="C12" s="32">
        <v>1.8919381731332523</v>
      </c>
      <c r="D12" s="33">
        <v>1.287130790301876</v>
      </c>
      <c r="E12" s="33">
        <v>1.7368149285318997</v>
      </c>
      <c r="F12" s="33">
        <v>1.5933646852879679</v>
      </c>
      <c r="G12" s="18">
        <v>31.968499999999999</v>
      </c>
      <c r="H12" s="22">
        <v>8.2588000000000008</v>
      </c>
      <c r="I12" s="33">
        <v>2.5222346487724341</v>
      </c>
      <c r="J12" s="33">
        <v>0.63026911704225064</v>
      </c>
      <c r="K12" s="33">
        <v>4.561590061704679E-2</v>
      </c>
      <c r="L12" s="33">
        <v>0.11677561123576252</v>
      </c>
      <c r="M12" s="33">
        <v>0.62412255226498359</v>
      </c>
      <c r="N12" s="12">
        <v>0.50061672618408304</v>
      </c>
      <c r="O12" s="33">
        <v>1.3013754997708538</v>
      </c>
      <c r="P12" s="33">
        <v>0.29200742458173495</v>
      </c>
      <c r="Q12" s="8">
        <v>1.7368240480642101</v>
      </c>
      <c r="R12" s="53" t="s">
        <v>469</v>
      </c>
      <c r="S12" s="7">
        <v>91.195323104851639</v>
      </c>
      <c r="T12" s="20">
        <v>20.746000000000002</v>
      </c>
      <c r="U12" s="20">
        <v>14.114000000000001</v>
      </c>
      <c r="V12" s="20">
        <v>19.045000000000002</v>
      </c>
      <c r="W12" s="20">
        <v>17.472000000000001</v>
      </c>
      <c r="X12" s="18">
        <v>31.968499999999999</v>
      </c>
      <c r="Y12" s="22">
        <v>8.2588000000000008</v>
      </c>
      <c r="Z12" s="7">
        <v>27.657499999999999</v>
      </c>
      <c r="AA12" s="7">
        <v>6.9112</v>
      </c>
      <c r="AB12" s="7">
        <v>0.50019999999999998</v>
      </c>
      <c r="AC12" s="7">
        <v>1.2805</v>
      </c>
      <c r="AD12" s="7">
        <v>6.8437999999999999</v>
      </c>
      <c r="AE12" s="12">
        <v>5.4894999999999996</v>
      </c>
      <c r="AF12" s="7">
        <v>14.270200000000001</v>
      </c>
      <c r="AG12" s="7">
        <v>3.202</v>
      </c>
      <c r="AH12" s="8">
        <v>19.045100000000001</v>
      </c>
    </row>
    <row r="13" spans="1:34" ht="15.75" thickBot="1" x14ac:dyDescent="0.3">
      <c r="A13" s="13" t="s">
        <v>22</v>
      </c>
      <c r="B13" s="14"/>
      <c r="C13" s="32">
        <v>19.172890236106845</v>
      </c>
      <c r="D13" s="33">
        <v>12.524494447638002</v>
      </c>
      <c r="E13" s="33">
        <v>42.93895425826426</v>
      </c>
      <c r="F13" s="33">
        <v>57.346096096546582</v>
      </c>
      <c r="G13" s="15"/>
      <c r="H13" s="16"/>
      <c r="I13" s="33">
        <v>8.4534132847623535</v>
      </c>
      <c r="J13" s="33">
        <v>-14.60607292744284</v>
      </c>
      <c r="K13" s="33">
        <v>-65.127167540692881</v>
      </c>
      <c r="L13" s="33">
        <v>-46.61861249423319</v>
      </c>
      <c r="M13" s="33">
        <v>72.395616614207015</v>
      </c>
      <c r="N13" s="12">
        <v>15.819321189076474</v>
      </c>
      <c r="O13" s="33">
        <v>79.837767719374568</v>
      </c>
      <c r="P13" s="33">
        <v>1.0459440242301583</v>
      </c>
      <c r="Q13" s="8">
        <v>42.937646653511536</v>
      </c>
      <c r="S13" s="7"/>
      <c r="T13" s="15">
        <f>(T12-T11)/T12*100</f>
        <v>12.522895979947954</v>
      </c>
      <c r="U13" s="15">
        <f>(U12-U11)/U12*100</f>
        <v>7.354399886637383</v>
      </c>
      <c r="V13" s="15">
        <f>(V12-V11)/V12*100</f>
        <v>27.067471777369391</v>
      </c>
      <c r="W13" s="15">
        <f>(W12-W11)/W12*100</f>
        <v>33.745421245421248</v>
      </c>
      <c r="X13" s="15"/>
      <c r="Y13" s="16"/>
      <c r="Z13" s="15">
        <f t="shared" ref="Z13:AH13" si="3">(Z12-Z11)/Z11*100</f>
        <v>4.033055861698001</v>
      </c>
      <c r="AA13" s="15">
        <f t="shared" si="3"/>
        <v>-18.086569003934962</v>
      </c>
      <c r="AB13" s="15">
        <f t="shared" si="3"/>
        <v>-66.548518691901293</v>
      </c>
      <c r="AC13" s="15">
        <f t="shared" si="3"/>
        <v>-48.794337585476072</v>
      </c>
      <c r="AD13" s="15">
        <f t="shared" si="3"/>
        <v>65.369095082759472</v>
      </c>
      <c r="AE13" s="17">
        <f t="shared" si="3"/>
        <v>11.098743194835158</v>
      </c>
      <c r="AF13" s="15">
        <f t="shared" si="3"/>
        <v>72.507918087086892</v>
      </c>
      <c r="AG13" s="15">
        <f t="shared" si="3"/>
        <v>-3.0724988648403251</v>
      </c>
      <c r="AH13" s="16">
        <f t="shared" si="3"/>
        <v>37.111776648284412</v>
      </c>
    </row>
    <row r="14" spans="1:34" x14ac:dyDescent="0.25">
      <c r="A14" s="11" t="s">
        <v>45</v>
      </c>
      <c r="B14" s="330" t="s">
        <v>46</v>
      </c>
      <c r="C14" s="30">
        <v>1.3903019077023142</v>
      </c>
      <c r="D14" s="31">
        <v>1.3573264874987014</v>
      </c>
      <c r="E14" s="31">
        <v>1.084891324698855</v>
      </c>
      <c r="F14" s="31">
        <v>0.91274023392999515</v>
      </c>
      <c r="G14" s="20">
        <v>2.3717999999999999</v>
      </c>
      <c r="H14" s="22">
        <v>15.869199999999999</v>
      </c>
      <c r="I14" s="31">
        <v>1.3903019077023142</v>
      </c>
      <c r="J14" s="31"/>
      <c r="K14" s="31">
        <v>0.10120059473958701</v>
      </c>
      <c r="L14" s="31">
        <v>0.17686463612737638</v>
      </c>
      <c r="M14" s="31">
        <v>0.67031270351543593</v>
      </c>
      <c r="N14" s="28">
        <v>0.40894855311630218</v>
      </c>
      <c r="O14" s="31">
        <v>0.45790250413916539</v>
      </c>
      <c r="P14" s="31">
        <v>0.45481833248482745</v>
      </c>
      <c r="Q14" s="27">
        <v>1.0848864753723544</v>
      </c>
      <c r="S14" s="7">
        <v>48.493265005312665</v>
      </c>
      <c r="T14" s="20">
        <v>28.67</v>
      </c>
      <c r="U14" s="20">
        <v>27.99</v>
      </c>
      <c r="V14" s="20">
        <v>22.372</v>
      </c>
      <c r="W14" s="20">
        <v>18.822000000000003</v>
      </c>
      <c r="X14" s="20">
        <v>2.3717999999999999</v>
      </c>
      <c r="Y14" s="22">
        <v>15.869199999999999</v>
      </c>
      <c r="Z14" s="7">
        <v>28.67</v>
      </c>
      <c r="AA14" s="48"/>
      <c r="AB14" s="7">
        <v>2.0869</v>
      </c>
      <c r="AC14" s="7">
        <v>3.6472000000000002</v>
      </c>
      <c r="AD14" s="7">
        <v>13.822800000000001</v>
      </c>
      <c r="AE14" s="12">
        <v>8.4330999999999996</v>
      </c>
      <c r="AF14" s="7">
        <v>9.4426000000000005</v>
      </c>
      <c r="AG14" s="7">
        <v>9.3789999999999996</v>
      </c>
      <c r="AH14" s="27">
        <v>22.3719</v>
      </c>
    </row>
    <row r="15" spans="1:34" x14ac:dyDescent="0.25">
      <c r="A15" s="11" t="s">
        <v>47</v>
      </c>
      <c r="B15" s="331"/>
      <c r="C15" s="32">
        <v>1.5328889644727839</v>
      </c>
      <c r="D15" s="33">
        <v>1.5109554921974577</v>
      </c>
      <c r="E15" s="33">
        <v>1.2882975160691486</v>
      </c>
      <c r="F15" s="33">
        <v>1.1280144494417661</v>
      </c>
      <c r="G15" s="20">
        <v>1.4316</v>
      </c>
      <c r="H15" s="22">
        <v>12.4419</v>
      </c>
      <c r="I15" s="33">
        <v>1.5360128226453302</v>
      </c>
      <c r="J15" s="33"/>
      <c r="K15" s="33">
        <v>6.4977272528465774E-2</v>
      </c>
      <c r="L15" s="33">
        <v>1.5808460670234968E-2</v>
      </c>
      <c r="M15" s="33">
        <v>1.02601102161775</v>
      </c>
      <c r="N15" s="12">
        <v>0.40415873738100722</v>
      </c>
      <c r="O15" s="33">
        <v>0.85900987047526778</v>
      </c>
      <c r="P15" s="33">
        <v>0.2689943535714982</v>
      </c>
      <c r="Q15" s="8">
        <v>1.2882924033716483</v>
      </c>
      <c r="R15" s="53" t="s">
        <v>438</v>
      </c>
      <c r="S15" s="7">
        <v>51.12697500075992</v>
      </c>
      <c r="T15" s="20">
        <v>29.982000000000003</v>
      </c>
      <c r="U15" s="20">
        <v>29.552999999999997</v>
      </c>
      <c r="V15" s="20">
        <v>25.198</v>
      </c>
      <c r="W15" s="20">
        <v>22.063000000000002</v>
      </c>
      <c r="X15" s="20">
        <v>1.4316</v>
      </c>
      <c r="Y15" s="22">
        <v>12.4419</v>
      </c>
      <c r="Z15" s="7">
        <v>30.043099999999999</v>
      </c>
      <c r="AA15" s="48"/>
      <c r="AB15" s="7">
        <v>1.2708999999999999</v>
      </c>
      <c r="AC15" s="7">
        <v>0.30919999999999997</v>
      </c>
      <c r="AD15" s="7">
        <v>20.067900000000002</v>
      </c>
      <c r="AE15" s="12">
        <v>7.9050000000000002</v>
      </c>
      <c r="AF15" s="7">
        <v>16.801500000000001</v>
      </c>
      <c r="AG15" s="7">
        <v>5.2613000000000003</v>
      </c>
      <c r="AH15" s="8">
        <v>25.197900000000001</v>
      </c>
    </row>
    <row r="16" spans="1:34" ht="15.75" thickBot="1" x14ac:dyDescent="0.3">
      <c r="A16" s="13" t="s">
        <v>22</v>
      </c>
      <c r="B16" s="332"/>
      <c r="C16" s="24">
        <v>10.255834073199003</v>
      </c>
      <c r="D16" s="15">
        <v>11.318500457606612</v>
      </c>
      <c r="E16" s="15">
        <v>18.748992340477535</v>
      </c>
      <c r="F16" s="15">
        <v>23.585485498416404</v>
      </c>
      <c r="G16" s="15"/>
      <c r="H16" s="16"/>
      <c r="I16" s="15">
        <v>10.480523268778759</v>
      </c>
      <c r="J16" s="15"/>
      <c r="K16" s="15">
        <v>-35.793586296930748</v>
      </c>
      <c r="L16" s="15">
        <v>-91.061830665317473</v>
      </c>
      <c r="M16" s="15">
        <v>53.064534841256084</v>
      </c>
      <c r="N16" s="17">
        <v>-1.1712514199635218</v>
      </c>
      <c r="O16" s="15">
        <v>87.596674556337035</v>
      </c>
      <c r="P16" s="15">
        <v>-40.856747769622558</v>
      </c>
      <c r="Q16" s="16">
        <v>18.749051870102907</v>
      </c>
      <c r="S16" s="7"/>
      <c r="T16" s="15">
        <f>(T15-T14)/T15*100</f>
        <v>4.3759589086785438</v>
      </c>
      <c r="U16" s="15">
        <f>(U15-U14)/U15*100</f>
        <v>5.2888031671911442</v>
      </c>
      <c r="V16" s="15">
        <f>(V15-V14)/V15*100</f>
        <v>11.21517580760378</v>
      </c>
      <c r="W16" s="15">
        <f>(W15-W14)/W15*100</f>
        <v>14.689752073607393</v>
      </c>
      <c r="X16" s="15"/>
      <c r="Y16" s="16"/>
      <c r="Z16" s="15">
        <f>(Z15-Z14)/Z14*100</f>
        <v>4.7893268224624945</v>
      </c>
      <c r="AA16" s="51"/>
      <c r="AB16" s="15">
        <f t="shared" ref="AB16:AH16" si="4">(AB15-AB14)/AB14*100</f>
        <v>-39.101058987014234</v>
      </c>
      <c r="AC16" s="15">
        <f t="shared" si="4"/>
        <v>-91.522263654310152</v>
      </c>
      <c r="AD16" s="15">
        <f t="shared" si="4"/>
        <v>45.179703099227368</v>
      </c>
      <c r="AE16" s="17">
        <f t="shared" si="4"/>
        <v>-6.2622285992102471</v>
      </c>
      <c r="AF16" s="15">
        <f t="shared" si="4"/>
        <v>77.93298455933747</v>
      </c>
      <c r="AG16" s="15">
        <f t="shared" si="4"/>
        <v>-43.903401215481388</v>
      </c>
      <c r="AH16" s="16">
        <f t="shared" si="4"/>
        <v>12.631917718209005</v>
      </c>
    </row>
    <row r="17" spans="1:34" ht="15" customHeight="1" x14ac:dyDescent="0.25">
      <c r="A17" t="s">
        <v>48</v>
      </c>
      <c r="B17" s="342" t="s">
        <v>388</v>
      </c>
      <c r="C17" s="32">
        <v>2.0285176210775138</v>
      </c>
      <c r="D17" s="33">
        <v>3.0474308868025943</v>
      </c>
      <c r="E17" s="33">
        <v>1.6642328563048658</v>
      </c>
      <c r="F17" s="33">
        <v>1.7595608118931148</v>
      </c>
      <c r="G17" s="18"/>
      <c r="H17" s="52">
        <v>-5.7302</v>
      </c>
      <c r="I17" s="33">
        <v>3.6701086150013142</v>
      </c>
      <c r="J17" s="33">
        <v>1.6415909939238003</v>
      </c>
      <c r="K17" s="33">
        <v>0.62303712283968904</v>
      </c>
      <c r="L17" s="33"/>
      <c r="M17" s="33">
        <v>0.87218598476279652</v>
      </c>
      <c r="N17" s="12">
        <v>1.2592540130867274</v>
      </c>
      <c r="O17" s="33">
        <v>1.2286053094420999</v>
      </c>
      <c r="P17" s="33">
        <v>0.53097906931271788</v>
      </c>
      <c r="Q17" s="8">
        <v>1.6642151811585886</v>
      </c>
      <c r="S17" s="7">
        <v>58.917154257261508</v>
      </c>
      <c r="T17" s="20">
        <v>34.43</v>
      </c>
      <c r="U17" s="20">
        <v>51.723999999999997</v>
      </c>
      <c r="V17" s="20">
        <v>28.247</v>
      </c>
      <c r="W17" s="20">
        <v>29.864999999999998</v>
      </c>
      <c r="X17" s="18">
        <v>-50.229500000000002</v>
      </c>
      <c r="Y17" s="52">
        <v>-5.7302</v>
      </c>
      <c r="Z17" s="7">
        <v>62.292700000000004</v>
      </c>
      <c r="AA17" s="7">
        <v>27.8627</v>
      </c>
      <c r="AB17" s="7">
        <v>10.5748</v>
      </c>
      <c r="AC17" s="48"/>
      <c r="AD17" s="7">
        <v>14.803599999999999</v>
      </c>
      <c r="AE17" s="7">
        <v>21.3733</v>
      </c>
      <c r="AF17" s="7">
        <v>20.853100000000001</v>
      </c>
      <c r="AG17" s="7">
        <v>9.0122999999999998</v>
      </c>
      <c r="AH17" s="8">
        <v>28.246700000000001</v>
      </c>
    </row>
    <row r="18" spans="1:34" x14ac:dyDescent="0.25">
      <c r="A18" t="s">
        <v>49</v>
      </c>
      <c r="B18" s="343"/>
      <c r="C18" s="32">
        <v>1.5293657232854485</v>
      </c>
      <c r="D18" s="33">
        <v>3.0282378020649388</v>
      </c>
      <c r="E18" s="33">
        <v>2.0477067722999092</v>
      </c>
      <c r="F18" s="33">
        <v>1.841785583607757</v>
      </c>
      <c r="G18" s="18"/>
      <c r="H18" s="22">
        <v>10.057</v>
      </c>
      <c r="I18" s="33">
        <v>3.0143451216214068</v>
      </c>
      <c r="J18" s="33">
        <v>1.4849793983359583</v>
      </c>
      <c r="K18" s="33">
        <v>0.59367409599261844</v>
      </c>
      <c r="L18" s="33"/>
      <c r="M18" s="33">
        <v>0.81000588618972624</v>
      </c>
      <c r="N18" s="12">
        <v>1.3714249351723697</v>
      </c>
      <c r="O18" s="33">
        <v>1.2645902734691929</v>
      </c>
      <c r="P18" s="33">
        <v>0.57719531013856407</v>
      </c>
      <c r="Q18" s="8">
        <v>2.0477271353346378</v>
      </c>
      <c r="R18" s="53" t="s">
        <v>12</v>
      </c>
      <c r="S18" s="7">
        <v>50.907586821298459</v>
      </c>
      <c r="T18" s="20">
        <v>30.042000000000002</v>
      </c>
      <c r="U18" s="20">
        <v>59.484999999999999</v>
      </c>
      <c r="V18" s="20">
        <v>40.223999999999997</v>
      </c>
      <c r="W18" s="20">
        <v>36.179000000000002</v>
      </c>
      <c r="X18" s="18">
        <v>-98.005700000000004</v>
      </c>
      <c r="Y18" s="22">
        <v>10.057</v>
      </c>
      <c r="Z18" s="7">
        <v>59.2121</v>
      </c>
      <c r="AA18" s="7">
        <v>29.170100000000001</v>
      </c>
      <c r="AB18" s="7">
        <v>11.661799999999999</v>
      </c>
      <c r="AC18" s="48"/>
      <c r="AD18" s="7">
        <v>15.911300000000001</v>
      </c>
      <c r="AE18" s="7">
        <v>26.939499999999999</v>
      </c>
      <c r="AF18" s="7">
        <v>24.840900000000001</v>
      </c>
      <c r="AG18" s="7">
        <v>11.338100000000001</v>
      </c>
      <c r="AH18" s="8">
        <v>40.224400000000003</v>
      </c>
    </row>
    <row r="19" spans="1:34" ht="15.75" thickBot="1" x14ac:dyDescent="0.3">
      <c r="A19" s="53" t="s">
        <v>22</v>
      </c>
      <c r="B19" s="344"/>
      <c r="C19" s="24">
        <v>-24.606732157787437</v>
      </c>
      <c r="D19" s="15">
        <v>-0.62981197771455355</v>
      </c>
      <c r="E19" s="15">
        <v>23.04208299591436</v>
      </c>
      <c r="F19" s="15">
        <v>4.673028130592229</v>
      </c>
      <c r="G19" s="15"/>
      <c r="H19" s="16"/>
      <c r="I19" s="15">
        <v>-17.867686277717223</v>
      </c>
      <c r="J19" s="15">
        <v>-9.5402323823367432</v>
      </c>
      <c r="K19" s="15">
        <v>-4.7128856003377937</v>
      </c>
      <c r="L19" s="15"/>
      <c r="M19" s="15">
        <v>-7.1292246905321512</v>
      </c>
      <c r="N19" s="17">
        <v>8.9077279817981374</v>
      </c>
      <c r="O19" s="15">
        <v>2.9289279275077811</v>
      </c>
      <c r="P19" s="15">
        <v>8.7039665962100905</v>
      </c>
      <c r="Q19" s="16">
        <v>23.044613371995379</v>
      </c>
      <c r="T19" s="15">
        <f>(T18-T17)/T17*100</f>
        <v>-12.744699390066797</v>
      </c>
      <c r="U19" s="15">
        <f>(U18-U17)/U17*100</f>
        <v>15.004640012373372</v>
      </c>
      <c r="V19" s="15">
        <f>(V18-V17)/V17*100</f>
        <v>42.40096293411689</v>
      </c>
      <c r="W19" s="15">
        <f>(W18-W17)/W17*100</f>
        <v>21.141804788213641</v>
      </c>
      <c r="X19" s="15"/>
      <c r="Y19" s="16"/>
      <c r="Z19" s="15">
        <f>(Z18-Z17)/Z17*100</f>
        <v>-4.9453627792662758</v>
      </c>
      <c r="AA19" s="15">
        <f>(AA18-AA17)/AA17*100</f>
        <v>4.6922947165924374</v>
      </c>
      <c r="AB19" s="15">
        <f>(AB18-AB17)/AB17*100</f>
        <v>10.279154215682563</v>
      </c>
      <c r="AC19" s="51"/>
      <c r="AD19" s="15">
        <f>(AD18-AD17)/AD17*100</f>
        <v>7.4826393579940103</v>
      </c>
      <c r="AE19" s="15">
        <f>(AE18-AE17)/AE17*100</f>
        <v>26.042772992471907</v>
      </c>
      <c r="AF19" s="15">
        <f>(AF18-AF17)/AF17*100</f>
        <v>19.123295816928898</v>
      </c>
      <c r="AG19" s="15">
        <f>(AG18-AG17)/AG17*100</f>
        <v>25.806952720171335</v>
      </c>
      <c r="AH19" s="16">
        <f>(AH18-AH17)/AH17*100</f>
        <v>42.403891428025226</v>
      </c>
    </row>
    <row r="20" spans="1:34" x14ac:dyDescent="0.25">
      <c r="A20" s="63"/>
      <c r="R20" s="31"/>
      <c r="T20" s="7"/>
      <c r="U20" s="7"/>
      <c r="V20" s="7"/>
      <c r="W20" s="7"/>
      <c r="X20" s="7"/>
      <c r="Y20" s="7"/>
      <c r="Z20" s="7"/>
      <c r="AA20" s="7"/>
      <c r="AB20" s="7"/>
      <c r="AC20" s="7"/>
      <c r="AD20" s="7"/>
      <c r="AE20" s="7"/>
      <c r="AF20" s="7"/>
      <c r="AG20" s="7"/>
      <c r="AH20" s="7"/>
    </row>
    <row r="21" spans="1:34" x14ac:dyDescent="0.25">
      <c r="R21" s="33"/>
      <c r="T21" s="7"/>
      <c r="U21" s="7"/>
      <c r="V21" s="7"/>
      <c r="W21" s="7"/>
      <c r="X21" s="7"/>
      <c r="Y21" s="7"/>
      <c r="Z21" s="7"/>
      <c r="AA21" s="7"/>
      <c r="AB21" s="7"/>
      <c r="AC21" s="7"/>
      <c r="AD21" s="7"/>
      <c r="AE21" s="7"/>
      <c r="AF21" s="7"/>
      <c r="AG21" s="7"/>
      <c r="AH21" s="7"/>
    </row>
    <row r="22" spans="1:34" ht="30.75" thickBot="1" x14ac:dyDescent="0.3">
      <c r="C22" s="3" t="s">
        <v>2</v>
      </c>
      <c r="D22" s="3" t="s">
        <v>3</v>
      </c>
      <c r="E22" s="3" t="s">
        <v>4</v>
      </c>
      <c r="F22" s="3" t="s">
        <v>5</v>
      </c>
      <c r="G22" s="3" t="s">
        <v>6</v>
      </c>
      <c r="H22" s="4" t="s">
        <v>7</v>
      </c>
      <c r="I22" s="3" t="s">
        <v>8</v>
      </c>
      <c r="J22" s="3" t="s">
        <v>9</v>
      </c>
      <c r="K22" s="3" t="s">
        <v>10</v>
      </c>
      <c r="L22" s="3" t="s">
        <v>11</v>
      </c>
      <c r="M22" s="3" t="s">
        <v>12</v>
      </c>
      <c r="N22" s="45" t="s">
        <v>13</v>
      </c>
      <c r="O22" s="3" t="s">
        <v>14</v>
      </c>
      <c r="P22" s="3" t="s">
        <v>15</v>
      </c>
      <c r="Q22" s="4" t="s">
        <v>16</v>
      </c>
      <c r="R22" s="15"/>
      <c r="T22" s="7"/>
      <c r="U22" s="7"/>
      <c r="V22" s="7"/>
      <c r="W22" s="7"/>
      <c r="X22" s="7"/>
      <c r="Y22" s="7"/>
      <c r="Z22" s="7"/>
      <c r="AA22" s="7"/>
      <c r="AB22" s="7"/>
      <c r="AC22" s="7"/>
      <c r="AD22" s="7"/>
      <c r="AE22" s="7"/>
      <c r="AF22" s="7"/>
      <c r="AG22" s="7"/>
      <c r="AH22" s="7"/>
    </row>
    <row r="23" spans="1:34" ht="15.75" thickTop="1" x14ac:dyDescent="0.25">
      <c r="B23" s="29" t="s">
        <v>28</v>
      </c>
      <c r="C23" s="30">
        <f>AVERAGE(C17,C14,C11,C8,C5,C2)</f>
        <v>1.5992183930539661</v>
      </c>
      <c r="D23" s="31">
        <f t="shared" ref="D23:Q23" si="5">AVERAGE(D17,D14,D11,D8,D5,D2)</f>
        <v>1.6786449189074926</v>
      </c>
      <c r="E23" s="31">
        <f t="shared" si="5"/>
        <v>1.0818506632081963</v>
      </c>
      <c r="F23" s="31">
        <f t="shared" si="5"/>
        <v>0.98868554772408979</v>
      </c>
      <c r="G23" s="31">
        <f>AVERAGE(G17,G14,G11,G8,G5,G2)</f>
        <v>4.2614364700000005</v>
      </c>
      <c r="H23" s="27">
        <f t="shared" si="5"/>
        <v>9.5475635745746885</v>
      </c>
      <c r="I23" s="31">
        <f>AVERAGE(I17,I14,I11,I8,I5,I2)</f>
        <v>2.4187533650387891</v>
      </c>
      <c r="J23" s="31">
        <f t="shared" si="5"/>
        <v>1.2286110256544989</v>
      </c>
      <c r="K23" s="31">
        <f t="shared" si="5"/>
        <v>0.24884552703144225</v>
      </c>
      <c r="L23" s="31">
        <f t="shared" si="5"/>
        <v>0.21188880283904968</v>
      </c>
      <c r="M23" s="31">
        <f t="shared" si="5"/>
        <v>0.61578317834333729</v>
      </c>
      <c r="N23" s="31">
        <f t="shared" si="5"/>
        <v>0.58861554044984932</v>
      </c>
      <c r="O23" s="31">
        <f t="shared" si="5"/>
        <v>0.66554761167929211</v>
      </c>
      <c r="P23" s="31">
        <f t="shared" si="5"/>
        <v>0.32313616052678401</v>
      </c>
      <c r="Q23" s="27">
        <f t="shared" si="5"/>
        <v>1.081846924497387</v>
      </c>
      <c r="S23" s="29" t="s">
        <v>28</v>
      </c>
      <c r="T23" s="30">
        <f>AVERAGE(T17,T14,T11,T8,T5,T2)</f>
        <v>24.16292027554816</v>
      </c>
      <c r="U23" s="31">
        <f t="shared" ref="U23:AH23" si="6">AVERAGE(U17,U14,U11,U8,U5,U2)</f>
        <v>25.960183230154485</v>
      </c>
      <c r="V23" s="31">
        <f t="shared" si="6"/>
        <v>16.488479423823026</v>
      </c>
      <c r="W23" s="31">
        <f t="shared" si="6"/>
        <v>15.123078802608596</v>
      </c>
      <c r="X23" s="31">
        <f t="shared" si="6"/>
        <v>-4.1710186127903484</v>
      </c>
      <c r="Y23" s="27">
        <f t="shared" si="6"/>
        <v>9.5475635745746885</v>
      </c>
      <c r="Z23" s="31">
        <f t="shared" si="6"/>
        <v>35.121380000000002</v>
      </c>
      <c r="AA23" s="31">
        <f t="shared" si="6"/>
        <v>16.646660000000001</v>
      </c>
      <c r="AB23" s="31">
        <f t="shared" si="6"/>
        <v>5.7144166666666658</v>
      </c>
      <c r="AC23" s="31">
        <f t="shared" si="6"/>
        <v>4.3857400000000002</v>
      </c>
      <c r="AD23" s="31">
        <f t="shared" si="6"/>
        <v>7.7541000000000002</v>
      </c>
      <c r="AE23" s="28">
        <f t="shared" si="6"/>
        <v>8.0081500000000005</v>
      </c>
      <c r="AF23" s="31">
        <f t="shared" si="6"/>
        <v>9.9785000000000021</v>
      </c>
      <c r="AG23" s="31">
        <f t="shared" si="6"/>
        <v>5.1445500000000006</v>
      </c>
      <c r="AH23" s="27">
        <f t="shared" si="6"/>
        <v>16.488416666666669</v>
      </c>
    </row>
    <row r="24" spans="1:34" x14ac:dyDescent="0.25">
      <c r="B24" s="6" t="s">
        <v>29</v>
      </c>
      <c r="C24" s="32">
        <f t="shared" ref="C24:Q25" si="7">AVERAGE(C18,C15,C12,C9,C6,C3)</f>
        <v>1.481285118074025</v>
      </c>
      <c r="D24" s="33">
        <f t="shared" si="7"/>
        <v>1.6842039510390505</v>
      </c>
      <c r="E24" s="33">
        <f t="shared" si="7"/>
        <v>1.2501808352779886</v>
      </c>
      <c r="F24" s="33">
        <f t="shared" si="7"/>
        <v>1.1841158699352468</v>
      </c>
      <c r="G24" s="33">
        <f t="shared" si="7"/>
        <v>11.097807786500001</v>
      </c>
      <c r="H24" s="8">
        <f t="shared" si="7"/>
        <v>3.3880667450000002</v>
      </c>
      <c r="I24" s="33">
        <f t="shared" si="7"/>
        <v>2.2958621140588149</v>
      </c>
      <c r="J24" s="33">
        <f t="shared" si="7"/>
        <v>1.1625049953697153</v>
      </c>
      <c r="K24" s="33">
        <f t="shared" si="7"/>
        <v>0.22637076328152181</v>
      </c>
      <c r="L24" s="33">
        <f t="shared" si="7"/>
        <v>0.15769885609353448</v>
      </c>
      <c r="M24" s="33">
        <f t="shared" si="7"/>
        <v>0.71528801445468682</v>
      </c>
      <c r="N24" s="33">
        <f t="shared" si="7"/>
        <v>0.56894334404404312</v>
      </c>
      <c r="O24" s="33">
        <f t="shared" si="7"/>
        <v>0.90166606679182559</v>
      </c>
      <c r="P24" s="33">
        <f t="shared" si="7"/>
        <v>0.2824591483369972</v>
      </c>
      <c r="Q24" s="8">
        <f t="shared" si="7"/>
        <v>1.2501903727867756</v>
      </c>
      <c r="S24" s="6" t="s">
        <v>29</v>
      </c>
      <c r="T24" s="32">
        <f t="shared" ref="T24:AH24" si="8">AVERAGE(T18,T15,T12,T9,T6,T3)</f>
        <v>22.16369357666667</v>
      </c>
      <c r="U24" s="33">
        <f t="shared" si="8"/>
        <v>26.797697768333336</v>
      </c>
      <c r="V24" s="33">
        <f t="shared" si="8"/>
        <v>19.610572591666664</v>
      </c>
      <c r="W24" s="33">
        <f t="shared" si="8"/>
        <v>18.377096813333331</v>
      </c>
      <c r="X24" s="33">
        <f t="shared" si="8"/>
        <v>-12.978361475666668</v>
      </c>
      <c r="Y24" s="8">
        <f t="shared" si="8"/>
        <v>3.3880667450000002</v>
      </c>
      <c r="Z24" s="33">
        <f t="shared" si="8"/>
        <v>34.60136</v>
      </c>
      <c r="AA24" s="33">
        <f t="shared" si="8"/>
        <v>16.375260000000001</v>
      </c>
      <c r="AB24" s="33">
        <f t="shared" si="8"/>
        <v>5.4234499999999999</v>
      </c>
      <c r="AC24" s="33">
        <f t="shared" si="8"/>
        <v>2.5112399999999999</v>
      </c>
      <c r="AD24" s="33">
        <f t="shared" si="8"/>
        <v>9.5292166666666684</v>
      </c>
      <c r="AE24" s="12">
        <f t="shared" si="8"/>
        <v>8.9236333333333331</v>
      </c>
      <c r="AF24" s="33">
        <f t="shared" si="8"/>
        <v>13.802383333333337</v>
      </c>
      <c r="AG24" s="33">
        <f t="shared" si="8"/>
        <v>4.5748000000000006</v>
      </c>
      <c r="AH24" s="8">
        <f t="shared" si="8"/>
        <v>19.610700000000005</v>
      </c>
    </row>
    <row r="25" spans="1:34" x14ac:dyDescent="0.25">
      <c r="B25" s="43" t="s">
        <v>30</v>
      </c>
      <c r="C25" s="39">
        <f t="shared" si="7"/>
        <v>-0.27617000804321751</v>
      </c>
      <c r="D25" s="35">
        <f t="shared" si="7"/>
        <v>2.0717412705763061</v>
      </c>
      <c r="E25" s="35">
        <f t="shared" si="7"/>
        <v>11.769766273388624</v>
      </c>
      <c r="F25" s="35">
        <f t="shared" si="7"/>
        <v>19.031832581467729</v>
      </c>
      <c r="G25" s="35"/>
      <c r="H25" s="36"/>
      <c r="I25" s="35">
        <f t="shared" si="7"/>
        <v>-2.572949872236669</v>
      </c>
      <c r="J25" s="35">
        <f t="shared" si="7"/>
        <v>-3.1625067125502468</v>
      </c>
      <c r="K25" s="35">
        <f t="shared" si="7"/>
        <v>-17.804166079635763</v>
      </c>
      <c r="L25" s="35">
        <f t="shared" si="7"/>
        <v>-28.428716649242809</v>
      </c>
      <c r="M25" s="35">
        <f t="shared" si="7"/>
        <v>21.403168449581639</v>
      </c>
      <c r="N25" s="35">
        <f t="shared" si="7"/>
        <v>-1.5101858030734252</v>
      </c>
      <c r="O25" s="35">
        <f t="shared" si="7"/>
        <v>40.33798242259396</v>
      </c>
      <c r="P25" s="35">
        <f t="shared" si="7"/>
        <v>-11.670314491628062</v>
      </c>
      <c r="Q25" s="36">
        <f t="shared" si="7"/>
        <v>11.771005062720553</v>
      </c>
      <c r="S25" s="43" t="s">
        <v>30</v>
      </c>
      <c r="T25" s="39">
        <f t="shared" ref="T25:AH25" si="9">AVERAGE(T19,T16,T13,T10,T7,T4)</f>
        <v>-5.0993946709497102</v>
      </c>
      <c r="U25" s="35">
        <f t="shared" si="9"/>
        <v>1.9329208372240323</v>
      </c>
      <c r="V25" s="35">
        <f t="shared" si="9"/>
        <v>6.091165492297975</v>
      </c>
      <c r="W25" s="35">
        <f t="shared" si="9"/>
        <v>11.92864426651802</v>
      </c>
      <c r="X25" s="35"/>
      <c r="Y25" s="36"/>
      <c r="Z25" s="35">
        <f t="shared" si="9"/>
        <v>-0.57342632208094479</v>
      </c>
      <c r="AA25" s="35">
        <f t="shared" si="9"/>
        <v>-2.6085853526470886</v>
      </c>
      <c r="AB25" s="35">
        <f t="shared" si="9"/>
        <v>-18.73939203158076</v>
      </c>
      <c r="AC25" s="35">
        <f t="shared" si="9"/>
        <v>-36.038401329768405</v>
      </c>
      <c r="AD25" s="35">
        <f t="shared" si="9"/>
        <v>22.642242915353346</v>
      </c>
      <c r="AE25" s="37">
        <f t="shared" si="9"/>
        <v>5.277082382415105</v>
      </c>
      <c r="AF25" s="35">
        <f t="shared" si="9"/>
        <v>38.328716799897983</v>
      </c>
      <c r="AG25" s="35">
        <f t="shared" si="9"/>
        <v>-9.8657349739049547</v>
      </c>
      <c r="AH25" s="36">
        <f t="shared" si="9"/>
        <v>11.838494277827925</v>
      </c>
    </row>
    <row r="26" spans="1:34" x14ac:dyDescent="0.25">
      <c r="B26" s="6" t="s">
        <v>31</v>
      </c>
      <c r="C26" s="32">
        <f>_xlfn.STDEV.S(C17,C14,C11,C8,C5,C2)</f>
        <v>0.68451062964218012</v>
      </c>
      <c r="D26" s="33">
        <f t="shared" ref="D26:Q26" si="10">_xlfn.STDEV.S(D17,D14,D11,D8,D5,D2)</f>
        <v>0.88256988174172568</v>
      </c>
      <c r="E26" s="33">
        <f t="shared" si="10"/>
        <v>0.34373836107226463</v>
      </c>
      <c r="F26" s="33">
        <f t="shared" si="10"/>
        <v>0.40069584953371645</v>
      </c>
      <c r="G26" s="33">
        <f t="shared" si="10"/>
        <v>18.099056292561638</v>
      </c>
      <c r="H26" s="8">
        <f t="shared" si="10"/>
        <v>10.482568357223156</v>
      </c>
      <c r="I26" s="33">
        <f t="shared" si="10"/>
        <v>0.86661530689166999</v>
      </c>
      <c r="J26" s="33">
        <f t="shared" si="10"/>
        <v>0.55414813195549273</v>
      </c>
      <c r="K26" s="33">
        <f t="shared" si="10"/>
        <v>0.1937541201212577</v>
      </c>
      <c r="L26" s="33">
        <f t="shared" si="10"/>
        <v>6.7798527732032307E-2</v>
      </c>
      <c r="M26" s="33">
        <f t="shared" si="10"/>
        <v>0.33313013495895805</v>
      </c>
      <c r="N26" s="33">
        <f t="shared" si="10"/>
        <v>0.37866884748622964</v>
      </c>
      <c r="O26" s="33">
        <f t="shared" si="10"/>
        <v>0.29173015401610697</v>
      </c>
      <c r="P26" s="33">
        <f t="shared" si="10"/>
        <v>0.14616781808074913</v>
      </c>
      <c r="Q26" s="8">
        <f t="shared" si="10"/>
        <v>0.3437379972770559</v>
      </c>
      <c r="S26" s="6" t="s">
        <v>31</v>
      </c>
      <c r="T26" s="32">
        <f>_xlfn.STDEV.S(T17,T14,T11,T8,T5,T2)</f>
        <v>11.763711613860398</v>
      </c>
      <c r="U26" s="33">
        <f t="shared" ref="U26:AH26" si="11">_xlfn.STDEV.S(U17,U14,U11,U8,U5,U2)</f>
        <v>16.109441794862668</v>
      </c>
      <c r="V26" s="33">
        <f t="shared" si="11"/>
        <v>7.6169759116745039</v>
      </c>
      <c r="W26" s="33">
        <f t="shared" si="11"/>
        <v>8.2314129988566886</v>
      </c>
      <c r="X26" s="33">
        <f t="shared" si="11"/>
        <v>26.610269829777792</v>
      </c>
      <c r="Y26" s="8">
        <f t="shared" si="11"/>
        <v>10.482568357223156</v>
      </c>
      <c r="Z26" s="33">
        <f t="shared" si="11"/>
        <v>15.223464420656672</v>
      </c>
      <c r="AA26" s="33">
        <f t="shared" si="11"/>
        <v>7.7059559723631974</v>
      </c>
      <c r="AB26" s="33">
        <f t="shared" si="11"/>
        <v>5.9546176278302436</v>
      </c>
      <c r="AC26" s="33">
        <f t="shared" si="11"/>
        <v>4.0201942021499404</v>
      </c>
      <c r="AD26" s="33">
        <f t="shared" si="11"/>
        <v>5.4661781485787682</v>
      </c>
      <c r="AE26" s="12">
        <f t="shared" si="11"/>
        <v>6.8562143507186235</v>
      </c>
      <c r="AF26" s="33">
        <f t="shared" si="11"/>
        <v>5.5404738620446503</v>
      </c>
      <c r="AG26" s="33">
        <f t="shared" si="11"/>
        <v>3.281798383051584</v>
      </c>
      <c r="AH26" s="8">
        <f t="shared" si="11"/>
        <v>7.6169000669344937</v>
      </c>
    </row>
    <row r="27" spans="1:34" x14ac:dyDescent="0.25">
      <c r="B27" s="6" t="s">
        <v>32</v>
      </c>
      <c r="C27" s="32">
        <f t="shared" ref="C27:Q28" si="12">_xlfn.STDEV.S(C18,C15,C12,C9,C6,C3)</f>
        <v>0.37588264425312318</v>
      </c>
      <c r="D27" s="33">
        <f t="shared" si="12"/>
        <v>0.82704354881566344</v>
      </c>
      <c r="E27" s="33">
        <f t="shared" si="12"/>
        <v>0.5850872987355703</v>
      </c>
      <c r="F27" s="33">
        <f t="shared" si="12"/>
        <v>0.50819802808493164</v>
      </c>
      <c r="G27" s="33">
        <f t="shared" si="12"/>
        <v>18.510557470592214</v>
      </c>
      <c r="H27" s="8">
        <f t="shared" si="12"/>
        <v>8.7625946568388837</v>
      </c>
      <c r="I27" s="33">
        <f t="shared" si="12"/>
        <v>0.63352472114474179</v>
      </c>
      <c r="J27" s="33">
        <f t="shared" si="12"/>
        <v>0.48401510415515919</v>
      </c>
      <c r="K27" s="33">
        <f t="shared" si="12"/>
        <v>0.20641634371315476</v>
      </c>
      <c r="L27" s="33">
        <f t="shared" si="12"/>
        <v>0.11269403196540477</v>
      </c>
      <c r="M27" s="33">
        <f t="shared" si="12"/>
        <v>0.35247033717071591</v>
      </c>
      <c r="N27" s="33">
        <f t="shared" si="12"/>
        <v>0.40523437701451442</v>
      </c>
      <c r="O27" s="33">
        <f t="shared" si="12"/>
        <v>0.3890526702432619</v>
      </c>
      <c r="P27" s="33">
        <f t="shared" si="12"/>
        <v>0.15484364062535722</v>
      </c>
      <c r="Q27" s="8">
        <f t="shared" si="12"/>
        <v>0.5850888944550432</v>
      </c>
      <c r="S27" s="6" t="s">
        <v>32</v>
      </c>
      <c r="T27" s="32">
        <f t="shared" ref="T27:AH27" si="13">_xlfn.STDEV.S(T18,T15,T12,T9,T6,T3)</f>
        <v>7.6073933722990548</v>
      </c>
      <c r="U27" s="33">
        <f t="shared" si="13"/>
        <v>18.148706526963512</v>
      </c>
      <c r="V27" s="33">
        <f t="shared" si="13"/>
        <v>12.155643754159936</v>
      </c>
      <c r="W27" s="33">
        <f t="shared" si="13"/>
        <v>10.46886430028764</v>
      </c>
      <c r="X27" s="33">
        <f t="shared" si="13"/>
        <v>46.267475789591728</v>
      </c>
      <c r="Y27" s="8">
        <f t="shared" si="13"/>
        <v>8.7625946568388837</v>
      </c>
      <c r="Z27" s="33">
        <f t="shared" si="13"/>
        <v>13.800239477559806</v>
      </c>
      <c r="AA27" s="33">
        <f t="shared" si="13"/>
        <v>8.4369059502284376</v>
      </c>
      <c r="AB27" s="33">
        <f t="shared" si="13"/>
        <v>6.2014097754462254</v>
      </c>
      <c r="AC27" s="33">
        <f t="shared" si="13"/>
        <v>2.4345798493785331</v>
      </c>
      <c r="AD27" s="33">
        <f t="shared" si="13"/>
        <v>7.016460098202411</v>
      </c>
      <c r="AE27" s="12">
        <f t="shared" si="13"/>
        <v>9.0254012282372607</v>
      </c>
      <c r="AF27" s="33">
        <f t="shared" si="13"/>
        <v>7.1797646480693595</v>
      </c>
      <c r="AG27" s="33">
        <f t="shared" si="13"/>
        <v>3.5484119298638368</v>
      </c>
      <c r="AH27" s="8">
        <f t="shared" si="13"/>
        <v>12.155709327554684</v>
      </c>
    </row>
    <row r="28" spans="1:34" ht="15.75" thickBot="1" x14ac:dyDescent="0.3">
      <c r="B28" s="14" t="s">
        <v>33</v>
      </c>
      <c r="C28" s="24">
        <f t="shared" si="12"/>
        <v>23.664403490225432</v>
      </c>
      <c r="D28" s="15">
        <f t="shared" si="12"/>
        <v>8.8822710651602232</v>
      </c>
      <c r="E28" s="15">
        <f t="shared" si="12"/>
        <v>30.936762734607306</v>
      </c>
      <c r="F28" s="15">
        <f t="shared" si="12"/>
        <v>32.086043328706076</v>
      </c>
      <c r="G28" s="15"/>
      <c r="H28" s="16"/>
      <c r="I28" s="15">
        <f t="shared" si="12"/>
        <v>12.087481756030144</v>
      </c>
      <c r="J28" s="15">
        <f t="shared" si="12"/>
        <v>27.120529507400772</v>
      </c>
      <c r="K28" s="15">
        <f t="shared" si="12"/>
        <v>28.889246127505345</v>
      </c>
      <c r="L28" s="15">
        <f t="shared" si="12"/>
        <v>40.370254557622253</v>
      </c>
      <c r="M28" s="15">
        <f t="shared" si="12"/>
        <v>33.481526558018572</v>
      </c>
      <c r="N28" s="15">
        <f t="shared" si="12"/>
        <v>18.841096637882991</v>
      </c>
      <c r="O28" s="15">
        <f t="shared" si="12"/>
        <v>55.577516301277413</v>
      </c>
      <c r="P28" s="15">
        <f t="shared" si="12"/>
        <v>19.381552794283817</v>
      </c>
      <c r="Q28" s="16">
        <f t="shared" si="12"/>
        <v>30.935571579267808</v>
      </c>
      <c r="S28" s="14" t="s">
        <v>33</v>
      </c>
      <c r="T28" s="24">
        <f t="shared" ref="T28:AH28" si="14">_xlfn.STDEV.S(T19,T16,T13,T10,T7,T4)</f>
        <v>29.660120517293908</v>
      </c>
      <c r="U28" s="15">
        <f t="shared" si="14"/>
        <v>11.555864486536638</v>
      </c>
      <c r="V28" s="15">
        <f t="shared" si="14"/>
        <v>33.088008918397435</v>
      </c>
      <c r="W28" s="15">
        <f t="shared" si="14"/>
        <v>24.111494177831151</v>
      </c>
      <c r="X28" s="15"/>
      <c r="Y28" s="16"/>
      <c r="Z28" s="15">
        <f t="shared" si="14"/>
        <v>5.079147585691735</v>
      </c>
      <c r="AA28" s="15">
        <f t="shared" si="14"/>
        <v>20.732495627691755</v>
      </c>
      <c r="AB28" s="15">
        <f t="shared" si="14"/>
        <v>28.588483720123516</v>
      </c>
      <c r="AC28" s="15">
        <f t="shared" si="14"/>
        <v>38.947902359058737</v>
      </c>
      <c r="AD28" s="15">
        <f t="shared" si="14"/>
        <v>26.175814731954031</v>
      </c>
      <c r="AE28" s="17">
        <f t="shared" si="14"/>
        <v>12.927422083627677</v>
      </c>
      <c r="AF28" s="15">
        <f t="shared" si="14"/>
        <v>45.942483126599896</v>
      </c>
      <c r="AG28" s="15">
        <f t="shared" si="14"/>
        <v>26.383328658371482</v>
      </c>
      <c r="AH28" s="16">
        <f t="shared" si="14"/>
        <v>29.496910279476811</v>
      </c>
    </row>
    <row r="29" spans="1:34" ht="15.75" thickBot="1" x14ac:dyDescent="0.3">
      <c r="B29" s="63"/>
      <c r="C29" s="63"/>
      <c r="D29" s="63"/>
      <c r="E29" s="63"/>
      <c r="F29" s="63"/>
      <c r="G29" s="63"/>
      <c r="H29" s="63"/>
      <c r="I29" s="31"/>
      <c r="J29" s="31"/>
      <c r="K29" s="31"/>
      <c r="L29" s="31"/>
      <c r="M29" s="31"/>
      <c r="N29" s="31"/>
      <c r="O29" s="31"/>
      <c r="P29" s="31"/>
      <c r="Q29" s="31"/>
      <c r="S29" s="26"/>
      <c r="T29" s="15"/>
      <c r="U29" s="15"/>
      <c r="V29" s="15"/>
      <c r="W29" s="15"/>
      <c r="X29" s="15"/>
      <c r="Y29" s="15"/>
      <c r="Z29" s="15"/>
      <c r="AA29" s="15"/>
      <c r="AB29" s="15"/>
      <c r="AC29" s="15"/>
      <c r="AD29" s="15"/>
      <c r="AE29" s="15"/>
      <c r="AF29" s="15"/>
      <c r="AG29" s="15"/>
      <c r="AH29" s="7"/>
    </row>
    <row r="30" spans="1:34" ht="30.75" thickBot="1" x14ac:dyDescent="0.3">
      <c r="C30" s="3" t="s">
        <v>2</v>
      </c>
      <c r="D30" s="76" t="s">
        <v>3</v>
      </c>
      <c r="E30" s="76" t="s">
        <v>4</v>
      </c>
      <c r="F30" s="76" t="s">
        <v>5</v>
      </c>
      <c r="G30" s="76" t="s">
        <v>6</v>
      </c>
      <c r="H30" s="44" t="s">
        <v>7</v>
      </c>
      <c r="I30" s="76" t="s">
        <v>8</v>
      </c>
      <c r="J30" s="76" t="s">
        <v>9</v>
      </c>
      <c r="K30" s="76" t="s">
        <v>10</v>
      </c>
      <c r="L30" s="76" t="s">
        <v>11</v>
      </c>
      <c r="M30" s="76" t="s">
        <v>12</v>
      </c>
      <c r="N30" s="77" t="s">
        <v>13</v>
      </c>
      <c r="O30" s="76" t="s">
        <v>14</v>
      </c>
      <c r="P30" s="76" t="s">
        <v>15</v>
      </c>
      <c r="Q30" s="44" t="s">
        <v>16</v>
      </c>
      <c r="S30" s="6" t="s">
        <v>28</v>
      </c>
      <c r="T30" s="7">
        <v>38.509043478260871</v>
      </c>
      <c r="U30" s="7">
        <v>30.935217391304349</v>
      </c>
      <c r="V30" s="7">
        <v>16.656999999999996</v>
      </c>
      <c r="W30" s="7">
        <v>15.317272727272728</v>
      </c>
      <c r="X30" s="7">
        <v>16.79301818181818</v>
      </c>
      <c r="Y30" s="8">
        <v>6.0623045454545466</v>
      </c>
      <c r="Z30" s="7">
        <v>55.930869565217385</v>
      </c>
      <c r="AA30" s="7">
        <v>16.97650909090909</v>
      </c>
      <c r="AB30" s="7">
        <v>6.0907954545454546</v>
      </c>
      <c r="AC30" s="7">
        <v>5.9655826086956516</v>
      </c>
      <c r="AD30" s="7">
        <v>7.0906565217391293</v>
      </c>
      <c r="AE30" s="12">
        <v>12.485695454545453</v>
      </c>
      <c r="AF30" s="7">
        <v>8.0412681818181806</v>
      </c>
      <c r="AG30" s="7">
        <v>7.2758954545454539</v>
      </c>
      <c r="AH30" s="27">
        <v>16.656949999999998</v>
      </c>
    </row>
    <row r="31" spans="1:34" ht="15.75" thickTop="1" x14ac:dyDescent="0.25">
      <c r="B31" s="29" t="s">
        <v>28</v>
      </c>
      <c r="C31" s="7">
        <v>2.3518864070350451</v>
      </c>
      <c r="D31" s="7">
        <v>1.8601639796696379</v>
      </c>
      <c r="E31" s="7">
        <v>1.0168739828609845</v>
      </c>
      <c r="F31" s="7">
        <v>0.92725992322858486</v>
      </c>
      <c r="G31" s="7">
        <v>17.7486</v>
      </c>
      <c r="H31" s="10">
        <v>7.0584050000000023</v>
      </c>
      <c r="I31" s="7">
        <v>3.431385580340129</v>
      </c>
      <c r="J31" s="7">
        <v>1.0539709673861093</v>
      </c>
      <c r="K31" s="7">
        <v>0.3472104741042345</v>
      </c>
      <c r="L31" s="7">
        <v>0.34391725227952524</v>
      </c>
      <c r="M31" s="7">
        <v>0.42462456288892803</v>
      </c>
      <c r="N31" s="9">
        <v>0.790771277722501</v>
      </c>
      <c r="O31" s="7">
        <v>0.48124123234066946</v>
      </c>
      <c r="P31" s="7">
        <v>0.46220308541343291</v>
      </c>
      <c r="Q31" s="10">
        <v>1.0168711424594858</v>
      </c>
      <c r="S31" s="6" t="s">
        <v>29</v>
      </c>
      <c r="T31" s="7">
        <v>48.302043478260877</v>
      </c>
      <c r="U31" s="7">
        <v>36.448086956521735</v>
      </c>
      <c r="V31" s="7">
        <v>24.847318181818185</v>
      </c>
      <c r="W31" s="7">
        <v>23.667818181818181</v>
      </c>
      <c r="X31" s="7">
        <v>23.900504347826086</v>
      </c>
      <c r="Y31" s="8">
        <v>3.8601818181818177</v>
      </c>
      <c r="Z31" s="7">
        <v>64.177730434782617</v>
      </c>
      <c r="AA31" s="7">
        <v>15.832478260869564</v>
      </c>
      <c r="AB31" s="7">
        <v>6.0439590909090901</v>
      </c>
      <c r="AC31" s="7">
        <v>6.4575217391304349</v>
      </c>
      <c r="AD31" s="7">
        <v>13.219591304347828</v>
      </c>
      <c r="AE31" s="12">
        <v>11.11825</v>
      </c>
      <c r="AF31" s="7">
        <v>17.210290909090904</v>
      </c>
      <c r="AG31" s="7">
        <v>6.7832904761904773</v>
      </c>
      <c r="AH31" s="8">
        <v>24.847190909090909</v>
      </c>
    </row>
    <row r="32" spans="1:34" x14ac:dyDescent="0.25">
      <c r="B32" s="6" t="s">
        <v>29</v>
      </c>
      <c r="C32" s="7">
        <v>2.9726277093463245</v>
      </c>
      <c r="D32" s="7">
        <v>2.1990694801225907</v>
      </c>
      <c r="E32" s="7">
        <v>1.5078555421293989</v>
      </c>
      <c r="F32" s="7">
        <v>1.4255452933530057</v>
      </c>
      <c r="G32" s="7">
        <v>24.257138095238094</v>
      </c>
      <c r="H32" s="8">
        <v>4.4206999999999992</v>
      </c>
      <c r="I32" s="7">
        <v>3.9538969250335834</v>
      </c>
      <c r="J32" s="7">
        <v>0.98128220965724444</v>
      </c>
      <c r="K32" s="7">
        <v>0.34748370538045104</v>
      </c>
      <c r="L32" s="7">
        <v>0.36821237896605136</v>
      </c>
      <c r="M32" s="7">
        <v>0.79090238941973301</v>
      </c>
      <c r="N32" s="12">
        <v>0.7430542723252167</v>
      </c>
      <c r="O32" s="7">
        <v>1.0387375758455122</v>
      </c>
      <c r="P32" s="7">
        <v>0.41893122251422893</v>
      </c>
      <c r="Q32" s="8">
        <v>1.5078470408835616</v>
      </c>
      <c r="S32" s="43" t="s">
        <v>34</v>
      </c>
      <c r="T32" s="35">
        <v>19.744967227717357</v>
      </c>
      <c r="U32" s="35">
        <v>12.929061252812712</v>
      </c>
      <c r="V32" s="35">
        <v>35.659543298503408</v>
      </c>
      <c r="W32" s="35">
        <v>43.300770037206192</v>
      </c>
      <c r="X32" s="35"/>
      <c r="Y32" s="36"/>
      <c r="Z32" s="35">
        <v>10.137425602022006</v>
      </c>
      <c r="AA32" s="35">
        <v>-11.349021305084666</v>
      </c>
      <c r="AB32" s="35">
        <v>-0.53484515846737513</v>
      </c>
      <c r="AC32" s="35">
        <v>2.6451988604960937</v>
      </c>
      <c r="AD32" s="35">
        <v>66.665302620966855</v>
      </c>
      <c r="AE32" s="37">
        <v>-14.028527589120625</v>
      </c>
      <c r="AF32" s="35">
        <v>91.256016687690177</v>
      </c>
      <c r="AG32" s="35">
        <v>-6.5431233894477892</v>
      </c>
      <c r="AH32" s="36">
        <v>35.658735419083094</v>
      </c>
    </row>
    <row r="33" spans="2:34" x14ac:dyDescent="0.25">
      <c r="B33" s="43" t="s">
        <v>34</v>
      </c>
      <c r="C33" s="39">
        <v>27.593408318294276</v>
      </c>
      <c r="D33" s="35">
        <v>17.866394659152313</v>
      </c>
      <c r="E33" s="35">
        <v>53.857101930196244</v>
      </c>
      <c r="F33" s="35">
        <v>59.324022951122835</v>
      </c>
      <c r="G33" s="35"/>
      <c r="H33" s="36"/>
      <c r="I33" s="35">
        <v>14.979734240988353</v>
      </c>
      <c r="J33" s="35">
        <v>-9.4921714105800969</v>
      </c>
      <c r="K33" s="35">
        <v>3.4024219669248077</v>
      </c>
      <c r="L33" s="35">
        <v>6.6346812213918422</v>
      </c>
      <c r="M33" s="35">
        <v>94.082358940546314</v>
      </c>
      <c r="N33" s="37">
        <v>4.9914162792126469</v>
      </c>
      <c r="O33" s="35">
        <v>125.84173918651236</v>
      </c>
      <c r="P33" s="35">
        <v>-4.491012814722092</v>
      </c>
      <c r="Q33" s="36">
        <v>53.856570298485849</v>
      </c>
      <c r="S33" s="6" t="s">
        <v>31</v>
      </c>
      <c r="T33" s="7">
        <v>8.8567321067971037</v>
      </c>
      <c r="U33" s="7">
        <v>8.3251242608550537</v>
      </c>
      <c r="V33" s="7">
        <v>6.037636573386159</v>
      </c>
      <c r="W33" s="7">
        <v>5.396310647393701</v>
      </c>
      <c r="X33" s="7">
        <v>14.097616359691241</v>
      </c>
      <c r="Y33" s="8">
        <v>15.658147707740367</v>
      </c>
      <c r="Z33" s="7">
        <v>10.579647082386577</v>
      </c>
      <c r="AA33" s="7">
        <v>6.6916315307351786</v>
      </c>
      <c r="AB33" s="7">
        <v>3.3371686996376542</v>
      </c>
      <c r="AC33" s="7">
        <v>2.3698018888673702</v>
      </c>
      <c r="AD33" s="7">
        <v>3.1494424347319137</v>
      </c>
      <c r="AE33" s="12">
        <v>4.365833366540584</v>
      </c>
      <c r="AF33" s="7">
        <v>3.4319386044965907</v>
      </c>
      <c r="AG33" s="7">
        <v>3.3712896925054703</v>
      </c>
      <c r="AH33" s="8">
        <v>6.037688894055897</v>
      </c>
    </row>
    <row r="34" spans="2:34" x14ac:dyDescent="0.25">
      <c r="B34" s="6" t="s">
        <v>31</v>
      </c>
      <c r="C34" s="7">
        <v>0.52695270592283383</v>
      </c>
      <c r="D34" s="7">
        <v>0.50281470686889929</v>
      </c>
      <c r="E34" s="7">
        <v>0.3501258033206105</v>
      </c>
      <c r="F34" s="7">
        <v>0.319655879444872</v>
      </c>
      <c r="G34" s="7">
        <v>14.558333165358162</v>
      </c>
      <c r="H34" s="8">
        <v>16.473626163322052</v>
      </c>
      <c r="I34" s="7">
        <v>0.70538706921235295</v>
      </c>
      <c r="J34" s="7">
        <v>0.48390628212125358</v>
      </c>
      <c r="K34" s="7">
        <v>0.16621144812573979</v>
      </c>
      <c r="L34" s="7">
        <v>0.11226151498097181</v>
      </c>
      <c r="M34" s="7">
        <v>0.17028480697752854</v>
      </c>
      <c r="N34" s="12">
        <v>0.37615417370032889</v>
      </c>
      <c r="O34" s="7">
        <v>0.20249392130009969</v>
      </c>
      <c r="P34" s="7">
        <v>0.23171251234090834</v>
      </c>
      <c r="Q34" s="8">
        <v>0.35013277364303352</v>
      </c>
      <c r="S34" s="6" t="s">
        <v>32</v>
      </c>
      <c r="T34" s="7">
        <v>13.333147103976621</v>
      </c>
      <c r="U34" s="7">
        <v>12.631393472529126</v>
      </c>
      <c r="V34" s="7">
        <v>9.4500737695233248</v>
      </c>
      <c r="W34" s="7">
        <v>8.9129790770096005</v>
      </c>
      <c r="X34" s="7">
        <v>13.075570836379956</v>
      </c>
      <c r="Y34" s="8">
        <v>10.797076382719801</v>
      </c>
      <c r="Z34" s="7">
        <v>13.934689974859648</v>
      </c>
      <c r="AA34" s="7">
        <v>6.6621780598011577</v>
      </c>
      <c r="AB34" s="7">
        <v>2.8559419890956086</v>
      </c>
      <c r="AC34" s="7">
        <v>2.9871056778529219</v>
      </c>
      <c r="AD34" s="7">
        <v>6.9810091042273879</v>
      </c>
      <c r="AE34" s="12">
        <v>4.6984463845489124</v>
      </c>
      <c r="AF34" s="7">
        <v>7.3284160395482179</v>
      </c>
      <c r="AG34" s="7">
        <v>2.6290055980303655</v>
      </c>
      <c r="AH34" s="8">
        <v>9.4501180875919868</v>
      </c>
    </row>
    <row r="35" spans="2:34" ht="15.75" thickBot="1" x14ac:dyDescent="0.3">
      <c r="B35" s="6" t="s">
        <v>32</v>
      </c>
      <c r="C35" s="7">
        <v>0.65540282966045404</v>
      </c>
      <c r="D35" s="7">
        <v>0.60612143790650264</v>
      </c>
      <c r="E35" s="7">
        <v>0.4717890343379792</v>
      </c>
      <c r="F35" s="7">
        <v>0.44532937888458368</v>
      </c>
      <c r="G35" s="7">
        <v>13.951393907626693</v>
      </c>
      <c r="H35" s="8">
        <v>11.484300445586703</v>
      </c>
      <c r="I35" s="7">
        <v>0.88339061896179616</v>
      </c>
      <c r="J35" s="7">
        <v>0.54070917699258203</v>
      </c>
      <c r="K35" s="7">
        <v>0.1400432485961304</v>
      </c>
      <c r="L35" s="7">
        <v>0.13162446120242335</v>
      </c>
      <c r="M35" s="7">
        <v>0.32952625615136144</v>
      </c>
      <c r="N35" s="12">
        <v>0.33061994799152267</v>
      </c>
      <c r="O35" s="7">
        <v>0.39148147975173031</v>
      </c>
      <c r="P35" s="7">
        <v>0.14940105228151446</v>
      </c>
      <c r="Q35" s="8">
        <v>0.47179812630805551</v>
      </c>
      <c r="S35" s="40" t="s">
        <v>33</v>
      </c>
      <c r="T35" s="24">
        <v>19.972167594140327</v>
      </c>
      <c r="U35" s="15">
        <v>16.615029662718182</v>
      </c>
      <c r="V35" s="15">
        <v>22.539507749598812</v>
      </c>
      <c r="W35" s="15">
        <v>31.616048684196105</v>
      </c>
      <c r="X35" s="15"/>
      <c r="Y35" s="16"/>
      <c r="Z35" s="15">
        <v>15.431726094295676</v>
      </c>
      <c r="AA35" s="15">
        <v>28.525733513754655</v>
      </c>
      <c r="AB35" s="15">
        <v>16.535616393189969</v>
      </c>
      <c r="AC35" s="15">
        <v>16.362437980118671</v>
      </c>
      <c r="AD35" s="15">
        <v>49.148753353232799</v>
      </c>
      <c r="AE35" s="17">
        <v>22.677389578918458</v>
      </c>
      <c r="AF35" s="15">
        <v>51.052932177624811</v>
      </c>
      <c r="AG35" s="15">
        <v>36.921064081927781</v>
      </c>
      <c r="AH35" s="16">
        <v>22.537210913359559</v>
      </c>
    </row>
    <row r="36" spans="2:34" ht="15.75" thickBot="1" x14ac:dyDescent="0.3">
      <c r="B36" s="40" t="s">
        <v>33</v>
      </c>
      <c r="C36" s="24">
        <v>27.294548724310971</v>
      </c>
      <c r="D36" s="15">
        <v>18.406202838769889</v>
      </c>
      <c r="E36" s="15">
        <v>47.900666471780696</v>
      </c>
      <c r="F36" s="15">
        <v>45.585298932944859</v>
      </c>
      <c r="G36" s="15" t="s">
        <v>27</v>
      </c>
      <c r="H36" s="16"/>
      <c r="I36" s="15">
        <v>14.848089005587166</v>
      </c>
      <c r="J36" s="15">
        <v>26.976528730855065</v>
      </c>
      <c r="K36" s="15">
        <v>15.438430622802706</v>
      </c>
      <c r="L36" s="15">
        <v>17.545750192422997</v>
      </c>
      <c r="M36" s="15">
        <v>80.720638429129309</v>
      </c>
      <c r="N36" s="17">
        <v>52.938430081952681</v>
      </c>
      <c r="O36" s="15">
        <v>80.173291965198459</v>
      </c>
      <c r="P36" s="15">
        <v>32.26803628273445</v>
      </c>
      <c r="Q36" s="16">
        <v>47.900799340885122</v>
      </c>
    </row>
    <row r="39" spans="2:34" ht="15.75" thickBot="1" x14ac:dyDescent="0.3"/>
    <row r="40" spans="2:34" x14ac:dyDescent="0.25">
      <c r="I40" s="31">
        <v>1.0838798980723405</v>
      </c>
      <c r="J40" s="31">
        <v>0.7948267828359683</v>
      </c>
      <c r="K40" s="31">
        <v>0.27353348488811041</v>
      </c>
      <c r="L40" s="28">
        <v>0.32714549365366763</v>
      </c>
      <c r="M40" s="7">
        <f>M2+N2</f>
        <v>0.38732907500738667</v>
      </c>
      <c r="N40" s="7">
        <f>Q2</f>
        <v>0.66465497570163012</v>
      </c>
      <c r="O40">
        <f>(M40-N40)/N40*100</f>
        <v>-41.724791182295711</v>
      </c>
    </row>
    <row r="41" spans="2:34" x14ac:dyDescent="0.25">
      <c r="I41" s="33">
        <v>1.1462692083452659</v>
      </c>
      <c r="J41" s="33">
        <v>0.50795383621696666</v>
      </c>
      <c r="K41" s="33">
        <v>0.32342307059609243</v>
      </c>
      <c r="L41" s="12">
        <v>0.32744614744046757</v>
      </c>
      <c r="M41" s="7">
        <f t="shared" ref="M41:M56" si="15">M3+N3</f>
        <v>0.43074508729958638</v>
      </c>
      <c r="N41" s="7">
        <f t="shared" ref="N41:N56" si="16">Q3</f>
        <v>0.45717645918960104</v>
      </c>
      <c r="O41">
        <f t="shared" ref="O41:O56" si="17">(M41-N41)/N41*100</f>
        <v>-5.7814376393892557</v>
      </c>
    </row>
    <row r="42" spans="2:34" ht="15.75" thickBot="1" x14ac:dyDescent="0.3">
      <c r="I42" s="15">
        <v>5.7561091762919085</v>
      </c>
      <c r="J42" s="15">
        <v>-36.092511326232554</v>
      </c>
      <c r="K42" s="15">
        <v>18.238931781382995</v>
      </c>
      <c r="L42" s="17">
        <v>9.1902163603766324E-2</v>
      </c>
      <c r="M42" s="7"/>
      <c r="N42" s="7"/>
    </row>
    <row r="43" spans="2:34" ht="15.75" thickBot="1" x14ac:dyDescent="0.3">
      <c r="M43" s="7">
        <f t="shared" si="15"/>
        <v>1.8787066809083088</v>
      </c>
      <c r="N43" s="7">
        <f t="shared" si="16"/>
        <v>0.84633948446066698</v>
      </c>
      <c r="O43">
        <f t="shared" si="17"/>
        <v>121.9802709672138</v>
      </c>
    </row>
    <row r="44" spans="2:34" x14ac:dyDescent="0.25">
      <c r="I44" s="31">
        <v>0.27353348488811041</v>
      </c>
      <c r="J44" s="28">
        <v>0.32714549365366763</v>
      </c>
      <c r="K44" s="31">
        <v>1.0838798980723405</v>
      </c>
      <c r="L44" s="31">
        <v>0.7948267828359683</v>
      </c>
      <c r="M44" s="7">
        <f t="shared" si="15"/>
        <v>1.6542230445622326</v>
      </c>
      <c r="N44" s="7">
        <f t="shared" si="16"/>
        <v>1.1704769001793938</v>
      </c>
      <c r="O44">
        <f t="shared" si="17"/>
        <v>41.328978325731775</v>
      </c>
    </row>
    <row r="45" spans="2:34" x14ac:dyDescent="0.25">
      <c r="I45" s="33">
        <v>0.32342307059609243</v>
      </c>
      <c r="J45" s="12">
        <v>0.32744614744046757</v>
      </c>
      <c r="K45" s="33">
        <v>1.1462692083452659</v>
      </c>
      <c r="L45" s="33">
        <v>0.50795383621696666</v>
      </c>
      <c r="M45" s="7"/>
      <c r="N45" s="7"/>
    </row>
    <row r="46" spans="2:34" ht="15.75" thickBot="1" x14ac:dyDescent="0.3">
      <c r="I46" s="15">
        <v>18.238931781382995</v>
      </c>
      <c r="J46" s="17">
        <v>9.1902163603766324E-2</v>
      </c>
      <c r="K46" s="15">
        <v>5.7561091762919085</v>
      </c>
      <c r="L46" s="15">
        <v>-36.092511326232554</v>
      </c>
      <c r="M46" s="7">
        <f t="shared" si="15"/>
        <v>0.95538666666666661</v>
      </c>
      <c r="N46" s="7">
        <f t="shared" si="16"/>
        <v>1.0158933333333335</v>
      </c>
      <c r="O46">
        <f t="shared" si="17"/>
        <v>-5.9560058798824267</v>
      </c>
    </row>
    <row r="47" spans="2:34" x14ac:dyDescent="0.25">
      <c r="M47" s="7">
        <f t="shared" si="15"/>
        <v>0.8840801603206413</v>
      </c>
      <c r="N47" s="7">
        <f t="shared" si="16"/>
        <v>0.80064529058116229</v>
      </c>
      <c r="O47">
        <f t="shared" si="17"/>
        <v>10.42095303888147</v>
      </c>
    </row>
    <row r="48" spans="2:34" x14ac:dyDescent="0.25">
      <c r="M48" s="7"/>
      <c r="N48" s="7"/>
    </row>
    <row r="49" spans="13:15" x14ac:dyDescent="0.25">
      <c r="M49" s="7">
        <f t="shared" si="15"/>
        <v>0.79426863569549544</v>
      </c>
      <c r="N49" s="7">
        <f t="shared" si="16"/>
        <v>1.2150920969577483</v>
      </c>
      <c r="O49">
        <f t="shared" si="17"/>
        <v>-34.633050640019583</v>
      </c>
    </row>
    <row r="50" spans="13:15" x14ac:dyDescent="0.25">
      <c r="M50" s="7">
        <f t="shared" si="15"/>
        <v>1.1247392784490666</v>
      </c>
      <c r="N50" s="7">
        <f t="shared" si="16"/>
        <v>1.7368240480642101</v>
      </c>
      <c r="O50">
        <f t="shared" si="17"/>
        <v>-35.241610703015489</v>
      </c>
    </row>
    <row r="51" spans="13:15" x14ac:dyDescent="0.25">
      <c r="M51" s="7"/>
      <c r="N51" s="7"/>
    </row>
    <row r="52" spans="13:15" x14ac:dyDescent="0.25">
      <c r="M52" s="7">
        <f t="shared" si="15"/>
        <v>1.0792612566317381</v>
      </c>
      <c r="N52" s="7">
        <f t="shared" si="16"/>
        <v>1.0848864753723544</v>
      </c>
      <c r="O52">
        <f t="shared" si="17"/>
        <v>-0.51850759211332154</v>
      </c>
    </row>
    <row r="53" spans="13:15" x14ac:dyDescent="0.25">
      <c r="M53" s="7">
        <f t="shared" si="15"/>
        <v>1.4301697589987572</v>
      </c>
      <c r="N53" s="7">
        <f t="shared" si="16"/>
        <v>1.2882924033716483</v>
      </c>
      <c r="O53">
        <f t="shared" si="17"/>
        <v>11.012822497112865</v>
      </c>
    </row>
    <row r="54" spans="13:15" x14ac:dyDescent="0.25">
      <c r="M54" s="7"/>
      <c r="N54" s="7"/>
    </row>
    <row r="55" spans="13:15" x14ac:dyDescent="0.25">
      <c r="M55" s="7">
        <f t="shared" si="15"/>
        <v>2.1314399978495238</v>
      </c>
      <c r="N55" s="7">
        <f t="shared" si="16"/>
        <v>1.6642151811585886</v>
      </c>
      <c r="O55">
        <f t="shared" si="17"/>
        <v>28.07478395706401</v>
      </c>
    </row>
    <row r="56" spans="13:15" x14ac:dyDescent="0.25">
      <c r="M56" s="7">
        <f t="shared" si="15"/>
        <v>2.1814308213620959</v>
      </c>
      <c r="N56" s="7">
        <f t="shared" si="16"/>
        <v>2.0477271353346378</v>
      </c>
      <c r="O56">
        <f t="shared" si="17"/>
        <v>6.5293702329928998</v>
      </c>
    </row>
  </sheetData>
  <mergeCells count="3">
    <mergeCell ref="B5:B7"/>
    <mergeCell ref="B14:B16"/>
    <mergeCell ref="B17:B19"/>
  </mergeCells>
  <conditionalFormatting sqref="T16:AH16 T13:AH13 T10:AH10 T7:AH7 T4:AH4">
    <cfRule type="colorScale" priority="30">
      <colorScale>
        <cfvo type="num" val="-100"/>
        <cfvo type="num" val="0"/>
        <cfvo type="num" val="100"/>
        <color rgb="FFF8696B"/>
        <color theme="0"/>
        <color rgb="FF63BE7B"/>
      </colorScale>
    </cfRule>
    <cfRule type="colorScale" priority="31">
      <colorScale>
        <cfvo type="num" val="-100"/>
        <cfvo type="num" val="0"/>
        <cfvo type="num" val="100"/>
        <color rgb="FFF8696B"/>
        <color rgb="FFFFEB84"/>
        <color rgb="FF63BE7B"/>
      </colorScale>
    </cfRule>
    <cfRule type="colorScale" priority="32">
      <colorScale>
        <cfvo type="num" val="-50"/>
        <cfvo type="num" val="0"/>
        <cfvo type="num" val="50"/>
        <color rgb="FFFF0000"/>
        <color rgb="FFFFEB84"/>
        <color rgb="FF00B050"/>
      </colorScale>
    </cfRule>
  </conditionalFormatting>
  <conditionalFormatting sqref="AI27 AI24 AI30 AI33:AU33 AH36:AU36 AH39:AU39 AJ51:AU51 AH42:AU42 AJ54:AU54 AH45:AU45 AJ57:AU57 AH48:AU48">
    <cfRule type="colorScale" priority="29">
      <colorScale>
        <cfvo type="num" val="-100"/>
        <cfvo type="num" val="0"/>
        <cfvo type="num" val="100"/>
        <color rgb="FFF8696B"/>
        <color theme="0"/>
        <color rgb="FF63BE7B"/>
      </colorScale>
    </cfRule>
  </conditionalFormatting>
  <conditionalFormatting sqref="T19:AH19">
    <cfRule type="colorScale" priority="27">
      <colorScale>
        <cfvo type="num" val="-100"/>
        <cfvo type="num" val="0"/>
        <cfvo type="num" val="100"/>
        <color rgb="FFF8696B"/>
        <color theme="0"/>
        <color rgb="FF63BE7B"/>
      </colorScale>
    </cfRule>
    <cfRule type="colorScale" priority="28">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26">
      <colorScale>
        <cfvo type="num" val="-100"/>
        <cfvo type="num" val="0"/>
        <cfvo type="num" val="100"/>
        <color rgb="FFF8696B"/>
        <color theme="0"/>
        <color rgb="FF63BE7B"/>
      </colorScale>
    </cfRule>
  </conditionalFormatting>
  <conditionalFormatting sqref="C4:F4 C7:F7 C10:F10 C13:F13 C16:F16 C19:F19 I19:Q19 I16:Q16 I13:Q13 I10:Q10 I7:J7 I4:Q4 O7:Q7">
    <cfRule type="colorScale" priority="25">
      <colorScale>
        <cfvo type="num" val="-100"/>
        <cfvo type="num" val="0"/>
        <cfvo type="num" val="100"/>
        <color rgb="FFF8696B"/>
        <color theme="0"/>
        <color rgb="FF63BE7B"/>
      </colorScale>
    </cfRule>
  </conditionalFormatting>
  <conditionalFormatting sqref="T32:AH32">
    <cfRule type="colorScale" priority="24">
      <colorScale>
        <cfvo type="num" val="-100"/>
        <cfvo type="num" val="0"/>
        <cfvo type="num" val="100"/>
        <color rgb="FFF8696B"/>
        <color theme="0"/>
        <color rgb="FF63BE7B"/>
      </colorScale>
    </cfRule>
  </conditionalFormatting>
  <conditionalFormatting sqref="G16:H16 G13:H13 G10:H10 G7:H7 G4:H4">
    <cfRule type="colorScale" priority="19">
      <colorScale>
        <cfvo type="num" val="-100"/>
        <cfvo type="num" val="0"/>
        <cfvo type="num" val="100"/>
        <color rgb="FFF8696B"/>
        <color theme="0"/>
        <color rgb="FF63BE7B"/>
      </colorScale>
    </cfRule>
    <cfRule type="colorScale" priority="20">
      <colorScale>
        <cfvo type="num" val="-100"/>
        <cfvo type="num" val="0"/>
        <cfvo type="num" val="100"/>
        <color rgb="FFF8696B"/>
        <color rgb="FFFFEB84"/>
        <color rgb="FF63BE7B"/>
      </colorScale>
    </cfRule>
    <cfRule type="colorScale" priority="21">
      <colorScale>
        <cfvo type="num" val="-50"/>
        <cfvo type="num" val="0"/>
        <cfvo type="num" val="50"/>
        <color rgb="FFFF0000"/>
        <color rgb="FFFFEB84"/>
        <color rgb="FF00B050"/>
      </colorScale>
    </cfRule>
  </conditionalFormatting>
  <conditionalFormatting sqref="G19:H19">
    <cfRule type="colorScale" priority="17">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I29:Q29">
    <cfRule type="colorScale" priority="16">
      <colorScale>
        <cfvo type="num" val="-100"/>
        <cfvo type="num" val="0"/>
        <cfvo type="num" val="100"/>
        <color rgb="FFF8696B"/>
        <color theme="0"/>
        <color rgb="FF63BE7B"/>
      </colorScale>
    </cfRule>
  </conditionalFormatting>
  <conditionalFormatting sqref="C25:Q25">
    <cfRule type="colorScale" priority="15">
      <colorScale>
        <cfvo type="num" val="-100"/>
        <cfvo type="num" val="0"/>
        <cfvo type="num" val="100"/>
        <color rgb="FFF8696B"/>
        <color theme="0"/>
        <color rgb="FF63BE7B"/>
      </colorScale>
    </cfRule>
  </conditionalFormatting>
  <conditionalFormatting sqref="T25:AH25">
    <cfRule type="colorScale" priority="13">
      <colorScale>
        <cfvo type="num" val="-100"/>
        <cfvo type="num" val="0"/>
        <cfvo type="num" val="100"/>
        <color rgb="FFF8696B"/>
        <color theme="0"/>
        <color rgb="FF63BE7B"/>
      </colorScale>
    </cfRule>
  </conditionalFormatting>
  <conditionalFormatting sqref="C33:Q33">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onditionalFormatting>
  <conditionalFormatting sqref="R22">
    <cfRule type="colorScale" priority="10">
      <colorScale>
        <cfvo type="num" val="-100"/>
        <cfvo type="num" val="0"/>
        <cfvo type="num" val="100"/>
        <color rgb="FFF8696B"/>
        <color theme="0"/>
        <color rgb="FF63BE7B"/>
      </colorScale>
    </cfRule>
  </conditionalFormatting>
  <conditionalFormatting sqref="I42:L42">
    <cfRule type="colorScale" priority="9">
      <colorScale>
        <cfvo type="num" val="-100"/>
        <cfvo type="num" val="0"/>
        <cfvo type="num" val="100"/>
        <color rgb="FFF8696B"/>
        <color theme="0"/>
        <color rgb="FF63BE7B"/>
      </colorScale>
    </cfRule>
  </conditionalFormatting>
  <conditionalFormatting sqref="K46">
    <cfRule type="colorScale" priority="8">
      <colorScale>
        <cfvo type="num" val="-100"/>
        <cfvo type="num" val="0"/>
        <cfvo type="num" val="100"/>
        <color rgb="FFF8696B"/>
        <color theme="0"/>
        <color rgb="FF63BE7B"/>
      </colorScale>
    </cfRule>
  </conditionalFormatting>
  <conditionalFormatting sqref="J46">
    <cfRule type="colorScale" priority="7">
      <colorScale>
        <cfvo type="num" val="-100"/>
        <cfvo type="num" val="0"/>
        <cfvo type="num" val="100"/>
        <color rgb="FFF8696B"/>
        <color theme="0"/>
        <color rgb="FF63BE7B"/>
      </colorScale>
    </cfRule>
  </conditionalFormatting>
  <conditionalFormatting sqref="I46">
    <cfRule type="colorScale" priority="6">
      <colorScale>
        <cfvo type="num" val="-100"/>
        <cfvo type="num" val="0"/>
        <cfvo type="num" val="100"/>
        <color rgb="FFF8696B"/>
        <color theme="0"/>
        <color rgb="FF63BE7B"/>
      </colorScale>
    </cfRule>
  </conditionalFormatting>
  <conditionalFormatting sqref="L46">
    <cfRule type="colorScale" priority="5">
      <colorScale>
        <cfvo type="num" val="-100"/>
        <cfvo type="num" val="0"/>
        <cfvo type="num" val="100"/>
        <color rgb="FFF8696B"/>
        <color theme="0"/>
        <color rgb="FF63BE7B"/>
      </colorScale>
    </cfRule>
  </conditionalFormatting>
  <conditionalFormatting sqref="M7">
    <cfRule type="colorScale" priority="4">
      <colorScale>
        <cfvo type="num" val="-100"/>
        <cfvo type="num" val="0"/>
        <cfvo type="num" val="100"/>
        <color rgb="FFF8696B"/>
        <color theme="0"/>
        <color rgb="FF63BE7B"/>
      </colorScale>
    </cfRule>
  </conditionalFormatting>
  <conditionalFormatting sqref="L7">
    <cfRule type="colorScale" priority="3">
      <colorScale>
        <cfvo type="num" val="-100"/>
        <cfvo type="num" val="0"/>
        <cfvo type="num" val="100"/>
        <color rgb="FFF8696B"/>
        <color theme="0"/>
        <color rgb="FF63BE7B"/>
      </colorScale>
    </cfRule>
  </conditionalFormatting>
  <conditionalFormatting sqref="K7">
    <cfRule type="colorScale" priority="2">
      <colorScale>
        <cfvo type="num" val="-100"/>
        <cfvo type="num" val="0"/>
        <cfvo type="num" val="100"/>
        <color rgb="FFF8696B"/>
        <color theme="0"/>
        <color rgb="FF63BE7B"/>
      </colorScale>
    </cfRule>
  </conditionalFormatting>
  <conditionalFormatting sqref="N7">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3"/>
  <sheetViews>
    <sheetView topLeftCell="E10" zoomScaleNormal="100" workbookViewId="0">
      <selection activeCell="R49" sqref="R49"/>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6.85546875" customWidth="1"/>
    <col min="19" max="19" width="20.710937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c r="AI1" s="46"/>
    </row>
    <row r="2" spans="1:35" ht="15.75" thickTop="1" x14ac:dyDescent="0.25">
      <c r="A2" s="170" t="s">
        <v>257</v>
      </c>
      <c r="B2" s="6"/>
      <c r="C2" s="7">
        <v>2.0575269246599999</v>
      </c>
      <c r="D2" s="7">
        <v>1.6097427023699999</v>
      </c>
      <c r="E2" s="7">
        <v>0.75908711984999988</v>
      </c>
      <c r="F2" s="7">
        <v>0.88610786387999996</v>
      </c>
      <c r="G2" s="7">
        <v>21.763000000000002</v>
      </c>
      <c r="H2" s="8">
        <v>-16.732399999999998</v>
      </c>
      <c r="I2" s="7">
        <v>2.659344338505</v>
      </c>
      <c r="J2" s="7">
        <v>0.60179251757999996</v>
      </c>
      <c r="K2" s="7">
        <v>0.49057592257199995</v>
      </c>
      <c r="L2" s="7">
        <v>0.44534936757300003</v>
      </c>
      <c r="M2" s="7">
        <v>0.28123816794599998</v>
      </c>
      <c r="N2" s="9">
        <v>0.392604140544</v>
      </c>
      <c r="O2" s="7">
        <v>0.391588372932</v>
      </c>
      <c r="P2" s="7">
        <v>0.49451949094800002</v>
      </c>
      <c r="Q2" s="10">
        <v>0.75909707835600004</v>
      </c>
      <c r="S2">
        <v>49.792532381368119</v>
      </c>
      <c r="T2" s="7">
        <v>41.322000000000003</v>
      </c>
      <c r="U2" s="7">
        <v>32.329000000000001</v>
      </c>
      <c r="V2" s="7">
        <v>15.244999999999999</v>
      </c>
      <c r="W2" s="7">
        <v>17.795999999999999</v>
      </c>
      <c r="X2" s="7">
        <v>21.763000000000002</v>
      </c>
      <c r="Y2" s="8">
        <v>-16.732399999999998</v>
      </c>
      <c r="Z2" s="7">
        <v>53.408499999999997</v>
      </c>
      <c r="AA2" s="7">
        <v>12.086</v>
      </c>
      <c r="AB2" s="7">
        <v>9.8523999999999994</v>
      </c>
      <c r="AC2" s="7">
        <v>8.9441000000000006</v>
      </c>
      <c r="AD2" s="7">
        <v>5.6482000000000001</v>
      </c>
      <c r="AE2" s="12">
        <v>7.8848000000000003</v>
      </c>
      <c r="AF2" s="7">
        <v>7.8643999999999998</v>
      </c>
      <c r="AG2" s="7">
        <v>9.9315999999999995</v>
      </c>
      <c r="AH2" s="8">
        <v>15.245200000000001</v>
      </c>
    </row>
    <row r="3" spans="1:35" x14ac:dyDescent="0.25">
      <c r="A3" s="54" t="s">
        <v>271</v>
      </c>
      <c r="B3" s="6"/>
      <c r="C3" s="7">
        <v>3.6069090671699997</v>
      </c>
      <c r="D3" s="7">
        <v>2.9400002881200002</v>
      </c>
      <c r="E3" s="7">
        <v>2.3787139260600001</v>
      </c>
      <c r="F3" s="7">
        <v>2.4542118587699999</v>
      </c>
      <c r="G3" s="7">
        <v>18.489000000000001</v>
      </c>
      <c r="H3" s="8">
        <v>-3.1753999999999998</v>
      </c>
      <c r="I3" s="7">
        <v>5.7072267003870003</v>
      </c>
      <c r="J3" s="7">
        <v>2.1003363054179998</v>
      </c>
      <c r="K3" s="7">
        <v>0.437639047038</v>
      </c>
      <c r="L3" s="7">
        <v>0.526643205138</v>
      </c>
      <c r="M3" s="7">
        <v>1.63369310616</v>
      </c>
      <c r="N3" s="12">
        <v>0.34203737791799999</v>
      </c>
      <c r="O3" s="7">
        <v>2.075894394309</v>
      </c>
      <c r="P3" s="7">
        <v>0.37832368852800002</v>
      </c>
      <c r="Q3" s="8">
        <v>2.378682805725</v>
      </c>
      <c r="S3">
        <v>62.240666855968534</v>
      </c>
      <c r="T3" s="7">
        <v>57.950999999999993</v>
      </c>
      <c r="U3" s="7">
        <v>47.236000000000004</v>
      </c>
      <c r="V3" s="7">
        <v>38.218000000000004</v>
      </c>
      <c r="W3" s="7">
        <v>39.430999999999997</v>
      </c>
      <c r="X3" s="7">
        <v>18.489000000000001</v>
      </c>
      <c r="Y3" s="8">
        <v>-3.1753999999999998</v>
      </c>
      <c r="Z3" s="7">
        <v>91.696100000000001</v>
      </c>
      <c r="AA3" s="7">
        <v>33.745399999999997</v>
      </c>
      <c r="AB3" s="7">
        <v>7.0313999999999997</v>
      </c>
      <c r="AC3" s="7">
        <v>8.4613999999999994</v>
      </c>
      <c r="AD3" s="7">
        <v>26.248000000000001</v>
      </c>
      <c r="AE3" s="12">
        <v>5.4954000000000001</v>
      </c>
      <c r="AF3" s="7">
        <v>33.352699999999999</v>
      </c>
      <c r="AG3" s="7">
        <v>6.0784000000000002</v>
      </c>
      <c r="AH3" s="8">
        <v>38.217500000000001</v>
      </c>
    </row>
    <row r="4" spans="1:35" ht="15.75" thickBot="1" x14ac:dyDescent="0.3">
      <c r="A4" s="55" t="s">
        <v>22</v>
      </c>
      <c r="B4" s="14"/>
      <c r="C4" s="7">
        <v>75.303128427640402</v>
      </c>
      <c r="D4" s="7">
        <v>82.637901311276778</v>
      </c>
      <c r="E4" s="7">
        <v>213.36507547777234</v>
      </c>
      <c r="F4" s="7">
        <v>176.96536266180328</v>
      </c>
      <c r="G4" s="15"/>
      <c r="H4" s="16"/>
      <c r="I4" s="7">
        <v>114.61029388903523</v>
      </c>
      <c r="J4" s="7">
        <v>249.01336325418657</v>
      </c>
      <c r="K4" s="7">
        <v>-10.790761041932425</v>
      </c>
      <c r="L4" s="7">
        <v>18.25394700974277</v>
      </c>
      <c r="M4" s="7">
        <v>480.89309786489662</v>
      </c>
      <c r="N4" s="12">
        <v>-12.879834266631452</v>
      </c>
      <c r="O4" s="7">
        <v>430.12156075162187</v>
      </c>
      <c r="P4" s="7">
        <v>-23.49670832938277</v>
      </c>
      <c r="Q4" s="16">
        <v>213.35686482637857</v>
      </c>
      <c r="T4" s="15">
        <f>(T3-T2)/T2*100</f>
        <v>40.242485842892378</v>
      </c>
      <c r="U4" s="15">
        <f>(U3-U2)/U2*100</f>
        <v>46.110303442729453</v>
      </c>
      <c r="V4" s="15">
        <f>(V3-V2)/V2*100</f>
        <v>150.69203017382753</v>
      </c>
      <c r="W4" s="15">
        <f>(W3-W2)/W2*100</f>
        <v>121.57226342998426</v>
      </c>
      <c r="X4" s="15"/>
      <c r="Y4" s="16"/>
      <c r="Z4" s="15">
        <f t="shared" ref="Z4:AH4" si="0">(Z3-Z2)/Z2*100</f>
        <v>71.688214422797884</v>
      </c>
      <c r="AA4" s="15">
        <f t="shared" si="0"/>
        <v>179.21065695846431</v>
      </c>
      <c r="AB4" s="15">
        <f t="shared" si="0"/>
        <v>-28.632617433315737</v>
      </c>
      <c r="AC4" s="15">
        <f t="shared" si="0"/>
        <v>-5.3968537918851665</v>
      </c>
      <c r="AD4" s="15">
        <f t="shared" si="0"/>
        <v>364.71442229382814</v>
      </c>
      <c r="AE4" s="17">
        <f t="shared" si="0"/>
        <v>-30.303875811688314</v>
      </c>
      <c r="AF4" s="15">
        <f t="shared" si="0"/>
        <v>324.09719749758403</v>
      </c>
      <c r="AG4" s="15">
        <f t="shared" si="0"/>
        <v>-38.797374038422802</v>
      </c>
      <c r="AH4" s="16">
        <f t="shared" si="0"/>
        <v>150.68546165350403</v>
      </c>
    </row>
    <row r="5" spans="1:35" x14ac:dyDescent="0.25">
      <c r="A5" s="11" t="s">
        <v>259</v>
      </c>
      <c r="B5" s="6"/>
      <c r="C5" s="30">
        <v>1.7774365023699492</v>
      </c>
      <c r="D5" s="31">
        <v>1.524506941603855</v>
      </c>
      <c r="E5" s="31">
        <v>1.2831548448621362</v>
      </c>
      <c r="F5" s="31">
        <v>1.1387323191858063</v>
      </c>
      <c r="G5" s="7">
        <v>14.228199999999999</v>
      </c>
      <c r="H5" s="8">
        <v>11.256500000000001</v>
      </c>
      <c r="I5" s="31">
        <v>3.3707913267523337</v>
      </c>
      <c r="J5" s="31">
        <v>1.5933970779007212</v>
      </c>
      <c r="K5" s="31">
        <v>0.19709576163540307</v>
      </c>
      <c r="L5" s="31">
        <v>0.191712663399252</v>
      </c>
      <c r="M5" s="31">
        <v>0.6055605234004936</v>
      </c>
      <c r="N5" s="28">
        <v>0.53013799316870647</v>
      </c>
      <c r="O5" s="31">
        <v>0.6343351693880831</v>
      </c>
      <c r="P5" s="31">
        <v>0.50438869909405604</v>
      </c>
      <c r="Q5" s="27">
        <v>1.2831632955658034</v>
      </c>
      <c r="S5">
        <v>84.507036674271347</v>
      </c>
      <c r="T5" s="7">
        <v>21.033000000000001</v>
      </c>
      <c r="U5" s="7">
        <v>18.04</v>
      </c>
      <c r="V5" s="7">
        <v>15.183999999999999</v>
      </c>
      <c r="W5" s="7">
        <v>13.475</v>
      </c>
      <c r="X5" s="7">
        <v>14.228199999999999</v>
      </c>
      <c r="Y5" s="8">
        <v>11.256500000000001</v>
      </c>
      <c r="Z5" s="7">
        <v>39.887700000000002</v>
      </c>
      <c r="AA5" s="7">
        <v>18.8552</v>
      </c>
      <c r="AB5" s="7">
        <v>2.3323</v>
      </c>
      <c r="AC5" s="7">
        <v>2.2686000000000002</v>
      </c>
      <c r="AD5" s="7">
        <v>7.1657999999999999</v>
      </c>
      <c r="AE5" s="12">
        <v>6.2732999999999999</v>
      </c>
      <c r="AF5" s="7">
        <v>7.5063000000000004</v>
      </c>
      <c r="AG5" s="7">
        <v>5.9686000000000003</v>
      </c>
      <c r="AH5" s="8">
        <v>15.184100000000001</v>
      </c>
    </row>
    <row r="6" spans="1:35" x14ac:dyDescent="0.25">
      <c r="A6" s="11" t="s">
        <v>272</v>
      </c>
      <c r="B6" s="6"/>
      <c r="C6" s="32">
        <v>2.1834226473124922</v>
      </c>
      <c r="D6" s="33">
        <v>1.3660792284683279</v>
      </c>
      <c r="E6" s="33">
        <v>1.4740944357453405</v>
      </c>
      <c r="F6" s="33">
        <v>1.278940260249865</v>
      </c>
      <c r="G6" s="7">
        <v>37.4328</v>
      </c>
      <c r="H6" s="8">
        <v>13.2384</v>
      </c>
      <c r="I6" s="33">
        <v>3.2429381711762204</v>
      </c>
      <c r="J6" s="33">
        <v>1.0595155238637277</v>
      </c>
      <c r="K6" s="33">
        <v>0.22174431850375356</v>
      </c>
      <c r="L6" s="33">
        <v>0.19452015638332687</v>
      </c>
      <c r="M6" s="33">
        <v>0.39367174506149483</v>
      </c>
      <c r="N6" s="12">
        <v>0.55617393628132084</v>
      </c>
      <c r="O6" s="33">
        <v>0.8534051888327101</v>
      </c>
      <c r="P6" s="33">
        <v>0.42550414365558648</v>
      </c>
      <c r="Q6" s="8">
        <v>1.4740557760433799</v>
      </c>
      <c r="R6" s="53" t="s">
        <v>460</v>
      </c>
      <c r="S6">
        <v>77.319403920552858</v>
      </c>
      <c r="T6" s="7">
        <v>28.239000000000001</v>
      </c>
      <c r="U6" s="7">
        <v>17.667999999999999</v>
      </c>
      <c r="V6" s="7">
        <v>19.065000000000001</v>
      </c>
      <c r="W6" s="7">
        <v>16.541</v>
      </c>
      <c r="X6" s="7">
        <v>37.4328</v>
      </c>
      <c r="Y6" s="8">
        <v>13.2384</v>
      </c>
      <c r="Z6" s="7">
        <v>41.942100000000003</v>
      </c>
      <c r="AA6" s="7">
        <v>13.703099999999999</v>
      </c>
      <c r="AB6" s="7">
        <v>2.8679000000000001</v>
      </c>
      <c r="AC6" s="7">
        <v>2.5158</v>
      </c>
      <c r="AD6" s="7">
        <v>5.0914999999999999</v>
      </c>
      <c r="AE6" s="12">
        <v>7.1932</v>
      </c>
      <c r="AF6" s="7">
        <v>11.0374</v>
      </c>
      <c r="AG6" s="7">
        <v>5.5031999999999996</v>
      </c>
      <c r="AH6" s="8">
        <v>19.064499999999999</v>
      </c>
    </row>
    <row r="7" spans="1:35" ht="15.75" thickBot="1" x14ac:dyDescent="0.3">
      <c r="A7" s="13" t="s">
        <v>22</v>
      </c>
      <c r="B7" s="6"/>
      <c r="C7" s="32">
        <f>(C6-C5)/C5*100</f>
        <v>22.841105401021103</v>
      </c>
      <c r="D7" s="33">
        <f t="shared" ref="D7:F7" si="1">(D6-D5)/D5*100</f>
        <v>-10.39206243094266</v>
      </c>
      <c r="E7" s="33">
        <f t="shared" si="1"/>
        <v>14.880479284923648</v>
      </c>
      <c r="F7" s="33">
        <f t="shared" si="1"/>
        <v>12.312633856243524</v>
      </c>
      <c r="G7" s="15"/>
      <c r="H7" s="16"/>
      <c r="I7" s="33">
        <f t="shared" ref="I7:Q7" si="2">(I6-I5)/I5*100</f>
        <v>-3.7929715364284022</v>
      </c>
      <c r="J7" s="33">
        <f t="shared" si="2"/>
        <v>-33.505870033373917</v>
      </c>
      <c r="K7" s="33">
        <f t="shared" si="2"/>
        <v>12.505878697658929</v>
      </c>
      <c r="L7" s="33">
        <f t="shared" si="2"/>
        <v>1.4644275105750921</v>
      </c>
      <c r="M7" s="33">
        <f t="shared" si="2"/>
        <v>-34.990520377574875</v>
      </c>
      <c r="N7" s="12">
        <f t="shared" si="2"/>
        <v>4.9111634042665031</v>
      </c>
      <c r="O7" s="33">
        <f t="shared" si="2"/>
        <v>34.535373414019404</v>
      </c>
      <c r="P7" s="33">
        <f t="shared" si="2"/>
        <v>-15.639635776962468</v>
      </c>
      <c r="Q7" s="8">
        <f t="shared" si="2"/>
        <v>14.876709857368816</v>
      </c>
      <c r="T7" s="15">
        <f>(T6-T5)/T5*100</f>
        <v>34.260447867636564</v>
      </c>
      <c r="U7" s="15">
        <f>(U6-U5)/U5*100</f>
        <v>-2.0620842572062079</v>
      </c>
      <c r="V7" s="15">
        <f>(V6-V5)/V5*100</f>
        <v>25.559799789251858</v>
      </c>
      <c r="W7" s="15">
        <f>(W6-W5)/W5*100</f>
        <v>22.75324675324676</v>
      </c>
      <c r="X7" s="15"/>
      <c r="Y7" s="16"/>
      <c r="Z7" s="15">
        <f t="shared" ref="Z7:AH7" si="3">(Z6-Z5)/Z5*100</f>
        <v>5.1504599162147748</v>
      </c>
      <c r="AA7" s="15">
        <f t="shared" si="3"/>
        <v>-27.324557681700547</v>
      </c>
      <c r="AB7" s="15">
        <f t="shared" si="3"/>
        <v>22.964455687518761</v>
      </c>
      <c r="AC7" s="15">
        <f t="shared" si="3"/>
        <v>10.896588204178782</v>
      </c>
      <c r="AD7" s="15">
        <f t="shared" si="3"/>
        <v>-28.947221524463423</v>
      </c>
      <c r="AE7" s="17">
        <f t="shared" si="3"/>
        <v>14.66373360113497</v>
      </c>
      <c r="AF7" s="15">
        <f t="shared" si="3"/>
        <v>47.041818206040247</v>
      </c>
      <c r="AG7" s="15">
        <f t="shared" si="3"/>
        <v>-7.7974734443588227</v>
      </c>
      <c r="AH7" s="16">
        <f t="shared" si="3"/>
        <v>25.555679954689431</v>
      </c>
    </row>
    <row r="8" spans="1:35" x14ac:dyDescent="0.25">
      <c r="A8" s="11" t="s">
        <v>260</v>
      </c>
      <c r="B8" s="29"/>
      <c r="C8" s="30">
        <v>0.97197963611537808</v>
      </c>
      <c r="D8" s="31">
        <v>1.1585136043693463</v>
      </c>
      <c r="E8" s="31">
        <v>0.58350899334357409</v>
      </c>
      <c r="F8" s="31">
        <v>0.43204457279399217</v>
      </c>
      <c r="G8" s="7">
        <v>-19.19113952</v>
      </c>
      <c r="H8" s="8">
        <v>25.957512600000001</v>
      </c>
      <c r="I8" s="31">
        <v>1.4761358593616658</v>
      </c>
      <c r="J8" s="31">
        <v>0.50415429254138933</v>
      </c>
      <c r="K8" s="31">
        <v>0.20186379928315409</v>
      </c>
      <c r="L8" s="31">
        <v>0.26811401263014162</v>
      </c>
      <c r="M8" s="31">
        <v>0.14216760539341183</v>
      </c>
      <c r="N8" s="28">
        <v>0.54636627410820959</v>
      </c>
      <c r="O8" s="31">
        <v>0.25082778631165725</v>
      </c>
      <c r="P8" s="31">
        <v>0.18121863799283153</v>
      </c>
      <c r="Q8" s="27">
        <v>0.58350571769926618</v>
      </c>
      <c r="S8">
        <v>68.271036012971493</v>
      </c>
      <c r="T8" s="7">
        <v>14.237071720000001</v>
      </c>
      <c r="U8" s="7">
        <v>16.969328019999999</v>
      </c>
      <c r="V8" s="7">
        <v>8.5469479800000006</v>
      </c>
      <c r="W8" s="7">
        <v>6.3283728800000008</v>
      </c>
      <c r="X8" s="7">
        <v>-19.19113952</v>
      </c>
      <c r="Y8" s="8">
        <v>25.957512600000001</v>
      </c>
      <c r="Z8" s="7">
        <v>21.621700000000001</v>
      </c>
      <c r="AA8" s="7">
        <v>7.3845999999999998</v>
      </c>
      <c r="AB8" s="7">
        <v>2.9567999999999999</v>
      </c>
      <c r="AC8" s="7">
        <v>3.9272</v>
      </c>
      <c r="AD8" s="7">
        <v>2.0823999999999998</v>
      </c>
      <c r="AE8" s="12">
        <v>8.0029000000000003</v>
      </c>
      <c r="AF8" s="7">
        <v>3.6739999999999999</v>
      </c>
      <c r="AG8" s="7">
        <v>2.6543999999999999</v>
      </c>
      <c r="AH8" s="8">
        <v>8.5469000000000008</v>
      </c>
    </row>
    <row r="9" spans="1:35" x14ac:dyDescent="0.25">
      <c r="A9" s="11" t="s">
        <v>273</v>
      </c>
      <c r="B9" s="6"/>
      <c r="C9" s="32">
        <v>1.216634639791818</v>
      </c>
      <c r="D9" s="33">
        <v>1.3285036744864489</v>
      </c>
      <c r="E9" s="33">
        <v>0.85176942592057059</v>
      </c>
      <c r="F9" s="33">
        <v>0.80106391546864242</v>
      </c>
      <c r="G9" s="7">
        <v>-9.1949572259999997</v>
      </c>
      <c r="H9" s="8">
        <v>5.9529619790000003</v>
      </c>
      <c r="I9" s="33">
        <v>2.0106540926798337</v>
      </c>
      <c r="J9" s="33">
        <v>0.79401864699302172</v>
      </c>
      <c r="K9" s="33">
        <v>0.22357295653009543</v>
      </c>
      <c r="L9" s="33">
        <v>0.21436375503438648</v>
      </c>
      <c r="M9" s="33">
        <v>0.26386051717174486</v>
      </c>
      <c r="N9" s="12">
        <v>0.62670736954600048</v>
      </c>
      <c r="O9" s="33">
        <v>0.69213511569154851</v>
      </c>
      <c r="P9" s="33">
        <v>0.10892882206321766</v>
      </c>
      <c r="Q9" s="8">
        <v>0.85176846402270945</v>
      </c>
      <c r="S9">
        <v>71.890722058617783</v>
      </c>
      <c r="T9" s="7">
        <v>16.923388790000001</v>
      </c>
      <c r="U9" s="7">
        <v>18.479487150000001</v>
      </c>
      <c r="V9" s="7">
        <v>11.848113380000001</v>
      </c>
      <c r="W9" s="7">
        <v>11.14279969</v>
      </c>
      <c r="X9" s="7">
        <v>-9.1949572259999997</v>
      </c>
      <c r="Y9" s="8">
        <v>5.9529619790000003</v>
      </c>
      <c r="Z9" s="7">
        <v>27.9682</v>
      </c>
      <c r="AA9" s="7">
        <v>11.0448</v>
      </c>
      <c r="AB9" s="7">
        <v>3.1099000000000001</v>
      </c>
      <c r="AC9" s="7">
        <v>2.9817999999999998</v>
      </c>
      <c r="AD9" s="7">
        <v>3.6703000000000001</v>
      </c>
      <c r="AE9" s="12">
        <v>8.7174999999999994</v>
      </c>
      <c r="AF9" s="7">
        <v>9.6275999999999993</v>
      </c>
      <c r="AG9" s="7">
        <v>1.5152000000000001</v>
      </c>
      <c r="AH9" s="8">
        <v>11.848100000000001</v>
      </c>
    </row>
    <row r="10" spans="1:35" ht="15.75" thickBot="1" x14ac:dyDescent="0.3">
      <c r="A10" s="13" t="s">
        <v>22</v>
      </c>
      <c r="B10" s="14"/>
      <c r="C10" s="24">
        <f>(C9-C8)/C8*100</f>
        <v>25.170795208655822</v>
      </c>
      <c r="D10" s="15">
        <f t="shared" ref="D10:F10" si="4">(D9-D8)/D8*100</f>
        <v>14.673118164170306</v>
      </c>
      <c r="E10" s="15">
        <f t="shared" si="4"/>
        <v>45.973658613183176</v>
      </c>
      <c r="F10" s="15">
        <f t="shared" si="4"/>
        <v>85.412331484280983</v>
      </c>
      <c r="G10" s="15"/>
      <c r="H10" s="16"/>
      <c r="I10" s="15">
        <f t="shared" ref="I10:Q10" si="5">(I9-I8)/I8*100</f>
        <v>36.210639415623497</v>
      </c>
      <c r="J10" s="15">
        <f t="shared" si="5"/>
        <v>57.495167400133859</v>
      </c>
      <c r="K10" s="15">
        <f t="shared" si="5"/>
        <v>10.754358792430102</v>
      </c>
      <c r="L10" s="15">
        <f t="shared" si="5"/>
        <v>-20.047537638363806</v>
      </c>
      <c r="M10" s="15">
        <f t="shared" si="5"/>
        <v>85.598200406892673</v>
      </c>
      <c r="N10" s="17">
        <f t="shared" si="5"/>
        <v>14.704622017331742</v>
      </c>
      <c r="O10" s="15">
        <f t="shared" si="5"/>
        <v>175.9403676399553</v>
      </c>
      <c r="P10" s="15">
        <f t="shared" si="5"/>
        <v>-39.890938774450689</v>
      </c>
      <c r="Q10" s="16">
        <f t="shared" si="5"/>
        <v>45.974313222017742</v>
      </c>
      <c r="T10" s="15">
        <f>(T9-T8)/T8*100</f>
        <v>18.868466232605304</v>
      </c>
      <c r="U10" s="15">
        <f>(U9-U8)/U8*100</f>
        <v>8.8993455027808555</v>
      </c>
      <c r="V10" s="15">
        <f>(V9-V8)/V8*100</f>
        <v>38.623908882150474</v>
      </c>
      <c r="W10" s="15">
        <f>(W9-W8)/W8*100</f>
        <v>76.076851053062455</v>
      </c>
      <c r="X10" s="15"/>
      <c r="Y10" s="16"/>
      <c r="Z10" s="15">
        <f t="shared" ref="Z10:AH10" si="6">(Z9-Z8)/Z8*100</f>
        <v>29.352456097346639</v>
      </c>
      <c r="AA10" s="15">
        <f t="shared" si="6"/>
        <v>49.565311594399162</v>
      </c>
      <c r="AB10" s="15">
        <f t="shared" si="6"/>
        <v>5.1778950216450301</v>
      </c>
      <c r="AC10" s="15">
        <f t="shared" si="6"/>
        <v>-24.073130983907117</v>
      </c>
      <c r="AD10" s="15">
        <f t="shared" si="6"/>
        <v>76.253361505954686</v>
      </c>
      <c r="AE10" s="17">
        <f t="shared" si="6"/>
        <v>8.9292631421109707</v>
      </c>
      <c r="AF10" s="15">
        <f t="shared" si="6"/>
        <v>162.04681545998912</v>
      </c>
      <c r="AG10" s="15">
        <f t="shared" si="6"/>
        <v>-42.917420132610005</v>
      </c>
      <c r="AH10" s="16">
        <f t="shared" si="6"/>
        <v>38.624530531537744</v>
      </c>
    </row>
    <row r="11" spans="1:35" x14ac:dyDescent="0.25">
      <c r="A11" s="11" t="s">
        <v>262</v>
      </c>
      <c r="B11" s="6"/>
      <c r="C11" s="32">
        <v>1.4414739618365875</v>
      </c>
      <c r="D11" s="33">
        <v>1.5878011382457753</v>
      </c>
      <c r="E11" s="33">
        <v>0.63019320112653121</v>
      </c>
      <c r="F11" s="33">
        <v>0.63463774094050029</v>
      </c>
      <c r="G11" s="7">
        <v>-10.151218829999999</v>
      </c>
      <c r="H11" s="8">
        <v>-0.70526627099999994</v>
      </c>
      <c r="I11" s="33">
        <v>2.7184172601774876</v>
      </c>
      <c r="J11" s="33">
        <v>1.2769412459343707</v>
      </c>
      <c r="K11" s="33">
        <v>0.49647061524258762</v>
      </c>
      <c r="L11" s="33">
        <v>0.31336365341017219</v>
      </c>
      <c r="M11" s="33">
        <v>0.40442248189305441</v>
      </c>
      <c r="N11" s="12">
        <v>0.37354547486579565</v>
      </c>
      <c r="O11" s="33">
        <v>0.41787702807950794</v>
      </c>
      <c r="P11" s="33">
        <v>0.21675937008017063</v>
      </c>
      <c r="Q11" s="8">
        <v>0.63019254765055976</v>
      </c>
      <c r="S11">
        <v>53.475938737891809</v>
      </c>
      <c r="T11" s="7">
        <v>26.955561619999997</v>
      </c>
      <c r="U11" s="7">
        <v>29.691879669999999</v>
      </c>
      <c r="V11" s="7">
        <v>11.78461222</v>
      </c>
      <c r="W11" s="7">
        <v>11.86772511</v>
      </c>
      <c r="X11" s="7">
        <v>-10.151218829999999</v>
      </c>
      <c r="Y11" s="8">
        <v>-0.70526627099999994</v>
      </c>
      <c r="Z11" s="7">
        <v>50.834400000000002</v>
      </c>
      <c r="AA11" s="7">
        <v>23.878799999999998</v>
      </c>
      <c r="AB11" s="7">
        <v>9.2840000000000007</v>
      </c>
      <c r="AC11" s="7">
        <v>5.8598999999999997</v>
      </c>
      <c r="AD11" s="7">
        <v>7.5627000000000004</v>
      </c>
      <c r="AE11" s="12">
        <v>6.9852999999999996</v>
      </c>
      <c r="AF11" s="7">
        <v>7.8143000000000002</v>
      </c>
      <c r="AG11" s="7">
        <v>4.0533999999999999</v>
      </c>
      <c r="AH11" s="8">
        <v>11.784599999999999</v>
      </c>
    </row>
    <row r="12" spans="1:35" x14ac:dyDescent="0.25">
      <c r="A12" s="11" t="s">
        <v>274</v>
      </c>
      <c r="B12" s="6"/>
      <c r="C12" s="32">
        <v>2.3532045875764211</v>
      </c>
      <c r="D12" s="33">
        <v>2.3289594254850043</v>
      </c>
      <c r="E12" s="33">
        <v>1.4300217176391707</v>
      </c>
      <c r="F12" s="33">
        <v>1.3354797931723534</v>
      </c>
      <c r="G12" s="7">
        <v>1.030304042</v>
      </c>
      <c r="H12" s="8">
        <v>6.6112229720000002</v>
      </c>
      <c r="I12" s="33">
        <v>3.3870383960250674</v>
      </c>
      <c r="J12" s="33">
        <v>1.0338373846624487</v>
      </c>
      <c r="K12" s="33">
        <v>0.62633691993483753</v>
      </c>
      <c r="L12" s="33">
        <v>0.34442019199485219</v>
      </c>
      <c r="M12" s="33">
        <v>0.89257277690986381</v>
      </c>
      <c r="N12" s="12">
        <v>0.46563326508917319</v>
      </c>
      <c r="O12" s="33">
        <v>1.1254191418605271</v>
      </c>
      <c r="P12" s="33">
        <v>0.21005944893332451</v>
      </c>
      <c r="Q12" s="8">
        <v>1.4300216956371903</v>
      </c>
      <c r="S12">
        <v>59.464812153807358</v>
      </c>
      <c r="T12" s="7">
        <v>39.573060139999995</v>
      </c>
      <c r="U12" s="7">
        <v>39.165337299999997</v>
      </c>
      <c r="V12" s="7">
        <v>24.04820037</v>
      </c>
      <c r="W12" s="7">
        <v>22.458320220000001</v>
      </c>
      <c r="X12" s="7">
        <v>1.030304042</v>
      </c>
      <c r="Y12" s="8">
        <v>6.6112229720000002</v>
      </c>
      <c r="Z12" s="7">
        <v>56.9587</v>
      </c>
      <c r="AA12" s="7">
        <v>17.3857</v>
      </c>
      <c r="AB12" s="7">
        <v>10.5329</v>
      </c>
      <c r="AC12" s="7">
        <v>5.7919999999999998</v>
      </c>
      <c r="AD12" s="7">
        <v>15.0101</v>
      </c>
      <c r="AE12" s="12">
        <v>7.8304</v>
      </c>
      <c r="AF12" s="7">
        <v>18.925799999999999</v>
      </c>
      <c r="AG12" s="7">
        <v>3.5325000000000002</v>
      </c>
      <c r="AH12" s="8">
        <v>24.048200000000001</v>
      </c>
    </row>
    <row r="13" spans="1:35" ht="15.75" thickBot="1" x14ac:dyDescent="0.3">
      <c r="A13" s="13" t="s">
        <v>22</v>
      </c>
      <c r="B13" s="14"/>
      <c r="C13" s="24">
        <f>(C12-C11)/C11*100</f>
        <v>63.249885178515065</v>
      </c>
      <c r="D13" s="15">
        <f t="shared" ref="D13:F13" si="7">(D12-D11)/D11*100</f>
        <v>46.678281642880734</v>
      </c>
      <c r="E13" s="15">
        <f t="shared" si="7"/>
        <v>126.91798564041451</v>
      </c>
      <c r="F13" s="15">
        <f t="shared" si="7"/>
        <v>110.43182701256333</v>
      </c>
      <c r="G13" s="15"/>
      <c r="H13" s="16"/>
      <c r="I13" s="15">
        <f t="shared" ref="I13:Q13" si="8">(I12-I11)/I11*100</f>
        <v>24.595971547205558</v>
      </c>
      <c r="J13" s="15">
        <f t="shared" si="8"/>
        <v>-19.037983309407217</v>
      </c>
      <c r="K13" s="15">
        <f t="shared" si="8"/>
        <v>26.157903550604715</v>
      </c>
      <c r="L13" s="15">
        <f t="shared" si="8"/>
        <v>9.9107022294091802</v>
      </c>
      <c r="M13" s="15">
        <f t="shared" si="8"/>
        <v>120.70305605460776</v>
      </c>
      <c r="N13" s="17">
        <f t="shared" si="8"/>
        <v>24.65236401443816</v>
      </c>
      <c r="O13" s="15">
        <f t="shared" si="8"/>
        <v>169.31826021467677</v>
      </c>
      <c r="P13" s="15">
        <f t="shared" si="8"/>
        <v>-3.0909487992920828</v>
      </c>
      <c r="Q13" s="16">
        <f t="shared" si="8"/>
        <v>126.91821745092007</v>
      </c>
      <c r="T13" s="15">
        <f>(T12-T11)/T11*100</f>
        <v>46.808516542420307</v>
      </c>
      <c r="U13" s="15">
        <f>(U12-U11)/U11*100</f>
        <v>31.905887182924847</v>
      </c>
      <c r="V13" s="15">
        <f>(V12-V11)/V11*100</f>
        <v>104.06441825202459</v>
      </c>
      <c r="W13" s="15">
        <f>(W12-W11)/W11*100</f>
        <v>89.238628396238624</v>
      </c>
      <c r="X13" s="15"/>
      <c r="Y13" s="16"/>
      <c r="Z13" s="15">
        <f t="shared" ref="Z13:AH13" si="9">(Z12-Z11)/Z11*100</f>
        <v>12.047550477629319</v>
      </c>
      <c r="AA13" s="15">
        <f t="shared" si="9"/>
        <v>-27.191902440658655</v>
      </c>
      <c r="AB13" s="15">
        <f t="shared" si="9"/>
        <v>13.452175786298998</v>
      </c>
      <c r="AC13" s="15">
        <f t="shared" si="9"/>
        <v>-1.1587228450997431</v>
      </c>
      <c r="AD13" s="15">
        <f t="shared" si="9"/>
        <v>98.475412220503244</v>
      </c>
      <c r="AE13" s="17">
        <f t="shared" si="9"/>
        <v>12.098263496199166</v>
      </c>
      <c r="AF13" s="15">
        <f t="shared" si="9"/>
        <v>142.19443840139229</v>
      </c>
      <c r="AG13" s="15">
        <f t="shared" si="9"/>
        <v>-12.850939951645527</v>
      </c>
      <c r="AH13" s="16">
        <f t="shared" si="9"/>
        <v>104.0646267162229</v>
      </c>
    </row>
    <row r="14" spans="1:35" x14ac:dyDescent="0.25">
      <c r="A14" s="11" t="s">
        <v>264</v>
      </c>
      <c r="B14" s="333" t="s">
        <v>372</v>
      </c>
      <c r="C14" s="32">
        <v>0.79140950649114628</v>
      </c>
      <c r="D14" s="33">
        <v>1.9357215438238418</v>
      </c>
      <c r="E14" s="33">
        <v>0.97390333649866478</v>
      </c>
      <c r="F14" s="33">
        <v>0.95836323627910558</v>
      </c>
      <c r="G14" s="18"/>
      <c r="H14" s="8">
        <v>1.59565117</v>
      </c>
      <c r="I14" s="33">
        <v>2.053518113262669</v>
      </c>
      <c r="J14" s="171"/>
      <c r="K14" s="33">
        <v>0.32360002592948922</v>
      </c>
      <c r="L14" s="171"/>
      <c r="M14" s="33">
        <v>0.47508208934952634</v>
      </c>
      <c r="N14" s="12">
        <v>0.72312313486563573</v>
      </c>
      <c r="O14" s="33">
        <v>0.58236927743343558</v>
      </c>
      <c r="P14" s="33">
        <v>0.37598977371712933</v>
      </c>
      <c r="Q14" s="8">
        <v>0.97390264213963473</v>
      </c>
      <c r="S14">
        <v>51.282055391190333</v>
      </c>
      <c r="T14" s="7">
        <v>15.43248414</v>
      </c>
      <c r="U14" s="7">
        <v>37.746567080000005</v>
      </c>
      <c r="V14" s="7">
        <v>18.991113540000001</v>
      </c>
      <c r="W14" s="7">
        <v>18.688081610000001</v>
      </c>
      <c r="X14" s="18">
        <v>-144.59164659999999</v>
      </c>
      <c r="Y14" s="8">
        <v>1.59565117</v>
      </c>
      <c r="Z14" s="7">
        <v>40.043599999999998</v>
      </c>
      <c r="AA14" s="48"/>
      <c r="AB14" s="7">
        <v>6.3102</v>
      </c>
      <c r="AC14" s="48"/>
      <c r="AD14" s="7">
        <v>9.2640999999999991</v>
      </c>
      <c r="AE14" s="12">
        <v>14.100899999999999</v>
      </c>
      <c r="AF14" s="7">
        <v>11.356199999999999</v>
      </c>
      <c r="AG14" s="7">
        <v>7.3318000000000003</v>
      </c>
      <c r="AH14" s="8">
        <v>18.991099999999999</v>
      </c>
    </row>
    <row r="15" spans="1:35" x14ac:dyDescent="0.25">
      <c r="A15" s="11" t="s">
        <v>275</v>
      </c>
      <c r="B15" s="331"/>
      <c r="C15" s="32">
        <v>0.89973183387621092</v>
      </c>
      <c r="D15" s="33">
        <v>2.1982853589685396</v>
      </c>
      <c r="E15" s="33">
        <v>1.5733443653823118</v>
      </c>
      <c r="F15" s="33">
        <v>1.4913602619583568</v>
      </c>
      <c r="G15" s="18"/>
      <c r="H15" s="8">
        <v>5.2108174800000002</v>
      </c>
      <c r="I15" s="33">
        <v>2.2937353841982002</v>
      </c>
      <c r="J15" s="145"/>
      <c r="K15" s="33">
        <v>0.31198525948804956</v>
      </c>
      <c r="L15" s="145"/>
      <c r="M15" s="33">
        <v>0.92195407984839273</v>
      </c>
      <c r="N15" s="12">
        <v>0.50717075070930906</v>
      </c>
      <c r="O15" s="33">
        <v>1.1389011107467293</v>
      </c>
      <c r="P15" s="33">
        <v>0.35246104359330555</v>
      </c>
      <c r="Q15" s="8">
        <v>1.5733445919470141</v>
      </c>
      <c r="S15">
        <v>56.641175630081079</v>
      </c>
      <c r="T15" s="7">
        <v>15.88476623</v>
      </c>
      <c r="U15" s="7">
        <v>38.810729730000006</v>
      </c>
      <c r="V15" s="7">
        <v>27.777396</v>
      </c>
      <c r="W15" s="7">
        <v>26.329966589999998</v>
      </c>
      <c r="X15" s="18">
        <v>-144.326729</v>
      </c>
      <c r="Y15" s="8">
        <v>5.2108174800000002</v>
      </c>
      <c r="Z15" s="7">
        <v>40.495899999999999</v>
      </c>
      <c r="AA15" s="48"/>
      <c r="AB15" s="7">
        <v>5.5080999999999998</v>
      </c>
      <c r="AC15" s="48"/>
      <c r="AD15" s="7">
        <v>16.277100000000001</v>
      </c>
      <c r="AE15" s="12">
        <v>8.9541000000000004</v>
      </c>
      <c r="AF15" s="7">
        <v>20.107299999999999</v>
      </c>
      <c r="AG15" s="7">
        <v>6.2226999999999997</v>
      </c>
      <c r="AH15" s="8">
        <v>27.7774</v>
      </c>
    </row>
    <row r="16" spans="1:35" ht="15.75" thickBot="1" x14ac:dyDescent="0.3">
      <c r="A16" s="13" t="s">
        <v>22</v>
      </c>
      <c r="B16" s="345"/>
      <c r="C16" s="32">
        <f>(C15-C14)/C14*100</f>
        <v>13.68726638947399</v>
      </c>
      <c r="D16" s="33">
        <f t="shared" ref="D16:F16" si="10">(D15-D14)/D14*100</f>
        <v>13.564131472444476</v>
      </c>
      <c r="E16" s="33">
        <f t="shared" si="10"/>
        <v>61.550361973163739</v>
      </c>
      <c r="F16" s="33">
        <f t="shared" si="10"/>
        <v>55.615345570708605</v>
      </c>
      <c r="G16" s="15"/>
      <c r="H16" s="16"/>
      <c r="I16" s="33">
        <f t="shared" ref="I16" si="11">(I15-I14)/I14*100</f>
        <v>11.697840373751047</v>
      </c>
      <c r="J16" s="172"/>
      <c r="K16" s="33">
        <f t="shared" ref="K16" si="12">(K15-K14)/K14*100</f>
        <v>-3.5892353247123836</v>
      </c>
      <c r="L16" s="172"/>
      <c r="M16" s="33">
        <f t="shared" ref="M16:Q16" si="13">(M15-M14)/M14*100</f>
        <v>94.062058014166624</v>
      </c>
      <c r="N16" s="12">
        <f t="shared" si="13"/>
        <v>-29.863846659594568</v>
      </c>
      <c r="O16" s="33">
        <f t="shared" si="13"/>
        <v>95.5633916277297</v>
      </c>
      <c r="P16" s="33">
        <f t="shared" si="13"/>
        <v>-6.2578111875790796</v>
      </c>
      <c r="Q16" s="8">
        <f t="shared" si="13"/>
        <v>61.550500416594367</v>
      </c>
      <c r="T16" s="15">
        <f>(T15-T14)/T14*100</f>
        <v>2.930714756593948</v>
      </c>
      <c r="U16" s="15">
        <f>(U15-U14)/U14*100</f>
        <v>2.8192302832324216</v>
      </c>
      <c r="V16" s="15">
        <f>(V15-V14)/V14*100</f>
        <v>46.265230532658904</v>
      </c>
      <c r="W16" s="15">
        <f>(W15-W14)/W14*100</f>
        <v>40.891757321472852</v>
      </c>
      <c r="X16" s="15"/>
      <c r="Y16" s="16"/>
      <c r="Z16" s="15">
        <f>(Z15-Z14)/Z14*100</f>
        <v>1.1295188244813179</v>
      </c>
      <c r="AA16" s="51"/>
      <c r="AB16" s="15">
        <f>(AB15-AB14)/AB14*100</f>
        <v>-12.711166048619699</v>
      </c>
      <c r="AC16" s="51"/>
      <c r="AD16" s="15">
        <f>(AD15-AD14)/AD14*100</f>
        <v>75.700823609417029</v>
      </c>
      <c r="AE16" s="17">
        <f>(AE15-AE14)/AE14*100</f>
        <v>-36.499797885241364</v>
      </c>
      <c r="AF16" s="15">
        <f>(AF15-AF14)/AF14*100</f>
        <v>77.060108134763382</v>
      </c>
      <c r="AG16" s="15">
        <f>(AG15-AG14)/AG14*100</f>
        <v>-15.127253880356811</v>
      </c>
      <c r="AH16" s="16">
        <f>(AH15-AH14)/AH14*100</f>
        <v>46.265355877226703</v>
      </c>
    </row>
    <row r="17" spans="1:34" x14ac:dyDescent="0.25">
      <c r="A17" s="11" t="s">
        <v>266</v>
      </c>
      <c r="B17" s="29"/>
      <c r="C17" s="30">
        <v>2.125020046743316</v>
      </c>
      <c r="D17" s="31">
        <v>1.9961736170016504</v>
      </c>
      <c r="E17" s="31">
        <v>1.0001029930259764</v>
      </c>
      <c r="F17" s="31">
        <v>0.96584654320471219</v>
      </c>
      <c r="G17" s="7">
        <v>6.063304198</v>
      </c>
      <c r="H17" s="8">
        <v>3.4252921889999999</v>
      </c>
      <c r="I17" s="31">
        <v>3.5578552293679495</v>
      </c>
      <c r="J17" s="31">
        <v>1.4328364310522657</v>
      </c>
      <c r="K17" s="31">
        <v>0.48117608486713553</v>
      </c>
      <c r="L17" s="31">
        <v>0.52862891350141139</v>
      </c>
      <c r="M17" s="31">
        <v>0.78462261580769732</v>
      </c>
      <c r="N17" s="28">
        <v>0.20174842106432062</v>
      </c>
      <c r="O17" s="31">
        <v>0.74935846601944234</v>
      </c>
      <c r="P17" s="31">
        <v>0.21649055894619498</v>
      </c>
      <c r="Q17" s="27">
        <v>1.0001005961707088</v>
      </c>
      <c r="S17">
        <v>62.893079700829411</v>
      </c>
      <c r="T17" s="7">
        <v>33.787819849999998</v>
      </c>
      <c r="U17" s="7">
        <v>31.739161550000002</v>
      </c>
      <c r="V17" s="7">
        <v>15.90163811</v>
      </c>
      <c r="W17" s="7">
        <v>15.356960539999999</v>
      </c>
      <c r="X17" s="7">
        <v>6.063304198</v>
      </c>
      <c r="Y17" s="8">
        <v>3.4252921889999999</v>
      </c>
      <c r="Z17" s="7">
        <v>56.569899999999997</v>
      </c>
      <c r="AA17" s="7">
        <v>22.7821</v>
      </c>
      <c r="AB17" s="7">
        <v>7.6506999999999996</v>
      </c>
      <c r="AC17" s="7">
        <v>8.4052000000000007</v>
      </c>
      <c r="AD17" s="7">
        <v>12.4755</v>
      </c>
      <c r="AE17" s="12">
        <v>3.2078000000000002</v>
      </c>
      <c r="AF17" s="7">
        <v>11.9148</v>
      </c>
      <c r="AG17" s="7">
        <v>3.4422000000000001</v>
      </c>
      <c r="AH17" s="8">
        <v>15.9016</v>
      </c>
    </row>
    <row r="18" spans="1:34" x14ac:dyDescent="0.25">
      <c r="A18" s="11" t="s">
        <v>276</v>
      </c>
      <c r="B18" s="6"/>
      <c r="C18" s="32">
        <v>3.3305630053654305</v>
      </c>
      <c r="D18" s="33">
        <v>2.0175662358575122</v>
      </c>
      <c r="E18" s="33">
        <v>1.9395394200493821</v>
      </c>
      <c r="F18" s="33">
        <v>1.6631972125212799</v>
      </c>
      <c r="G18" s="18">
        <v>39.422667199999999</v>
      </c>
      <c r="H18" s="8">
        <v>14.247826290000001</v>
      </c>
      <c r="I18" s="33">
        <v>5.2041646156252055</v>
      </c>
      <c r="J18" s="33">
        <v>1.8736028232735278</v>
      </c>
      <c r="K18" s="33">
        <v>0.47005481548118283</v>
      </c>
      <c r="L18" s="33">
        <v>0.48360276129079088</v>
      </c>
      <c r="M18" s="33">
        <v>0.93730826097443365</v>
      </c>
      <c r="N18" s="12">
        <v>0.1265958960561098</v>
      </c>
      <c r="O18" s="33">
        <v>1.2350206030171145</v>
      </c>
      <c r="P18" s="33">
        <v>0.42817125196967976</v>
      </c>
      <c r="Q18" s="8">
        <v>1.9395411823782274</v>
      </c>
      <c r="R18" s="53" t="s">
        <v>461</v>
      </c>
      <c r="S18">
        <v>68.493153739171021</v>
      </c>
      <c r="T18" s="7">
        <v>48.626217709999999</v>
      </c>
      <c r="U18" s="7">
        <v>29.456465729999998</v>
      </c>
      <c r="V18" s="7">
        <v>28.317274270000002</v>
      </c>
      <c r="W18" s="7">
        <v>24.282678220000001</v>
      </c>
      <c r="X18" s="18">
        <v>39.422667199999999</v>
      </c>
      <c r="Y18" s="8">
        <v>14.247826290000001</v>
      </c>
      <c r="Z18" s="7">
        <v>75.980800000000002</v>
      </c>
      <c r="AA18" s="7">
        <v>27.354600000000001</v>
      </c>
      <c r="AB18" s="7">
        <v>6.8628</v>
      </c>
      <c r="AC18" s="7">
        <v>7.0606</v>
      </c>
      <c r="AD18" s="7">
        <v>13.684699999999999</v>
      </c>
      <c r="AE18" s="12">
        <v>1.8483000000000001</v>
      </c>
      <c r="AF18" s="7">
        <v>18.031300000000002</v>
      </c>
      <c r="AG18" s="7">
        <v>6.2512999999999996</v>
      </c>
      <c r="AH18" s="8">
        <v>28.317299999999999</v>
      </c>
    </row>
    <row r="19" spans="1:34" ht="15.75" thickBot="1" x14ac:dyDescent="0.3">
      <c r="A19" s="13" t="s">
        <v>22</v>
      </c>
      <c r="B19" s="14"/>
      <c r="C19" s="24">
        <f>(C18-C17)/C17*100</f>
        <v>56.730898161156674</v>
      </c>
      <c r="D19" s="15">
        <f t="shared" ref="D19:F19" si="14">(D18-D17)/D17*100</f>
        <v>1.0716812742968969</v>
      </c>
      <c r="E19" s="15">
        <f t="shared" si="14"/>
        <v>93.933968158717931</v>
      </c>
      <c r="F19" s="15">
        <f t="shared" si="14"/>
        <v>72.200979982051209</v>
      </c>
      <c r="G19" s="15"/>
      <c r="H19" s="16"/>
      <c r="I19" s="15">
        <f t="shared" ref="I19:Q19" si="15">(I18-I17)/I17*100</f>
        <v>46.272523195097001</v>
      </c>
      <c r="J19" s="15">
        <f t="shared" si="15"/>
        <v>30.76180802421154</v>
      </c>
      <c r="K19" s="15">
        <f t="shared" si="15"/>
        <v>-2.311268106565096</v>
      </c>
      <c r="L19" s="15">
        <f t="shared" si="15"/>
        <v>-8.5175349022032432</v>
      </c>
      <c r="M19" s="15">
        <f t="shared" si="15"/>
        <v>19.459755822811761</v>
      </c>
      <c r="N19" s="17">
        <f t="shared" si="15"/>
        <v>-37.250613715708333</v>
      </c>
      <c r="O19" s="15">
        <f t="shared" si="15"/>
        <v>64.810389022157452</v>
      </c>
      <c r="P19" s="15">
        <f t="shared" si="15"/>
        <v>97.778256037527427</v>
      </c>
      <c r="Q19" s="16">
        <f t="shared" si="15"/>
        <v>93.934609158773469</v>
      </c>
      <c r="T19" s="15">
        <f>(T18-T17)/T17*100</f>
        <v>43.916411079124423</v>
      </c>
      <c r="U19" s="15">
        <f>(U18-U17)/U17*100</f>
        <v>-7.1920482726173462</v>
      </c>
      <c r="V19" s="15">
        <f>(V18-V17)/V17*100</f>
        <v>78.077717994300414</v>
      </c>
      <c r="W19" s="15">
        <f>(W18-W17)/W17*100</f>
        <v>58.121642344208311</v>
      </c>
      <c r="X19" s="15"/>
      <c r="Y19" s="16"/>
      <c r="Z19" s="15">
        <f t="shared" ref="Z19:AH19" si="16">(Z18-Z17)/Z17*100</f>
        <v>34.313124117242573</v>
      </c>
      <c r="AA19" s="15">
        <f t="shared" si="16"/>
        <v>20.070581728637841</v>
      </c>
      <c r="AB19" s="15">
        <f t="shared" si="16"/>
        <v>-10.298404067601654</v>
      </c>
      <c r="AC19" s="15">
        <f t="shared" si="16"/>
        <v>-15.997239803930906</v>
      </c>
      <c r="AD19" s="15">
        <f t="shared" si="16"/>
        <v>9.6925974910825143</v>
      </c>
      <c r="AE19" s="17">
        <f t="shared" si="16"/>
        <v>-42.381071139098445</v>
      </c>
      <c r="AF19" s="15">
        <f t="shared" si="16"/>
        <v>51.335314063181947</v>
      </c>
      <c r="AG19" s="15">
        <f t="shared" si="16"/>
        <v>81.607692754633646</v>
      </c>
      <c r="AH19" s="16">
        <f t="shared" si="16"/>
        <v>78.078306585500826</v>
      </c>
    </row>
    <row r="20" spans="1:34" x14ac:dyDescent="0.25">
      <c r="A20" s="11" t="s">
        <v>267</v>
      </c>
      <c r="B20" s="6"/>
      <c r="C20" s="32">
        <v>2.4558393600000001</v>
      </c>
      <c r="D20" s="33">
        <v>1.7307444208333334</v>
      </c>
      <c r="E20" s="33">
        <v>0.6332617783333333</v>
      </c>
      <c r="F20" s="33">
        <v>0.44480996166666664</v>
      </c>
      <c r="G20" s="18">
        <v>29.52534073</v>
      </c>
      <c r="H20" s="19">
        <v>29.758912200000001</v>
      </c>
      <c r="I20" s="33">
        <v>4.2205166666666667</v>
      </c>
      <c r="J20" s="33">
        <v>1.7646833333333334</v>
      </c>
      <c r="K20" s="33">
        <v>0.36100833333333326</v>
      </c>
      <c r="L20" s="33">
        <v>0.16195833333333332</v>
      </c>
      <c r="M20" s="33">
        <v>0.65074166666666666</v>
      </c>
      <c r="N20" s="12">
        <v>0.55703333333333327</v>
      </c>
      <c r="O20" s="33">
        <v>0.24007499999999998</v>
      </c>
      <c r="P20" s="33">
        <v>0.20473333333333332</v>
      </c>
      <c r="Q20" s="8">
        <v>0.63325833333333337</v>
      </c>
      <c r="S20">
        <v>83.333333333333329</v>
      </c>
      <c r="T20" s="7">
        <v>29.47007232</v>
      </c>
      <c r="U20" s="7">
        <v>20.768933050000001</v>
      </c>
      <c r="V20" s="7">
        <v>7.5991413399999992</v>
      </c>
      <c r="W20" s="7">
        <v>5.3377195400000002</v>
      </c>
      <c r="X20" s="18">
        <v>29.52534073</v>
      </c>
      <c r="Y20" s="19">
        <v>29.758912200000001</v>
      </c>
      <c r="Z20" s="7">
        <v>50.6462</v>
      </c>
      <c r="AA20" s="7">
        <v>21.176200000000001</v>
      </c>
      <c r="AB20" s="7">
        <v>4.3320999999999996</v>
      </c>
      <c r="AC20" s="7">
        <v>1.9435</v>
      </c>
      <c r="AD20" s="7">
        <v>7.8089000000000004</v>
      </c>
      <c r="AE20" s="12">
        <v>6.6844000000000001</v>
      </c>
      <c r="AF20" s="7">
        <v>2.8809</v>
      </c>
      <c r="AG20" s="7">
        <v>2.4567999999999999</v>
      </c>
      <c r="AH20" s="8">
        <v>7.5991</v>
      </c>
    </row>
    <row r="21" spans="1:34" x14ac:dyDescent="0.25">
      <c r="A21" s="11" t="s">
        <v>277</v>
      </c>
      <c r="B21" s="6"/>
      <c r="C21" s="32">
        <v>2.4315454545454545</v>
      </c>
      <c r="D21" s="33">
        <v>1.4635454545454545</v>
      </c>
      <c r="E21" s="33">
        <v>0.97599999999999998</v>
      </c>
      <c r="F21" s="33">
        <v>0.83254545454545448</v>
      </c>
      <c r="G21" s="7">
        <v>39.808500000000002</v>
      </c>
      <c r="H21" s="8">
        <v>14.697100000000001</v>
      </c>
      <c r="I21" s="33">
        <v>3.7966363636363636</v>
      </c>
      <c r="J21" s="33">
        <v>1.3650818181818181</v>
      </c>
      <c r="K21" s="33">
        <v>0.26103636363636362</v>
      </c>
      <c r="L21" s="33">
        <v>0.13195454545454544</v>
      </c>
      <c r="M21" s="33">
        <v>0.5572818181818181</v>
      </c>
      <c r="N21" s="12">
        <v>0.51330909090909083</v>
      </c>
      <c r="O21" s="33">
        <v>0.62452727272727271</v>
      </c>
      <c r="P21" s="33">
        <v>0.20800909090909089</v>
      </c>
      <c r="Q21" s="8">
        <v>0.97598181818181806</v>
      </c>
      <c r="R21" s="53" t="s">
        <v>463</v>
      </c>
      <c r="S21">
        <v>90.909090909090907</v>
      </c>
      <c r="T21" s="7">
        <v>26.747</v>
      </c>
      <c r="U21" s="7">
        <v>16.099</v>
      </c>
      <c r="V21" s="7">
        <v>10.736000000000001</v>
      </c>
      <c r="W21" s="7">
        <v>9.1579999999999995</v>
      </c>
      <c r="X21" s="7">
        <v>39.808500000000002</v>
      </c>
      <c r="Y21" s="8">
        <v>14.697100000000001</v>
      </c>
      <c r="Z21" s="7">
        <v>41.762999999999998</v>
      </c>
      <c r="AA21" s="7">
        <v>15.0159</v>
      </c>
      <c r="AB21" s="7">
        <v>2.8714</v>
      </c>
      <c r="AC21" s="7">
        <v>1.4515</v>
      </c>
      <c r="AD21" s="7">
        <v>6.1300999999999997</v>
      </c>
      <c r="AE21" s="12">
        <v>5.6463999999999999</v>
      </c>
      <c r="AF21" s="7">
        <v>6.8697999999999997</v>
      </c>
      <c r="AG21" s="7">
        <v>2.2881</v>
      </c>
      <c r="AH21" s="8">
        <v>10.735799999999999</v>
      </c>
    </row>
    <row r="22" spans="1:34" ht="15.75" thickBot="1" x14ac:dyDescent="0.3">
      <c r="A22" s="13" t="s">
        <v>22</v>
      </c>
      <c r="B22" s="6"/>
      <c r="C22" s="32">
        <f>(C21-C20)/C20*100</f>
        <v>-0.98923023428314472</v>
      </c>
      <c r="D22" s="33">
        <f t="shared" ref="D22:F22" si="17">(D21-D20)/D20*100</f>
        <v>-15.438383800146857</v>
      </c>
      <c r="E22" s="33">
        <f t="shared" si="17"/>
        <v>54.122676181201292</v>
      </c>
      <c r="F22" s="33">
        <f t="shared" si="17"/>
        <v>87.168797080437358</v>
      </c>
      <c r="G22" s="15"/>
      <c r="H22" s="16"/>
      <c r="I22" s="33">
        <f t="shared" ref="I22:Q22" si="18">(I21-I20)/I20*100</f>
        <v>-10.043327310565525</v>
      </c>
      <c r="J22" s="33">
        <f t="shared" si="18"/>
        <v>-22.644375203380132</v>
      </c>
      <c r="K22" s="33">
        <f t="shared" si="18"/>
        <v>-27.692427145348354</v>
      </c>
      <c r="L22" s="33">
        <f t="shared" si="18"/>
        <v>-18.525621535654981</v>
      </c>
      <c r="M22" s="33">
        <f t="shared" si="18"/>
        <v>-14.362050760263067</v>
      </c>
      <c r="N22" s="12">
        <f t="shared" si="18"/>
        <v>-7.8494840088999664</v>
      </c>
      <c r="O22" s="33">
        <f t="shared" si="18"/>
        <v>160.13840371853493</v>
      </c>
      <c r="P22" s="33">
        <f t="shared" si="18"/>
        <v>1.600011840975694</v>
      </c>
      <c r="Q22" s="8">
        <f t="shared" si="18"/>
        <v>54.120643473329942</v>
      </c>
      <c r="T22" s="15">
        <f>(T21-T20)/T20*100</f>
        <v>-9.2401277147595415</v>
      </c>
      <c r="U22" s="15">
        <f>(U21-U20)/U20*100</f>
        <v>-22.485185150134619</v>
      </c>
      <c r="V22" s="15">
        <f>(V21-V20)/V20*100</f>
        <v>41.279119832767869</v>
      </c>
      <c r="W22" s="15">
        <f>(W21-W20)/W20*100</f>
        <v>71.571397323734232</v>
      </c>
      <c r="X22" s="15"/>
      <c r="Y22" s="16"/>
      <c r="Z22" s="15">
        <f t="shared" ref="Z22:AH22" si="19">(Z21-Z20)/Z20*100</f>
        <v>-17.539716701351736</v>
      </c>
      <c r="AA22" s="15">
        <f t="shared" si="19"/>
        <v>-29.09067726976512</v>
      </c>
      <c r="AB22" s="15">
        <f t="shared" si="19"/>
        <v>-33.718058216569325</v>
      </c>
      <c r="AC22" s="15">
        <f t="shared" si="19"/>
        <v>-25.315153074350398</v>
      </c>
      <c r="AD22" s="15">
        <f t="shared" si="19"/>
        <v>-21.498546530241143</v>
      </c>
      <c r="AE22" s="17">
        <f t="shared" si="19"/>
        <v>-15.52869367482497</v>
      </c>
      <c r="AF22" s="15">
        <f t="shared" si="19"/>
        <v>138.46020340865701</v>
      </c>
      <c r="AG22" s="15">
        <f t="shared" si="19"/>
        <v>-6.866655812438939</v>
      </c>
      <c r="AH22" s="16">
        <f t="shared" si="19"/>
        <v>41.277256517219136</v>
      </c>
    </row>
    <row r="23" spans="1:34" x14ac:dyDescent="0.25">
      <c r="A23" t="s">
        <v>268</v>
      </c>
      <c r="B23" s="336" t="s">
        <v>373</v>
      </c>
      <c r="C23" s="30">
        <v>2.0868609864351098</v>
      </c>
      <c r="D23" s="31">
        <v>1.9729409146521373</v>
      </c>
      <c r="E23" s="31">
        <v>0.84191111334963142</v>
      </c>
      <c r="F23" s="31">
        <v>0.85723929259508902</v>
      </c>
      <c r="G23" s="7">
        <v>5.4589200179999997</v>
      </c>
      <c r="H23" s="8">
        <v>-1.8206410289999999</v>
      </c>
      <c r="I23" s="31">
        <v>3.1495527690903944</v>
      </c>
      <c r="J23" s="31">
        <v>1.0626922687129596</v>
      </c>
      <c r="K23" s="31">
        <v>0.58331969014240748</v>
      </c>
      <c r="L23" s="31">
        <v>0.52446632691652217</v>
      </c>
      <c r="M23" s="31">
        <v>0.27247354769803034</v>
      </c>
      <c r="N23" s="28">
        <v>0.59268026672214025</v>
      </c>
      <c r="O23" s="31">
        <v>0.13162499517202048</v>
      </c>
      <c r="P23" s="31">
        <v>0.7256105503078214</v>
      </c>
      <c r="Q23" s="27">
        <v>0.84191102681117314</v>
      </c>
      <c r="S23">
        <v>72.115381970206272</v>
      </c>
      <c r="T23" s="7">
        <v>28.937806739999999</v>
      </c>
      <c r="U23" s="7">
        <v>27.35811502</v>
      </c>
      <c r="V23" s="7">
        <v>11.6745012</v>
      </c>
      <c r="W23" s="7">
        <v>11.887051959999999</v>
      </c>
      <c r="X23" s="7">
        <v>5.4589200179999997</v>
      </c>
      <c r="Y23" s="8">
        <v>-1.8206410289999999</v>
      </c>
      <c r="Z23" s="7">
        <v>43.6738</v>
      </c>
      <c r="AA23" s="7">
        <v>14.736000000000001</v>
      </c>
      <c r="AB23" s="7">
        <v>8.0886999999999993</v>
      </c>
      <c r="AC23" s="7">
        <v>7.2725999999999997</v>
      </c>
      <c r="AD23" s="7">
        <v>3.7783000000000002</v>
      </c>
      <c r="AE23" s="12">
        <v>8.2185000000000006</v>
      </c>
      <c r="AF23" s="7">
        <v>1.8251999999999999</v>
      </c>
      <c r="AG23" s="7">
        <v>10.0618</v>
      </c>
      <c r="AH23" s="8">
        <v>11.6745</v>
      </c>
    </row>
    <row r="24" spans="1:34" x14ac:dyDescent="0.25">
      <c r="A24" t="s">
        <v>279</v>
      </c>
      <c r="B24" s="337"/>
      <c r="C24" s="32">
        <v>3.0344316269817897</v>
      </c>
      <c r="D24" s="33">
        <v>2.5162278878512065</v>
      </c>
      <c r="E24" s="33">
        <v>1.6660097891662962</v>
      </c>
      <c r="F24" s="33">
        <v>1.6026278477899916</v>
      </c>
      <c r="G24" s="7">
        <v>17.077456420000001</v>
      </c>
      <c r="H24" s="8">
        <v>3.8044159030000002</v>
      </c>
      <c r="I24" s="33">
        <v>3.940555719364482</v>
      </c>
      <c r="J24" s="33">
        <v>0.90612652513696623</v>
      </c>
      <c r="K24" s="33">
        <v>0.49657814967024816</v>
      </c>
      <c r="L24" s="33">
        <v>0.50576425362775013</v>
      </c>
      <c r="M24" s="33">
        <v>0.69459303238463499</v>
      </c>
      <c r="N24" s="12">
        <v>0.8192977434835601</v>
      </c>
      <c r="O24" s="33">
        <v>0.76276672771915943</v>
      </c>
      <c r="P24" s="33">
        <v>0.83986598111287769</v>
      </c>
      <c r="Q24" s="8">
        <v>1.666012359637687</v>
      </c>
      <c r="R24" s="320" t="s">
        <v>461</v>
      </c>
      <c r="S24">
        <v>74.441685230972482</v>
      </c>
      <c r="T24" s="7">
        <v>40.762532680000007</v>
      </c>
      <c r="U24" s="7">
        <v>33.801328919999996</v>
      </c>
      <c r="V24" s="7">
        <v>22.380065469999998</v>
      </c>
      <c r="W24" s="7">
        <v>21.528634699999998</v>
      </c>
      <c r="X24" s="7">
        <v>17.077456420000001</v>
      </c>
      <c r="Y24" s="8">
        <v>3.8044159030000002</v>
      </c>
      <c r="Z24" s="7">
        <v>52.934800000000003</v>
      </c>
      <c r="AA24" s="7">
        <v>12.1723</v>
      </c>
      <c r="AB24" s="7">
        <v>6.6707000000000001</v>
      </c>
      <c r="AC24" s="7">
        <v>6.7941000000000003</v>
      </c>
      <c r="AD24" s="7">
        <v>9.3307000000000002</v>
      </c>
      <c r="AE24" s="12">
        <v>11.0059</v>
      </c>
      <c r="AF24" s="7">
        <v>10.246499999999999</v>
      </c>
      <c r="AG24" s="7">
        <v>11.2822</v>
      </c>
      <c r="AH24" s="8">
        <v>22.380099999999999</v>
      </c>
    </row>
    <row r="25" spans="1:34" ht="15.75" thickBot="1" x14ac:dyDescent="0.3">
      <c r="A25" s="53" t="s">
        <v>22</v>
      </c>
      <c r="B25" s="338"/>
      <c r="C25" s="24">
        <f>(C24-C23)/C23*100</f>
        <v>45.406505114908107</v>
      </c>
      <c r="D25" s="15">
        <f t="shared" ref="D25:F25" si="20">(D24-D23)/D23*100</f>
        <v>27.53691046520062</v>
      </c>
      <c r="E25" s="15">
        <f t="shared" si="20"/>
        <v>97.884285258796737</v>
      </c>
      <c r="F25" s="15">
        <f t="shared" si="20"/>
        <v>86.95221528383459</v>
      </c>
      <c r="G25" s="15"/>
      <c r="H25" s="16"/>
      <c r="I25" s="15">
        <f t="shared" ref="I25:Q25" si="21">(I24-I23)/I23*100</f>
        <v>25.114770517165617</v>
      </c>
      <c r="J25" s="15">
        <f t="shared" si="21"/>
        <v>-14.732933341616592</v>
      </c>
      <c r="K25" s="15">
        <f t="shared" si="21"/>
        <v>-14.870326158711162</v>
      </c>
      <c r="L25" s="15">
        <f t="shared" si="21"/>
        <v>-3.5659245081998949</v>
      </c>
      <c r="M25" s="15">
        <f t="shared" si="21"/>
        <v>154.92127153363887</v>
      </c>
      <c r="N25" s="17">
        <f t="shared" si="21"/>
        <v>38.236042177470104</v>
      </c>
      <c r="O25" s="15">
        <f t="shared" si="21"/>
        <v>479.49990936166864</v>
      </c>
      <c r="P25" s="15">
        <f t="shared" si="21"/>
        <v>15.74610936356788</v>
      </c>
      <c r="Q25" s="16">
        <f t="shared" si="21"/>
        <v>97.884610912851997</v>
      </c>
      <c r="T25" s="15">
        <f>(T24-T23)/T23*100</f>
        <v>40.862550663367955</v>
      </c>
      <c r="U25" s="15">
        <f>(U24-U23)/U23*100</f>
        <v>23.551380989844219</v>
      </c>
      <c r="V25" s="15">
        <f>(V24-V23)/V23*100</f>
        <v>91.700399756693656</v>
      </c>
      <c r="W25" s="15">
        <f>(W24-W23)/W23*100</f>
        <v>81.109957056164831</v>
      </c>
      <c r="X25" s="15"/>
      <c r="Y25" s="16"/>
      <c r="Z25" s="15">
        <f t="shared" ref="Z25:AH25" si="22">(Z24-Z23)/Z23*100</f>
        <v>21.204932934619848</v>
      </c>
      <c r="AA25" s="15">
        <f t="shared" si="22"/>
        <v>-17.397529858849083</v>
      </c>
      <c r="AB25" s="15">
        <f t="shared" si="22"/>
        <v>-17.53062914930705</v>
      </c>
      <c r="AC25" s="15">
        <f t="shared" si="22"/>
        <v>-6.5794901410774624</v>
      </c>
      <c r="AD25" s="15">
        <f t="shared" si="22"/>
        <v>146.95497975279886</v>
      </c>
      <c r="AE25" s="17">
        <f t="shared" si="22"/>
        <v>33.916164750258559</v>
      </c>
      <c r="AF25" s="15">
        <f t="shared" si="22"/>
        <v>461.39053254437863</v>
      </c>
      <c r="AG25" s="15">
        <f t="shared" si="22"/>
        <v>12.129042517243432</v>
      </c>
      <c r="AH25" s="16">
        <f t="shared" si="22"/>
        <v>91.700715234057114</v>
      </c>
    </row>
    <row r="26" spans="1:34" x14ac:dyDescent="0.25">
      <c r="A26" s="69" t="s">
        <v>269</v>
      </c>
      <c r="B26" s="346" t="s">
        <v>374</v>
      </c>
      <c r="C26" s="32">
        <v>2.0995611831706698</v>
      </c>
      <c r="D26" s="33">
        <v>1.4509688799426164</v>
      </c>
      <c r="E26" s="33">
        <v>1.0265813235094456</v>
      </c>
      <c r="F26" s="33">
        <v>1.0139670642719645</v>
      </c>
      <c r="G26" s="7"/>
      <c r="H26" s="22">
        <v>1.2272000000000001</v>
      </c>
      <c r="I26" s="33">
        <v>2.68892679704848</v>
      </c>
      <c r="J26" s="33">
        <v>0.58936561387781039</v>
      </c>
      <c r="K26" s="33">
        <v>0.41984093864713951</v>
      </c>
      <c r="L26" s="33">
        <v>0.24937293620392659</v>
      </c>
      <c r="M26" s="33">
        <v>0.78174952063101233</v>
      </c>
      <c r="N26" s="173"/>
      <c r="O26" s="33">
        <v>0.7549140552184056</v>
      </c>
      <c r="P26" s="33">
        <v>0.25906946243517304</v>
      </c>
      <c r="Q26" s="8">
        <v>1.0265813235094456</v>
      </c>
      <c r="S26">
        <v>54.844605380352903</v>
      </c>
      <c r="T26" s="20">
        <v>38.281999999999996</v>
      </c>
      <c r="U26" s="20">
        <v>26.456</v>
      </c>
      <c r="V26" s="20">
        <v>18.718</v>
      </c>
      <c r="W26" s="20">
        <v>18.488</v>
      </c>
      <c r="X26" s="7">
        <v>30.8917</v>
      </c>
      <c r="Y26" s="22">
        <v>1.2272000000000001</v>
      </c>
      <c r="Z26" s="7">
        <v>49.028100000000002</v>
      </c>
      <c r="AA26" s="7">
        <v>10.7461</v>
      </c>
      <c r="AB26" s="7">
        <v>7.6551</v>
      </c>
      <c r="AC26" s="7">
        <v>4.5468999999999999</v>
      </c>
      <c r="AD26" s="7">
        <v>14.2539</v>
      </c>
      <c r="AE26" s="70"/>
      <c r="AF26" s="7">
        <v>13.7646</v>
      </c>
      <c r="AG26" s="7">
        <v>4.7237</v>
      </c>
      <c r="AH26" s="8">
        <v>18.718</v>
      </c>
    </row>
    <row r="27" spans="1:34" x14ac:dyDescent="0.25">
      <c r="A27" t="s">
        <v>281</v>
      </c>
      <c r="B27" s="347"/>
      <c r="C27" s="32">
        <v>2.3318673967160075</v>
      </c>
      <c r="D27" s="33">
        <v>1.8081927143513832</v>
      </c>
      <c r="E27" s="33">
        <v>1.2413855032195815</v>
      </c>
      <c r="F27" s="33">
        <v>1.2937951401294197</v>
      </c>
      <c r="G27" s="7"/>
      <c r="H27" s="22">
        <v>-4.2252999999999998</v>
      </c>
      <c r="I27" s="33">
        <v>3.2721565238404704</v>
      </c>
      <c r="J27" s="33">
        <v>0.94030719941305219</v>
      </c>
      <c r="K27" s="33">
        <v>0.46983131056001159</v>
      </c>
      <c r="L27" s="33">
        <v>0.30985541196487792</v>
      </c>
      <c r="M27" s="33">
        <v>1.0284818954417076</v>
      </c>
      <c r="N27" s="174"/>
      <c r="O27" s="33">
        <v>1.1615903250003035</v>
      </c>
      <c r="P27" s="33">
        <v>0.13221686332150906</v>
      </c>
      <c r="Q27" s="8">
        <v>1.2413614068347953</v>
      </c>
      <c r="R27" s="53" t="s">
        <v>462</v>
      </c>
      <c r="S27">
        <v>60.240961965331266</v>
      </c>
      <c r="T27" s="20">
        <v>38.708999999999996</v>
      </c>
      <c r="U27" s="20">
        <v>30.015999999999998</v>
      </c>
      <c r="V27" s="20">
        <v>20.607000000000003</v>
      </c>
      <c r="W27" s="20">
        <v>21.477</v>
      </c>
      <c r="X27" s="7">
        <v>22.457799999999999</v>
      </c>
      <c r="Y27" s="22">
        <v>-4.2252999999999998</v>
      </c>
      <c r="Z27" s="7">
        <v>54.317799999999998</v>
      </c>
      <c r="AA27" s="7">
        <v>15.6091</v>
      </c>
      <c r="AB27" s="7">
        <v>7.7991999999999999</v>
      </c>
      <c r="AC27" s="7">
        <v>5.1436000000000002</v>
      </c>
      <c r="AD27" s="7">
        <v>17.072800000000001</v>
      </c>
      <c r="AE27" s="174"/>
      <c r="AF27" s="7">
        <v>19.282399999999999</v>
      </c>
      <c r="AG27" s="7">
        <v>2.1947999999999999</v>
      </c>
      <c r="AH27" s="8">
        <v>20.6066</v>
      </c>
    </row>
    <row r="28" spans="1:34" ht="15.75" thickBot="1" x14ac:dyDescent="0.3">
      <c r="A28" s="13" t="s">
        <v>22</v>
      </c>
      <c r="B28" s="348"/>
      <c r="C28" s="24">
        <f>(C27-C26)/C26*100</f>
        <v>11.064512689957365</v>
      </c>
      <c r="D28" s="15">
        <f t="shared" ref="D28:F28" si="23">(D27-D26)/D26*100</f>
        <v>24.619675814335487</v>
      </c>
      <c r="E28" s="15">
        <f t="shared" si="23"/>
        <v>20.924224393232834</v>
      </c>
      <c r="F28" s="15">
        <f t="shared" si="23"/>
        <v>27.597353574632493</v>
      </c>
      <c r="G28" s="15"/>
      <c r="H28" s="16"/>
      <c r="I28" s="15">
        <f t="shared" ref="I28:M28" si="24">(I27-I26)/I26*100</f>
        <v>21.690055952143311</v>
      </c>
      <c r="J28" s="15">
        <f t="shared" si="24"/>
        <v>59.54564997882629</v>
      </c>
      <c r="K28" s="15">
        <f t="shared" si="24"/>
        <v>11.906978884421539</v>
      </c>
      <c r="L28" s="15">
        <f t="shared" si="24"/>
        <v>24.253825086893688</v>
      </c>
      <c r="M28" s="15">
        <f t="shared" si="24"/>
        <v>31.561563940779646</v>
      </c>
      <c r="N28" s="285"/>
      <c r="O28" s="15">
        <f t="shared" ref="O28:Q28" si="25">(O27-O26)/O26*100</f>
        <v>53.870538900516507</v>
      </c>
      <c r="P28" s="15">
        <f t="shared" si="25"/>
        <v>-48.964705419654123</v>
      </c>
      <c r="Q28" s="16">
        <f t="shared" si="25"/>
        <v>20.921877147648448</v>
      </c>
      <c r="T28" s="15">
        <f>(T27-T26)/T27*100</f>
        <v>1.103102637629491</v>
      </c>
      <c r="U28" s="15">
        <f>(U27-U26)/U27*100</f>
        <v>11.860341151385924</v>
      </c>
      <c r="V28" s="15">
        <f>(V27-V26)/V27*100</f>
        <v>9.166787984665417</v>
      </c>
      <c r="W28" s="15">
        <f>(W27-W26)/W27*100</f>
        <v>13.917213763561023</v>
      </c>
      <c r="X28" s="15"/>
      <c r="Y28" s="16"/>
      <c r="Z28" s="15">
        <f>(Z27-Z26)/Z26*100</f>
        <v>10.789118893042961</v>
      </c>
      <c r="AA28" s="15">
        <f>(AA27-AA26)/AA26*100</f>
        <v>45.253626897199908</v>
      </c>
      <c r="AB28" s="15">
        <f>(AB27-AB26)/AB26*100</f>
        <v>1.8824051939230042</v>
      </c>
      <c r="AC28" s="15">
        <f>(AC27-AC26)/AC26*100</f>
        <v>13.123226813873194</v>
      </c>
      <c r="AD28" s="15">
        <f>(AD27-AD26)/AD26*100</f>
        <v>19.776341913441243</v>
      </c>
      <c r="AE28" s="148"/>
      <c r="AF28" s="15">
        <f>(AF27-AF26)/AF26*100</f>
        <v>40.086889557270098</v>
      </c>
      <c r="AG28" s="15">
        <f>(AG27-AG26)/AG26*100</f>
        <v>-53.536422719478381</v>
      </c>
      <c r="AH28" s="16">
        <f>(AH27-AH26)/AH26*100</f>
        <v>10.089753178758416</v>
      </c>
    </row>
    <row r="29" spans="1:34" ht="15.75" thickTop="1" x14ac:dyDescent="0.25">
      <c r="A29" t="s">
        <v>20</v>
      </c>
      <c r="B29" s="6"/>
      <c r="C29" s="7">
        <v>2.0135494851831837</v>
      </c>
      <c r="D29" s="7">
        <v>1.7960958758962786</v>
      </c>
      <c r="E29" s="7">
        <v>0.73360541547454106</v>
      </c>
      <c r="F29" s="7">
        <v>0.71454275876023488</v>
      </c>
      <c r="G29" s="7">
        <v>10.799516519999999</v>
      </c>
      <c r="H29" s="8">
        <v>2.5984890100000002</v>
      </c>
      <c r="I29" s="7">
        <v>3.2379746819893498</v>
      </c>
      <c r="J29" s="7">
        <v>1.2244188054354843</v>
      </c>
      <c r="K29" s="7">
        <v>0.40857107390140135</v>
      </c>
      <c r="L29" s="7">
        <v>0.61358376822658889</v>
      </c>
      <c r="M29" s="7">
        <v>0.52567006094047497</v>
      </c>
      <c r="N29" s="28">
        <v>0.24826904034046651</v>
      </c>
      <c r="O29" s="7">
        <v>0.26871320317289465</v>
      </c>
      <c r="P29" s="7">
        <v>0.44582741980049667</v>
      </c>
      <c r="Q29" s="10">
        <v>0.73360661319030018</v>
      </c>
      <c r="S29" s="11">
        <v>76.142133454108603</v>
      </c>
      <c r="T29" s="7">
        <v>26.444616060000001</v>
      </c>
      <c r="U29" s="7">
        <v>23.58872538</v>
      </c>
      <c r="V29" s="7">
        <v>9.634684270000001</v>
      </c>
      <c r="W29" s="7">
        <v>9.3843280500000006</v>
      </c>
      <c r="X29" s="7">
        <v>10.799516519999999</v>
      </c>
      <c r="Y29" s="8">
        <v>2.5984890100000002</v>
      </c>
      <c r="Z29" s="7">
        <v>42.525399999999998</v>
      </c>
      <c r="AA29" s="7">
        <v>16.0807</v>
      </c>
      <c r="AB29" s="7">
        <v>5.3658999999999999</v>
      </c>
      <c r="AC29" s="7">
        <v>8.0584000000000007</v>
      </c>
      <c r="AD29" s="7">
        <v>6.9038000000000004</v>
      </c>
      <c r="AE29" s="12">
        <v>3.2606000000000002</v>
      </c>
      <c r="AF29" s="7">
        <v>3.5291000000000001</v>
      </c>
      <c r="AG29" s="7">
        <v>5.8552</v>
      </c>
      <c r="AH29" s="8">
        <v>9.6347000000000005</v>
      </c>
    </row>
    <row r="30" spans="1:34" x14ac:dyDescent="0.25">
      <c r="A30" t="s">
        <v>21</v>
      </c>
      <c r="B30" s="6"/>
      <c r="C30" s="7">
        <v>2.3932160162295286</v>
      </c>
      <c r="D30" s="7">
        <v>1.9700331534495674</v>
      </c>
      <c r="E30" s="7">
        <v>2.1975406091833571</v>
      </c>
      <c r="F30" s="7">
        <v>1.9879059685234781</v>
      </c>
      <c r="G30" s="7">
        <v>17.682601989999998</v>
      </c>
      <c r="H30" s="8">
        <v>9.5395115589999993</v>
      </c>
      <c r="I30" s="7">
        <v>4.0821778515567813</v>
      </c>
      <c r="J30" s="7">
        <v>1.6889639136405779</v>
      </c>
      <c r="K30" s="7">
        <v>0.57993977902677363</v>
      </c>
      <c r="L30" s="7">
        <v>0.5538162841503883</v>
      </c>
      <c r="M30" s="7">
        <v>0.70019279522010958</v>
      </c>
      <c r="N30" s="12">
        <v>0.13608434204024944</v>
      </c>
      <c r="O30" s="7">
        <v>1.4990422203469551</v>
      </c>
      <c r="P30" s="7">
        <v>0.4888644746825721</v>
      </c>
      <c r="Q30" s="8">
        <v>2.197536220327784</v>
      </c>
      <c r="R30" s="53" t="s">
        <v>464</v>
      </c>
      <c r="S30" s="11">
        <v>90.361448897908005</v>
      </c>
      <c r="T30" s="7">
        <v>26.484923000000002</v>
      </c>
      <c r="U30" s="7">
        <v>21.80169948</v>
      </c>
      <c r="V30" s="7">
        <v>24.319448569999999</v>
      </c>
      <c r="W30" s="7">
        <v>21.99949196</v>
      </c>
      <c r="X30" s="7">
        <v>17.682601989999998</v>
      </c>
      <c r="Y30" s="8">
        <v>9.5395115589999993</v>
      </c>
      <c r="Z30" s="7">
        <v>45.176099999999998</v>
      </c>
      <c r="AA30" s="7">
        <v>18.691199999999998</v>
      </c>
      <c r="AB30" s="7">
        <v>6.4180000000000001</v>
      </c>
      <c r="AC30" s="7">
        <v>6.1288999999999998</v>
      </c>
      <c r="AD30" s="7">
        <v>7.7488000000000001</v>
      </c>
      <c r="AE30" s="12">
        <v>1.506</v>
      </c>
      <c r="AF30" s="7">
        <v>16.589400000000001</v>
      </c>
      <c r="AG30" s="7">
        <v>5.4100999999999999</v>
      </c>
      <c r="AH30" s="8">
        <v>24.319400000000002</v>
      </c>
    </row>
    <row r="31" spans="1:34" ht="15.75" thickBot="1" x14ac:dyDescent="0.3">
      <c r="A31" s="13" t="s">
        <v>22</v>
      </c>
      <c r="B31" s="14"/>
      <c r="C31" s="15">
        <f>(C30-C29)/C29*100</f>
        <v>18.855584818756245</v>
      </c>
      <c r="D31" s="15">
        <f t="shared" ref="D31:F31" si="26">(D30-D29)/D29*100</f>
        <v>9.6841866788704412</v>
      </c>
      <c r="E31" s="15">
        <f t="shared" si="26"/>
        <v>199.55348785993527</v>
      </c>
      <c r="F31" s="15">
        <f t="shared" si="26"/>
        <v>178.20671949325859</v>
      </c>
      <c r="G31" s="15"/>
      <c r="H31" s="16"/>
      <c r="I31" s="15">
        <f t="shared" ref="I31:Q31" si="27">(I30-I29)/I29*100</f>
        <v>26.071950910029017</v>
      </c>
      <c r="J31" s="15">
        <f t="shared" si="27"/>
        <v>37.94005009910564</v>
      </c>
      <c r="K31" s="15">
        <f t="shared" si="27"/>
        <v>41.943425776325988</v>
      </c>
      <c r="L31" s="15">
        <f t="shared" si="27"/>
        <v>-9.7407211812241403</v>
      </c>
      <c r="M31" s="15">
        <f t="shared" si="27"/>
        <v>33.200052132966526</v>
      </c>
      <c r="N31" s="17">
        <f t="shared" si="27"/>
        <v>-45.186745051405261</v>
      </c>
      <c r="O31" s="15">
        <f t="shared" si="27"/>
        <v>457.85953300643945</v>
      </c>
      <c r="P31" s="15">
        <f t="shared" si="27"/>
        <v>9.6532992298531308</v>
      </c>
      <c r="Q31" s="16">
        <f t="shared" si="27"/>
        <v>199.55240053946119</v>
      </c>
      <c r="S31" s="11"/>
      <c r="T31" s="15">
        <f>(T30-T29)/T29*100</f>
        <v>0.15242021252472923</v>
      </c>
      <c r="U31" s="15">
        <f>(U30-U29)/U29*100</f>
        <v>-7.575762874899346</v>
      </c>
      <c r="V31" s="15">
        <f>(V30-V29)/V29*100</f>
        <v>152.41562555116292</v>
      </c>
      <c r="W31" s="15">
        <f>(W30-W29)/W29*100</f>
        <v>134.42799359513012</v>
      </c>
      <c r="X31" s="15"/>
      <c r="Y31" s="16"/>
      <c r="Z31" s="15">
        <f t="shared" ref="Z31:AH31" si="28">(Z30-Z29)/Z29*100</f>
        <v>6.2332159133129856</v>
      </c>
      <c r="AA31" s="15">
        <f t="shared" si="28"/>
        <v>16.233746043393623</v>
      </c>
      <c r="AB31" s="15">
        <f t="shared" si="28"/>
        <v>19.607148847350871</v>
      </c>
      <c r="AC31" s="15">
        <f t="shared" si="28"/>
        <v>-23.943959098580372</v>
      </c>
      <c r="AD31" s="15">
        <f t="shared" si="28"/>
        <v>12.239636142414319</v>
      </c>
      <c r="AE31" s="17">
        <f t="shared" si="28"/>
        <v>-53.812181807029383</v>
      </c>
      <c r="AF31" s="15">
        <f t="shared" si="28"/>
        <v>370.07452324955375</v>
      </c>
      <c r="AG31" s="15">
        <f t="shared" si="28"/>
        <v>-7.6017898620030069</v>
      </c>
      <c r="AH31" s="16">
        <f t="shared" si="28"/>
        <v>152.4147093318941</v>
      </c>
    </row>
    <row r="32" spans="1:34" x14ac:dyDescent="0.25">
      <c r="A32" s="64" t="s">
        <v>23</v>
      </c>
      <c r="B32" s="6"/>
      <c r="C32" s="7">
        <v>1.4182265363825555</v>
      </c>
      <c r="D32" s="7">
        <v>0.93057807267143655</v>
      </c>
      <c r="E32" s="7">
        <v>0.30704644799938852</v>
      </c>
      <c r="F32" s="7">
        <v>0.41058469728727987</v>
      </c>
      <c r="G32" s="18"/>
      <c r="H32" s="19">
        <v>-33.7149</v>
      </c>
      <c r="I32" s="7">
        <v>2.5229606637205615</v>
      </c>
      <c r="J32" s="7">
        <v>1.1047571486274532</v>
      </c>
      <c r="K32" s="7">
        <v>0.27397636570877021</v>
      </c>
      <c r="L32" s="7">
        <v>0.2646930307392667</v>
      </c>
      <c r="M32" s="7">
        <v>0.26355347691164011</v>
      </c>
      <c r="N32" s="48"/>
      <c r="O32" s="7">
        <v>0.13276377624086028</v>
      </c>
      <c r="P32" s="7">
        <v>0.27783818701350482</v>
      </c>
      <c r="Q32" s="8">
        <v>0.30706946928883555</v>
      </c>
      <c r="S32" s="11">
        <v>57.553223617504884</v>
      </c>
      <c r="T32" s="20">
        <v>24.641999999999999</v>
      </c>
      <c r="U32" s="20">
        <v>16.169</v>
      </c>
      <c r="V32" s="20">
        <v>5.335</v>
      </c>
      <c r="W32" s="20">
        <v>7.1340000000000003</v>
      </c>
      <c r="X32" s="18">
        <v>34.3812</v>
      </c>
      <c r="Y32" s="19">
        <v>-33.7149</v>
      </c>
      <c r="Z32" s="20">
        <v>43.837000000000003</v>
      </c>
      <c r="AA32" s="20">
        <v>19.195399999999999</v>
      </c>
      <c r="AB32" s="20">
        <v>4.7603999999999997</v>
      </c>
      <c r="AC32" s="20">
        <v>4.5991</v>
      </c>
      <c r="AD32" s="20">
        <v>4.5792999999999999</v>
      </c>
      <c r="AE32" s="21">
        <v>2.2305999999999999</v>
      </c>
      <c r="AF32" s="20">
        <v>2.3068</v>
      </c>
      <c r="AG32" s="20">
        <v>4.8274999999999997</v>
      </c>
      <c r="AH32" s="22">
        <v>5.3353999999999999</v>
      </c>
    </row>
    <row r="33" spans="1:34" x14ac:dyDescent="0.25">
      <c r="A33" s="64" t="s">
        <v>24</v>
      </c>
      <c r="B33" s="6"/>
      <c r="C33" s="7">
        <v>3.4021099039088902</v>
      </c>
      <c r="D33" s="7">
        <v>2.3155311108581667</v>
      </c>
      <c r="E33" s="7">
        <v>2.2092332624286919</v>
      </c>
      <c r="F33" s="7">
        <v>1.9872488868820797</v>
      </c>
      <c r="G33" s="18"/>
      <c r="H33" s="22">
        <v>10.048500000000001</v>
      </c>
      <c r="I33" s="7">
        <v>4.131327291459141</v>
      </c>
      <c r="J33" s="7">
        <v>0.7292045263465694</v>
      </c>
      <c r="K33" s="7">
        <v>0.5791785853992214</v>
      </c>
      <c r="L33" s="7">
        <v>0.50942584723137385</v>
      </c>
      <c r="M33" s="7">
        <v>1.144968657765765</v>
      </c>
      <c r="N33" s="48"/>
      <c r="O33" s="7">
        <v>1.5308497824304672</v>
      </c>
      <c r="P33" s="7">
        <v>0.45637981264609007</v>
      </c>
      <c r="Q33" s="8">
        <v>2.2092204012250094</v>
      </c>
      <c r="R33" s="319" t="s">
        <v>465</v>
      </c>
      <c r="S33" s="11">
        <v>64.306018408636049</v>
      </c>
      <c r="T33" s="20">
        <v>52.905000000000001</v>
      </c>
      <c r="U33" s="20">
        <v>36.008000000000003</v>
      </c>
      <c r="V33" s="20">
        <v>34.355000000000004</v>
      </c>
      <c r="W33" s="20">
        <v>30.902999999999999</v>
      </c>
      <c r="X33" s="18">
        <v>31.938099999999999</v>
      </c>
      <c r="Y33" s="22">
        <v>10.048500000000001</v>
      </c>
      <c r="Z33" s="20">
        <v>64.244799999999998</v>
      </c>
      <c r="AA33" s="20">
        <v>11.339600000000001</v>
      </c>
      <c r="AB33" s="20">
        <v>9.0066000000000006</v>
      </c>
      <c r="AC33" s="20">
        <v>7.9218999999999999</v>
      </c>
      <c r="AD33" s="20">
        <v>17.805</v>
      </c>
      <c r="AE33" s="23">
        <v>1.2747999999999999</v>
      </c>
      <c r="AF33" s="20">
        <v>23.805700000000002</v>
      </c>
      <c r="AG33" s="20">
        <v>7.0970000000000004</v>
      </c>
      <c r="AH33" s="22">
        <v>34.354799999999997</v>
      </c>
    </row>
    <row r="34" spans="1:34" ht="15.75" thickBot="1" x14ac:dyDescent="0.3">
      <c r="A34" s="55" t="s">
        <v>22</v>
      </c>
      <c r="B34" s="14"/>
      <c r="C34" s="24">
        <f>(C33-C32)/C32*100</f>
        <v>139.88480095617092</v>
      </c>
      <c r="D34" s="15">
        <f t="shared" ref="D34:F34" si="29">(D33-D32)/D32*100</f>
        <v>148.82717300773126</v>
      </c>
      <c r="E34" s="15">
        <f t="shared" si="29"/>
        <v>619.5110957391995</v>
      </c>
      <c r="F34" s="15">
        <f t="shared" si="29"/>
        <v>384.0046158592296</v>
      </c>
      <c r="G34" s="15"/>
      <c r="H34" s="16"/>
      <c r="I34" s="24">
        <f t="shared" ref="I34:Q34" si="30">(I33-I32)/I32*100</f>
        <v>63.749175754756017</v>
      </c>
      <c r="J34" s="15">
        <f t="shared" si="30"/>
        <v>-33.994133710514497</v>
      </c>
      <c r="K34" s="15">
        <f t="shared" si="30"/>
        <v>111.39728016352815</v>
      </c>
      <c r="L34" s="15">
        <f t="shared" si="30"/>
        <v>92.459108503381344</v>
      </c>
      <c r="M34" s="15">
        <f t="shared" si="30"/>
        <v>334.43504186804233</v>
      </c>
      <c r="N34" s="48"/>
      <c r="O34" s="15">
        <f>(O33-O32)/O32*100</f>
        <v>1053.0628502560794</v>
      </c>
      <c r="P34" s="15">
        <f t="shared" si="30"/>
        <v>64.261010177088039</v>
      </c>
      <c r="Q34" s="16">
        <f t="shared" si="30"/>
        <v>619.45296494031231</v>
      </c>
      <c r="S34" s="11"/>
      <c r="T34" s="15">
        <f>(T33-T32)/T32*100</f>
        <v>114.69442415388362</v>
      </c>
      <c r="U34" s="15">
        <f>(U33-U32)/U32*100</f>
        <v>122.69775496320119</v>
      </c>
      <c r="V34" s="15">
        <f>(V33-V32)/V32*100</f>
        <v>543.95501405810694</v>
      </c>
      <c r="W34" s="15">
        <f>(W33-W32)/W32*100</f>
        <v>333.17914213624891</v>
      </c>
      <c r="X34" s="15"/>
      <c r="Y34" s="16"/>
      <c r="Z34" s="15">
        <f t="shared" ref="Z34:AH34" si="31">(Z33-Z32)/Z32*100</f>
        <v>46.55382439491752</v>
      </c>
      <c r="AA34" s="15">
        <f t="shared" si="31"/>
        <v>-40.9254300509497</v>
      </c>
      <c r="AB34" s="15">
        <f t="shared" si="31"/>
        <v>89.198386690194127</v>
      </c>
      <c r="AC34" s="15">
        <f t="shared" si="31"/>
        <v>72.24891826661738</v>
      </c>
      <c r="AD34" s="15">
        <f t="shared" si="31"/>
        <v>288.81488437097374</v>
      </c>
      <c r="AE34" s="17">
        <f t="shared" si="31"/>
        <v>-42.849457545055145</v>
      </c>
      <c r="AF34" s="15">
        <f t="shared" si="31"/>
        <v>931.97936535460394</v>
      </c>
      <c r="AG34" s="15">
        <f t="shared" si="31"/>
        <v>47.01191092698086</v>
      </c>
      <c r="AH34" s="16">
        <f t="shared" si="31"/>
        <v>543.90298759230791</v>
      </c>
    </row>
    <row r="35" spans="1:34" x14ac:dyDescent="0.25">
      <c r="A35" t="s">
        <v>25</v>
      </c>
      <c r="B35" s="6"/>
      <c r="C35" s="7">
        <v>2.1096543251812179</v>
      </c>
      <c r="D35" s="7">
        <v>1.6140762976417373</v>
      </c>
      <c r="E35" s="7">
        <v>0.99143049950788975</v>
      </c>
      <c r="F35" s="7">
        <v>0.72926745877296606</v>
      </c>
      <c r="G35" s="7">
        <v>23.493200000000002</v>
      </c>
      <c r="H35" s="19">
        <v>26.4392</v>
      </c>
      <c r="I35" s="7">
        <v>2.7890346478855204</v>
      </c>
      <c r="J35" s="7">
        <v>0.67936660048285613</v>
      </c>
      <c r="K35" s="7">
        <v>0.4718591677692463</v>
      </c>
      <c r="L35" s="7">
        <v>0.35903506303632082</v>
      </c>
      <c r="M35" s="7">
        <v>0.55484430196680989</v>
      </c>
      <c r="N35" s="12">
        <v>0.22831032042646737</v>
      </c>
      <c r="O35" s="7">
        <v>0.42808528135498797</v>
      </c>
      <c r="P35" s="7">
        <v>0.30120276075014779</v>
      </c>
      <c r="Q35" s="8">
        <v>0.99140305506499671</v>
      </c>
      <c r="S35" s="11">
        <v>68.611107232379908</v>
      </c>
      <c r="T35" s="20">
        <v>30.748000000000001</v>
      </c>
      <c r="U35" s="20">
        <v>23.524999999999999</v>
      </c>
      <c r="V35" s="20">
        <v>14.450000000000001</v>
      </c>
      <c r="W35" s="20">
        <v>10.629</v>
      </c>
      <c r="X35" s="7">
        <v>23.493200000000002</v>
      </c>
      <c r="Y35" s="19">
        <v>26.4392</v>
      </c>
      <c r="Z35" s="7">
        <v>40.649900000000002</v>
      </c>
      <c r="AA35" s="7">
        <v>9.9016999999999999</v>
      </c>
      <c r="AB35" s="7">
        <v>6.8773</v>
      </c>
      <c r="AC35" s="7">
        <v>5.2328999999999999</v>
      </c>
      <c r="AD35" s="7">
        <v>8.0868000000000002</v>
      </c>
      <c r="AE35" s="12">
        <v>3.3275999999999999</v>
      </c>
      <c r="AF35" s="7">
        <v>6.2393000000000001</v>
      </c>
      <c r="AG35" s="7">
        <v>4.3899999999999997</v>
      </c>
      <c r="AH35" s="8">
        <v>14.4496</v>
      </c>
    </row>
    <row r="36" spans="1:34" x14ac:dyDescent="0.25">
      <c r="A36" t="s">
        <v>26</v>
      </c>
      <c r="B36" s="6"/>
      <c r="C36" s="7">
        <v>2.6177543318991225</v>
      </c>
      <c r="D36" s="7">
        <v>2.0723702678042022</v>
      </c>
      <c r="E36" s="7">
        <v>1.3622339935854995</v>
      </c>
      <c r="F36" s="7">
        <v>1.3009999741258709</v>
      </c>
      <c r="G36" s="7">
        <v>20.834800000000001</v>
      </c>
      <c r="H36" s="22">
        <v>4.4931999999999999</v>
      </c>
      <c r="I36" s="7">
        <v>3.2998002428220246</v>
      </c>
      <c r="J36" s="7">
        <v>0.68204591092290212</v>
      </c>
      <c r="K36" s="7">
        <v>0.46455367214560223</v>
      </c>
      <c r="L36" s="7">
        <v>0.43560870785006173</v>
      </c>
      <c r="M36" s="7">
        <v>0.76856868866179218</v>
      </c>
      <c r="N36" s="12">
        <v>0.21571615496044888</v>
      </c>
      <c r="O36" s="7">
        <v>1.0376119460060147</v>
      </c>
      <c r="P36" s="7">
        <v>0.26338802811985629</v>
      </c>
      <c r="Q36" s="8">
        <v>1.362211699646376</v>
      </c>
      <c r="R36" s="53" t="s">
        <v>464</v>
      </c>
      <c r="S36" s="11">
        <v>74.313130412170622</v>
      </c>
      <c r="T36" s="20">
        <v>35.225999999999999</v>
      </c>
      <c r="U36" s="20">
        <v>27.887</v>
      </c>
      <c r="V36" s="20">
        <v>18.331</v>
      </c>
      <c r="W36" s="20">
        <v>17.506999999999998</v>
      </c>
      <c r="X36" s="7">
        <v>20.834800000000001</v>
      </c>
      <c r="Y36" s="22">
        <v>4.4931999999999999</v>
      </c>
      <c r="Z36" s="20">
        <v>44.404000000000003</v>
      </c>
      <c r="AA36" s="20">
        <v>9.1780000000000008</v>
      </c>
      <c r="AB36" s="20">
        <v>6.2512999999999996</v>
      </c>
      <c r="AC36" s="20">
        <v>5.8617999999999997</v>
      </c>
      <c r="AD36" s="20">
        <v>10.3423</v>
      </c>
      <c r="AE36" s="20">
        <v>2.9028</v>
      </c>
      <c r="AF36" s="20">
        <v>13.9627</v>
      </c>
      <c r="AG36" s="20">
        <v>3.5442999999999998</v>
      </c>
      <c r="AH36" s="20">
        <v>18.3307</v>
      </c>
    </row>
    <row r="37" spans="1:34" ht="15.75" thickBot="1" x14ac:dyDescent="0.3">
      <c r="A37" s="13" t="s">
        <v>22</v>
      </c>
      <c r="B37" s="14"/>
      <c r="C37" s="24">
        <f>(C36-C35)/C35*100</f>
        <v>24.084514730831991</v>
      </c>
      <c r="D37" s="15">
        <f t="shared" ref="D37:F37" si="32">(D36-D35)/D35*100</f>
        <v>28.393575373856862</v>
      </c>
      <c r="E37" s="15">
        <f t="shared" si="32"/>
        <v>37.400856062191259</v>
      </c>
      <c r="F37" s="15">
        <f t="shared" si="32"/>
        <v>78.398193759375644</v>
      </c>
      <c r="G37" s="15"/>
      <c r="H37" s="16"/>
      <c r="I37" s="24">
        <f t="shared" ref="I37:Q37" si="33">(I36-I35)/I35*100</f>
        <v>18.313347068805193</v>
      </c>
      <c r="J37" s="15">
        <f t="shared" si="33"/>
        <v>0.39438359762485886</v>
      </c>
      <c r="K37" s="15">
        <f t="shared" si="33"/>
        <v>-1.5482364490619982</v>
      </c>
      <c r="L37" s="15">
        <f t="shared" si="33"/>
        <v>21.327623036637661</v>
      </c>
      <c r="M37" s="15">
        <f t="shared" si="33"/>
        <v>38.51970470587387</v>
      </c>
      <c r="N37" s="17">
        <f t="shared" si="33"/>
        <v>-5.5162488679852446</v>
      </c>
      <c r="O37" s="15">
        <f t="shared" si="33"/>
        <v>142.38440123933606</v>
      </c>
      <c r="P37" s="15">
        <f t="shared" si="33"/>
        <v>-12.554577035121998</v>
      </c>
      <c r="Q37" s="16">
        <f t="shared" si="33"/>
        <v>37.402410925299087</v>
      </c>
      <c r="S37" s="11"/>
      <c r="T37" s="15">
        <f>(T36-T35)/T35*100</f>
        <v>14.563548848705599</v>
      </c>
      <c r="U37" s="15">
        <f>(U36-U35)/U35*100</f>
        <v>18.541976620616374</v>
      </c>
      <c r="V37" s="15">
        <f>(V36-V35)/V35*100</f>
        <v>26.85813148788926</v>
      </c>
      <c r="W37" s="15">
        <f>(W36-W35)/W35*100</f>
        <v>64.709756327029808</v>
      </c>
      <c r="X37" s="15"/>
      <c r="Y37" s="16"/>
      <c r="Z37" s="15">
        <f t="shared" ref="Z37:AH37" si="34">(Z36-Z35)/Z35*100</f>
        <v>9.235201070605342</v>
      </c>
      <c r="AA37" s="15">
        <f t="shared" si="34"/>
        <v>-7.3088459557449639</v>
      </c>
      <c r="AB37" s="15">
        <f t="shared" si="34"/>
        <v>-9.1024093757724724</v>
      </c>
      <c r="AC37" s="15">
        <f t="shared" si="34"/>
        <v>12.01819258919528</v>
      </c>
      <c r="AD37" s="15">
        <f t="shared" si="34"/>
        <v>27.891131226195771</v>
      </c>
      <c r="AE37" s="17">
        <f t="shared" si="34"/>
        <v>-12.765957446808507</v>
      </c>
      <c r="AF37" s="15">
        <f t="shared" si="34"/>
        <v>123.78632218357828</v>
      </c>
      <c r="AG37" s="15">
        <f t="shared" si="34"/>
        <v>-19.264236902050115</v>
      </c>
      <c r="AH37" s="16">
        <f t="shared" si="34"/>
        <v>26.859567046838666</v>
      </c>
    </row>
    <row r="38" spans="1:34" x14ac:dyDescent="0.25">
      <c r="A38" s="176" t="s">
        <v>50</v>
      </c>
      <c r="B38" s="333" t="s">
        <v>51</v>
      </c>
      <c r="C38" s="32">
        <v>1.3601151359496191</v>
      </c>
      <c r="D38" s="33">
        <v>1.8910129096705961</v>
      </c>
      <c r="E38" s="33">
        <v>1.5411980668926062</v>
      </c>
      <c r="F38" s="33">
        <v>1.5770748366824654</v>
      </c>
      <c r="G38" s="18"/>
      <c r="H38" s="22">
        <v>-2.3298000000000001</v>
      </c>
      <c r="I38" s="33">
        <v>2.4886323262976693</v>
      </c>
      <c r="J38" s="33">
        <v>1.1284845156943255</v>
      </c>
      <c r="K38" s="33">
        <v>0.36244686390800801</v>
      </c>
      <c r="L38" s="48"/>
      <c r="M38" s="33">
        <v>0.20293573935415107</v>
      </c>
      <c r="N38" s="12">
        <v>1.3256368413391821</v>
      </c>
      <c r="O38" s="33">
        <v>0.47837653532369173</v>
      </c>
      <c r="P38" s="33">
        <v>1.0987048362895186</v>
      </c>
      <c r="Q38" s="8">
        <v>1.5411719271696263</v>
      </c>
      <c r="S38">
        <v>65.349307449652571</v>
      </c>
      <c r="T38" s="20">
        <v>20.813000000000002</v>
      </c>
      <c r="U38" s="20">
        <v>28.936999999999998</v>
      </c>
      <c r="V38" s="20">
        <v>23.584</v>
      </c>
      <c r="W38" s="20">
        <v>24.132999999999999</v>
      </c>
      <c r="X38" s="18">
        <v>-39.030999999999999</v>
      </c>
      <c r="Y38" s="22">
        <v>-2.3298000000000001</v>
      </c>
      <c r="Z38" s="7">
        <v>38.082000000000001</v>
      </c>
      <c r="AA38" s="7">
        <v>17.2685</v>
      </c>
      <c r="AB38" s="7">
        <v>5.5462999999999996</v>
      </c>
      <c r="AC38" s="48"/>
      <c r="AD38" s="7">
        <v>3.1053999999999999</v>
      </c>
      <c r="AE38" s="12">
        <v>20.285399999999999</v>
      </c>
      <c r="AF38" s="7">
        <v>7.3202999999999996</v>
      </c>
      <c r="AG38" s="7">
        <v>16.812799999999999</v>
      </c>
      <c r="AH38" s="8">
        <v>23.583600000000001</v>
      </c>
    </row>
    <row r="39" spans="1:34" x14ac:dyDescent="0.25">
      <c r="A39" s="176" t="s">
        <v>52</v>
      </c>
      <c r="B39" s="331"/>
      <c r="C39" s="32">
        <v>1.409624922823941</v>
      </c>
      <c r="D39" s="33">
        <v>2.3071455189137686</v>
      </c>
      <c r="E39" s="33">
        <v>1.9980945391679077</v>
      </c>
      <c r="F39" s="33">
        <v>1.9745322575019613</v>
      </c>
      <c r="G39" s="18"/>
      <c r="H39" s="22">
        <v>1.1794</v>
      </c>
      <c r="I39" s="33">
        <v>2.732930960597427</v>
      </c>
      <c r="J39" s="33">
        <v>1.3232864569299971</v>
      </c>
      <c r="K39" s="33">
        <v>0.35351907531098353</v>
      </c>
      <c r="L39" s="48"/>
      <c r="M39" s="33">
        <v>0.61028267599149932</v>
      </c>
      <c r="N39" s="12">
        <v>1.3433241867677961</v>
      </c>
      <c r="O39" s="33">
        <v>0.8238835706728731</v>
      </c>
      <c r="P39" s="33">
        <v>1.1506552137769184</v>
      </c>
      <c r="Q39" s="8">
        <v>1.9981010661157377</v>
      </c>
      <c r="R39" s="53" t="s">
        <v>466</v>
      </c>
      <c r="S39">
        <v>65.269478299020278</v>
      </c>
      <c r="T39" s="20">
        <v>21.597000000000001</v>
      </c>
      <c r="U39" s="20">
        <v>35.347999999999999</v>
      </c>
      <c r="V39" s="20">
        <v>30.613</v>
      </c>
      <c r="W39" s="20">
        <v>30.251999999999999</v>
      </c>
      <c r="X39" s="18">
        <v>-63.6678</v>
      </c>
      <c r="Y39" s="22">
        <v>1.1794</v>
      </c>
      <c r="Z39" s="7">
        <v>41.871499999999997</v>
      </c>
      <c r="AA39" s="7">
        <v>20.2742</v>
      </c>
      <c r="AB39" s="7">
        <v>5.4162999999999997</v>
      </c>
      <c r="AC39" s="48"/>
      <c r="AD39" s="7">
        <v>9.3501999999999992</v>
      </c>
      <c r="AE39" s="12">
        <v>20.581199999999999</v>
      </c>
      <c r="AF39" s="7">
        <v>12.6228</v>
      </c>
      <c r="AG39" s="7">
        <v>17.629300000000001</v>
      </c>
      <c r="AH39" s="8">
        <v>30.613099999999999</v>
      </c>
    </row>
    <row r="40" spans="1:34" ht="15.75" thickBot="1" x14ac:dyDescent="0.3">
      <c r="A40" s="177" t="s">
        <v>22</v>
      </c>
      <c r="B40" s="332"/>
      <c r="C40" s="24">
        <v>3.6401173375483911</v>
      </c>
      <c r="D40" s="15">
        <v>22.005804778755344</v>
      </c>
      <c r="E40" s="15">
        <v>29.645538888879162</v>
      </c>
      <c r="F40" s="15">
        <v>25.202191524124963</v>
      </c>
      <c r="G40" s="15"/>
      <c r="H40" s="16"/>
      <c r="I40" s="15">
        <v>9.8165820526489771</v>
      </c>
      <c r="J40" s="15">
        <v>17.262260892947683</v>
      </c>
      <c r="K40" s="15">
        <v>-2.4631992951359689</v>
      </c>
      <c r="L40" s="172"/>
      <c r="M40" s="15">
        <v>200.72705671940378</v>
      </c>
      <c r="N40" s="17">
        <v>1.3342527060990452</v>
      </c>
      <c r="O40" s="15">
        <v>72.224912769894814</v>
      </c>
      <c r="P40" s="15">
        <v>4.728328826042441</v>
      </c>
      <c r="Q40" s="16">
        <v>29.648161304447402</v>
      </c>
      <c r="R40" s="56"/>
      <c r="T40" s="15">
        <f>(T39-T38)/T38*100</f>
        <v>3.7668764714361163</v>
      </c>
      <c r="U40" s="15">
        <f>(U39-U38)/U38*100</f>
        <v>22.155026436741895</v>
      </c>
      <c r="V40" s="15">
        <f>(V39-V38)/V38*100</f>
        <v>29.804104477611943</v>
      </c>
      <c r="W40" s="15">
        <f>(W39-W38)/W38*100</f>
        <v>25.355322587328555</v>
      </c>
      <c r="X40" s="15"/>
      <c r="Y40" s="16"/>
      <c r="Z40" s="15">
        <f>(Z39-Z38)/Z38*100</f>
        <v>9.9508954361640587</v>
      </c>
      <c r="AA40" s="15">
        <f>(AA39-AA38)/AA38*100</f>
        <v>17.405680864000932</v>
      </c>
      <c r="AB40" s="15">
        <f>(AB39-AB38)/AB38*100</f>
        <v>-2.3439049456394336</v>
      </c>
      <c r="AC40" s="51"/>
      <c r="AD40" s="15">
        <f>(AD39-AD38)/AD38*100</f>
        <v>201.09486700586078</v>
      </c>
      <c r="AE40" s="17">
        <f>(AE39-AE38)/AE38*100</f>
        <v>1.4581916057854412</v>
      </c>
      <c r="AF40" s="15">
        <f>(AF39-AF38)/AF38*100</f>
        <v>72.435555919839359</v>
      </c>
      <c r="AG40" s="15">
        <f>(AG39-AG38)/AG38*100</f>
        <v>4.8564189189189273</v>
      </c>
      <c r="AH40" s="16">
        <f>(AH39-AH38)/AH38*100</f>
        <v>29.80673010057836</v>
      </c>
    </row>
    <row r="41" spans="1:34" x14ac:dyDescent="0.25">
      <c r="A41" s="69" t="s">
        <v>53</v>
      </c>
      <c r="B41" s="57"/>
      <c r="C41" s="32">
        <v>1.7626587095489692</v>
      </c>
      <c r="D41" s="33">
        <v>1.9187105390831782</v>
      </c>
      <c r="E41" s="33">
        <v>0.75894756074962721</v>
      </c>
      <c r="F41" s="33">
        <v>0.80989591804034755</v>
      </c>
      <c r="G41" s="7">
        <v>-8.8532072970000009</v>
      </c>
      <c r="H41" s="8">
        <f>(E41-F41)/E41*100</f>
        <v>-6.7130273454463252</v>
      </c>
      <c r="I41" s="33">
        <v>3.1852657554816965</v>
      </c>
      <c r="J41" s="33">
        <v>1.4226068736783999</v>
      </c>
      <c r="K41" s="33">
        <v>0.54959535148507066</v>
      </c>
      <c r="L41" s="31">
        <v>0.46655489271945733</v>
      </c>
      <c r="M41" s="33">
        <v>0.65415026016893651</v>
      </c>
      <c r="N41" s="12">
        <v>0.24841039366923554</v>
      </c>
      <c r="O41" s="33">
        <v>0.24199999999999999</v>
      </c>
      <c r="P41" s="33">
        <v>0.59556066737704882</v>
      </c>
      <c r="Q41" s="8">
        <v>0.75894794340856975</v>
      </c>
      <c r="R41" s="58"/>
      <c r="S41">
        <v>57.803465658926243</v>
      </c>
      <c r="T41" s="7">
        <v>30.493997020000002</v>
      </c>
      <c r="U41" s="7">
        <v>33.193693789999998</v>
      </c>
      <c r="V41" s="7">
        <v>13.129793380000001</v>
      </c>
      <c r="W41" s="7">
        <v>14.011200000000002</v>
      </c>
      <c r="X41" s="7">
        <v>-8.8532072970000009</v>
      </c>
      <c r="Y41" s="27">
        <f>(V41-W41)/V41*100</f>
        <v>-6.7130273454463278</v>
      </c>
      <c r="Z41" s="7">
        <v>55.1051</v>
      </c>
      <c r="AA41" s="7">
        <v>24.6111</v>
      </c>
      <c r="AB41" s="7">
        <v>9.5079999999999991</v>
      </c>
      <c r="AC41" s="7">
        <v>8.0714000000000006</v>
      </c>
      <c r="AD41" s="7">
        <v>11.316800000000001</v>
      </c>
      <c r="AE41" s="12">
        <v>4.2975000000000003</v>
      </c>
      <c r="AF41" s="7">
        <v>3.7080000000000002</v>
      </c>
      <c r="AG41" s="7">
        <v>10.3032</v>
      </c>
      <c r="AH41" s="8">
        <v>13.129799999999999</v>
      </c>
    </row>
    <row r="42" spans="1:34" x14ac:dyDescent="0.25">
      <c r="A42" s="11" t="s">
        <v>54</v>
      </c>
      <c r="B42" s="57" t="s">
        <v>458</v>
      </c>
      <c r="C42" s="32">
        <v>2.1870732521271057</v>
      </c>
      <c r="D42" s="33">
        <v>1.8340976292344611</v>
      </c>
      <c r="E42" s="33">
        <v>1.3862927345199112</v>
      </c>
      <c r="F42" s="33">
        <v>1.464292737422805</v>
      </c>
      <c r="G42" s="20">
        <v>16.1374</v>
      </c>
      <c r="H42" s="22">
        <v>-5.6269999999999998</v>
      </c>
      <c r="I42" s="33">
        <v>3.9103099016259431</v>
      </c>
      <c r="J42" s="33">
        <v>1.7232439665722805</v>
      </c>
      <c r="K42" s="33">
        <v>0.34947806178686797</v>
      </c>
      <c r="L42" s="33">
        <v>0.32184879246591797</v>
      </c>
      <c r="M42" s="33">
        <v>0.98230979265577723</v>
      </c>
      <c r="N42" s="12">
        <v>0.18049025061966983</v>
      </c>
      <c r="O42" s="33">
        <v>0.96899999999999997</v>
      </c>
      <c r="P42" s="33">
        <v>0.44599757757411668</v>
      </c>
      <c r="Q42" s="8">
        <v>1.3863000515933543</v>
      </c>
      <c r="R42" s="321" t="s">
        <v>462</v>
      </c>
      <c r="S42">
        <v>73.170734430481957</v>
      </c>
      <c r="T42" s="20">
        <v>29.89</v>
      </c>
      <c r="U42" s="20">
        <v>25.066000000000003</v>
      </c>
      <c r="V42" s="20">
        <v>18.946000000000002</v>
      </c>
      <c r="W42" s="20">
        <v>20.012</v>
      </c>
      <c r="X42" s="20">
        <v>16.1374</v>
      </c>
      <c r="Y42" s="22">
        <v>-5.6269999999999998</v>
      </c>
      <c r="Z42" s="20">
        <v>53.440899999999999</v>
      </c>
      <c r="AA42" s="20">
        <v>23.550999999999998</v>
      </c>
      <c r="AB42" s="20">
        <v>4.7762000000000002</v>
      </c>
      <c r="AC42" s="20">
        <v>4.3986000000000001</v>
      </c>
      <c r="AD42" s="20">
        <v>13.424899999999999</v>
      </c>
      <c r="AE42" s="20">
        <v>2.4666999999999999</v>
      </c>
      <c r="AF42" s="20">
        <v>13.9168</v>
      </c>
      <c r="AG42" s="20">
        <v>6.0952999999999999</v>
      </c>
      <c r="AH42" s="22">
        <v>18.946100000000001</v>
      </c>
    </row>
    <row r="43" spans="1:34" ht="15.75" thickBot="1" x14ac:dyDescent="0.3">
      <c r="A43" s="59" t="s">
        <v>22</v>
      </c>
      <c r="B43" s="60"/>
      <c r="C43" s="32">
        <v>24.078089551818916</v>
      </c>
      <c r="D43" s="33">
        <v>-4.4098840406196942</v>
      </c>
      <c r="E43" s="33">
        <v>82.659884057159758</v>
      </c>
      <c r="F43" s="33">
        <v>80.80011329923218</v>
      </c>
      <c r="G43" s="15"/>
      <c r="H43" s="16"/>
      <c r="I43" s="33">
        <f>(I42-I41)/I41*100</f>
        <v>22.762438107290695</v>
      </c>
      <c r="J43" s="33">
        <v>21.132830049986374</v>
      </c>
      <c r="K43" s="33">
        <v>-36.411750783092046</v>
      </c>
      <c r="L43" s="33">
        <v>-31.015878841196109</v>
      </c>
      <c r="M43" s="33">
        <v>50.165772677686071</v>
      </c>
      <c r="N43" s="12">
        <v>-27.341908704513795</v>
      </c>
      <c r="O43" s="33">
        <f>(O42-O41)/O41*100</f>
        <v>300.41322314049586</v>
      </c>
      <c r="P43" s="33">
        <v>-25.112989825475481</v>
      </c>
      <c r="Q43" s="8">
        <v>82.660756068095409</v>
      </c>
      <c r="T43" s="15">
        <f>(T42-T41)/T41*100</f>
        <v>-1.9807079393490454</v>
      </c>
      <c r="U43" s="15">
        <f>(U42-U41)/U41*100</f>
        <v>-24.485656346111625</v>
      </c>
      <c r="V43" s="15">
        <f>(V42-V41)/V41*100</f>
        <v>44.297777213002881</v>
      </c>
      <c r="W43" s="15">
        <f>(W42-W41)/W41*100</f>
        <v>42.828594267443165</v>
      </c>
      <c r="X43" s="15"/>
      <c r="Y43" s="16"/>
      <c r="Z43" s="15">
        <f t="shared" ref="Z43:AH43" si="35">(Z42-Z41)/Z41*100</f>
        <v>-3.0200471462713994</v>
      </c>
      <c r="AA43" s="15">
        <f t="shared" si="35"/>
        <v>-4.3074060078582512</v>
      </c>
      <c r="AB43" s="15">
        <f t="shared" si="35"/>
        <v>-49.766512410601592</v>
      </c>
      <c r="AC43" s="15">
        <f t="shared" si="35"/>
        <v>-45.503877889833241</v>
      </c>
      <c r="AD43" s="15">
        <f t="shared" si="35"/>
        <v>18.628057401385536</v>
      </c>
      <c r="AE43" s="15">
        <f t="shared" si="35"/>
        <v>-42.601512507271678</v>
      </c>
      <c r="AF43" s="15">
        <f t="shared" si="35"/>
        <v>275.31823085221146</v>
      </c>
      <c r="AG43" s="15">
        <f t="shared" si="35"/>
        <v>-40.840709682428759</v>
      </c>
      <c r="AH43" s="16">
        <f t="shared" si="35"/>
        <v>44.298466084784252</v>
      </c>
    </row>
    <row r="44" spans="1:34" x14ac:dyDescent="0.25">
      <c r="A44" s="295" t="s">
        <v>55</v>
      </c>
      <c r="B44" s="349" t="s">
        <v>448</v>
      </c>
      <c r="C44" s="30">
        <f>I44-J44</f>
        <v>2.5185783685776411</v>
      </c>
      <c r="D44" s="31">
        <f>K44+L44+M44+N44</f>
        <v>2.10199652086835</v>
      </c>
      <c r="E44" s="31">
        <v>0.86546225881386352</v>
      </c>
      <c r="F44" s="31">
        <v>1.1660508101429148</v>
      </c>
      <c r="G44" s="7">
        <f>(C44-D44)/C44*100</f>
        <v>16.540356770575869</v>
      </c>
      <c r="H44" s="19">
        <v>-34.731560889999997</v>
      </c>
      <c r="I44" s="31">
        <v>3.6081959884693777</v>
      </c>
      <c r="J44" s="31">
        <v>1.0896176198917364</v>
      </c>
      <c r="K44" s="31">
        <v>0.52133332033509661</v>
      </c>
      <c r="L44" s="31">
        <v>0.61230390630225018</v>
      </c>
      <c r="M44" s="31">
        <f>S44*AD44/1000</f>
        <v>0.76679067180566873</v>
      </c>
      <c r="N44" s="7">
        <f>S44*AE44/1000</f>
        <v>0.20156862242533449</v>
      </c>
      <c r="O44" s="31">
        <v>0.72746076617617916</v>
      </c>
      <c r="P44" s="31">
        <v>0.43858822435893791</v>
      </c>
      <c r="Q44" s="27">
        <v>0.86546076273546946</v>
      </c>
      <c r="S44">
        <v>98.039213241894203</v>
      </c>
      <c r="T44" s="7">
        <v>25.689508449999998</v>
      </c>
      <c r="U44" s="7">
        <v>25.441572689999997</v>
      </c>
      <c r="V44" s="7">
        <v>8.8277152599999997</v>
      </c>
      <c r="W44" s="7">
        <v>11.89371856</v>
      </c>
      <c r="X44" s="7">
        <v>0.96512458000000001</v>
      </c>
      <c r="Y44" s="19">
        <v>-34.731560889999997</v>
      </c>
      <c r="Z44" s="7">
        <v>36.803600000000003</v>
      </c>
      <c r="AA44" s="7">
        <v>11.114100000000001</v>
      </c>
      <c r="AB44" s="7">
        <v>5.3175999999999997</v>
      </c>
      <c r="AC44" s="7">
        <v>6.2454999999999998</v>
      </c>
      <c r="AD44" s="7">
        <v>7.8212650474229122</v>
      </c>
      <c r="AE44" s="12">
        <v>2.056</v>
      </c>
      <c r="AF44" s="7">
        <v>7.4200999999999997</v>
      </c>
      <c r="AG44" s="7">
        <v>4.4736000000000002</v>
      </c>
      <c r="AH44" s="8">
        <v>8.8277000000000001</v>
      </c>
    </row>
    <row r="45" spans="1:34" x14ac:dyDescent="0.25">
      <c r="A45" s="296" t="s">
        <v>56</v>
      </c>
      <c r="B45" s="349"/>
      <c r="C45" s="32">
        <f>I45-J45</f>
        <v>3.912692979143503</v>
      </c>
      <c r="D45" s="33">
        <f>K45+L45+M45+N45</f>
        <v>2.742530572614462</v>
      </c>
      <c r="E45" s="33">
        <v>1.4905205925716003</v>
      </c>
      <c r="F45" s="33">
        <v>1.7908984621111153</v>
      </c>
      <c r="G45" s="18">
        <f>(C45-D45)/C45*100</f>
        <v>29.906829203481028</v>
      </c>
      <c r="H45" s="49">
        <v>-20.152547439999999</v>
      </c>
      <c r="I45" s="33">
        <v>5.2352922024793953</v>
      </c>
      <c r="J45" s="33">
        <v>1.3225992233358925</v>
      </c>
      <c r="K45" s="33">
        <v>0.58357037300202996</v>
      </c>
      <c r="L45" s="33">
        <v>0.75927072675389851</v>
      </c>
      <c r="M45" s="33">
        <v>1.0361912929304089</v>
      </c>
      <c r="N45" s="7">
        <f>S45*AE45/1000</f>
        <v>0.3634981799281245</v>
      </c>
      <c r="O45" s="33">
        <v>1.4704439825707294</v>
      </c>
      <c r="P45" s="33">
        <v>0.32044764019048794</v>
      </c>
      <c r="Q45" s="8">
        <v>1.4905234041238307</v>
      </c>
      <c r="R45" s="53" t="s">
        <v>461</v>
      </c>
      <c r="S45">
        <v>108.30324462298498</v>
      </c>
      <c r="T45" s="7">
        <v>36.127270280000005</v>
      </c>
      <c r="U45" s="7">
        <v>21.966360370000004</v>
      </c>
      <c r="V45" s="7">
        <v>13.762474039999999</v>
      </c>
      <c r="W45" s="7">
        <v>16.535963150000001</v>
      </c>
      <c r="X45" s="18">
        <v>39.197287250000002</v>
      </c>
      <c r="Y45" s="49">
        <v>-20.152547439999999</v>
      </c>
      <c r="Z45" s="7">
        <v>48.339199999999998</v>
      </c>
      <c r="AA45" s="7">
        <v>12.212</v>
      </c>
      <c r="AB45" s="7">
        <v>5.3883000000000001</v>
      </c>
      <c r="AC45" s="7">
        <v>7.0106000000000002</v>
      </c>
      <c r="AD45" s="7">
        <v>9.5675000000000008</v>
      </c>
      <c r="AE45" s="12">
        <v>3.3563000000000001</v>
      </c>
      <c r="AF45" s="7">
        <v>13.5771</v>
      </c>
      <c r="AG45" s="7">
        <v>2.9588000000000001</v>
      </c>
      <c r="AH45" s="8">
        <v>13.762499999999999</v>
      </c>
    </row>
    <row r="46" spans="1:34" ht="15.75" thickBot="1" x14ac:dyDescent="0.3">
      <c r="A46" s="13" t="s">
        <v>22</v>
      </c>
      <c r="B46" s="350"/>
      <c r="C46" s="24">
        <f>(C45-C44)/C44*100</f>
        <v>55.353235299689473</v>
      </c>
      <c r="D46" s="15">
        <f>(D45-D44)/D44*100</f>
        <v>30.472650424821008</v>
      </c>
      <c r="E46" s="15">
        <v>72.222483117218076</v>
      </c>
      <c r="F46" s="15">
        <v>53.586657333707201</v>
      </c>
      <c r="G46" s="15"/>
      <c r="H46" s="16"/>
      <c r="I46" s="15">
        <v>45.094452164175351</v>
      </c>
      <c r="J46" s="15">
        <v>21.381959982191269</v>
      </c>
      <c r="K46" s="15">
        <v>11.938053878261483</v>
      </c>
      <c r="L46" s="15">
        <v>24.002267328195263</v>
      </c>
      <c r="M46" s="15">
        <f>(M45-M44)/M44*100</f>
        <v>35.133528749162409</v>
      </c>
      <c r="N46" s="15">
        <f>(N45-N44)/N44*100</f>
        <v>80.334704655121769</v>
      </c>
      <c r="O46" s="15">
        <v>102.13378520740895</v>
      </c>
      <c r="P46" s="15">
        <v>-26.936560903140993</v>
      </c>
      <c r="Q46" s="16">
        <v>72.223105691437723</v>
      </c>
      <c r="T46" s="15">
        <f>(T45-T44)/T44*100</f>
        <v>40.630445889282896</v>
      </c>
      <c r="U46" s="15">
        <f>(U45-U44)/U44*100</f>
        <v>-13.659581356642908</v>
      </c>
      <c r="V46" s="15">
        <f>(V45-V44)/V44*100</f>
        <v>55.90074707507047</v>
      </c>
      <c r="W46" s="15">
        <f>(W45-W44)/W44*100</f>
        <v>39.031061367236532</v>
      </c>
      <c r="X46" s="15"/>
      <c r="Y46" s="16"/>
      <c r="Z46" s="15">
        <f t="shared" ref="Z46:AH46" si="36">(Z45-Z44)/Z44*100</f>
        <v>31.343672901563963</v>
      </c>
      <c r="AA46" s="15">
        <f t="shared" si="36"/>
        <v>9.8784426989139842</v>
      </c>
      <c r="AB46" s="15">
        <f t="shared" si="36"/>
        <v>1.329547164134204</v>
      </c>
      <c r="AC46" s="15">
        <f t="shared" si="36"/>
        <v>12.250420302617892</v>
      </c>
      <c r="AD46" s="15">
        <f t="shared" si="36"/>
        <v>22.326758420653046</v>
      </c>
      <c r="AE46" s="17">
        <f t="shared" si="36"/>
        <v>63.244163424124508</v>
      </c>
      <c r="AF46" s="15">
        <f t="shared" si="36"/>
        <v>82.977318364981613</v>
      </c>
      <c r="AG46" s="15">
        <f t="shared" si="36"/>
        <v>-33.860872675250356</v>
      </c>
      <c r="AH46" s="16">
        <f t="shared" si="36"/>
        <v>55.901310647167421</v>
      </c>
    </row>
    <row r="47" spans="1:34" x14ac:dyDescent="0.25">
      <c r="B47" s="63"/>
      <c r="N47" s="63"/>
      <c r="T47" s="7"/>
      <c r="U47" s="7"/>
      <c r="V47" s="7"/>
      <c r="W47" s="7"/>
      <c r="X47" s="7"/>
      <c r="Y47" s="7"/>
      <c r="Z47" s="7"/>
      <c r="AA47" s="7"/>
      <c r="AB47" s="7"/>
      <c r="AC47" s="7"/>
      <c r="AD47" s="7"/>
      <c r="AE47" s="7"/>
      <c r="AF47" s="7"/>
      <c r="AG47" s="7"/>
      <c r="AH47" s="7"/>
    </row>
    <row r="48" spans="1:34" x14ac:dyDescent="0.25">
      <c r="T48" s="7"/>
      <c r="U48" s="7"/>
      <c r="V48" s="7"/>
      <c r="W48" s="7"/>
      <c r="X48" s="7"/>
      <c r="Y48" s="7"/>
      <c r="Z48" s="7"/>
      <c r="AA48" s="7"/>
      <c r="AB48" s="7"/>
      <c r="AC48" s="7"/>
      <c r="AD48" s="7"/>
      <c r="AE48" s="7"/>
      <c r="AF48" s="7"/>
      <c r="AG48" s="7"/>
      <c r="AH48" s="7"/>
    </row>
    <row r="49" spans="1:34" ht="30.75" thickBot="1" x14ac:dyDescent="0.3">
      <c r="A49" s="101" t="s">
        <v>375</v>
      </c>
      <c r="C49" s="3" t="s">
        <v>2</v>
      </c>
      <c r="D49" s="3" t="s">
        <v>3</v>
      </c>
      <c r="E49" s="3" t="s">
        <v>4</v>
      </c>
      <c r="F49" s="3" t="s">
        <v>5</v>
      </c>
      <c r="G49" s="3" t="s">
        <v>6</v>
      </c>
      <c r="H49" s="4" t="s">
        <v>7</v>
      </c>
      <c r="I49" s="3" t="s">
        <v>8</v>
      </c>
      <c r="J49" s="3" t="s">
        <v>9</v>
      </c>
      <c r="K49" s="3" t="s">
        <v>10</v>
      </c>
      <c r="L49" s="3" t="s">
        <v>11</v>
      </c>
      <c r="M49" s="3" t="s">
        <v>12</v>
      </c>
      <c r="N49" s="45" t="s">
        <v>13</v>
      </c>
      <c r="O49" s="3" t="s">
        <v>14</v>
      </c>
      <c r="P49" s="3" t="s">
        <v>15</v>
      </c>
      <c r="Q49" s="4" t="s">
        <v>16</v>
      </c>
      <c r="T49" s="7"/>
      <c r="U49" s="7"/>
      <c r="V49" s="7"/>
      <c r="W49" s="7"/>
      <c r="X49" s="7"/>
      <c r="Y49" s="7"/>
      <c r="Z49" s="7"/>
      <c r="AA49" s="7"/>
      <c r="AB49" s="7"/>
      <c r="AC49" s="7"/>
      <c r="AD49" s="7"/>
      <c r="AE49" s="7"/>
      <c r="AF49" s="7"/>
      <c r="AG49" s="7"/>
      <c r="AH49" s="7"/>
    </row>
    <row r="50" spans="1:34" ht="15.75" thickTop="1" x14ac:dyDescent="0.25">
      <c r="B50" s="29" t="s">
        <v>28</v>
      </c>
      <c r="C50" s="7">
        <f>AVERAGE(C23,C20,C17,C14,C11,C8,C5,C26,C29,C35,C38,C41,C44)</f>
        <v>1.8087797852002143</v>
      </c>
      <c r="D50" s="7">
        <f t="shared" ref="D50:H50" si="37">AVERAGE(D23,D20,D17,D14,D11,D8,D5,D26,D29,D35,D38,D41,D44)</f>
        <v>1.7445587079717459</v>
      </c>
      <c r="E50" s="7">
        <f t="shared" si="37"/>
        <v>0.9125585681144478</v>
      </c>
      <c r="F50" s="7">
        <f t="shared" si="37"/>
        <v>0.88019019333359738</v>
      </c>
      <c r="G50" s="7">
        <f>AVERAGE(G23,G20,G17,G14,G11,G8,G5,G26,G29,G35,G38,G41,G44)</f>
        <v>6.7913272589575868</v>
      </c>
      <c r="H50" s="10">
        <f t="shared" si="37"/>
        <v>4.3044970487348975</v>
      </c>
      <c r="I50" s="7">
        <f>AVERAGE(I23,I20,I17,I14,I11,I8,I5,I26,I29,I35,I38,I41,I44,I2,I32)</f>
        <v>2.9151414949384544</v>
      </c>
      <c r="J50" s="7">
        <f t="shared" ref="J50:Q50" si="38">AVERAGE(J23,J20,J17,J14,J11,J8,J5,J26,J29,J35,J38,J41,J44,J2,J32)</f>
        <v>1.105365310338793</v>
      </c>
      <c r="K50" s="7">
        <f t="shared" si="38"/>
        <v>0.40951555431734948</v>
      </c>
      <c r="L50" s="7">
        <f t="shared" si="38"/>
        <v>0.384548989845511</v>
      </c>
      <c r="M50" s="7">
        <f t="shared" si="38"/>
        <v>0.49106684866223838</v>
      </c>
      <c r="N50" s="9">
        <f t="shared" si="38"/>
        <v>0.47457186591329442</v>
      </c>
      <c r="O50" s="7">
        <f t="shared" si="38"/>
        <v>0.4286913141882111</v>
      </c>
      <c r="P50" s="7">
        <f t="shared" si="38"/>
        <v>0.42243346482962435</v>
      </c>
      <c r="Q50" s="10">
        <f t="shared" si="38"/>
        <v>0.86195815547291477</v>
      </c>
      <c r="S50" s="29" t="s">
        <v>28</v>
      </c>
      <c r="T50" s="30">
        <f t="shared" ref="T50:AH50" si="39">AVERAGE(T23,T20,T17,T14,T11,T8,T5,T26)</f>
        <v>26.016977048749993</v>
      </c>
      <c r="U50" s="31">
        <f t="shared" si="39"/>
        <v>26.096248048749999</v>
      </c>
      <c r="V50" s="31">
        <f t="shared" si="39"/>
        <v>13.549994298749999</v>
      </c>
      <c r="W50" s="31">
        <f t="shared" si="39"/>
        <v>12.678613954999999</v>
      </c>
      <c r="X50" s="31">
        <f t="shared" si="39"/>
        <v>-10.970817500500001</v>
      </c>
      <c r="Y50" s="27">
        <f t="shared" si="39"/>
        <v>8.8368951073749997</v>
      </c>
      <c r="Z50" s="31">
        <f t="shared" si="39"/>
        <v>44.038174999999995</v>
      </c>
      <c r="AA50" s="31">
        <f t="shared" si="39"/>
        <v>17.079857142857144</v>
      </c>
      <c r="AB50" s="31">
        <f t="shared" si="39"/>
        <v>6.0762375000000004</v>
      </c>
      <c r="AC50" s="31">
        <f t="shared" si="39"/>
        <v>4.8891285714285706</v>
      </c>
      <c r="AD50" s="31">
        <f t="shared" si="39"/>
        <v>8.0489499999999996</v>
      </c>
      <c r="AE50" s="31">
        <f t="shared" si="39"/>
        <v>7.6390142857142873</v>
      </c>
      <c r="AF50" s="31">
        <f t="shared" si="39"/>
        <v>7.5920375000000009</v>
      </c>
      <c r="AG50" s="31">
        <f t="shared" si="39"/>
        <v>5.0865875000000003</v>
      </c>
      <c r="AH50" s="27">
        <f t="shared" si="39"/>
        <v>13.549987500000002</v>
      </c>
    </row>
    <row r="51" spans="1:34" x14ac:dyDescent="0.25">
      <c r="A51" s="11"/>
      <c r="B51" s="6" t="s">
        <v>29</v>
      </c>
      <c r="C51" s="7">
        <f t="shared" ref="C51:H51" si="40">AVERAGE(C24,C21,C18,C15,C12,C9,C6,C27,C30,C36,C39,C42,C45)</f>
        <v>2.3309048226452944</v>
      </c>
      <c r="D51" s="7">
        <f t="shared" si="40"/>
        <v>1.9964259324638722</v>
      </c>
      <c r="E51" s="7">
        <f t="shared" si="40"/>
        <v>1.5066805481654559</v>
      </c>
      <c r="F51" s="7">
        <f t="shared" si="40"/>
        <v>1.447510714270815</v>
      </c>
      <c r="G51" s="7">
        <f t="shared" si="40"/>
        <v>21.013840162948107</v>
      </c>
      <c r="H51" s="8">
        <f t="shared" si="40"/>
        <v>3.7669237494615397</v>
      </c>
      <c r="I51" s="7">
        <f t="shared" ref="I51:Q51" si="41">AVERAGE(I24,I21,I18,I15,I12,I9,I6,I27,I30,I36,I39,I42,I45,I3,I33)</f>
        <v>3.7497962944982373</v>
      </c>
      <c r="J51" s="7">
        <f t="shared" si="41"/>
        <v>1.2530121589064844</v>
      </c>
      <c r="K51" s="7">
        <f t="shared" si="41"/>
        <v>0.42860124583426806</v>
      </c>
      <c r="L51" s="7">
        <f t="shared" si="41"/>
        <v>0.40700727994924385</v>
      </c>
      <c r="M51" s="7">
        <f t="shared" si="41"/>
        <v>0.83772874235729611</v>
      </c>
      <c r="N51" s="12">
        <f t="shared" si="41"/>
        <v>0.47661834956221949</v>
      </c>
      <c r="O51" s="7">
        <f t="shared" si="41"/>
        <v>1.1333660921287603</v>
      </c>
      <c r="P51" s="7">
        <f t="shared" si="41"/>
        <v>0.41395153873844215</v>
      </c>
      <c r="Q51" s="8">
        <f t="shared" si="41"/>
        <v>1.6116441962293278</v>
      </c>
      <c r="S51" s="6" t="s">
        <v>29</v>
      </c>
      <c r="T51" s="32">
        <f t="shared" ref="T51:AH51" si="42">AVERAGE(T24,T21,T18,T15,T12,T9,T6,T27)</f>
        <v>31.933120693749999</v>
      </c>
      <c r="U51" s="33">
        <f t="shared" si="42"/>
        <v>27.937043603749999</v>
      </c>
      <c r="V51" s="33">
        <f t="shared" si="42"/>
        <v>20.597381186250001</v>
      </c>
      <c r="W51" s="33">
        <f t="shared" si="42"/>
        <v>19.114799927500002</v>
      </c>
      <c r="X51" s="33">
        <f t="shared" si="42"/>
        <v>0.46348017949999853</v>
      </c>
      <c r="Y51" s="8">
        <f t="shared" si="42"/>
        <v>7.4421805780000012</v>
      </c>
      <c r="Z51" s="33">
        <f t="shared" si="42"/>
        <v>49.045162500000004</v>
      </c>
      <c r="AA51" s="33">
        <f t="shared" si="42"/>
        <v>16.040785714285715</v>
      </c>
      <c r="AB51" s="33">
        <f t="shared" si="42"/>
        <v>5.7778624999999995</v>
      </c>
      <c r="AC51" s="33">
        <f t="shared" si="42"/>
        <v>4.5341999999999993</v>
      </c>
      <c r="AD51" s="33">
        <f t="shared" si="42"/>
        <v>10.783412500000001</v>
      </c>
      <c r="AE51" s="33">
        <f t="shared" si="42"/>
        <v>7.3136857142857137</v>
      </c>
      <c r="AF51" s="33">
        <f t="shared" si="42"/>
        <v>14.266012499999999</v>
      </c>
      <c r="AG51" s="33">
        <f t="shared" si="42"/>
        <v>4.8487499999999999</v>
      </c>
      <c r="AH51" s="8">
        <f t="shared" si="42"/>
        <v>20.597250000000003</v>
      </c>
    </row>
    <row r="52" spans="1:34" x14ac:dyDescent="0.25">
      <c r="A52" s="11"/>
      <c r="B52" s="38" t="s">
        <v>30</v>
      </c>
      <c r="C52" s="39">
        <f t="shared" ref="C52:F52" si="43">AVERAGE(C25,C22,C19,C16,C13,C10,C7,C28,C31,C37,C40,C43,C46)</f>
        <v>27.936406126773075</v>
      </c>
      <c r="D52" s="35">
        <f t="shared" si="43"/>
        <v>14.496898909070998</v>
      </c>
      <c r="E52" s="35">
        <f t="shared" si="43"/>
        <v>72.128453037616723</v>
      </c>
      <c r="F52" s="35">
        <f t="shared" si="43"/>
        <v>73.375796865726969</v>
      </c>
      <c r="G52" s="35"/>
      <c r="H52" s="36"/>
      <c r="I52" s="39">
        <f t="shared" ref="I52:Q52" si="44">AVERAGE(I25,I22,I19,I16,I13,I10,I7,I28,I31,I37,I40,I43,I46,I4,I34)</f>
        <v>30.144249473382175</v>
      </c>
      <c r="J52" s="35">
        <f t="shared" si="44"/>
        <v>26.500869834351551</v>
      </c>
      <c r="K52" s="35">
        <f t="shared" si="44"/>
        <v>8.461778362578098</v>
      </c>
      <c r="L52" s="35">
        <f t="shared" si="44"/>
        <v>7.7122063152302172</v>
      </c>
      <c r="M52" s="35">
        <f t="shared" si="44"/>
        <v>108.66850595687274</v>
      </c>
      <c r="N52" s="37">
        <f t="shared" si="44"/>
        <v>-0.13196402307779292</v>
      </c>
      <c r="O52" s="35">
        <f>AVERAGE(O25,O22,O19,O16,O13,O10,O7,O28,O31,O37,O40,O43,O46,O4,O34)</f>
        <v>252.79179335136902</v>
      </c>
      <c r="P52" s="35">
        <f t="shared" si="44"/>
        <v>-0.54519070506700396</v>
      </c>
      <c r="Q52" s="36">
        <f t="shared" si="44"/>
        <v>118.03187639566245</v>
      </c>
      <c r="S52" s="38" t="s">
        <v>30</v>
      </c>
      <c r="T52" s="39">
        <f>AVERAGE(T28,T25,T22,T19,T16,T13,T10,T7)</f>
        <v>22.438760258077306</v>
      </c>
      <c r="U52" s="35">
        <f>AVERAGE(U28,U25,U22,U19,U16,U13,U10,U7)</f>
        <v>5.9121084287762615</v>
      </c>
      <c r="V52" s="35">
        <f>AVERAGE(V28,V25,V22,V19,V16,V13,V10,V7)</f>
        <v>54.342172878064154</v>
      </c>
      <c r="W52" s="35">
        <f>AVERAGE(W28,W25,W22,W19,W16,W13,W10,W7)</f>
        <v>56.710086751461127</v>
      </c>
      <c r="X52" s="35"/>
      <c r="Y52" s="36"/>
      <c r="Z52" s="35">
        <f t="shared" ref="Z52:AH52" si="45">AVERAGE(Z28,Z25,Z22,Z19,Z16,Z13,Z10,Z7)</f>
        <v>12.055930569903211</v>
      </c>
      <c r="AA52" s="35">
        <f t="shared" si="45"/>
        <v>1.9835504241805009</v>
      </c>
      <c r="AB52" s="35">
        <f t="shared" si="45"/>
        <v>-3.8476657240889929</v>
      </c>
      <c r="AC52" s="35">
        <f t="shared" si="45"/>
        <v>-7.0148459757590933</v>
      </c>
      <c r="AD52" s="35">
        <f t="shared" si="45"/>
        <v>47.050968554811625</v>
      </c>
      <c r="AE52" s="35">
        <f t="shared" si="45"/>
        <v>-3.5431625299230163</v>
      </c>
      <c r="AF52" s="35">
        <f t="shared" si="45"/>
        <v>139.95201497195907</v>
      </c>
      <c r="AG52" s="35">
        <f t="shared" si="45"/>
        <v>-5.6699288336264253</v>
      </c>
      <c r="AH52" s="36">
        <f t="shared" si="45"/>
        <v>54.457028074401535</v>
      </c>
    </row>
    <row r="53" spans="1:34" x14ac:dyDescent="0.25">
      <c r="A53" s="11"/>
      <c r="B53" s="6" t="s">
        <v>31</v>
      </c>
      <c r="C53" s="33">
        <f>_xlfn.STDEV.S(C20,C14,C11,C17,C8,C5,C23,C26,C29,C35,C38,C41,C44)</f>
        <v>0.53162071253244814</v>
      </c>
      <c r="D53" s="33">
        <f t="shared" ref="D53:H53" si="46">_xlfn.STDEV.S(D20,D14,D11,D17,D8,D5,D23,D26,D29,D35,D38,D41,D44)</f>
        <v>0.26678070705594858</v>
      </c>
      <c r="E53" s="33">
        <f t="shared" si="46"/>
        <v>0.27264424539515753</v>
      </c>
      <c r="F53" s="33">
        <f t="shared" si="46"/>
        <v>0.31250653845374105</v>
      </c>
      <c r="G53" s="33">
        <f t="shared" si="46"/>
        <v>15.532758899601665</v>
      </c>
      <c r="H53" s="8">
        <f t="shared" si="46"/>
        <v>16.900136651717009</v>
      </c>
      <c r="I53" s="33">
        <f>_xlfn.STDEV.S(I2,I32,I20,I14,I11,I17,I8,I5,I23,I26,I29,I35,I38,I41,I44)</f>
        <v>0.67385989400338975</v>
      </c>
      <c r="J53" s="33">
        <f t="shared" ref="J53:Q53" si="47">_xlfn.STDEV.S(J2,J32,J20,J14,J11,J17,J8,J5,J23,J26,J29,J35,J38,J41,J44)</f>
        <v>0.39122505044110323</v>
      </c>
      <c r="K53" s="33">
        <f t="shared" si="47"/>
        <v>0.12075862902281255</v>
      </c>
      <c r="L53" s="33">
        <f t="shared" si="47"/>
        <v>0.15645357495888296</v>
      </c>
      <c r="M53" s="33">
        <f t="shared" si="47"/>
        <v>0.2192922776643767</v>
      </c>
      <c r="N53" s="12">
        <f t="shared" si="47"/>
        <v>0.30875772825298242</v>
      </c>
      <c r="O53" s="33">
        <f t="shared" si="47"/>
        <v>0.21906627478607008</v>
      </c>
      <c r="P53" s="33">
        <f t="shared" si="47"/>
        <v>0.24592324522989481</v>
      </c>
      <c r="Q53" s="8">
        <f t="shared" si="47"/>
        <v>0.29805952042033551</v>
      </c>
      <c r="S53" s="6" t="s">
        <v>31</v>
      </c>
      <c r="T53" s="32">
        <f t="shared" ref="T53:AH53" si="48">_xlfn.STDEV.P(T20,T14,T11,T17,T8,T5,T2,T23)</f>
        <v>8.5910437835515001</v>
      </c>
      <c r="U53" s="33">
        <f t="shared" si="48"/>
        <v>7.0108224286835794</v>
      </c>
      <c r="V53" s="33">
        <f t="shared" si="48"/>
        <v>3.6443188955230497</v>
      </c>
      <c r="W53" s="33">
        <f t="shared" si="48"/>
        <v>4.5490061857752639</v>
      </c>
      <c r="X53" s="33">
        <f t="shared" si="48"/>
        <v>52.22413768963046</v>
      </c>
      <c r="Y53" s="8">
        <f t="shared" si="48"/>
        <v>14.302658226852191</v>
      </c>
      <c r="Z53" s="33">
        <f t="shared" si="48"/>
        <v>10.417038299314029</v>
      </c>
      <c r="AA53" s="33">
        <f t="shared" si="48"/>
        <v>5.6422750626002616</v>
      </c>
      <c r="AB53" s="33">
        <f t="shared" si="48"/>
        <v>2.6767348916170213</v>
      </c>
      <c r="AC53" s="33">
        <f t="shared" si="48"/>
        <v>2.6494175543207339</v>
      </c>
      <c r="AD53" s="33">
        <f t="shared" si="48"/>
        <v>3.0101798791507028</v>
      </c>
      <c r="AE53" s="12">
        <f t="shared" si="48"/>
        <v>2.8529920508728668</v>
      </c>
      <c r="AF53" s="33">
        <f t="shared" si="48"/>
        <v>3.5255643514327932</v>
      </c>
      <c r="AG53" s="33">
        <f t="shared" si="48"/>
        <v>2.8995331079977342</v>
      </c>
      <c r="AH53" s="8">
        <f t="shared" si="48"/>
        <v>3.6443501846822821</v>
      </c>
    </row>
    <row r="54" spans="1:34" x14ac:dyDescent="0.25">
      <c r="A54" s="11"/>
      <c r="B54" s="6" t="s">
        <v>32</v>
      </c>
      <c r="C54" s="33">
        <f t="shared" ref="C54:H54" si="49">_xlfn.STDEV.S(C21,C15,C12,C18,C9,C6,C24,C27,C30,C36,C39,C42,C45)</f>
        <v>0.83036947690512952</v>
      </c>
      <c r="D54" s="33">
        <f t="shared" si="49"/>
        <v>0.43501442406454632</v>
      </c>
      <c r="E54" s="33">
        <f t="shared" si="49"/>
        <v>0.38291007431016921</v>
      </c>
      <c r="F54" s="33">
        <f t="shared" si="49"/>
        <v>0.3699793718687453</v>
      </c>
      <c r="G54" s="33">
        <f t="shared" si="49"/>
        <v>16.340504520429235</v>
      </c>
      <c r="H54" s="8">
        <f t="shared" si="49"/>
        <v>9.5690039602362624</v>
      </c>
      <c r="I54" s="33">
        <f t="shared" ref="I54:Q54" si="50">_xlfn.STDEV.S(I3,I33,I21,I15,I12,I18,I9,I6,I24,I27,I30,I36,I39,I42,I45)</f>
        <v>1.0512471843523843</v>
      </c>
      <c r="J54" s="33">
        <f t="shared" si="50"/>
        <v>0.4515995343625766</v>
      </c>
      <c r="K54" s="33">
        <f t="shared" si="50"/>
        <v>0.13535841979854377</v>
      </c>
      <c r="L54" s="33">
        <f t="shared" si="50"/>
        <v>0.17450083467494434</v>
      </c>
      <c r="M54" s="33">
        <f t="shared" si="50"/>
        <v>0.33227913696295058</v>
      </c>
      <c r="N54" s="12">
        <f t="shared" si="50"/>
        <v>0.33229172141298419</v>
      </c>
      <c r="O54" s="33">
        <f t="shared" si="50"/>
        <v>0.3878701615964274</v>
      </c>
      <c r="P54" s="33">
        <f t="shared" si="50"/>
        <v>0.27068306065623982</v>
      </c>
      <c r="Q54" s="8">
        <f t="shared" si="50"/>
        <v>0.45104437170481904</v>
      </c>
      <c r="S54" s="6" t="s">
        <v>32</v>
      </c>
      <c r="T54" s="32">
        <f t="shared" ref="T54:AH54" si="51">_xlfn.STDEV.P(T12,T15,T21,T24,T18,T9,T6,T3)</f>
        <v>14.004548413910843</v>
      </c>
      <c r="U54" s="33">
        <f t="shared" si="51"/>
        <v>10.90545557352949</v>
      </c>
      <c r="V54" s="33">
        <f t="shared" si="51"/>
        <v>8.4712601530493075</v>
      </c>
      <c r="W54" s="33">
        <f t="shared" si="51"/>
        <v>8.9270735812796254</v>
      </c>
      <c r="X54" s="33">
        <f t="shared" si="51"/>
        <v>57.106660592541452</v>
      </c>
      <c r="Y54" s="8">
        <f t="shared" si="51"/>
        <v>5.7691272707445824</v>
      </c>
      <c r="Z54" s="33">
        <f t="shared" si="51"/>
        <v>19.584923583014064</v>
      </c>
      <c r="AA54" s="33">
        <f t="shared" si="51"/>
        <v>7.952676419820401</v>
      </c>
      <c r="AB54" s="33">
        <f t="shared" si="51"/>
        <v>2.5047080216252233</v>
      </c>
      <c r="AC54" s="33">
        <f t="shared" si="51"/>
        <v>2.475860221483944</v>
      </c>
      <c r="AD54" s="33">
        <f t="shared" si="51"/>
        <v>6.9986723434587086</v>
      </c>
      <c r="AE54" s="12">
        <f t="shared" si="51"/>
        <v>2.6009321790465796</v>
      </c>
      <c r="AF54" s="33">
        <f t="shared" si="51"/>
        <v>8.0028578520426024</v>
      </c>
      <c r="AG54" s="33">
        <f t="shared" si="51"/>
        <v>2.8438796651757254</v>
      </c>
      <c r="AH54" s="8">
        <f t="shared" si="51"/>
        <v>8.4712138714645722</v>
      </c>
    </row>
    <row r="55" spans="1:34" ht="15.75" thickBot="1" x14ac:dyDescent="0.3">
      <c r="A55" s="11"/>
      <c r="B55" s="40" t="s">
        <v>33</v>
      </c>
      <c r="C55" s="33">
        <f t="shared" ref="C55:F55" si="52">_xlfn.STDEV.S(C22,C16,C13,C19,C10,C7,C25,C28,C31,C37,C40,C43,C46)</f>
        <v>20.803741644651737</v>
      </c>
      <c r="D55" s="33">
        <f t="shared" si="52"/>
        <v>18.00515572870281</v>
      </c>
      <c r="E55" s="33">
        <f t="shared" si="52"/>
        <v>50.430629288035192</v>
      </c>
      <c r="F55" s="33">
        <f t="shared" si="52"/>
        <v>42.637968876218828</v>
      </c>
      <c r="G55" s="33"/>
      <c r="H55" s="16"/>
      <c r="I55" s="33">
        <f t="shared" ref="I55:Q55" si="53">_xlfn.STDEV.S(I4,I34,I22,I16,I13,I19,I10,I7,I25,I28,I31,I37,I40,I43,I46)</f>
        <v>30.051256689076357</v>
      </c>
      <c r="J55" s="33">
        <f t="shared" si="53"/>
        <v>71.244469051160138</v>
      </c>
      <c r="K55" s="33">
        <f t="shared" si="53"/>
        <v>34.632874788008337</v>
      </c>
      <c r="L55" s="33">
        <f t="shared" si="53"/>
        <v>31.245668568036038</v>
      </c>
      <c r="M55" s="33">
        <f t="shared" si="53"/>
        <v>138.91174182109557</v>
      </c>
      <c r="N55" s="17">
        <f t="shared" si="53"/>
        <v>34.268682267591608</v>
      </c>
      <c r="O55" s="33">
        <f>_xlfn.STDEV.S(O4,O34,O22,O16,O13,O19,O10,O7,O25,O28,O31,O37,O40,O43,O46)</f>
        <v>267.76998620934444</v>
      </c>
      <c r="P55" s="33">
        <f t="shared" si="53"/>
        <v>38.172301654529363</v>
      </c>
      <c r="Q55" s="16">
        <f t="shared" si="53"/>
        <v>150.8125351605068</v>
      </c>
      <c r="S55" s="40" t="s">
        <v>33</v>
      </c>
      <c r="T55" s="24">
        <f>_xlfn.STDEV.P(T25,T22,T16,T13,T19,T10,T7,T4)</f>
        <v>19.547096551934988</v>
      </c>
      <c r="U55" s="15">
        <f>_xlfn.STDEV.P(U25,U22,U16,U13,U19,U10,U7,U4)</f>
        <v>20.96510582544682</v>
      </c>
      <c r="V55" s="15">
        <f>_xlfn.STDEV.P(V25,V22,V16,V13,V19,V10,V7,V4)</f>
        <v>39.563722030919237</v>
      </c>
      <c r="W55" s="15">
        <f>_xlfn.STDEV.P(W25,W22,W16,W13,W19,W10,W7,W4)</f>
        <v>28.313136461530654</v>
      </c>
      <c r="X55" s="15"/>
      <c r="Y55" s="16"/>
      <c r="Z55" s="15">
        <f t="shared" ref="Z55:AH55" si="54">_xlfn.STDEV.P(Z25,Z22,Z16,Z13,Z19,Z10,Z7,Z4)</f>
        <v>25.034109002454468</v>
      </c>
      <c r="AA55" s="15">
        <f t="shared" si="54"/>
        <v>70.1921039028813</v>
      </c>
      <c r="AB55" s="15">
        <f t="shared" si="54"/>
        <v>18.698832256542335</v>
      </c>
      <c r="AC55" s="15">
        <f t="shared" si="54"/>
        <v>12.0445112397303</v>
      </c>
      <c r="AD55" s="15">
        <f t="shared" si="54"/>
        <v>118.4306614332254</v>
      </c>
      <c r="AE55" s="17">
        <f t="shared" si="54"/>
        <v>26.21951228717769</v>
      </c>
      <c r="AF55" s="15">
        <f t="shared" si="54"/>
        <v>136.05398166322877</v>
      </c>
      <c r="AG55" s="15">
        <f t="shared" si="54"/>
        <v>36.29531894725465</v>
      </c>
      <c r="AH55" s="16">
        <f t="shared" si="54"/>
        <v>39.562851770819357</v>
      </c>
    </row>
    <row r="56" spans="1:34" ht="15.75" thickBot="1" x14ac:dyDescent="0.3">
      <c r="C56" s="63"/>
      <c r="D56" s="63"/>
      <c r="E56" s="63"/>
      <c r="F56" s="63"/>
      <c r="G56" s="63"/>
      <c r="H56" s="63"/>
      <c r="I56" s="63"/>
      <c r="J56" s="63"/>
      <c r="K56" s="63"/>
      <c r="L56" s="63"/>
      <c r="M56" s="63"/>
      <c r="N56" s="63"/>
      <c r="O56" s="63"/>
      <c r="P56" s="63"/>
      <c r="S56" s="41"/>
      <c r="T56" s="42"/>
      <c r="U56" s="42"/>
      <c r="V56" s="42"/>
      <c r="W56" s="42"/>
      <c r="X56" s="42"/>
      <c r="Y56" s="42"/>
      <c r="Z56" s="42"/>
      <c r="AA56" s="42"/>
      <c r="AB56" s="42"/>
      <c r="AC56" s="42"/>
      <c r="AD56" s="42"/>
      <c r="AE56" s="42"/>
      <c r="AF56" s="42"/>
      <c r="AG56" s="42"/>
      <c r="AH56" s="42"/>
    </row>
    <row r="57" spans="1:34" ht="30.75" thickBot="1" x14ac:dyDescent="0.3">
      <c r="A57" s="175" t="s">
        <v>376</v>
      </c>
      <c r="C57" s="3" t="s">
        <v>2</v>
      </c>
      <c r="D57" s="76" t="s">
        <v>3</v>
      </c>
      <c r="E57" s="76" t="s">
        <v>4</v>
      </c>
      <c r="F57" s="76" t="s">
        <v>5</v>
      </c>
      <c r="G57" s="76" t="s">
        <v>6</v>
      </c>
      <c r="H57" s="44" t="s">
        <v>7</v>
      </c>
      <c r="I57" s="76" t="s">
        <v>8</v>
      </c>
      <c r="J57" s="76" t="s">
        <v>9</v>
      </c>
      <c r="K57" s="76" t="s">
        <v>10</v>
      </c>
      <c r="L57" s="76" t="s">
        <v>11</v>
      </c>
      <c r="M57" s="76" t="s">
        <v>12</v>
      </c>
      <c r="N57" s="77" t="s">
        <v>13</v>
      </c>
      <c r="O57" s="76" t="s">
        <v>14</v>
      </c>
      <c r="P57" s="76" t="s">
        <v>15</v>
      </c>
      <c r="Q57" s="44" t="s">
        <v>16</v>
      </c>
      <c r="S57" s="6" t="s">
        <v>28</v>
      </c>
      <c r="T57" s="7">
        <v>38.509043478260871</v>
      </c>
      <c r="U57" s="7">
        <v>30.935217391304349</v>
      </c>
      <c r="V57" s="7">
        <v>16.656999999999996</v>
      </c>
      <c r="W57" s="7">
        <v>15.317272727272728</v>
      </c>
      <c r="X57" s="7">
        <v>16.79301818181818</v>
      </c>
      <c r="Y57" s="8">
        <v>6.0623045454545466</v>
      </c>
      <c r="Z57" s="7">
        <v>55.930869565217385</v>
      </c>
      <c r="AA57" s="7">
        <v>16.97650909090909</v>
      </c>
      <c r="AB57" s="7">
        <v>6.0907954545454546</v>
      </c>
      <c r="AC57" s="7">
        <v>5.9655826086956516</v>
      </c>
      <c r="AD57" s="7">
        <v>7.0906565217391293</v>
      </c>
      <c r="AE57" s="12">
        <v>12.485695454545453</v>
      </c>
      <c r="AF57" s="7">
        <v>8.0412681818181806</v>
      </c>
      <c r="AG57" s="7">
        <v>7.2758954545454539</v>
      </c>
      <c r="AH57" s="8">
        <v>16.656949999999998</v>
      </c>
    </row>
    <row r="58" spans="1:34" ht="15.75" thickTop="1" x14ac:dyDescent="0.25">
      <c r="B58" s="29" t="s">
        <v>28</v>
      </c>
      <c r="C58" s="7">
        <v>2.3518864070350451</v>
      </c>
      <c r="D58" s="7">
        <v>1.8601639796696379</v>
      </c>
      <c r="E58" s="7">
        <v>1.0168739828609845</v>
      </c>
      <c r="F58" s="7">
        <v>0.92725992322858486</v>
      </c>
      <c r="G58" s="7">
        <v>17.7486</v>
      </c>
      <c r="H58" s="10">
        <v>7.0584050000000023</v>
      </c>
      <c r="I58" s="7">
        <v>3.431385580340129</v>
      </c>
      <c r="J58" s="7">
        <v>1.0539709673861093</v>
      </c>
      <c r="K58" s="7">
        <v>0.3472104741042345</v>
      </c>
      <c r="L58" s="7">
        <v>0.34391725227952524</v>
      </c>
      <c r="M58" s="7">
        <v>0.42462456288892803</v>
      </c>
      <c r="N58" s="9">
        <v>0.790771277722501</v>
      </c>
      <c r="O58" s="7">
        <v>0.48124123234066946</v>
      </c>
      <c r="P58" s="7">
        <v>0.46220308541343291</v>
      </c>
      <c r="Q58" s="10">
        <v>1.0168711424594858</v>
      </c>
      <c r="S58" s="6" t="s">
        <v>29</v>
      </c>
      <c r="T58" s="7">
        <v>48.302043478260877</v>
      </c>
      <c r="U58" s="7">
        <v>36.448086956521735</v>
      </c>
      <c r="V58" s="7">
        <v>24.847318181818185</v>
      </c>
      <c r="W58" s="7">
        <v>23.667818181818181</v>
      </c>
      <c r="X58" s="7">
        <v>23.900504347826086</v>
      </c>
      <c r="Y58" s="8">
        <v>3.8601818181818177</v>
      </c>
      <c r="Z58" s="7">
        <v>64.177730434782617</v>
      </c>
      <c r="AA58" s="7">
        <v>15.832478260869564</v>
      </c>
      <c r="AB58" s="7">
        <v>6.0439590909090901</v>
      </c>
      <c r="AC58" s="7">
        <v>6.4575217391304349</v>
      </c>
      <c r="AD58" s="7">
        <v>13.219591304347828</v>
      </c>
      <c r="AE58" s="12">
        <v>11.11825</v>
      </c>
      <c r="AF58" s="7">
        <v>17.210290909090904</v>
      </c>
      <c r="AG58" s="7">
        <v>6.7832904761904773</v>
      </c>
      <c r="AH58" s="8">
        <v>24.847190909090909</v>
      </c>
    </row>
    <row r="59" spans="1:34" x14ac:dyDescent="0.25">
      <c r="B59" s="6" t="s">
        <v>29</v>
      </c>
      <c r="C59" s="7">
        <v>2.9726277093463245</v>
      </c>
      <c r="D59" s="7">
        <v>2.1990694801225907</v>
      </c>
      <c r="E59" s="7">
        <v>1.5078555421293989</v>
      </c>
      <c r="F59" s="7">
        <v>1.4255452933530057</v>
      </c>
      <c r="G59" s="7">
        <v>24.257138095238094</v>
      </c>
      <c r="H59" s="8">
        <v>4.4206999999999992</v>
      </c>
      <c r="I59" s="7">
        <v>3.9538969250335834</v>
      </c>
      <c r="J59" s="7">
        <v>0.98128220965724444</v>
      </c>
      <c r="K59" s="7">
        <v>0.34748370538045104</v>
      </c>
      <c r="L59" s="7">
        <v>0.36821237896605136</v>
      </c>
      <c r="M59" s="7">
        <v>0.79090238941973301</v>
      </c>
      <c r="N59" s="12">
        <v>0.7430542723252167</v>
      </c>
      <c r="O59" s="7">
        <v>1.0387375758455122</v>
      </c>
      <c r="P59" s="7">
        <v>0.41893122251422893</v>
      </c>
      <c r="Q59" s="8">
        <v>1.5078470408835616</v>
      </c>
      <c r="S59" s="43" t="s">
        <v>34</v>
      </c>
      <c r="T59" s="35">
        <v>19.744967227717357</v>
      </c>
      <c r="U59" s="35">
        <v>12.929061252812712</v>
      </c>
      <c r="V59" s="35">
        <v>35.659543298503408</v>
      </c>
      <c r="W59" s="35">
        <v>43.300770037206192</v>
      </c>
      <c r="X59" s="35"/>
      <c r="Y59" s="36"/>
      <c r="Z59" s="35">
        <v>10.137425602022006</v>
      </c>
      <c r="AA59" s="35">
        <v>-11.349021305084666</v>
      </c>
      <c r="AB59" s="35">
        <v>-0.53484515846737513</v>
      </c>
      <c r="AC59" s="35">
        <v>2.6451988604960937</v>
      </c>
      <c r="AD59" s="35">
        <v>66.665302620966855</v>
      </c>
      <c r="AE59" s="37">
        <v>-14.028527589120625</v>
      </c>
      <c r="AF59" s="35">
        <v>91.256016687690177</v>
      </c>
      <c r="AG59" s="35">
        <v>-6.5431233894477892</v>
      </c>
      <c r="AH59" s="36">
        <v>35.658735419083094</v>
      </c>
    </row>
    <row r="60" spans="1:34" x14ac:dyDescent="0.25">
      <c r="B60" s="43" t="s">
        <v>34</v>
      </c>
      <c r="C60" s="39">
        <v>27.593408318294276</v>
      </c>
      <c r="D60" s="35">
        <v>17.866394659152313</v>
      </c>
      <c r="E60" s="35">
        <v>53.857101930196244</v>
      </c>
      <c r="F60" s="35">
        <v>59.324022951122835</v>
      </c>
      <c r="G60" s="35"/>
      <c r="H60" s="36"/>
      <c r="I60" s="35">
        <v>14.979734240988353</v>
      </c>
      <c r="J60" s="35">
        <v>-9.4921714105800969</v>
      </c>
      <c r="K60" s="35">
        <v>3.4024219669248077</v>
      </c>
      <c r="L60" s="35">
        <v>6.6346812213918422</v>
      </c>
      <c r="M60" s="35">
        <v>94.082358940546314</v>
      </c>
      <c r="N60" s="37">
        <v>4.9914162792126469</v>
      </c>
      <c r="O60" s="35">
        <v>125.84173918651236</v>
      </c>
      <c r="P60" s="35">
        <v>-4.491012814722092</v>
      </c>
      <c r="Q60" s="36">
        <v>53.856570298485849</v>
      </c>
      <c r="S60" s="6" t="s">
        <v>31</v>
      </c>
      <c r="T60" s="7">
        <v>8.8567321067971037</v>
      </c>
      <c r="U60" s="7">
        <v>8.3251242608550537</v>
      </c>
      <c r="V60" s="7">
        <v>6.037636573386159</v>
      </c>
      <c r="W60" s="7">
        <v>5.396310647393701</v>
      </c>
      <c r="X60" s="7">
        <v>14.097616359691241</v>
      </c>
      <c r="Y60" s="8">
        <v>15.658147707740367</v>
      </c>
      <c r="Z60" s="7">
        <v>10.579647082386577</v>
      </c>
      <c r="AA60" s="7">
        <v>6.6916315307351786</v>
      </c>
      <c r="AB60" s="7">
        <v>3.3371686996376542</v>
      </c>
      <c r="AC60" s="7">
        <v>2.3698018888673702</v>
      </c>
      <c r="AD60" s="7">
        <v>3.1494424347319137</v>
      </c>
      <c r="AE60" s="12">
        <v>4.365833366540584</v>
      </c>
      <c r="AF60" s="7">
        <v>3.4319386044965907</v>
      </c>
      <c r="AG60" s="7">
        <v>3.3712896925054703</v>
      </c>
      <c r="AH60" s="8">
        <v>6.037688894055897</v>
      </c>
    </row>
    <row r="61" spans="1:34" x14ac:dyDescent="0.25">
      <c r="B61" s="6" t="s">
        <v>31</v>
      </c>
      <c r="C61" s="7">
        <v>0.52695270592283383</v>
      </c>
      <c r="D61" s="7">
        <v>0.50281470686889929</v>
      </c>
      <c r="E61" s="7">
        <v>0.3501258033206105</v>
      </c>
      <c r="F61" s="7">
        <v>0.319655879444872</v>
      </c>
      <c r="G61" s="7">
        <v>14.558333165358162</v>
      </c>
      <c r="H61" s="8">
        <v>16.473626163322052</v>
      </c>
      <c r="I61" s="7">
        <v>0.70538706921235295</v>
      </c>
      <c r="J61" s="7">
        <v>0.48390628212125358</v>
      </c>
      <c r="K61" s="7">
        <v>0.16621144812573979</v>
      </c>
      <c r="L61" s="7">
        <v>0.11226151498097181</v>
      </c>
      <c r="M61" s="7">
        <v>0.17028480697752854</v>
      </c>
      <c r="N61" s="12">
        <v>0.37615417370032889</v>
      </c>
      <c r="O61" s="7">
        <v>0.20249392130009969</v>
      </c>
      <c r="P61" s="7">
        <v>0.23171251234090834</v>
      </c>
      <c r="Q61" s="8">
        <v>0.35013277364303352</v>
      </c>
      <c r="S61" s="6" t="s">
        <v>32</v>
      </c>
      <c r="T61" s="7">
        <v>13.333147103976621</v>
      </c>
      <c r="U61" s="7">
        <v>12.631393472529126</v>
      </c>
      <c r="V61" s="7">
        <v>9.4500737695233248</v>
      </c>
      <c r="W61" s="7">
        <v>8.9129790770096005</v>
      </c>
      <c r="X61" s="7">
        <v>13.075570836379956</v>
      </c>
      <c r="Y61" s="8">
        <v>10.797076382719801</v>
      </c>
      <c r="Z61" s="7">
        <v>13.934689974859648</v>
      </c>
      <c r="AA61" s="7">
        <v>6.6621780598011577</v>
      </c>
      <c r="AB61" s="7">
        <v>2.8559419890956086</v>
      </c>
      <c r="AC61" s="7">
        <v>2.9871056778529219</v>
      </c>
      <c r="AD61" s="7">
        <v>6.9810091042273879</v>
      </c>
      <c r="AE61" s="12">
        <v>4.6984463845489124</v>
      </c>
      <c r="AF61" s="7">
        <v>7.3284160395482179</v>
      </c>
      <c r="AG61" s="7">
        <v>2.6290055980303655</v>
      </c>
      <c r="AH61" s="8">
        <v>9.4501180875919868</v>
      </c>
    </row>
    <row r="62" spans="1:34" ht="15.75" thickBot="1" x14ac:dyDescent="0.3">
      <c r="B62" s="6" t="s">
        <v>32</v>
      </c>
      <c r="C62" s="7">
        <v>0.65540282966045404</v>
      </c>
      <c r="D62" s="7">
        <v>0.60612143790650264</v>
      </c>
      <c r="E62" s="7">
        <v>0.4717890343379792</v>
      </c>
      <c r="F62" s="7">
        <v>0.44532937888458368</v>
      </c>
      <c r="G62" s="7">
        <v>13.951393907626693</v>
      </c>
      <c r="H62" s="8">
        <v>11.484300445586703</v>
      </c>
      <c r="I62" s="7">
        <v>0.88339061896179616</v>
      </c>
      <c r="J62" s="7">
        <v>0.54070917699258203</v>
      </c>
      <c r="K62" s="7">
        <v>0.1400432485961304</v>
      </c>
      <c r="L62" s="7">
        <v>0.13162446120242335</v>
      </c>
      <c r="M62" s="7">
        <v>0.32952625615136144</v>
      </c>
      <c r="N62" s="12">
        <v>0.33061994799152267</v>
      </c>
      <c r="O62" s="7">
        <v>0.39148147975173031</v>
      </c>
      <c r="P62" s="7">
        <v>0.14940105228151446</v>
      </c>
      <c r="Q62" s="8">
        <v>0.47179812630805551</v>
      </c>
      <c r="S62" s="40" t="s">
        <v>33</v>
      </c>
      <c r="T62" s="24">
        <v>19.972167594140327</v>
      </c>
      <c r="U62" s="15">
        <v>16.615029662718182</v>
      </c>
      <c r="V62" s="15">
        <v>22.539507749598812</v>
      </c>
      <c r="W62" s="15">
        <v>31.616048684196105</v>
      </c>
      <c r="X62" s="15"/>
      <c r="Y62" s="16"/>
      <c r="Z62" s="15">
        <v>15.431726094295676</v>
      </c>
      <c r="AA62" s="15">
        <v>28.525733513754655</v>
      </c>
      <c r="AB62" s="15">
        <v>16.535616393189969</v>
      </c>
      <c r="AC62" s="15">
        <v>16.362437980118671</v>
      </c>
      <c r="AD62" s="15">
        <v>49.148753353232799</v>
      </c>
      <c r="AE62" s="17">
        <v>22.677389578918458</v>
      </c>
      <c r="AF62" s="15">
        <v>51.052932177624811</v>
      </c>
      <c r="AG62" s="15">
        <v>36.921064081927781</v>
      </c>
      <c r="AH62" s="16">
        <v>22.537210913359559</v>
      </c>
    </row>
    <row r="63" spans="1:34" ht="15.75" thickBot="1" x14ac:dyDescent="0.3">
      <c r="B63" s="40" t="s">
        <v>33</v>
      </c>
      <c r="C63" s="24">
        <v>27.294548724310971</v>
      </c>
      <c r="D63" s="15">
        <v>18.406202838769889</v>
      </c>
      <c r="E63" s="15">
        <v>47.900666471780696</v>
      </c>
      <c r="F63" s="15">
        <v>45.585298932944859</v>
      </c>
      <c r="G63" s="15" t="s">
        <v>27</v>
      </c>
      <c r="H63" s="16"/>
      <c r="I63" s="15">
        <v>14.848089005587166</v>
      </c>
      <c r="J63" s="15">
        <v>26.976528730855065</v>
      </c>
      <c r="K63" s="15">
        <v>15.438430622802706</v>
      </c>
      <c r="L63" s="15">
        <v>17.545750192422997</v>
      </c>
      <c r="M63" s="15">
        <v>80.720638429129309</v>
      </c>
      <c r="N63" s="17">
        <v>52.938430081952681</v>
      </c>
      <c r="O63" s="15">
        <v>80.173291965198459</v>
      </c>
      <c r="P63" s="15">
        <v>32.26803628273445</v>
      </c>
      <c r="Q63" s="16">
        <v>47.900799340885122</v>
      </c>
    </row>
  </sheetData>
  <mergeCells count="5">
    <mergeCell ref="B14:B16"/>
    <mergeCell ref="B23:B25"/>
    <mergeCell ref="B26:B28"/>
    <mergeCell ref="B38:B40"/>
    <mergeCell ref="B44:B46"/>
  </mergeCells>
  <conditionalFormatting sqref="T7:AH7 T10:AH10 T13:AH13 T16:AH16 T19:AH19 T22:AH22 T25:AH25 T4:AH4">
    <cfRule type="colorScale" priority="28">
      <colorScale>
        <cfvo type="num" val="-100"/>
        <cfvo type="num" val="0"/>
        <cfvo type="num" val="100"/>
        <color rgb="FFF8696B"/>
        <color theme="0"/>
        <color rgb="FF63BE7B"/>
      </colorScale>
    </cfRule>
  </conditionalFormatting>
  <conditionalFormatting sqref="T52:AH52">
    <cfRule type="colorScale" priority="27">
      <colorScale>
        <cfvo type="num" val="-100"/>
        <cfvo type="num" val="0"/>
        <cfvo type="num" val="100"/>
        <color rgb="FFF8696B"/>
        <color theme="0"/>
        <color rgb="FF63BE7B"/>
      </colorScale>
    </cfRule>
  </conditionalFormatting>
  <conditionalFormatting sqref="T59:AH59">
    <cfRule type="colorScale" priority="26">
      <colorScale>
        <cfvo type="num" val="-100"/>
        <cfvo type="num" val="0"/>
        <cfvo type="num" val="100"/>
        <color rgb="FFF8696B"/>
        <color theme="0"/>
        <color rgb="FF63BE7B"/>
      </colorScale>
    </cfRule>
  </conditionalFormatting>
  <conditionalFormatting sqref="T28:AH28">
    <cfRule type="colorScale" priority="25">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24">
      <colorScale>
        <cfvo type="num" val="-100"/>
        <cfvo type="num" val="0"/>
        <cfvo type="num" val="100"/>
        <color rgb="FFF8696B"/>
        <color theme="0"/>
        <color rgb="FF63BE7B"/>
      </colorScale>
    </cfRule>
  </conditionalFormatting>
  <conditionalFormatting sqref="C4:F4 I4:Q4">
    <cfRule type="colorScale" priority="23">
      <colorScale>
        <cfvo type="num" val="-100"/>
        <cfvo type="num" val="0"/>
        <cfvo type="num" val="100"/>
        <color rgb="FFF8696B"/>
        <color theme="0"/>
        <color rgb="FF63BE7B"/>
      </colorScale>
    </cfRule>
  </conditionalFormatting>
  <conditionalFormatting sqref="R27">
    <cfRule type="colorScale" priority="22">
      <colorScale>
        <cfvo type="num" val="-100"/>
        <cfvo type="num" val="0"/>
        <cfvo type="num" val="100"/>
        <color rgb="FFF8696B"/>
        <color theme="0"/>
        <color rgb="FF63BE7B"/>
      </colorScale>
    </cfRule>
  </conditionalFormatting>
  <conditionalFormatting sqref="G28:H28">
    <cfRule type="colorScale" priority="18">
      <colorScale>
        <cfvo type="num" val="-100"/>
        <cfvo type="num" val="0"/>
        <cfvo type="num" val="100"/>
        <color rgb="FFF8696B"/>
        <color theme="0"/>
        <color rgb="FF63BE7B"/>
      </colorScale>
    </cfRule>
  </conditionalFormatting>
  <conditionalFormatting sqref="G7:H7 G10:H10 G13:H13 G16:H16 G19:H19 G22:H22 G25:H25 G4:H4">
    <cfRule type="colorScale" priority="19">
      <colorScale>
        <cfvo type="num" val="-100"/>
        <cfvo type="num" val="0"/>
        <cfvo type="num" val="100"/>
        <color rgb="FFF8696B"/>
        <color theme="0"/>
        <color rgb="FF63BE7B"/>
      </colorScale>
    </cfRule>
  </conditionalFormatting>
  <conditionalFormatting sqref="T37:AH37 T34:AH34 T31:AH31">
    <cfRule type="colorScale" priority="17">
      <colorScale>
        <cfvo type="num" val="-100"/>
        <cfvo type="num" val="0"/>
        <cfvo type="num" val="100"/>
        <color rgb="FFF8696B"/>
        <color theme="0"/>
        <color rgb="FF63BE7B"/>
      </colorScale>
    </cfRule>
  </conditionalFormatting>
  <conditionalFormatting sqref="C37:F37 C34:F34 C31:F31 I31:Q31 I34:Q34 I37:Q37">
    <cfRule type="colorScale" priority="16">
      <colorScale>
        <cfvo type="num" val="-100"/>
        <cfvo type="num" val="0"/>
        <cfvo type="num" val="100"/>
        <color rgb="FFF8696B"/>
        <color theme="0"/>
        <color rgb="FF63BE7B"/>
      </colorScale>
    </cfRule>
  </conditionalFormatting>
  <conditionalFormatting sqref="G37:H37 G34:H34 G31:H31">
    <cfRule type="colorScale" priority="15">
      <colorScale>
        <cfvo type="num" val="-100"/>
        <cfvo type="num" val="0"/>
        <cfvo type="num" val="100"/>
        <color rgb="FFF8696B"/>
        <color theme="0"/>
        <color rgb="FF63BE7B"/>
      </colorScale>
    </cfRule>
  </conditionalFormatting>
  <conditionalFormatting sqref="T40:AH40 T43:AH43 T46:AH4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fRule type="colorScale" priority="13">
      <colorScale>
        <cfvo type="num" val="-50"/>
        <cfvo type="num" val="0"/>
        <cfvo type="num" val="50"/>
        <color rgb="FFFF0000"/>
        <color rgb="FFFFEB84"/>
        <color rgb="FF00B050"/>
      </colorScale>
    </cfRule>
  </conditionalFormatting>
  <conditionalFormatting sqref="Z43:AH43">
    <cfRule type="colorScale" priority="14">
      <colorScale>
        <cfvo type="min"/>
        <cfvo type="percentile" val="50"/>
        <cfvo type="max"/>
        <color rgb="FFF8696B"/>
        <color rgb="FFFCFCFF"/>
        <color rgb="FF63BE7B"/>
      </colorScale>
    </cfRule>
  </conditionalFormatting>
  <conditionalFormatting sqref="C40:F40 C43:F43 I40:Q40 I43:Q43 I46:Q46 C46:F46">
    <cfRule type="colorScale" priority="10">
      <colorScale>
        <cfvo type="num" val="-100"/>
        <cfvo type="num" val="0"/>
        <cfvo type="num" val="100"/>
        <color rgb="FFF8696B"/>
        <color theme="0"/>
        <color rgb="FF63BE7B"/>
      </colorScale>
    </cfRule>
  </conditionalFormatting>
  <conditionalFormatting sqref="G40:H40 G43:H43 G46:H46">
    <cfRule type="colorScale" priority="7">
      <colorScale>
        <cfvo type="num" val="-100"/>
        <cfvo type="num" val="0"/>
        <cfvo type="num" val="100"/>
        <color rgb="FFF8696B"/>
        <color theme="0"/>
        <color rgb="FF63BE7B"/>
      </colorScale>
    </cfRule>
    <cfRule type="colorScale" priority="8">
      <colorScale>
        <cfvo type="num" val="-100"/>
        <cfvo type="num" val="0"/>
        <cfvo type="num" val="100"/>
        <color rgb="FFF8696B"/>
        <color rgb="FFFFEB84"/>
        <color rgb="FF63BE7B"/>
      </colorScale>
    </cfRule>
    <cfRule type="colorScale" priority="9">
      <colorScale>
        <cfvo type="num" val="-50"/>
        <cfvo type="num" val="0"/>
        <cfvo type="num" val="50"/>
        <color rgb="FFFF0000"/>
        <color rgb="FFFFEB84"/>
        <color rgb="FF00B050"/>
      </colorScale>
    </cfRule>
  </conditionalFormatting>
  <conditionalFormatting sqref="C52:H52">
    <cfRule type="colorScale" priority="5">
      <colorScale>
        <cfvo type="num" val="-100"/>
        <cfvo type="num" val="0"/>
        <cfvo type="num" val="100"/>
        <color rgb="FFF8696B"/>
        <color theme="0"/>
        <color rgb="FF63BE7B"/>
      </colorScale>
    </cfRule>
  </conditionalFormatting>
  <conditionalFormatting sqref="I52:Q52">
    <cfRule type="colorScale" priority="3">
      <colorScale>
        <cfvo type="num" val="-100"/>
        <cfvo type="num" val="0"/>
        <cfvo type="num" val="100"/>
        <color rgb="FFF8696B"/>
        <color theme="0"/>
        <color rgb="FF63BE7B"/>
      </colorScale>
    </cfRule>
  </conditionalFormatting>
  <conditionalFormatting sqref="C60:Q60">
    <cfRule type="colorScale" priority="1">
      <colorScale>
        <cfvo type="num" val="-100"/>
        <cfvo type="num" val="0"/>
        <cfvo type="num" val="100"/>
        <color rgb="FFF8696B"/>
        <color theme="0"/>
        <color rgb="FF63BE7B"/>
      </colorScale>
    </cfRule>
    <cfRule type="colorScale" priority="2">
      <colorScale>
        <cfvo type="num" val="-100"/>
        <cfvo type="num" val="0"/>
        <cfvo type="num" val="100"/>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topLeftCell="B1" workbookViewId="0">
      <selection activeCell="A11" sqref="A11:XFD11"/>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57</v>
      </c>
      <c r="S1" s="46" t="s">
        <v>18</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t="s">
        <v>58</v>
      </c>
      <c r="B2" s="65"/>
      <c r="C2" s="7">
        <v>0.13146202320047184</v>
      </c>
      <c r="D2" s="7">
        <v>0.14079746608818527</v>
      </c>
      <c r="E2" s="7">
        <v>8.1322783501172891E-2</v>
      </c>
      <c r="F2" s="7">
        <v>5.7550631985070065E-2</v>
      </c>
      <c r="G2" s="20">
        <v>-7.1021999999999998</v>
      </c>
      <c r="H2" s="66">
        <v>29.229199999999999</v>
      </c>
      <c r="I2" s="7">
        <v>1.7861835155537795</v>
      </c>
      <c r="J2" s="7">
        <v>0.47155695443523915</v>
      </c>
      <c r="K2" s="7">
        <v>0.21594303449891186</v>
      </c>
      <c r="L2" s="7">
        <v>0.28048733725748931</v>
      </c>
      <c r="M2" s="7">
        <v>0.31282910888882198</v>
      </c>
      <c r="N2" s="9">
        <v>0.59872783846427391</v>
      </c>
      <c r="O2" s="7">
        <v>0.31833543791411734</v>
      </c>
      <c r="P2" s="7">
        <v>0.25719619839187197</v>
      </c>
      <c r="Q2" s="8">
        <v>0.81323416412555116</v>
      </c>
      <c r="S2" s="7">
        <v>63.291138221786056</v>
      </c>
      <c r="T2" s="25">
        <v>2.0771000000000002</v>
      </c>
      <c r="U2" s="25">
        <v>2.2246000000000001</v>
      </c>
      <c r="V2" s="25">
        <v>1.2848999999999999</v>
      </c>
      <c r="W2" s="25">
        <v>0.9093</v>
      </c>
      <c r="X2" s="25">
        <v>-7.1021999999999998</v>
      </c>
      <c r="Y2" s="67">
        <v>29.229199999999999</v>
      </c>
      <c r="Z2" s="25">
        <v>28.221699999999998</v>
      </c>
      <c r="AA2" s="25">
        <v>7.4505999999999997</v>
      </c>
      <c r="AB2" s="25">
        <v>3.4119000000000002</v>
      </c>
      <c r="AC2" s="25">
        <v>4.4317000000000002</v>
      </c>
      <c r="AD2" s="25">
        <v>4.9427000000000003</v>
      </c>
      <c r="AE2" s="25">
        <v>9.4598999999999993</v>
      </c>
      <c r="AF2" s="25">
        <v>5.0297000000000001</v>
      </c>
      <c r="AG2" s="25">
        <v>4.0636999999999999</v>
      </c>
      <c r="AH2" s="25">
        <v>12.8491</v>
      </c>
    </row>
    <row r="3" spans="1:34" x14ac:dyDescent="0.25">
      <c r="A3" t="s">
        <v>59</v>
      </c>
      <c r="B3" s="68"/>
      <c r="C3" s="7">
        <v>0.18796363473403438</v>
      </c>
      <c r="D3" s="7">
        <v>0.17602499847390329</v>
      </c>
      <c r="E3" s="7">
        <v>0.16197272586846054</v>
      </c>
      <c r="F3" s="7">
        <v>0.15620454410028756</v>
      </c>
      <c r="G3" s="20">
        <v>6.3514999999999997</v>
      </c>
      <c r="H3" s="22">
        <v>3.5602999999999998</v>
      </c>
      <c r="I3" s="7">
        <v>3.3604499708656626</v>
      </c>
      <c r="J3" s="7">
        <v>1.4807931689800415</v>
      </c>
      <c r="K3" s="7">
        <v>0.23623636158824807</v>
      </c>
      <c r="L3" s="7">
        <v>0.25930908866094005</v>
      </c>
      <c r="M3" s="7">
        <v>0.76570226608880809</v>
      </c>
      <c r="N3" s="12">
        <v>0.49902272294631372</v>
      </c>
      <c r="O3" s="7">
        <v>0.97866817333335121</v>
      </c>
      <c r="P3" s="7">
        <v>0.58337726766952447</v>
      </c>
      <c r="Q3" s="8">
        <v>1.6197068041393283</v>
      </c>
      <c r="S3" s="8">
        <v>68.181817590697321</v>
      </c>
      <c r="T3" s="25">
        <v>2.7568000000000001</v>
      </c>
      <c r="U3" s="25">
        <v>2.5817000000000001</v>
      </c>
      <c r="V3" s="25">
        <v>2.3755999999999999</v>
      </c>
      <c r="W3" s="25">
        <v>2.2909999999999999</v>
      </c>
      <c r="X3" s="25">
        <v>6.3514999999999997</v>
      </c>
      <c r="Y3" s="25">
        <v>3.5602999999999998</v>
      </c>
      <c r="Z3" s="25">
        <v>49.2866</v>
      </c>
      <c r="AA3" s="25">
        <v>21.718299999999999</v>
      </c>
      <c r="AB3" s="25">
        <v>3.4647999999999999</v>
      </c>
      <c r="AC3" s="25">
        <v>3.8031999999999999</v>
      </c>
      <c r="AD3" s="25">
        <v>11.2303</v>
      </c>
      <c r="AE3" s="25">
        <v>7.319</v>
      </c>
      <c r="AF3" s="25">
        <v>14.3538</v>
      </c>
      <c r="AG3" s="25">
        <v>8.5562000000000005</v>
      </c>
      <c r="AH3" s="25">
        <v>23.755700000000001</v>
      </c>
    </row>
    <row r="4" spans="1:34" ht="15.75" thickBot="1" x14ac:dyDescent="0.3">
      <c r="A4" s="53" t="s">
        <v>22</v>
      </c>
      <c r="B4" s="60"/>
      <c r="C4" s="15">
        <f>(C3-C2)/C2*100</f>
        <v>42.979417293312835</v>
      </c>
      <c r="D4" s="15">
        <f>(D3-D2)/D2*100</f>
        <v>25.020004524551641</v>
      </c>
      <c r="E4" s="15">
        <f>(E3-E2)/E2*100</f>
        <v>99.172628991633644</v>
      </c>
      <c r="F4" s="15">
        <f>(F3-F2)/F2*100</f>
        <v>171.42107516874972</v>
      </c>
      <c r="G4" s="15"/>
      <c r="H4" s="16"/>
      <c r="I4" s="15">
        <f t="shared" ref="I4:Q4" si="0">(I3-I2)/I2*100</f>
        <v>88.13576217692308</v>
      </c>
      <c r="J4" s="15">
        <f t="shared" si="0"/>
        <v>214.02212501637595</v>
      </c>
      <c r="K4" s="15">
        <f t="shared" si="0"/>
        <v>9.3975372423686405</v>
      </c>
      <c r="L4" s="15">
        <f t="shared" si="0"/>
        <v>-7.5505186093686243</v>
      </c>
      <c r="M4" s="15">
        <f t="shared" si="0"/>
        <v>144.76694921665208</v>
      </c>
      <c r="N4" s="17">
        <f t="shared" si="0"/>
        <v>-16.652827731161125</v>
      </c>
      <c r="O4" s="15">
        <f t="shared" si="0"/>
        <v>207.43299575631377</v>
      </c>
      <c r="P4" s="15">
        <f t="shared" si="0"/>
        <v>126.82188590543359</v>
      </c>
      <c r="Q4" s="16">
        <f t="shared" si="0"/>
        <v>99.168563691732686</v>
      </c>
      <c r="S4" s="11"/>
      <c r="T4" s="15">
        <f>(T3-T2)/T2*100</f>
        <v>32.723508738144524</v>
      </c>
      <c r="U4" s="15">
        <f>(U3-U2)/U2*100</f>
        <v>16.052324013305761</v>
      </c>
      <c r="V4" s="15">
        <f>(V3-V2)/V2*100</f>
        <v>84.885983345007403</v>
      </c>
      <c r="W4" s="15">
        <f>(W3-W2)/W2*100</f>
        <v>151.9520510282635</v>
      </c>
      <c r="X4" s="15"/>
      <c r="Y4" s="16"/>
      <c r="Z4" s="15">
        <f t="shared" ref="Z4:AH4" si="1">(Z3-Z2)/Z2*100</f>
        <v>74.640790597306335</v>
      </c>
      <c r="AA4" s="15">
        <f t="shared" si="1"/>
        <v>191.49732907416853</v>
      </c>
      <c r="AB4" s="15">
        <f t="shared" si="1"/>
        <v>1.5504557577889071</v>
      </c>
      <c r="AC4" s="15">
        <f t="shared" si="1"/>
        <v>-14.181916645982358</v>
      </c>
      <c r="AD4" s="15">
        <f t="shared" si="1"/>
        <v>127.20982458979908</v>
      </c>
      <c r="AE4" s="17">
        <f t="shared" si="1"/>
        <v>-22.631317455787052</v>
      </c>
      <c r="AF4" s="15">
        <f t="shared" si="1"/>
        <v>185.38083782332941</v>
      </c>
      <c r="AG4" s="15">
        <f t="shared" si="1"/>
        <v>110.55196003642003</v>
      </c>
      <c r="AH4" s="16">
        <f t="shared" si="1"/>
        <v>84.882209648924828</v>
      </c>
    </row>
    <row r="5" spans="1:34" x14ac:dyDescent="0.25">
      <c r="A5" s="276" t="s">
        <v>60</v>
      </c>
      <c r="B5" s="352"/>
      <c r="C5" s="7">
        <v>2.8513640109799336</v>
      </c>
      <c r="D5" s="7">
        <v>2.7796464028381926</v>
      </c>
      <c r="E5" s="7">
        <v>0.12198639497740102</v>
      </c>
      <c r="F5" s="7">
        <v>0.2082650339212983</v>
      </c>
      <c r="G5" s="20">
        <v>2.5169999999999999</v>
      </c>
      <c r="H5" s="19">
        <v>-70.718599999999995</v>
      </c>
      <c r="I5" s="7">
        <v>4.0702068760213441</v>
      </c>
      <c r="J5" s="7">
        <v>1.218818697355432</v>
      </c>
      <c r="K5" s="7">
        <v>0.35157336985339216</v>
      </c>
      <c r="L5" s="7">
        <v>0.52301289226467262</v>
      </c>
      <c r="M5" s="7">
        <v>0.79293573503908521</v>
      </c>
      <c r="N5" s="28">
        <v>1.112100237995064</v>
      </c>
      <c r="O5" s="7">
        <v>0.64092099023317095</v>
      </c>
      <c r="P5" s="7">
        <v>-0.43266199823336726</v>
      </c>
      <c r="Q5" s="8">
        <v>0.12199243689889568</v>
      </c>
      <c r="R5" s="355" t="s">
        <v>438</v>
      </c>
      <c r="S5" s="8">
        <v>60.419214946706788</v>
      </c>
      <c r="T5" s="20">
        <v>47.192999999999998</v>
      </c>
      <c r="U5" s="20">
        <v>46.006</v>
      </c>
      <c r="V5" s="20">
        <v>2.0190000000000001</v>
      </c>
      <c r="W5" s="20">
        <v>3.4470000000000001</v>
      </c>
      <c r="X5" s="20">
        <v>2.5169999999999999</v>
      </c>
      <c r="Y5" s="8">
        <v>-70.718599999999995</v>
      </c>
      <c r="Z5" s="7">
        <v>67.366100000000003</v>
      </c>
      <c r="AA5" s="7">
        <v>20.172699999999999</v>
      </c>
      <c r="AB5" s="7">
        <v>5.8189000000000002</v>
      </c>
      <c r="AC5" s="7">
        <v>8.6563999999999997</v>
      </c>
      <c r="AD5" s="7">
        <v>13.123900000000001</v>
      </c>
      <c r="AE5" s="70">
        <v>18.406400000000001</v>
      </c>
      <c r="AF5" s="7">
        <v>10.607900000000001</v>
      </c>
      <c r="AG5" s="7">
        <v>-7.1609999999999996</v>
      </c>
      <c r="AH5" s="8">
        <v>2.0190999999999999</v>
      </c>
    </row>
    <row r="6" spans="1:34" x14ac:dyDescent="0.25">
      <c r="A6" s="54" t="s">
        <v>61</v>
      </c>
      <c r="B6" s="353"/>
      <c r="C6" s="7">
        <v>3.2169173679808036</v>
      </c>
      <c r="D6" s="7">
        <v>2.8264962914909724</v>
      </c>
      <c r="E6" s="7">
        <v>0.27836173375539047</v>
      </c>
      <c r="F6" s="7">
        <v>0.23149948901542575</v>
      </c>
      <c r="G6" s="20">
        <v>12.137</v>
      </c>
      <c r="H6" s="8">
        <v>16.843900000000001</v>
      </c>
      <c r="I6" s="7">
        <v>4.3402170899589425</v>
      </c>
      <c r="J6" s="7">
        <v>1.1232880064169544</v>
      </c>
      <c r="K6" s="7">
        <v>0.3864963634928591</v>
      </c>
      <c r="L6" s="7">
        <v>0.42883054383482477</v>
      </c>
      <c r="M6" s="7">
        <v>0.56716789030720061</v>
      </c>
      <c r="N6" s="12">
        <v>1.4439897782949032</v>
      </c>
      <c r="O6" s="7">
        <v>0.59454129901593256</v>
      </c>
      <c r="P6" s="7">
        <v>-0.3630652411228768</v>
      </c>
      <c r="Q6" s="8">
        <v>0.27836173375539047</v>
      </c>
      <c r="R6" s="355"/>
      <c r="S6" s="8">
        <v>58.577805924955911</v>
      </c>
      <c r="T6" s="20">
        <v>54.917000000000002</v>
      </c>
      <c r="U6" s="20">
        <v>48.251999999999995</v>
      </c>
      <c r="V6" s="20">
        <v>4.7519999999999998</v>
      </c>
      <c r="W6" s="20">
        <v>3.952</v>
      </c>
      <c r="X6" s="20">
        <v>12.137</v>
      </c>
      <c r="Y6" s="8">
        <v>16.843900000000001</v>
      </c>
      <c r="Z6" s="20">
        <v>74.093199999999996</v>
      </c>
      <c r="AA6" s="20">
        <v>19.175999999999998</v>
      </c>
      <c r="AB6" s="20">
        <v>6.5979999999999999</v>
      </c>
      <c r="AC6" s="20">
        <v>7.3207000000000004</v>
      </c>
      <c r="AD6" s="20">
        <v>9.6822999999999997</v>
      </c>
      <c r="AE6" s="71">
        <v>24.6508</v>
      </c>
      <c r="AF6" s="20">
        <v>10.1496</v>
      </c>
      <c r="AG6" s="20">
        <v>-6.1980000000000004</v>
      </c>
      <c r="AH6" s="22">
        <v>4.7519999999999998</v>
      </c>
    </row>
    <row r="7" spans="1:34" ht="15.75" thickBot="1" x14ac:dyDescent="0.3">
      <c r="A7" s="55" t="s">
        <v>22</v>
      </c>
      <c r="B7" s="354"/>
      <c r="C7" s="7">
        <v>12.820297780052279</v>
      </c>
      <c r="D7" s="7">
        <v>1.6854621726325716</v>
      </c>
      <c r="E7" s="7">
        <v>128.19080259479696</v>
      </c>
      <c r="F7" s="7">
        <v>11.156195860946855</v>
      </c>
      <c r="G7" s="15"/>
      <c r="H7" s="16"/>
      <c r="I7" s="7">
        <v>6.6338203969016751</v>
      </c>
      <c r="J7" s="7">
        <v>-7.8379738631970621</v>
      </c>
      <c r="K7" s="7">
        <v>9.9333443980782725</v>
      </c>
      <c r="L7" s="7">
        <v>-18.007653314631206</v>
      </c>
      <c r="M7" s="7">
        <v>-28.472401325279673</v>
      </c>
      <c r="N7" s="12">
        <v>29.843491527183026</v>
      </c>
      <c r="O7" s="7">
        <v>-7.23641321223778</v>
      </c>
      <c r="P7" s="7">
        <v>-16.085710645877356</v>
      </c>
      <c r="Q7" s="8">
        <v>128.17950098504042</v>
      </c>
      <c r="R7" s="355"/>
      <c r="S7" s="8"/>
      <c r="T7" s="15">
        <f>(T6-T5)/T5*100</f>
        <v>16.366834064373961</v>
      </c>
      <c r="U7" s="15">
        <f>(U6-U5)/U5*100</f>
        <v>4.8819719167065063</v>
      </c>
      <c r="V7" s="15">
        <f>(V6-V5)/V5*100</f>
        <v>135.36404160475479</v>
      </c>
      <c r="W7" s="15">
        <f>(W6-W5)/W5*100</f>
        <v>14.650420655642584</v>
      </c>
      <c r="X7" s="15"/>
      <c r="Y7" s="16"/>
      <c r="Z7" s="15">
        <f t="shared" ref="Z7:AH7" si="2">(Z6-Z5)/Z5*100</f>
        <v>9.9858831073789229</v>
      </c>
      <c r="AA7" s="15">
        <f t="shared" si="2"/>
        <v>-4.9408358821575726</v>
      </c>
      <c r="AB7" s="15">
        <f t="shared" si="2"/>
        <v>13.389128529447142</v>
      </c>
      <c r="AC7" s="15">
        <f t="shared" si="2"/>
        <v>-15.430201931518866</v>
      </c>
      <c r="AD7" s="15">
        <f t="shared" si="2"/>
        <v>-26.223912099299756</v>
      </c>
      <c r="AE7" s="17">
        <f t="shared" si="2"/>
        <v>33.925156467315709</v>
      </c>
      <c r="AF7" s="15">
        <f t="shared" si="2"/>
        <v>-4.3203650109823926</v>
      </c>
      <c r="AG7" s="15">
        <f t="shared" si="2"/>
        <v>-13.447842480100533</v>
      </c>
      <c r="AH7" s="16">
        <f t="shared" si="2"/>
        <v>135.35238472586798</v>
      </c>
    </row>
    <row r="8" spans="1:34" x14ac:dyDescent="0.25">
      <c r="A8" s="69" t="s">
        <v>62</v>
      </c>
      <c r="B8" s="65"/>
      <c r="C8" s="31">
        <v>2.5154068129722567</v>
      </c>
      <c r="D8" s="31">
        <v>1.8716106086604993</v>
      </c>
      <c r="E8" s="31">
        <v>0.94182611051619802</v>
      </c>
      <c r="F8" s="31">
        <v>0.79603658929930698</v>
      </c>
      <c r="G8" s="18">
        <v>-25.72</v>
      </c>
      <c r="H8" s="8">
        <v>-15.48</v>
      </c>
      <c r="I8" s="31">
        <v>2.7269951446498686</v>
      </c>
      <c r="J8" s="31">
        <v>0.21158833167761162</v>
      </c>
      <c r="K8" s="31">
        <v>0.23180103815900946</v>
      </c>
      <c r="L8" s="31">
        <v>0.26706576010527805</v>
      </c>
      <c r="M8" s="31">
        <v>0.23352126849785185</v>
      </c>
      <c r="N8" s="28">
        <v>1.1392225418983601</v>
      </c>
      <c r="O8" s="31">
        <v>0.24814322637801201</v>
      </c>
      <c r="P8" s="31">
        <v>0.5478933629212952</v>
      </c>
      <c r="Q8" s="27">
        <v>0.94182611051619802</v>
      </c>
      <c r="R8" s="351" t="s">
        <v>63</v>
      </c>
      <c r="S8" s="8">
        <v>43.005758471059274</v>
      </c>
      <c r="T8" s="7">
        <v>58.489999999999995</v>
      </c>
      <c r="U8" s="7">
        <v>43.519999999999996</v>
      </c>
      <c r="V8" s="7">
        <v>21.9</v>
      </c>
      <c r="W8" s="7">
        <v>18.509999999999998</v>
      </c>
      <c r="X8" s="18">
        <v>-25.72</v>
      </c>
      <c r="Y8" s="8">
        <v>-15.48</v>
      </c>
      <c r="Z8" s="7">
        <v>63.41</v>
      </c>
      <c r="AA8" s="20">
        <v>4.92</v>
      </c>
      <c r="AB8" s="20">
        <v>5.39</v>
      </c>
      <c r="AC8" s="20">
        <v>6.21</v>
      </c>
      <c r="AD8" s="72">
        <v>5.43</v>
      </c>
      <c r="AE8" s="12">
        <v>26.49</v>
      </c>
      <c r="AF8" s="72">
        <v>5.77</v>
      </c>
      <c r="AG8" s="72">
        <v>12.74</v>
      </c>
      <c r="AH8" s="8">
        <v>21.9</v>
      </c>
    </row>
    <row r="9" spans="1:34" x14ac:dyDescent="0.25">
      <c r="A9" t="s">
        <v>64</v>
      </c>
      <c r="B9" s="68"/>
      <c r="C9" s="33">
        <v>3.2969037826408432</v>
      </c>
      <c r="D9" s="33">
        <v>2.9297104241667529</v>
      </c>
      <c r="E9" s="33">
        <v>2.0889719722946736</v>
      </c>
      <c r="F9" s="33">
        <v>2.0425130565121283</v>
      </c>
      <c r="G9" s="7">
        <v>-11.14</v>
      </c>
      <c r="H9" s="8">
        <v>-2.2200000000000002</v>
      </c>
      <c r="I9" s="33">
        <v>3.5739780394162621</v>
      </c>
      <c r="J9" s="33">
        <v>0.27707425677541891</v>
      </c>
      <c r="K9" s="33">
        <v>0.23845178461884536</v>
      </c>
      <c r="L9" s="33">
        <v>0.33416834605035373</v>
      </c>
      <c r="M9" s="33">
        <v>1.258868693914984</v>
      </c>
      <c r="N9" s="12">
        <v>1.0982215995825695</v>
      </c>
      <c r="O9" s="33">
        <v>1.4866853050414397</v>
      </c>
      <c r="P9" s="33">
        <v>0.55582775147068886</v>
      </c>
      <c r="Q9" s="8">
        <v>2.0889719722946736</v>
      </c>
      <c r="R9" s="351"/>
      <c r="S9" s="8">
        <v>55.974597328367459</v>
      </c>
      <c r="T9" s="7">
        <v>58.9</v>
      </c>
      <c r="U9" s="7">
        <v>52.34</v>
      </c>
      <c r="V9" s="7">
        <v>37.32</v>
      </c>
      <c r="W9" s="7">
        <v>36.489999999999995</v>
      </c>
      <c r="X9" s="7">
        <v>-11.14</v>
      </c>
      <c r="Y9" s="8">
        <v>-2.2200000000000002</v>
      </c>
      <c r="Z9" s="7">
        <v>63.85</v>
      </c>
      <c r="AA9" s="20">
        <v>4.95</v>
      </c>
      <c r="AB9" s="20">
        <v>4.26</v>
      </c>
      <c r="AC9" s="20">
        <v>5.97</v>
      </c>
      <c r="AD9" s="72">
        <v>22.49</v>
      </c>
      <c r="AE9" s="12">
        <v>19.62</v>
      </c>
      <c r="AF9" s="72">
        <v>26.56</v>
      </c>
      <c r="AG9" s="72">
        <v>9.93</v>
      </c>
      <c r="AH9" s="8">
        <v>37.32</v>
      </c>
    </row>
    <row r="10" spans="1:34" ht="15.75" thickBot="1" x14ac:dyDescent="0.3">
      <c r="A10" s="13" t="s">
        <v>22</v>
      </c>
      <c r="B10" s="316"/>
      <c r="C10" s="15">
        <v>31.068412697234987</v>
      </c>
      <c r="D10" s="15">
        <v>56.53418561585999</v>
      </c>
      <c r="E10" s="15">
        <v>121.80017616518886</v>
      </c>
      <c r="F10" s="15">
        <v>156.58532333419544</v>
      </c>
      <c r="G10" s="15"/>
      <c r="H10" s="16"/>
      <c r="I10" s="15">
        <v>31.059200689377892</v>
      </c>
      <c r="J10" s="15">
        <v>30.94968639271918</v>
      </c>
      <c r="K10" s="15">
        <v>2.8691616364865746</v>
      </c>
      <c r="L10" s="15">
        <v>25.125866347907593</v>
      </c>
      <c r="M10" s="15">
        <v>439.08095909754979</v>
      </c>
      <c r="N10" s="17">
        <v>-3.599028355554494</v>
      </c>
      <c r="O10" s="15">
        <v>499.12387162109331</v>
      </c>
      <c r="P10" s="15">
        <v>1.4481629248232799</v>
      </c>
      <c r="Q10" s="16">
        <v>121.80017616518886</v>
      </c>
      <c r="R10" s="351"/>
      <c r="S10" s="8"/>
      <c r="T10" s="15">
        <f>(T9-T8)/T8*100</f>
        <v>0.70097452555993112</v>
      </c>
      <c r="U10" s="15">
        <f>(U9-U8)/U8*100</f>
        <v>20.266544117647079</v>
      </c>
      <c r="V10" s="15">
        <f>(V9-V8)/V8*100</f>
        <v>70.410958904109606</v>
      </c>
      <c r="W10" s="15">
        <f>(W9-W8)/W8*100</f>
        <v>97.136682874122087</v>
      </c>
      <c r="X10" s="15"/>
      <c r="Y10" s="16"/>
      <c r="Z10" s="15">
        <f t="shared" ref="Z10:AH10" si="3">(Z9-Z8)/Z8*100</f>
        <v>0.69389686169374687</v>
      </c>
      <c r="AA10" s="15">
        <f t="shared" si="3"/>
        <v>0.6097560975609807</v>
      </c>
      <c r="AB10" s="15">
        <f t="shared" si="3"/>
        <v>-20.964749536178108</v>
      </c>
      <c r="AC10" s="15">
        <f t="shared" si="3"/>
        <v>-3.8647342995169116</v>
      </c>
      <c r="AD10" s="15">
        <f t="shared" si="3"/>
        <v>314.18047882136278</v>
      </c>
      <c r="AE10" s="17">
        <f t="shared" si="3"/>
        <v>-25.934314835787081</v>
      </c>
      <c r="AF10" s="15">
        <f t="shared" si="3"/>
        <v>360.31195840554597</v>
      </c>
      <c r="AG10" s="15">
        <f t="shared" si="3"/>
        <v>-22.056514913657775</v>
      </c>
      <c r="AH10" s="16">
        <f t="shared" si="3"/>
        <v>70.410958904109606</v>
      </c>
    </row>
    <row r="11" spans="1:34" x14ac:dyDescent="0.25">
      <c r="A11" s="315" t="s">
        <v>65</v>
      </c>
      <c r="B11" s="356" t="s">
        <v>374</v>
      </c>
      <c r="C11" s="20">
        <v>0.2334075630252101</v>
      </c>
      <c r="D11" s="20">
        <v>0.16926050420168068</v>
      </c>
      <c r="E11" s="20">
        <v>6.0749999999999998E-2</v>
      </c>
      <c r="F11" s="20">
        <v>5.2468487394957991E-2</v>
      </c>
      <c r="G11" s="73"/>
      <c r="H11" s="22">
        <v>13.6318</v>
      </c>
      <c r="I11" s="20">
        <v>3.1238004201680676</v>
      </c>
      <c r="J11" s="20">
        <v>0.78969957983193273</v>
      </c>
      <c r="K11" s="20">
        <v>0.49667647058823539</v>
      </c>
      <c r="L11" s="20">
        <v>0.40639285714285717</v>
      </c>
      <c r="M11" s="20">
        <v>0.78955462184873959</v>
      </c>
      <c r="N11" s="317"/>
      <c r="O11" s="20">
        <v>0.28602731092436973</v>
      </c>
      <c r="P11" s="20">
        <v>0.23866386554621849</v>
      </c>
      <c r="Q11" s="20">
        <v>0.60750630252100835</v>
      </c>
      <c r="R11" s="351" t="s">
        <v>459</v>
      </c>
      <c r="S11" s="8">
        <v>63.025210084033617</v>
      </c>
      <c r="T11" s="20">
        <v>3.7033999999999998</v>
      </c>
      <c r="U11" s="20">
        <v>2.6856</v>
      </c>
      <c r="V11" s="20">
        <v>0.96389999999999998</v>
      </c>
      <c r="W11" s="20">
        <v>0.83250000000000002</v>
      </c>
      <c r="X11" s="20">
        <v>27.483000000000001</v>
      </c>
      <c r="Y11" s="22">
        <v>13.6318</v>
      </c>
      <c r="Z11" s="20">
        <v>49.564300000000003</v>
      </c>
      <c r="AA11" s="20">
        <v>12.5299</v>
      </c>
      <c r="AB11" s="20">
        <v>7.8806000000000003</v>
      </c>
      <c r="AC11" s="20">
        <v>6.4481000000000002</v>
      </c>
      <c r="AD11" s="20">
        <v>12.5276</v>
      </c>
      <c r="AE11" s="23"/>
      <c r="AF11" s="20">
        <v>4.5382999999999996</v>
      </c>
      <c r="AG11" s="20">
        <v>3.7867999999999999</v>
      </c>
      <c r="AH11" s="22">
        <v>9.6390999999999991</v>
      </c>
    </row>
    <row r="12" spans="1:34" x14ac:dyDescent="0.25">
      <c r="A12" s="315" t="s">
        <v>66</v>
      </c>
      <c r="B12" s="356"/>
      <c r="C12" s="74">
        <v>0.32333774834437085</v>
      </c>
      <c r="D12" s="74">
        <v>0.24610596026490067</v>
      </c>
      <c r="E12" s="74">
        <v>0.16568211920529799</v>
      </c>
      <c r="F12" s="74">
        <v>0.12663576158940396</v>
      </c>
      <c r="G12" s="20"/>
      <c r="H12" s="22">
        <v>23.566800000000001</v>
      </c>
      <c r="I12" s="74">
        <v>4.6802582781456952</v>
      </c>
      <c r="J12" s="74">
        <v>1.4468675496688741</v>
      </c>
      <c r="K12" s="74">
        <v>0.44610596026490068</v>
      </c>
      <c r="L12" s="74">
        <v>0.40618543046357608</v>
      </c>
      <c r="M12" s="74">
        <v>1.608801324503311</v>
      </c>
      <c r="N12" s="318"/>
      <c r="O12" s="74">
        <v>0.95982119205298</v>
      </c>
      <c r="P12" s="74">
        <v>0.30653642384105961</v>
      </c>
      <c r="Q12" s="75">
        <v>1.6568145695364238</v>
      </c>
      <c r="R12" s="351"/>
      <c r="S12" s="8">
        <v>66.225165562913901</v>
      </c>
      <c r="T12" s="20">
        <v>4.8823999999999996</v>
      </c>
      <c r="U12" s="20">
        <v>3.7162000000000002</v>
      </c>
      <c r="V12" s="20">
        <v>2.5017999999999998</v>
      </c>
      <c r="W12" s="20">
        <v>1.9121999999999999</v>
      </c>
      <c r="X12" s="20">
        <v>23.885100000000001</v>
      </c>
      <c r="Y12" s="22">
        <v>23.566800000000001</v>
      </c>
      <c r="Z12" s="20">
        <v>70.671899999999994</v>
      </c>
      <c r="AA12" s="20">
        <v>21.8477</v>
      </c>
      <c r="AB12" s="20">
        <v>6.7362000000000002</v>
      </c>
      <c r="AC12" s="20">
        <v>6.1334</v>
      </c>
      <c r="AD12" s="20">
        <v>24.292899999999999</v>
      </c>
      <c r="AE12" s="23"/>
      <c r="AF12" s="20">
        <v>14.4933</v>
      </c>
      <c r="AG12" s="20">
        <v>4.6287000000000003</v>
      </c>
      <c r="AH12" s="22">
        <v>25.017900000000001</v>
      </c>
    </row>
    <row r="13" spans="1:34" ht="15.75" thickBot="1" x14ac:dyDescent="0.3">
      <c r="A13" s="13" t="s">
        <v>22</v>
      </c>
      <c r="B13" s="357"/>
      <c r="C13" s="7">
        <f>(C12-C11)/C11*100</f>
        <v>38.529250789293187</v>
      </c>
      <c r="D13" s="7">
        <f t="shared" ref="D13:Q13" si="4">(D12-D11)/D11*100</f>
        <v>45.400701377833272</v>
      </c>
      <c r="E13" s="7">
        <f t="shared" si="4"/>
        <v>172.72776823917366</v>
      </c>
      <c r="F13" s="7">
        <f t="shared" si="4"/>
        <v>141.35584591213723</v>
      </c>
      <c r="G13" s="15"/>
      <c r="H13" s="16"/>
      <c r="I13" s="7">
        <f t="shared" si="4"/>
        <v>49.825777854716044</v>
      </c>
      <c r="J13" s="7">
        <f t="shared" si="4"/>
        <v>83.21746479551156</v>
      </c>
      <c r="K13" s="7">
        <f t="shared" si="4"/>
        <v>-10.1817809616473</v>
      </c>
      <c r="L13" s="7">
        <f t="shared" si="4"/>
        <v>-5.1040926442309675E-2</v>
      </c>
      <c r="M13" s="7">
        <f t="shared" si="4"/>
        <v>103.76061136040316</v>
      </c>
      <c r="N13" s="174"/>
      <c r="O13" s="7">
        <f t="shared" si="4"/>
        <v>235.56977092539682</v>
      </c>
      <c r="P13" s="7">
        <f t="shared" si="4"/>
        <v>28.438556519439786</v>
      </c>
      <c r="Q13" s="7">
        <f t="shared" si="4"/>
        <v>172.72384873391977</v>
      </c>
      <c r="R13" s="351"/>
      <c r="S13" s="8"/>
      <c r="T13" s="15">
        <f>(T12-T11)/T11*100</f>
        <v>31.835610520062641</v>
      </c>
      <c r="U13" s="15">
        <f t="shared" ref="U13:AH13" si="5">(U12-U11)/U11*100</f>
        <v>38.375037235627055</v>
      </c>
      <c r="V13" s="15">
        <f t="shared" si="5"/>
        <v>159.54974582425561</v>
      </c>
      <c r="W13" s="15">
        <f t="shared" si="5"/>
        <v>129.69369369369369</v>
      </c>
      <c r="X13" s="15"/>
      <c r="Y13" s="16"/>
      <c r="Z13" s="15">
        <f t="shared" si="5"/>
        <v>42.586296991988164</v>
      </c>
      <c r="AA13" s="15">
        <f t="shared" si="5"/>
        <v>74.364520067997347</v>
      </c>
      <c r="AB13" s="15">
        <f t="shared" si="5"/>
        <v>-14.5217369235845</v>
      </c>
      <c r="AC13" s="15">
        <f t="shared" si="5"/>
        <v>-4.8805074362990677</v>
      </c>
      <c r="AD13" s="15">
        <f t="shared" si="5"/>
        <v>93.915035601392134</v>
      </c>
      <c r="AE13" s="17"/>
      <c r="AF13" s="15">
        <f t="shared" si="5"/>
        <v>219.35526518740497</v>
      </c>
      <c r="AG13" s="15">
        <f t="shared" si="5"/>
        <v>22.232491813668542</v>
      </c>
      <c r="AH13" s="16">
        <f t="shared" si="5"/>
        <v>159.54601570686063</v>
      </c>
    </row>
    <row r="14" spans="1:34" x14ac:dyDescent="0.25">
      <c r="A14" s="69" t="s">
        <v>67</v>
      </c>
      <c r="B14" s="65"/>
      <c r="C14" s="30">
        <v>1.7448283906702342</v>
      </c>
      <c r="D14" s="31">
        <v>1.0818205151426799</v>
      </c>
      <c r="E14" s="31">
        <v>1.0219788301022272</v>
      </c>
      <c r="F14" s="31">
        <v>0.92825851913940194</v>
      </c>
      <c r="G14" s="73">
        <v>37.998800000000003</v>
      </c>
      <c r="H14" s="22">
        <v>9.1755999999999993</v>
      </c>
      <c r="I14" s="31">
        <v>2.4284246554557538</v>
      </c>
      <c r="J14" s="31">
        <v>0.68356460251830253</v>
      </c>
      <c r="K14" s="31">
        <v>0.3175250467873964</v>
      </c>
      <c r="L14" s="31">
        <v>0.30064905836064443</v>
      </c>
      <c r="M14" s="31">
        <v>0.29195776600953105</v>
      </c>
      <c r="N14" s="28">
        <v>0.1716965595519124</v>
      </c>
      <c r="O14" s="31">
        <v>0.76762000641308648</v>
      </c>
      <c r="P14" s="31">
        <v>0.16062268159270696</v>
      </c>
      <c r="Q14" s="27">
        <v>1.0220184079362489</v>
      </c>
      <c r="R14" s="351" t="s">
        <v>68</v>
      </c>
      <c r="S14" s="8">
        <v>79.155668042926749</v>
      </c>
      <c r="T14" s="20">
        <v>22.042999999999999</v>
      </c>
      <c r="U14" s="20">
        <v>13.667</v>
      </c>
      <c r="V14" s="20">
        <v>12.911</v>
      </c>
      <c r="W14" s="20">
        <v>11.727</v>
      </c>
      <c r="X14" s="73">
        <v>37.998800000000003</v>
      </c>
      <c r="Y14" s="22">
        <v>9.1755999999999993</v>
      </c>
      <c r="Z14" s="20">
        <v>30.679099999999998</v>
      </c>
      <c r="AA14" s="20">
        <v>8.6356999999999999</v>
      </c>
      <c r="AB14" s="20">
        <v>4.0114000000000001</v>
      </c>
      <c r="AC14" s="20">
        <v>3.7982</v>
      </c>
      <c r="AD14" s="20">
        <v>3.6884000000000001</v>
      </c>
      <c r="AE14" s="21">
        <v>2.1690999999999998</v>
      </c>
      <c r="AF14" s="20">
        <v>9.6975999999999996</v>
      </c>
      <c r="AG14" s="20">
        <v>2.0291999999999999</v>
      </c>
      <c r="AH14" s="52">
        <v>12.9115</v>
      </c>
    </row>
    <row r="15" spans="1:34" x14ac:dyDescent="0.25">
      <c r="A15" t="s">
        <v>69</v>
      </c>
      <c r="B15" s="68"/>
      <c r="C15" s="32">
        <v>2.2179249988986873</v>
      </c>
      <c r="D15" s="33">
        <v>1.7240921621594145</v>
      </c>
      <c r="E15" s="33">
        <v>1.4676656576480904</v>
      </c>
      <c r="F15" s="33">
        <v>1.2826512545279849</v>
      </c>
      <c r="G15" s="20">
        <v>22.264399999999998</v>
      </c>
      <c r="H15" s="22">
        <v>12.6081</v>
      </c>
      <c r="I15" s="33">
        <v>3.0871122901175161</v>
      </c>
      <c r="J15" s="33">
        <v>0.86919593675168516</v>
      </c>
      <c r="K15" s="33">
        <v>0.37222477158565553</v>
      </c>
      <c r="L15" s="33">
        <v>0.31654753999250229</v>
      </c>
      <c r="M15" s="33">
        <v>0.67350430055432109</v>
      </c>
      <c r="N15" s="12">
        <v>0.36183284109264779</v>
      </c>
      <c r="O15" s="33">
        <v>1.1971728711799248</v>
      </c>
      <c r="P15" s="33">
        <v>8.546973781520395E-2</v>
      </c>
      <c r="Q15" s="8">
        <v>1.4676915942466586</v>
      </c>
      <c r="R15" s="351"/>
      <c r="S15" s="8">
        <v>86.455328560797042</v>
      </c>
      <c r="T15" s="20">
        <v>25.654</v>
      </c>
      <c r="U15" s="20">
        <v>19.942</v>
      </c>
      <c r="V15" s="20">
        <v>16.975999999999999</v>
      </c>
      <c r="W15" s="20">
        <v>14.836</v>
      </c>
      <c r="X15" s="20">
        <v>22.264399999999998</v>
      </c>
      <c r="Y15" s="22">
        <v>12.6081</v>
      </c>
      <c r="Z15" s="20">
        <v>35.707599999999999</v>
      </c>
      <c r="AA15" s="20">
        <v>10.053699999999999</v>
      </c>
      <c r="AB15" s="20">
        <v>4.3053999999999997</v>
      </c>
      <c r="AC15" s="20">
        <v>3.6614</v>
      </c>
      <c r="AD15" s="20">
        <v>7.7901999999999996</v>
      </c>
      <c r="AE15" s="23">
        <v>4.1852</v>
      </c>
      <c r="AF15" s="20">
        <v>13.847300000000001</v>
      </c>
      <c r="AG15" s="20">
        <v>0.98860000000000003</v>
      </c>
      <c r="AH15" s="22">
        <v>16.976299999999998</v>
      </c>
    </row>
    <row r="16" spans="1:34" ht="15.75" thickBot="1" x14ac:dyDescent="0.3">
      <c r="A16" s="13" t="s">
        <v>22</v>
      </c>
      <c r="B16" s="60"/>
      <c r="C16" s="24">
        <v>27.11421998622594</v>
      </c>
      <c r="D16" s="15">
        <v>59.369519992142713</v>
      </c>
      <c r="E16" s="15">
        <v>43.610181974247133</v>
      </c>
      <c r="F16" s="15">
        <v>38.178236782264506</v>
      </c>
      <c r="G16" s="15"/>
      <c r="H16" s="16"/>
      <c r="I16" s="15">
        <v>27.124071285552947</v>
      </c>
      <c r="J16" s="15">
        <v>27.156370231797123</v>
      </c>
      <c r="K16" s="15">
        <v>17.226900791509571</v>
      </c>
      <c r="L16" s="15">
        <v>5.2880530271898589</v>
      </c>
      <c r="M16" s="15">
        <v>130.68552337543724</v>
      </c>
      <c r="N16" s="17">
        <v>110.73971548232902</v>
      </c>
      <c r="O16" s="15">
        <v>55.959050204285454</v>
      </c>
      <c r="P16" s="15">
        <v>-46.788500249341695</v>
      </c>
      <c r="Q16" s="16">
        <v>43.607158427836247</v>
      </c>
      <c r="R16" s="351"/>
      <c r="S16" s="8"/>
      <c r="T16" s="15">
        <f>(T15-T14)/T14*100</f>
        <v>16.381617747130612</v>
      </c>
      <c r="U16" s="15">
        <f>(U15-U14)/U14*100</f>
        <v>45.913514304529166</v>
      </c>
      <c r="V16" s="15">
        <f>(V15-V14)/V14*100</f>
        <v>31.484780419797069</v>
      </c>
      <c r="W16" s="15">
        <f>(W15-W14)/W14*100</f>
        <v>26.511469258975012</v>
      </c>
      <c r="X16" s="15"/>
      <c r="Y16" s="16"/>
      <c r="Z16" s="15">
        <f t="shared" ref="Z16:AH16" si="6">(Z15-Z14)/Z14*100</f>
        <v>16.390637274235559</v>
      </c>
      <c r="AA16" s="15">
        <f t="shared" si="6"/>
        <v>16.420209131859597</v>
      </c>
      <c r="AB16" s="15">
        <f t="shared" si="6"/>
        <v>7.3291120307124586</v>
      </c>
      <c r="AC16" s="15">
        <f t="shared" si="6"/>
        <v>-3.6017060712969311</v>
      </c>
      <c r="AD16" s="15">
        <f t="shared" si="6"/>
        <v>111.20811191844699</v>
      </c>
      <c r="AE16" s="17">
        <f t="shared" si="6"/>
        <v>92.946383292609852</v>
      </c>
      <c r="AF16" s="15">
        <f t="shared" si="6"/>
        <v>42.790999835010737</v>
      </c>
      <c r="AG16" s="15">
        <f t="shared" si="6"/>
        <v>-51.281293120441553</v>
      </c>
      <c r="AH16" s="16">
        <f t="shared" si="6"/>
        <v>31.482012159702577</v>
      </c>
    </row>
    <row r="17" spans="1:34" ht="15" customHeight="1" x14ac:dyDescent="0.25">
      <c r="A17" t="s">
        <v>70</v>
      </c>
      <c r="B17" s="6"/>
      <c r="C17" s="7">
        <v>1.5966375227528089</v>
      </c>
      <c r="D17" s="7">
        <v>1.7851099306179774</v>
      </c>
      <c r="E17" s="7">
        <v>1.1938053775280899</v>
      </c>
      <c r="F17" s="7">
        <v>1.1028046449438202</v>
      </c>
      <c r="G17" s="7">
        <v>-11.804332840000001</v>
      </c>
      <c r="H17" s="8">
        <v>7.622744419</v>
      </c>
      <c r="I17" s="7">
        <v>4.1026685393258431</v>
      </c>
      <c r="J17" s="7">
        <v>2.5060280898876401</v>
      </c>
      <c r="K17" s="7">
        <v>0.39976685393258427</v>
      </c>
      <c r="L17" s="7">
        <v>0.51550280898876411</v>
      </c>
      <c r="M17" s="7">
        <v>0.58700561797752815</v>
      </c>
      <c r="N17" s="12">
        <v>0.28283426966292136</v>
      </c>
      <c r="O17" s="7">
        <v>0.83579494382022479</v>
      </c>
      <c r="P17" s="7">
        <v>0.26701685393258429</v>
      </c>
      <c r="Q17" s="8">
        <v>1.1938061797752808</v>
      </c>
      <c r="R17" s="351" t="s">
        <v>71</v>
      </c>
      <c r="S17" s="8">
        <v>84.269662921348313</v>
      </c>
      <c r="T17" s="7">
        <v>18.94676527</v>
      </c>
      <c r="U17" s="7">
        <v>21.183304509999999</v>
      </c>
      <c r="V17" s="7">
        <v>14.16649048</v>
      </c>
      <c r="W17" s="7">
        <v>13.086615120000001</v>
      </c>
      <c r="X17" s="7">
        <v>-11.804332840000001</v>
      </c>
      <c r="Y17" s="8">
        <v>7.622744419</v>
      </c>
      <c r="Z17" s="7">
        <v>48.685000000000002</v>
      </c>
      <c r="AA17" s="7">
        <v>29.738199999999999</v>
      </c>
      <c r="AB17" s="7">
        <v>4.7439</v>
      </c>
      <c r="AC17" s="7">
        <v>6.1173000000000002</v>
      </c>
      <c r="AD17" s="7">
        <v>6.9657999999999998</v>
      </c>
      <c r="AE17" s="12">
        <v>3.3563000000000001</v>
      </c>
      <c r="AF17" s="7">
        <v>9.9181000000000008</v>
      </c>
      <c r="AG17" s="7">
        <v>3.1686000000000001</v>
      </c>
      <c r="AH17" s="8">
        <v>14.166499999999999</v>
      </c>
    </row>
    <row r="18" spans="1:34" x14ac:dyDescent="0.25">
      <c r="A18" t="s">
        <v>72</v>
      </c>
      <c r="B18" s="6"/>
      <c r="C18" s="7">
        <v>1.9125676034184513</v>
      </c>
      <c r="D18" s="7">
        <v>1.7704057976716798</v>
      </c>
      <c r="E18" s="7">
        <v>1.2166615470082114</v>
      </c>
      <c r="F18" s="7">
        <v>0.99102216864407133</v>
      </c>
      <c r="G18" s="7">
        <v>7.4330342881829496</v>
      </c>
      <c r="H18" s="8">
        <v>18.545780370801602</v>
      </c>
      <c r="I18" s="7">
        <v>4.3059771428571434</v>
      </c>
      <c r="J18" s="7">
        <v>2.3934085714285716</v>
      </c>
      <c r="K18" s="7">
        <v>0.40558285714285713</v>
      </c>
      <c r="L18" s="7">
        <v>0.49288285714285712</v>
      </c>
      <c r="M18" s="7">
        <v>0.60792857142857148</v>
      </c>
      <c r="N18" s="12">
        <v>0.26400857142857137</v>
      </c>
      <c r="O18" s="7">
        <v>0.79530857142857148</v>
      </c>
      <c r="P18" s="7">
        <v>0.19571142857142856</v>
      </c>
      <c r="Q18" s="8">
        <v>1.216662857142857</v>
      </c>
      <c r="R18" s="351"/>
      <c r="S18" s="8">
        <v>85.714285714285708</v>
      </c>
      <c r="T18" s="7">
        <v>22.313288706548601</v>
      </c>
      <c r="U18" s="7">
        <v>20.654734306169601</v>
      </c>
      <c r="V18" s="7">
        <v>14.194384715095801</v>
      </c>
      <c r="W18" s="7">
        <v>11.5619253008475</v>
      </c>
      <c r="X18" s="7">
        <v>7.4330342881829496</v>
      </c>
      <c r="Y18" s="8">
        <v>18.545780370801602</v>
      </c>
      <c r="Z18" s="7">
        <v>50.236400000000003</v>
      </c>
      <c r="AA18" s="7">
        <v>27.923100000000002</v>
      </c>
      <c r="AB18" s="7">
        <v>4.7317999999999998</v>
      </c>
      <c r="AC18" s="7">
        <v>5.7503000000000002</v>
      </c>
      <c r="AD18" s="7">
        <v>7.0925000000000002</v>
      </c>
      <c r="AE18" s="12">
        <v>3.0800999999999998</v>
      </c>
      <c r="AF18" s="7">
        <v>9.2786000000000008</v>
      </c>
      <c r="AG18" s="7">
        <v>2.2833000000000001</v>
      </c>
      <c r="AH18" s="8">
        <v>14.1944</v>
      </c>
    </row>
    <row r="19" spans="1:34" ht="15.75" thickBot="1" x14ac:dyDescent="0.3">
      <c r="A19" s="53" t="s">
        <v>22</v>
      </c>
      <c r="B19" s="14"/>
      <c r="C19" s="24">
        <v>19.787213826776302</v>
      </c>
      <c r="D19" s="15">
        <v>-0.823710220535675</v>
      </c>
      <c r="E19" s="15">
        <v>1.9145641249705025</v>
      </c>
      <c r="F19" s="15">
        <v>-10.136199263600618</v>
      </c>
      <c r="G19" s="15"/>
      <c r="H19" s="16"/>
      <c r="I19" s="15">
        <v>4.9555210610484339</v>
      </c>
      <c r="J19" s="15">
        <v>-4.4939447771360763</v>
      </c>
      <c r="K19" s="15">
        <v>1.4548487832494652</v>
      </c>
      <c r="L19" s="15">
        <v>-4.3879395905289833</v>
      </c>
      <c r="M19" s="15">
        <v>3.5643531867942548</v>
      </c>
      <c r="N19" s="17">
        <v>-6.656088124252495</v>
      </c>
      <c r="O19" s="15">
        <v>-4.8440556731055944</v>
      </c>
      <c r="P19" s="15">
        <v>-26.70446614548111</v>
      </c>
      <c r="Q19" s="16">
        <v>1.9146053819120559</v>
      </c>
      <c r="R19" s="351"/>
      <c r="S19" s="11"/>
      <c r="T19" s="15">
        <f>(T18-T17)/T17*100</f>
        <v>17.768328200482323</v>
      </c>
      <c r="U19" s="15">
        <f>(U18-U17)/U17*100</f>
        <v>-2.4952207224367475</v>
      </c>
      <c r="V19" s="15">
        <f>(V18-V17)/V17*100</f>
        <v>0.19690293185303059</v>
      </c>
      <c r="W19" s="15">
        <f>(W18-W17)/W17*100</f>
        <v>-11.65075770297813</v>
      </c>
      <c r="X19" s="15"/>
      <c r="Y19" s="16"/>
      <c r="Z19" s="15">
        <f t="shared" ref="Z19:AH19" si="7">(Z18-Z17)/Z17*100</f>
        <v>3.1866077847386278</v>
      </c>
      <c r="AA19" s="15">
        <f t="shared" si="7"/>
        <v>-6.1035973932517686</v>
      </c>
      <c r="AB19" s="15">
        <f t="shared" si="7"/>
        <v>-0.25506439849069795</v>
      </c>
      <c r="AC19" s="15">
        <f t="shared" si="7"/>
        <v>-5.9993788109133108</v>
      </c>
      <c r="AD19" s="15">
        <f t="shared" si="7"/>
        <v>1.8188865600505393</v>
      </c>
      <c r="AE19" s="17">
        <f t="shared" si="7"/>
        <v>-8.2293001221583353</v>
      </c>
      <c r="AF19" s="15">
        <f t="shared" si="7"/>
        <v>-6.4478075437835862</v>
      </c>
      <c r="AG19" s="15">
        <f t="shared" si="7"/>
        <v>-27.939784131793221</v>
      </c>
      <c r="AH19" s="16">
        <f t="shared" si="7"/>
        <v>0.19694349345286913</v>
      </c>
    </row>
    <row r="20" spans="1:34" x14ac:dyDescent="0.25">
      <c r="A20" s="69" t="s">
        <v>449</v>
      </c>
      <c r="B20" s="6"/>
      <c r="C20" s="25">
        <v>2.6804000000000001</v>
      </c>
      <c r="D20" s="25">
        <v>5.2622999999999998</v>
      </c>
      <c r="E20" s="25">
        <v>3.8765000000000001</v>
      </c>
      <c r="F20" s="25">
        <v>3.7320000000000002</v>
      </c>
      <c r="H20" s="160">
        <v>3.7275999999999998</v>
      </c>
      <c r="I20" s="20">
        <f>$S20*Z20/1000</f>
        <v>4.3722207224894474</v>
      </c>
      <c r="J20" s="20">
        <f t="shared" ref="J20:Q21" si="8">$S20*AA20/1000</f>
        <v>1.2974869932266613</v>
      </c>
      <c r="K20" s="20">
        <f t="shared" si="8"/>
        <v>0.61833709629920486</v>
      </c>
      <c r="L20" s="20">
        <f t="shared" si="8"/>
        <v>0.62595710218906442</v>
      </c>
      <c r="M20" s="20">
        <f t="shared" si="8"/>
        <v>0.8218685579660352</v>
      </c>
      <c r="N20" s="21"/>
      <c r="O20" s="20">
        <f t="shared" si="8"/>
        <v>0.46405958574653966</v>
      </c>
      <c r="P20" s="20">
        <f t="shared" si="8"/>
        <v>0.4355551192696574</v>
      </c>
      <c r="Q20" s="20">
        <f t="shared" si="8"/>
        <v>0.87934377147344656</v>
      </c>
      <c r="R20" s="351" t="s">
        <v>453</v>
      </c>
      <c r="S20" s="8">
        <v>61.352704427211151</v>
      </c>
      <c r="T20" s="25">
        <v>5.0115999999999996</v>
      </c>
      <c r="U20" s="25">
        <v>3.8767999999999998</v>
      </c>
      <c r="V20" s="25">
        <v>1.4333</v>
      </c>
      <c r="W20" s="25">
        <v>1.4662999999999999</v>
      </c>
      <c r="X20" s="25">
        <v>22.643599999999999</v>
      </c>
      <c r="Y20" s="25">
        <v>-2.3058999999999998</v>
      </c>
      <c r="Z20" s="25">
        <v>71.2637</v>
      </c>
      <c r="AA20" s="25">
        <v>21.148</v>
      </c>
      <c r="AB20" s="25">
        <v>10.0784</v>
      </c>
      <c r="AC20" s="25">
        <v>10.2026</v>
      </c>
      <c r="AD20" s="25">
        <v>13.395799999999999</v>
      </c>
      <c r="AE20" s="25">
        <v>5.0909000000000004</v>
      </c>
      <c r="AF20" s="25">
        <v>7.5637999999999996</v>
      </c>
      <c r="AG20" s="25">
        <v>7.0991999999999997</v>
      </c>
      <c r="AH20" s="25">
        <v>14.332599999999999</v>
      </c>
    </row>
    <row r="21" spans="1:34" x14ac:dyDescent="0.25">
      <c r="A21" t="s">
        <v>450</v>
      </c>
      <c r="B21" s="6"/>
      <c r="C21" s="25">
        <v>4.0307000000000004</v>
      </c>
      <c r="D21" s="25">
        <v>2.6282999999999999</v>
      </c>
      <c r="E21" s="25">
        <v>2.0323000000000002</v>
      </c>
      <c r="F21" s="25">
        <v>1.7946</v>
      </c>
      <c r="G21" s="25"/>
      <c r="H21" s="160">
        <v>11.6981</v>
      </c>
      <c r="I21" s="7">
        <f>$S21*Z21/1000</f>
        <v>3.9252946305515706</v>
      </c>
      <c r="J21" s="7">
        <f t="shared" si="8"/>
        <v>1.0910049784828284</v>
      </c>
      <c r="K21" s="7">
        <f t="shared" si="8"/>
        <v>0.42296008775630739</v>
      </c>
      <c r="L21" s="7">
        <f t="shared" si="8"/>
        <v>0.51379630410935784</v>
      </c>
      <c r="M21" s="7">
        <f t="shared" si="8"/>
        <v>1.0988172587404719</v>
      </c>
      <c r="N21" s="12"/>
      <c r="O21" s="7">
        <f t="shared" si="8"/>
        <v>0.8283407869940651</v>
      </c>
      <c r="P21" s="7">
        <f t="shared" si="8"/>
        <v>0.43357803842151155</v>
      </c>
      <c r="Q21" s="7">
        <f t="shared" si="8"/>
        <v>1.429098810226985</v>
      </c>
      <c r="R21" s="351"/>
      <c r="S21" s="8">
        <v>70.31755407419908</v>
      </c>
      <c r="T21" s="25">
        <v>4.0307000000000004</v>
      </c>
      <c r="U21" s="25">
        <v>2.6282999999999999</v>
      </c>
      <c r="V21" s="25">
        <v>2.0323000000000002</v>
      </c>
      <c r="W21" s="25">
        <v>1.7946</v>
      </c>
      <c r="X21" s="25"/>
      <c r="Y21" s="160">
        <v>11.6981</v>
      </c>
      <c r="Z21" s="25">
        <v>55.822400000000002</v>
      </c>
      <c r="AA21" s="25">
        <v>15.5154</v>
      </c>
      <c r="AB21" s="25">
        <v>6.0149999999999997</v>
      </c>
      <c r="AC21" s="25">
        <v>7.3068</v>
      </c>
      <c r="AD21" s="25">
        <v>15.6265</v>
      </c>
      <c r="AE21" s="119">
        <v>7.3067560103363425</v>
      </c>
      <c r="AF21" s="25">
        <v>11.78</v>
      </c>
      <c r="AG21" s="25">
        <v>6.1660000000000004</v>
      </c>
      <c r="AH21" s="160">
        <v>20.323499999999999</v>
      </c>
    </row>
    <row r="22" spans="1:34" ht="15.75" thickBot="1" x14ac:dyDescent="0.3">
      <c r="A22" s="53" t="s">
        <v>22</v>
      </c>
      <c r="B22" s="14"/>
      <c r="C22" s="24">
        <f>(C21-C20)/C20*100</f>
        <v>50.37680943142815</v>
      </c>
      <c r="D22" s="15">
        <f t="shared" ref="D22:Q22" si="9">(D21-D20)/D20*100</f>
        <v>-50.054158827888948</v>
      </c>
      <c r="E22" s="15">
        <f t="shared" si="9"/>
        <v>-47.573842383593444</v>
      </c>
      <c r="F22" s="15">
        <f t="shared" si="9"/>
        <v>-51.913183279742768</v>
      </c>
      <c r="G22" s="15"/>
      <c r="H22" s="16">
        <f t="shared" si="9"/>
        <v>213.82390814465074</v>
      </c>
      <c r="I22" s="15">
        <f t="shared" si="9"/>
        <v>-10.221947159232318</v>
      </c>
      <c r="J22" s="15">
        <f t="shared" si="9"/>
        <v>-15.913994962704187</v>
      </c>
      <c r="K22" s="15">
        <f t="shared" si="9"/>
        <v>-31.597167582576546</v>
      </c>
      <c r="L22" s="15">
        <f t="shared" si="9"/>
        <v>-17.918288280053652</v>
      </c>
      <c r="M22" s="15">
        <f t="shared" si="9"/>
        <v>33.697444450220949</v>
      </c>
      <c r="N22" s="17"/>
      <c r="O22" s="15">
        <f t="shared" si="9"/>
        <v>78.498798955203299</v>
      </c>
      <c r="P22" s="15">
        <f t="shared" si="9"/>
        <v>-0.45392207798201012</v>
      </c>
      <c r="Q22" s="16">
        <f t="shared" si="9"/>
        <v>62.518784642365475</v>
      </c>
      <c r="R22" s="351"/>
      <c r="S22" s="11"/>
      <c r="T22" s="15">
        <f>(T21-T20)/T20*100</f>
        <v>-19.572591587516946</v>
      </c>
      <c r="U22" s="15">
        <f t="shared" ref="U22:AH22" si="10">(U21-U20)/U20*100</f>
        <v>-32.204395377631037</v>
      </c>
      <c r="V22" s="15">
        <f t="shared" si="10"/>
        <v>41.791669573711033</v>
      </c>
      <c r="W22" s="15">
        <f t="shared" si="10"/>
        <v>22.389688331173708</v>
      </c>
      <c r="X22" s="15"/>
      <c r="Y22" s="16"/>
      <c r="Z22" s="15">
        <f t="shared" si="10"/>
        <v>-21.667833693731868</v>
      </c>
      <c r="AA22" s="15">
        <f t="shared" si="10"/>
        <v>-26.634197087195005</v>
      </c>
      <c r="AB22" s="15">
        <f t="shared" si="10"/>
        <v>-40.317907604381652</v>
      </c>
      <c r="AC22" s="15">
        <f t="shared" si="10"/>
        <v>-28.38296120596711</v>
      </c>
      <c r="AD22" s="15">
        <f t="shared" si="10"/>
        <v>16.65223428238702</v>
      </c>
      <c r="AE22" s="17">
        <f t="shared" si="10"/>
        <v>43.525820784858112</v>
      </c>
      <c r="AF22" s="15">
        <f t="shared" si="10"/>
        <v>55.741822893254714</v>
      </c>
      <c r="AG22" s="15">
        <f t="shared" si="10"/>
        <v>-13.145143114717142</v>
      </c>
      <c r="AH22" s="16">
        <f t="shared" si="10"/>
        <v>41.799115303573672</v>
      </c>
    </row>
    <row r="23" spans="1:34" x14ac:dyDescent="0.25">
      <c r="A23" s="63"/>
    </row>
    <row r="24" spans="1:34" ht="30.75" thickBot="1" x14ac:dyDescent="0.3">
      <c r="C24" s="3" t="s">
        <v>2</v>
      </c>
      <c r="D24" s="76" t="s">
        <v>3</v>
      </c>
      <c r="E24" s="76" t="s">
        <v>4</v>
      </c>
      <c r="F24" s="76" t="s">
        <v>5</v>
      </c>
      <c r="G24" s="76" t="s">
        <v>6</v>
      </c>
      <c r="H24" s="44" t="s">
        <v>7</v>
      </c>
      <c r="I24" s="76" t="s">
        <v>8</v>
      </c>
      <c r="J24" s="76" t="s">
        <v>9</v>
      </c>
      <c r="K24" s="76" t="s">
        <v>10</v>
      </c>
      <c r="L24" s="76" t="s">
        <v>11</v>
      </c>
      <c r="M24" s="76" t="s">
        <v>12</v>
      </c>
      <c r="N24" s="77" t="s">
        <v>13</v>
      </c>
      <c r="O24" s="76" t="s">
        <v>14</v>
      </c>
      <c r="P24" s="76" t="s">
        <v>15</v>
      </c>
      <c r="Q24" s="44" t="s">
        <v>16</v>
      </c>
      <c r="Y24" s="289"/>
      <c r="AE24" s="122"/>
    </row>
    <row r="25" spans="1:34" ht="15.75" thickTop="1" x14ac:dyDescent="0.25">
      <c r="B25" s="29" t="s">
        <v>28</v>
      </c>
      <c r="C25" s="31">
        <f t="shared" ref="C25:Q26" si="11">AVERAGE(C14,C11,C8,C5,C2)</f>
        <v>1.4952937601696212</v>
      </c>
      <c r="D25" s="31">
        <f t="shared" si="11"/>
        <v>1.2086270993862476</v>
      </c>
      <c r="E25" s="31">
        <f t="shared" si="11"/>
        <v>0.44557282381939983</v>
      </c>
      <c r="F25" s="31">
        <f t="shared" si="11"/>
        <v>0.40851585234800708</v>
      </c>
      <c r="G25" s="31">
        <f>AVERAGE(G14,G11,G8,G5,G2)</f>
        <v>1.9234000000000009</v>
      </c>
      <c r="H25" s="27">
        <f t="shared" si="11"/>
        <v>-6.8323999999999998</v>
      </c>
      <c r="I25" s="31">
        <f t="shared" si="11"/>
        <v>2.8271221223697629</v>
      </c>
      <c r="J25" s="31">
        <f t="shared" si="11"/>
        <v>0.67504563316370358</v>
      </c>
      <c r="K25" s="31">
        <f t="shared" si="11"/>
        <v>0.32270379197738908</v>
      </c>
      <c r="L25" s="31">
        <f t="shared" si="11"/>
        <v>0.3555215810261883</v>
      </c>
      <c r="M25" s="31">
        <f t="shared" si="11"/>
        <v>0.48415970005680597</v>
      </c>
      <c r="N25" s="28">
        <f t="shared" si="11"/>
        <v>0.75543679447740264</v>
      </c>
      <c r="O25" s="31">
        <f t="shared" si="11"/>
        <v>0.45220939437255125</v>
      </c>
      <c r="P25" s="31">
        <f t="shared" si="11"/>
        <v>0.15434282204374505</v>
      </c>
      <c r="Q25" s="27">
        <f t="shared" si="11"/>
        <v>0.70131548439958047</v>
      </c>
      <c r="S25" s="29" t="s">
        <v>28</v>
      </c>
      <c r="T25" s="31">
        <f t="shared" ref="T25:AH26" si="12">AVERAGE(T14,T11,T8,T5,T2)</f>
        <v>26.701299999999996</v>
      </c>
      <c r="U25" s="31">
        <f t="shared" si="12"/>
        <v>21.620639999999998</v>
      </c>
      <c r="V25" s="31">
        <f t="shared" si="12"/>
        <v>7.81576</v>
      </c>
      <c r="W25" s="31">
        <f t="shared" si="12"/>
        <v>7.0851600000000001</v>
      </c>
      <c r="X25" s="31">
        <f t="shared" si="12"/>
        <v>7.0353200000000014</v>
      </c>
      <c r="Y25" s="27">
        <f t="shared" si="12"/>
        <v>-6.8323999999999998</v>
      </c>
      <c r="Z25" s="31">
        <f t="shared" si="12"/>
        <v>47.848239999999997</v>
      </c>
      <c r="AA25" s="31">
        <f t="shared" si="12"/>
        <v>10.74178</v>
      </c>
      <c r="AB25" s="31">
        <f t="shared" si="12"/>
        <v>5.3025599999999997</v>
      </c>
      <c r="AC25" s="31">
        <f t="shared" si="12"/>
        <v>5.908879999999999</v>
      </c>
      <c r="AD25" s="31">
        <f t="shared" si="12"/>
        <v>7.94252</v>
      </c>
      <c r="AE25" s="12">
        <f t="shared" si="12"/>
        <v>14.131349999999999</v>
      </c>
      <c r="AF25" s="31">
        <f t="shared" si="12"/>
        <v>7.1286999999999994</v>
      </c>
      <c r="AG25" s="31">
        <f t="shared" si="12"/>
        <v>3.0917400000000002</v>
      </c>
      <c r="AH25" s="27">
        <f t="shared" si="12"/>
        <v>11.863759999999999</v>
      </c>
    </row>
    <row r="26" spans="1:34" x14ac:dyDescent="0.25">
      <c r="B26" s="6" t="s">
        <v>29</v>
      </c>
      <c r="C26" s="33">
        <f t="shared" si="11"/>
        <v>1.8486095065197479</v>
      </c>
      <c r="D26" s="33">
        <f t="shared" si="11"/>
        <v>1.5804859673111888</v>
      </c>
      <c r="E26" s="33">
        <f t="shared" si="11"/>
        <v>0.83253084175438263</v>
      </c>
      <c r="F26" s="33">
        <f t="shared" si="11"/>
        <v>0.76790082114904612</v>
      </c>
      <c r="G26" s="33">
        <f t="shared" si="11"/>
        <v>7.4032249999999991</v>
      </c>
      <c r="H26" s="8">
        <f t="shared" si="11"/>
        <v>10.87182</v>
      </c>
      <c r="I26" s="33">
        <f t="shared" si="11"/>
        <v>3.8084031337008155</v>
      </c>
      <c r="J26" s="33">
        <f t="shared" si="11"/>
        <v>1.0394437837185948</v>
      </c>
      <c r="K26" s="33">
        <f t="shared" si="11"/>
        <v>0.33590304831010176</v>
      </c>
      <c r="L26" s="33">
        <f t="shared" si="11"/>
        <v>0.34900818980043935</v>
      </c>
      <c r="M26" s="33">
        <f t="shared" si="11"/>
        <v>0.97480889507372503</v>
      </c>
      <c r="N26" s="12">
        <f t="shared" si="11"/>
        <v>0.85076673547910842</v>
      </c>
      <c r="O26" s="33">
        <f t="shared" si="11"/>
        <v>1.0433777681247256</v>
      </c>
      <c r="P26" s="33">
        <f t="shared" si="11"/>
        <v>0.23362918793472004</v>
      </c>
      <c r="Q26" s="8">
        <f t="shared" si="11"/>
        <v>1.4223093347944948</v>
      </c>
      <c r="S26" s="6" t="s">
        <v>29</v>
      </c>
      <c r="T26" s="33">
        <f t="shared" si="12"/>
        <v>29.422039999999999</v>
      </c>
      <c r="U26" s="33">
        <f t="shared" si="12"/>
        <v>25.366379999999999</v>
      </c>
      <c r="V26" s="33">
        <f t="shared" si="12"/>
        <v>12.785079999999999</v>
      </c>
      <c r="W26" s="33">
        <f t="shared" si="12"/>
        <v>11.896239999999997</v>
      </c>
      <c r="X26" s="33">
        <f t="shared" si="12"/>
        <v>10.6996</v>
      </c>
      <c r="Y26" s="8">
        <f t="shared" si="12"/>
        <v>10.87182</v>
      </c>
      <c r="Z26" s="33">
        <f t="shared" si="12"/>
        <v>58.721860000000007</v>
      </c>
      <c r="AA26" s="33">
        <f t="shared" si="12"/>
        <v>15.54914</v>
      </c>
      <c r="AB26" s="33">
        <f t="shared" si="12"/>
        <v>5.0728799999999996</v>
      </c>
      <c r="AC26" s="33">
        <f t="shared" si="12"/>
        <v>5.3777400000000011</v>
      </c>
      <c r="AD26" s="33">
        <f t="shared" si="12"/>
        <v>15.09714</v>
      </c>
      <c r="AE26" s="12">
        <f t="shared" si="12"/>
        <v>13.943750000000001</v>
      </c>
      <c r="AF26" s="33">
        <f t="shared" si="12"/>
        <v>15.880799999999999</v>
      </c>
      <c r="AG26" s="33">
        <f t="shared" si="12"/>
        <v>3.5811000000000002</v>
      </c>
      <c r="AH26" s="8">
        <f t="shared" si="12"/>
        <v>21.56438</v>
      </c>
    </row>
    <row r="27" spans="1:34" x14ac:dyDescent="0.25">
      <c r="B27" s="38" t="s">
        <v>30</v>
      </c>
      <c r="C27" s="35">
        <f>AVERAGE(C16,C13,C10,C7,C4,C1)</f>
        <v>30.502319709223844</v>
      </c>
      <c r="D27" s="35">
        <f>AVERAGE(D16,D13,D10,D7,D4,D1)</f>
        <v>37.601974736604042</v>
      </c>
      <c r="E27" s="35">
        <f>AVERAGE(E16,E13,E10,E7,E4,E1)</f>
        <v>113.10031159300806</v>
      </c>
      <c r="F27" s="35">
        <f>AVERAGE(F16,F13,F10,F7,F4,F1)</f>
        <v>103.73933541165874</v>
      </c>
      <c r="G27" s="35"/>
      <c r="H27" s="36"/>
      <c r="I27" s="35">
        <f t="shared" ref="I27:Q27" si="13">AVERAGE(I16,I13,I10,I7,I4,I1)</f>
        <v>40.555726480694332</v>
      </c>
      <c r="J27" s="35">
        <f t="shared" si="13"/>
        <v>69.501534514641349</v>
      </c>
      <c r="K27" s="35">
        <f t="shared" si="13"/>
        <v>5.8490326213591519</v>
      </c>
      <c r="L27" s="35">
        <f t="shared" si="13"/>
        <v>0.96094130493106233</v>
      </c>
      <c r="M27" s="35">
        <f t="shared" si="13"/>
        <v>157.96432834495252</v>
      </c>
      <c r="N27" s="37">
        <f t="shared" si="13"/>
        <v>30.082837730699104</v>
      </c>
      <c r="O27" s="35">
        <f t="shared" si="13"/>
        <v>198.16985505897031</v>
      </c>
      <c r="P27" s="35">
        <f t="shared" si="13"/>
        <v>18.766878890895519</v>
      </c>
      <c r="Q27" s="36">
        <f t="shared" si="13"/>
        <v>113.09584960074361</v>
      </c>
      <c r="S27" s="38" t="s">
        <v>30</v>
      </c>
      <c r="T27" s="35">
        <f>AVERAGE(T16,T13,T10,T7,T4,T1)</f>
        <v>19.601709119054334</v>
      </c>
      <c r="U27" s="35">
        <f>AVERAGE(U16,U13,U10,U7,U4,U1)</f>
        <v>25.097878317563111</v>
      </c>
      <c r="V27" s="35">
        <f>AVERAGE(V16,V13,V10,V7,V4,V1)</f>
        <v>96.339102019584885</v>
      </c>
      <c r="W27" s="35">
        <f>AVERAGE(W16,W13,W10,W7,W4,W1)</f>
        <v>83.988863502139367</v>
      </c>
      <c r="X27" s="35"/>
      <c r="Y27" s="36"/>
      <c r="Z27" s="35">
        <f t="shared" ref="Z27:AH27" si="14">AVERAGE(Z16,Z13,Z10,Z7,Z4,Z1)</f>
        <v>28.859500966520546</v>
      </c>
      <c r="AA27" s="35">
        <f t="shared" si="14"/>
        <v>55.590195697885768</v>
      </c>
      <c r="AB27" s="35">
        <f t="shared" si="14"/>
        <v>-2.6435580283628206</v>
      </c>
      <c r="AC27" s="35">
        <f t="shared" si="14"/>
        <v>-8.3918132769228269</v>
      </c>
      <c r="AD27" s="35">
        <f t="shared" si="14"/>
        <v>124.05790776634024</v>
      </c>
      <c r="AE27" s="37">
        <f t="shared" si="14"/>
        <v>19.576476867087859</v>
      </c>
      <c r="AF27" s="35">
        <f t="shared" si="14"/>
        <v>160.70373924806174</v>
      </c>
      <c r="AG27" s="35">
        <f t="shared" si="14"/>
        <v>9.1997602671777408</v>
      </c>
      <c r="AH27" s="36">
        <f t="shared" si="14"/>
        <v>96.334716229093118</v>
      </c>
    </row>
    <row r="28" spans="1:34" x14ac:dyDescent="0.25">
      <c r="B28" s="6" t="s">
        <v>31</v>
      </c>
      <c r="C28" s="33">
        <f t="shared" ref="C28:Q29" si="15">_xlfn.STDEV.S(C14,C11,C8,C5,C2)</f>
        <v>1.2643395982446728</v>
      </c>
      <c r="D28" s="33">
        <f t="shared" si="15"/>
        <v>1.1340493529969045</v>
      </c>
      <c r="E28" s="33">
        <f t="shared" si="15"/>
        <v>0.49091396475634558</v>
      </c>
      <c r="F28" s="33">
        <f t="shared" si="15"/>
        <v>0.42141175337361281</v>
      </c>
      <c r="G28" s="33">
        <f t="shared" si="15"/>
        <v>26.75447542026069</v>
      </c>
      <c r="H28" s="8">
        <f t="shared" si="15"/>
        <v>39.152605521216593</v>
      </c>
      <c r="I28" s="33">
        <f t="shared" si="15"/>
        <v>0.84938448038807302</v>
      </c>
      <c r="J28" s="33">
        <f t="shared" si="15"/>
        <v>0.37586818112782355</v>
      </c>
      <c r="K28" s="33">
        <f t="shared" si="15"/>
        <v>0.11268089325686192</v>
      </c>
      <c r="L28" s="33">
        <f t="shared" si="15"/>
        <v>0.1085204932380729</v>
      </c>
      <c r="M28" s="33">
        <f t="shared" si="15"/>
        <v>0.28183509200039986</v>
      </c>
      <c r="N28" s="12">
        <f t="shared" si="15"/>
        <v>0.46181189194697375</v>
      </c>
      <c r="O28" s="33">
        <f t="shared" si="15"/>
        <v>0.23573164965540552</v>
      </c>
      <c r="P28" s="33">
        <f t="shared" si="15"/>
        <v>0.35957787031917277</v>
      </c>
      <c r="Q28" s="8">
        <f t="shared" si="15"/>
        <v>0.35973492785722988</v>
      </c>
      <c r="S28" s="6" t="s">
        <v>31</v>
      </c>
      <c r="T28" s="33">
        <f t="shared" ref="T28:AH29" si="16">_xlfn.STDEV.S(T14,T11,T8,T5,T2)</f>
        <v>25.433175212308822</v>
      </c>
      <c r="U28" s="33">
        <f t="shared" si="16"/>
        <v>21.634638011022975</v>
      </c>
      <c r="V28" s="33">
        <f t="shared" si="16"/>
        <v>9.3210760018894803</v>
      </c>
      <c r="W28" s="33">
        <f t="shared" si="16"/>
        <v>7.7869580005930414</v>
      </c>
      <c r="X28" s="33">
        <f t="shared" si="16"/>
        <v>25.836216764302005</v>
      </c>
      <c r="Y28" s="8">
        <f t="shared" si="16"/>
        <v>39.152605521216593</v>
      </c>
      <c r="Z28" s="33">
        <f t="shared" si="16"/>
        <v>18.069591417018824</v>
      </c>
      <c r="AA28" s="33">
        <f t="shared" si="16"/>
        <v>5.9434877451711801</v>
      </c>
      <c r="AB28" s="33">
        <f t="shared" si="16"/>
        <v>1.7437196142155449</v>
      </c>
      <c r="AC28" s="33">
        <f t="shared" si="16"/>
        <v>1.9083584849288684</v>
      </c>
      <c r="AD28" s="33">
        <f t="shared" si="16"/>
        <v>4.5077397625639382</v>
      </c>
      <c r="AE28" s="12">
        <f t="shared" si="16"/>
        <v>10.581905192197985</v>
      </c>
      <c r="AF28" s="33">
        <f t="shared" si="16"/>
        <v>2.8136328251923715</v>
      </c>
      <c r="AG28" s="33">
        <f t="shared" si="16"/>
        <v>7.0845678137766459</v>
      </c>
      <c r="AH28" s="8">
        <f t="shared" si="16"/>
        <v>7.1529925554274145</v>
      </c>
    </row>
    <row r="29" spans="1:34" x14ac:dyDescent="0.25">
      <c r="B29" s="6" t="s">
        <v>32</v>
      </c>
      <c r="C29" s="33">
        <f t="shared" si="15"/>
        <v>1.5157848870023323</v>
      </c>
      <c r="D29" s="33">
        <f t="shared" si="15"/>
        <v>1.3366611124674426</v>
      </c>
      <c r="E29" s="33">
        <f t="shared" si="15"/>
        <v>0.89211537295911447</v>
      </c>
      <c r="F29" s="33">
        <f t="shared" si="15"/>
        <v>0.86062825312139624</v>
      </c>
      <c r="G29" s="33">
        <f t="shared" si="15"/>
        <v>14.002624361258142</v>
      </c>
      <c r="H29" s="8">
        <f t="shared" si="15"/>
        <v>10.304089001313995</v>
      </c>
      <c r="I29" s="33">
        <f t="shared" si="15"/>
        <v>0.67432097678467773</v>
      </c>
      <c r="J29" s="33">
        <f t="shared" si="15"/>
        <v>0.49447064716221678</v>
      </c>
      <c r="K29" s="33">
        <f t="shared" si="15"/>
        <v>9.4145937463253948E-2</v>
      </c>
      <c r="L29" s="33">
        <f t="shared" si="15"/>
        <v>6.8848908029023437E-2</v>
      </c>
      <c r="M29" s="33">
        <f t="shared" si="15"/>
        <v>0.44252615731241335</v>
      </c>
      <c r="N29" s="12">
        <f t="shared" si="15"/>
        <v>0.50856913385454117</v>
      </c>
      <c r="O29" s="33">
        <f t="shared" si="15"/>
        <v>0.32893681577009121</v>
      </c>
      <c r="P29" s="33">
        <f t="shared" si="15"/>
        <v>0.39033529272870532</v>
      </c>
      <c r="Q29" s="8">
        <f t="shared" si="15"/>
        <v>0.6799031551735718</v>
      </c>
      <c r="S29" s="6" t="s">
        <v>32</v>
      </c>
      <c r="T29" s="33">
        <f t="shared" si="16"/>
        <v>26.675692081893583</v>
      </c>
      <c r="U29" s="33">
        <f t="shared" si="16"/>
        <v>23.815035239360874</v>
      </c>
      <c r="V29" s="33">
        <f t="shared" si="16"/>
        <v>14.984655531309354</v>
      </c>
      <c r="W29" s="33">
        <f t="shared" si="16"/>
        <v>14.73556801714817</v>
      </c>
      <c r="X29" s="33">
        <f t="shared" si="16"/>
        <v>14.19103792733287</v>
      </c>
      <c r="Y29" s="8">
        <f t="shared" si="16"/>
        <v>10.304089001313995</v>
      </c>
      <c r="Z29" s="33">
        <f t="shared" si="16"/>
        <v>16.000466117210419</v>
      </c>
      <c r="AA29" s="33">
        <f t="shared" si="16"/>
        <v>7.6391448502433841</v>
      </c>
      <c r="AB29" s="33">
        <f t="shared" si="16"/>
        <v>1.4940168312304936</v>
      </c>
      <c r="AC29" s="33">
        <f t="shared" si="16"/>
        <v>1.5907456358575993</v>
      </c>
      <c r="AD29" s="33">
        <f t="shared" si="16"/>
        <v>7.695464523535926</v>
      </c>
      <c r="AE29" s="12">
        <f t="shared" si="16"/>
        <v>9.763492278722131</v>
      </c>
      <c r="AF29" s="33">
        <f t="shared" si="16"/>
        <v>6.2306495163024547</v>
      </c>
      <c r="AG29" s="33">
        <f t="shared" si="16"/>
        <v>6.4905598764667447</v>
      </c>
      <c r="AH29" s="8">
        <f t="shared" si="16"/>
        <v>11.923452149734157</v>
      </c>
    </row>
    <row r="30" spans="1:34" ht="15.75" thickBot="1" x14ac:dyDescent="0.3">
      <c r="B30" s="40" t="s">
        <v>33</v>
      </c>
      <c r="C30" s="15">
        <f>_xlfn.STDEV.S(C16,C13,C10,C7,C4,C1)</f>
        <v>11.667938626797165</v>
      </c>
      <c r="D30" s="15">
        <f>_xlfn.STDEV.S(D16,D13,D10,D7,D4,D1)</f>
        <v>24.193886736260737</v>
      </c>
      <c r="E30" s="15">
        <f>_xlfn.STDEV.S(E16,E13,E10,E7,E4,E1)</f>
        <v>47.121392714499954</v>
      </c>
      <c r="F30" s="15">
        <f>_xlfn.STDEV.S(F16,F13,F10,F7,F4,F1)</f>
        <v>73.583988715018435</v>
      </c>
      <c r="G30" s="15"/>
      <c r="H30" s="16"/>
      <c r="I30" s="15">
        <f t="shared" ref="I30:Q30" si="17">_xlfn.STDEV.S(I16,I13,I10,I7,I4,I1)</f>
        <v>30.704571015873839</v>
      </c>
      <c r="J30" s="15">
        <f t="shared" si="17"/>
        <v>87.084851309401557</v>
      </c>
      <c r="K30" s="15">
        <f t="shared" si="17"/>
        <v>10.302863522483493</v>
      </c>
      <c r="L30" s="15">
        <f t="shared" si="17"/>
        <v>16.09304304614432</v>
      </c>
      <c r="M30" s="15">
        <f t="shared" si="17"/>
        <v>171.49457805364099</v>
      </c>
      <c r="N30" s="17">
        <f t="shared" si="17"/>
        <v>57.225518038900987</v>
      </c>
      <c r="O30" s="15">
        <f t="shared" si="17"/>
        <v>196.51560219852135</v>
      </c>
      <c r="P30" s="15">
        <f t="shared" si="17"/>
        <v>66.297764938598903</v>
      </c>
      <c r="Q30" s="16">
        <f t="shared" si="17"/>
        <v>47.120663233778281</v>
      </c>
      <c r="S30" s="40" t="s">
        <v>33</v>
      </c>
      <c r="T30" s="15">
        <f>_xlfn.STDEV.S(T16,T13,T10,T7,T4,T1)</f>
        <v>13.228011395990281</v>
      </c>
      <c r="U30" s="15">
        <f>_xlfn.STDEV.S(U16,U13,U10,U7,U4,U1)</f>
        <v>16.758731790533432</v>
      </c>
      <c r="V30" s="15">
        <f>_xlfn.STDEV.S(V16,V13,V10,V7,V4,V1)</f>
        <v>51.303160143373098</v>
      </c>
      <c r="W30" s="15">
        <f>_xlfn.STDEV.S(W16,W13,W10,W7,W4,W1)</f>
        <v>61.221446448832907</v>
      </c>
      <c r="X30" s="15"/>
      <c r="Y30" s="16"/>
      <c r="Z30" s="15">
        <f t="shared" ref="Z30:AH30" si="18">_xlfn.STDEV.S(Z16,Z13,Z10,Z7,Z4,Z1)</f>
        <v>29.955544882551447</v>
      </c>
      <c r="AA30" s="15">
        <f t="shared" si="18"/>
        <v>82.225857442298405</v>
      </c>
      <c r="AB30" s="15">
        <f t="shared" si="18"/>
        <v>14.584650579800671</v>
      </c>
      <c r="AC30" s="15">
        <f t="shared" si="18"/>
        <v>5.8913719050192181</v>
      </c>
      <c r="AD30" s="15">
        <f t="shared" si="18"/>
        <v>122.28538545350351</v>
      </c>
      <c r="AE30" s="17">
        <f t="shared" si="18"/>
        <v>56.100379791300377</v>
      </c>
      <c r="AF30" s="15">
        <f t="shared" si="18"/>
        <v>145.79846616710267</v>
      </c>
      <c r="AG30" s="15">
        <f t="shared" si="18"/>
        <v>62.429854550691509</v>
      </c>
      <c r="AH30" s="16">
        <f t="shared" si="18"/>
        <v>51.300880018079631</v>
      </c>
    </row>
    <row r="31" spans="1:34" ht="15" customHeight="1" thickBot="1" x14ac:dyDescent="0.3">
      <c r="A31" t="s">
        <v>27</v>
      </c>
      <c r="B31" s="63"/>
      <c r="C31" s="63"/>
      <c r="D31" s="63"/>
      <c r="E31" s="63"/>
      <c r="F31" s="63"/>
      <c r="G31" s="63"/>
      <c r="H31" s="63"/>
      <c r="I31" s="63"/>
      <c r="J31" s="63"/>
      <c r="K31" s="63"/>
      <c r="L31" s="63"/>
      <c r="M31" s="63"/>
      <c r="N31" s="63"/>
      <c r="O31" s="63"/>
      <c r="P31" s="63"/>
      <c r="S31" s="41"/>
      <c r="T31" s="42"/>
      <c r="U31" s="42"/>
      <c r="V31" s="42"/>
      <c r="W31" s="42"/>
      <c r="X31" s="42"/>
      <c r="Y31" s="42"/>
      <c r="Z31" s="42"/>
      <c r="AA31" s="42"/>
      <c r="AB31" s="42"/>
      <c r="AC31" s="42"/>
      <c r="AD31" s="42"/>
      <c r="AE31" s="42"/>
      <c r="AF31" s="42"/>
      <c r="AG31" s="42"/>
      <c r="AH31" s="7"/>
    </row>
    <row r="32" spans="1:34" ht="30.75" thickBot="1" x14ac:dyDescent="0.3">
      <c r="C32" s="3" t="s">
        <v>2</v>
      </c>
      <c r="D32" s="76" t="s">
        <v>3</v>
      </c>
      <c r="E32" s="76" t="s">
        <v>4</v>
      </c>
      <c r="F32" s="76" t="s">
        <v>5</v>
      </c>
      <c r="G32" s="76" t="s">
        <v>6</v>
      </c>
      <c r="H32" s="44" t="s">
        <v>7</v>
      </c>
      <c r="I32" s="76" t="s">
        <v>8</v>
      </c>
      <c r="J32" s="76" t="s">
        <v>9</v>
      </c>
      <c r="K32" s="76" t="s">
        <v>10</v>
      </c>
      <c r="L32" s="76" t="s">
        <v>11</v>
      </c>
      <c r="M32" s="76" t="s">
        <v>12</v>
      </c>
      <c r="N32" s="77" t="s">
        <v>13</v>
      </c>
      <c r="O32" s="76" t="s">
        <v>14</v>
      </c>
      <c r="P32" s="76" t="s">
        <v>15</v>
      </c>
      <c r="Q32" s="44" t="s">
        <v>16</v>
      </c>
      <c r="S32" s="6" t="s">
        <v>28</v>
      </c>
      <c r="T32" s="7">
        <v>38.509043478260871</v>
      </c>
      <c r="U32" s="7">
        <v>30.935217391304349</v>
      </c>
      <c r="V32" s="7">
        <v>16.656999999999996</v>
      </c>
      <c r="W32" s="7">
        <v>15.317272727272728</v>
      </c>
      <c r="X32" s="7">
        <v>16.79301818181818</v>
      </c>
      <c r="Y32" s="8">
        <v>6.0623045454545466</v>
      </c>
      <c r="Z32" s="7">
        <v>55.930869565217385</v>
      </c>
      <c r="AA32" s="7">
        <v>16.97650909090909</v>
      </c>
      <c r="AB32" s="7">
        <v>6.0907954545454546</v>
      </c>
      <c r="AC32" s="7">
        <v>5.9655826086956516</v>
      </c>
      <c r="AD32" s="7">
        <v>7.0906565217391293</v>
      </c>
      <c r="AE32" s="12">
        <v>12.485695454545453</v>
      </c>
      <c r="AF32" s="7">
        <v>8.0412681818181806</v>
      </c>
      <c r="AG32" s="7">
        <v>7.2758954545454539</v>
      </c>
      <c r="AH32" s="27">
        <v>16.656949999999998</v>
      </c>
    </row>
    <row r="33" spans="2:34" ht="15.75" thickTop="1" x14ac:dyDescent="0.25">
      <c r="B33" s="29" t="s">
        <v>28</v>
      </c>
      <c r="C33" s="7">
        <v>2.3518864070350451</v>
      </c>
      <c r="D33" s="7">
        <v>1.8601639796696379</v>
      </c>
      <c r="E33" s="7">
        <v>1.0168739828609845</v>
      </c>
      <c r="F33" s="7">
        <v>0.92725992322858486</v>
      </c>
      <c r="G33" s="7">
        <v>17.7486</v>
      </c>
      <c r="H33" s="10">
        <v>7.0584050000000023</v>
      </c>
      <c r="I33" s="7">
        <v>3.431385580340129</v>
      </c>
      <c r="J33" s="7">
        <v>1.0539709673861093</v>
      </c>
      <c r="K33" s="7">
        <v>0.3472104741042345</v>
      </c>
      <c r="L33" s="7">
        <v>0.34391725227952524</v>
      </c>
      <c r="M33" s="7">
        <v>0.42462456288892803</v>
      </c>
      <c r="N33" s="9">
        <v>0.790771277722501</v>
      </c>
      <c r="O33" s="7">
        <v>0.48124123234066946</v>
      </c>
      <c r="P33" s="7">
        <v>0.46220308541343291</v>
      </c>
      <c r="Q33" s="10">
        <v>1.0168711424594858</v>
      </c>
      <c r="S33" s="6" t="s">
        <v>29</v>
      </c>
      <c r="T33" s="7">
        <v>48.302043478260877</v>
      </c>
      <c r="U33" s="7">
        <v>36.448086956521735</v>
      </c>
      <c r="V33" s="7">
        <v>24.847318181818185</v>
      </c>
      <c r="W33" s="7">
        <v>23.667818181818181</v>
      </c>
      <c r="X33" s="7">
        <v>23.900504347826086</v>
      </c>
      <c r="Y33" s="8">
        <v>3.8601818181818177</v>
      </c>
      <c r="Z33" s="7">
        <v>64.177730434782617</v>
      </c>
      <c r="AA33" s="7">
        <v>15.832478260869564</v>
      </c>
      <c r="AB33" s="7">
        <v>6.0439590909090901</v>
      </c>
      <c r="AC33" s="7">
        <v>6.4575217391304349</v>
      </c>
      <c r="AD33" s="7">
        <v>13.219591304347828</v>
      </c>
      <c r="AE33" s="12">
        <v>11.11825</v>
      </c>
      <c r="AF33" s="7">
        <v>17.210290909090904</v>
      </c>
      <c r="AG33" s="7">
        <v>6.7832904761904773</v>
      </c>
      <c r="AH33" s="8">
        <v>24.847190909090909</v>
      </c>
    </row>
    <row r="34" spans="2:34" x14ac:dyDescent="0.25">
      <c r="B34" s="6" t="s">
        <v>29</v>
      </c>
      <c r="C34" s="7">
        <v>2.9726277093463245</v>
      </c>
      <c r="D34" s="7">
        <v>2.1990694801225907</v>
      </c>
      <c r="E34" s="7">
        <v>1.5078555421293989</v>
      </c>
      <c r="F34" s="7">
        <v>1.4255452933530057</v>
      </c>
      <c r="G34" s="7">
        <v>24.257138095238094</v>
      </c>
      <c r="H34" s="8">
        <v>4.4206999999999992</v>
      </c>
      <c r="I34" s="7">
        <v>3.9538969250335834</v>
      </c>
      <c r="J34" s="7">
        <v>0.98128220965724444</v>
      </c>
      <c r="K34" s="7">
        <v>0.34748370538045104</v>
      </c>
      <c r="L34" s="7">
        <v>0.36821237896605136</v>
      </c>
      <c r="M34" s="7">
        <v>0.79090238941973301</v>
      </c>
      <c r="N34" s="12">
        <v>0.7430542723252167</v>
      </c>
      <c r="O34" s="7">
        <v>1.0387375758455122</v>
      </c>
      <c r="P34" s="7">
        <v>0.41893122251422893</v>
      </c>
      <c r="Q34" s="8">
        <v>1.5078470408835616</v>
      </c>
      <c r="S34" s="43" t="s">
        <v>34</v>
      </c>
      <c r="T34" s="35">
        <v>19.744967227717357</v>
      </c>
      <c r="U34" s="35">
        <v>12.929061252812712</v>
      </c>
      <c r="V34" s="35">
        <v>35.659543298503408</v>
      </c>
      <c r="W34" s="35">
        <v>43.300770037206192</v>
      </c>
      <c r="X34" s="35"/>
      <c r="Y34" s="36"/>
      <c r="Z34" s="35">
        <v>10.137425602022006</v>
      </c>
      <c r="AA34" s="35">
        <v>-11.349021305084666</v>
      </c>
      <c r="AB34" s="35">
        <v>-0.53484515846737513</v>
      </c>
      <c r="AC34" s="35">
        <v>2.6451988604960937</v>
      </c>
      <c r="AD34" s="35">
        <v>66.665302620966855</v>
      </c>
      <c r="AE34" s="37">
        <v>-14.028527589120625</v>
      </c>
      <c r="AF34" s="35">
        <v>91.256016687690177</v>
      </c>
      <c r="AG34" s="35">
        <v>-6.5431233894477892</v>
      </c>
      <c r="AH34" s="36">
        <v>35.658735419083094</v>
      </c>
    </row>
    <row r="35" spans="2:34" x14ac:dyDescent="0.25">
      <c r="B35" s="43" t="s">
        <v>34</v>
      </c>
      <c r="C35" s="39">
        <v>27.593408318294276</v>
      </c>
      <c r="D35" s="35">
        <v>17.866394659152313</v>
      </c>
      <c r="E35" s="35">
        <v>53.857101930196244</v>
      </c>
      <c r="F35" s="35">
        <v>59.324022951122835</v>
      </c>
      <c r="G35" s="35"/>
      <c r="H35" s="36"/>
      <c r="I35" s="35">
        <v>14.979734240988353</v>
      </c>
      <c r="J35" s="35">
        <v>-9.4921714105800969</v>
      </c>
      <c r="K35" s="35">
        <v>3.4024219669248077</v>
      </c>
      <c r="L35" s="35">
        <v>6.6346812213918422</v>
      </c>
      <c r="M35" s="35">
        <v>94.082358940546314</v>
      </c>
      <c r="N35" s="37">
        <v>4.9914162792126469</v>
      </c>
      <c r="O35" s="35">
        <v>125.84173918651236</v>
      </c>
      <c r="P35" s="35">
        <v>-4.491012814722092</v>
      </c>
      <c r="Q35" s="36">
        <v>53.856570298485849</v>
      </c>
      <c r="S35" s="6" t="s">
        <v>31</v>
      </c>
      <c r="T35" s="7">
        <v>8.8567321067971037</v>
      </c>
      <c r="U35" s="7">
        <v>8.3251242608550537</v>
      </c>
      <c r="V35" s="7">
        <v>6.037636573386159</v>
      </c>
      <c r="W35" s="7">
        <v>5.396310647393701</v>
      </c>
      <c r="X35" s="7">
        <v>14.097616359691241</v>
      </c>
      <c r="Y35" s="8">
        <v>15.658147707740367</v>
      </c>
      <c r="Z35" s="7">
        <v>10.579647082386577</v>
      </c>
      <c r="AA35" s="7">
        <v>6.6916315307351786</v>
      </c>
      <c r="AB35" s="7">
        <v>3.3371686996376542</v>
      </c>
      <c r="AC35" s="7">
        <v>2.3698018888673702</v>
      </c>
      <c r="AD35" s="7">
        <v>3.1494424347319137</v>
      </c>
      <c r="AE35" s="12">
        <v>4.365833366540584</v>
      </c>
      <c r="AF35" s="7">
        <v>3.4319386044965907</v>
      </c>
      <c r="AG35" s="7">
        <v>3.3712896925054703</v>
      </c>
      <c r="AH35" s="8">
        <v>6.037688894055897</v>
      </c>
    </row>
    <row r="36" spans="2:34" x14ac:dyDescent="0.25">
      <c r="B36" s="6" t="s">
        <v>31</v>
      </c>
      <c r="C36" s="7">
        <v>0.52695270592283383</v>
      </c>
      <c r="D36" s="7">
        <v>0.50281470686889929</v>
      </c>
      <c r="E36" s="7">
        <v>0.3501258033206105</v>
      </c>
      <c r="F36" s="7">
        <v>0.319655879444872</v>
      </c>
      <c r="G36" s="7">
        <v>14.558333165358162</v>
      </c>
      <c r="H36" s="8">
        <v>16.473626163322052</v>
      </c>
      <c r="I36" s="7">
        <v>0.70538706921235295</v>
      </c>
      <c r="J36" s="7">
        <v>0.48390628212125358</v>
      </c>
      <c r="K36" s="7">
        <v>0.16621144812573979</v>
      </c>
      <c r="L36" s="7">
        <v>0.11226151498097181</v>
      </c>
      <c r="M36" s="7">
        <v>0.17028480697752854</v>
      </c>
      <c r="N36" s="12">
        <v>0.37615417370032889</v>
      </c>
      <c r="O36" s="7">
        <v>0.20249392130009969</v>
      </c>
      <c r="P36" s="7">
        <v>0.23171251234090834</v>
      </c>
      <c r="Q36" s="8">
        <v>0.35013277364303352</v>
      </c>
      <c r="S36" s="6" t="s">
        <v>32</v>
      </c>
      <c r="T36" s="7">
        <v>13.333147103976621</v>
      </c>
      <c r="U36" s="7">
        <v>12.631393472529126</v>
      </c>
      <c r="V36" s="7">
        <v>9.4500737695233248</v>
      </c>
      <c r="W36" s="7">
        <v>8.9129790770096005</v>
      </c>
      <c r="X36" s="7">
        <v>13.075570836379956</v>
      </c>
      <c r="Y36" s="8">
        <v>10.797076382719801</v>
      </c>
      <c r="Z36" s="7">
        <v>13.934689974859648</v>
      </c>
      <c r="AA36" s="7">
        <v>6.6621780598011577</v>
      </c>
      <c r="AB36" s="7">
        <v>2.8559419890956086</v>
      </c>
      <c r="AC36" s="7">
        <v>2.9871056778529219</v>
      </c>
      <c r="AD36" s="7">
        <v>6.9810091042273879</v>
      </c>
      <c r="AE36" s="12">
        <v>4.6984463845489124</v>
      </c>
      <c r="AF36" s="7">
        <v>7.3284160395482179</v>
      </c>
      <c r="AG36" s="7">
        <v>2.6290055980303655</v>
      </c>
      <c r="AH36" s="8">
        <v>9.4501180875919868</v>
      </c>
    </row>
    <row r="37" spans="2:34" ht="15.75" thickBot="1" x14ac:dyDescent="0.3">
      <c r="B37" s="6" t="s">
        <v>32</v>
      </c>
      <c r="C37" s="7">
        <v>0.65540282966045404</v>
      </c>
      <c r="D37" s="7">
        <v>0.60612143790650264</v>
      </c>
      <c r="E37" s="7">
        <v>0.4717890343379792</v>
      </c>
      <c r="F37" s="7">
        <v>0.44532937888458368</v>
      </c>
      <c r="G37" s="7">
        <v>13.951393907626693</v>
      </c>
      <c r="H37" s="8">
        <v>11.484300445586703</v>
      </c>
      <c r="I37" s="7">
        <v>0.88339061896179616</v>
      </c>
      <c r="J37" s="7">
        <v>0.54070917699258203</v>
      </c>
      <c r="K37" s="7">
        <v>0.1400432485961304</v>
      </c>
      <c r="L37" s="7">
        <v>0.13162446120242335</v>
      </c>
      <c r="M37" s="7">
        <v>0.32952625615136144</v>
      </c>
      <c r="N37" s="12">
        <v>0.33061994799152267</v>
      </c>
      <c r="O37" s="7">
        <v>0.39148147975173031</v>
      </c>
      <c r="P37" s="7">
        <v>0.14940105228151446</v>
      </c>
      <c r="Q37" s="8">
        <v>0.47179812630805551</v>
      </c>
      <c r="S37" s="40" t="s">
        <v>33</v>
      </c>
      <c r="T37" s="24">
        <v>19.972167594140327</v>
      </c>
      <c r="U37" s="15">
        <v>16.615029662718182</v>
      </c>
      <c r="V37" s="15">
        <v>22.539507749598812</v>
      </c>
      <c r="W37" s="15">
        <v>31.616048684196105</v>
      </c>
      <c r="X37" s="15"/>
      <c r="Y37" s="16"/>
      <c r="Z37" s="15">
        <v>15.431726094295676</v>
      </c>
      <c r="AA37" s="15">
        <v>28.525733513754655</v>
      </c>
      <c r="AB37" s="15">
        <v>16.535616393189969</v>
      </c>
      <c r="AC37" s="15">
        <v>16.362437980118671</v>
      </c>
      <c r="AD37" s="15">
        <v>49.148753353232799</v>
      </c>
      <c r="AE37" s="17">
        <v>22.677389578918458</v>
      </c>
      <c r="AF37" s="15">
        <v>51.052932177624811</v>
      </c>
      <c r="AG37" s="15">
        <v>36.921064081927781</v>
      </c>
      <c r="AH37" s="16">
        <v>22.537210913359559</v>
      </c>
    </row>
    <row r="38" spans="2:34" ht="15.75" thickBot="1" x14ac:dyDescent="0.3">
      <c r="B38" s="40" t="s">
        <v>33</v>
      </c>
      <c r="C38" s="24">
        <v>27.294548724310971</v>
      </c>
      <c r="D38" s="15">
        <v>18.406202838769889</v>
      </c>
      <c r="E38" s="15">
        <v>47.900666471780696</v>
      </c>
      <c r="F38" s="15">
        <v>45.585298932944859</v>
      </c>
      <c r="G38" s="15" t="s">
        <v>27</v>
      </c>
      <c r="H38" s="16"/>
      <c r="I38" s="15">
        <v>14.848089005587166</v>
      </c>
      <c r="J38" s="15">
        <v>26.976528730855065</v>
      </c>
      <c r="K38" s="15">
        <v>15.438430622802706</v>
      </c>
      <c r="L38" s="15">
        <v>17.545750192422997</v>
      </c>
      <c r="M38" s="15">
        <v>80.720638429129309</v>
      </c>
      <c r="N38" s="17">
        <v>52.938430081952681</v>
      </c>
      <c r="O38" s="15">
        <v>80.173291965198459</v>
      </c>
      <c r="P38" s="15">
        <v>32.26803628273445</v>
      </c>
      <c r="Q38" s="16">
        <v>47.900799340885122</v>
      </c>
    </row>
    <row r="43" spans="2:34" x14ac:dyDescent="0.25">
      <c r="AB43" s="25"/>
    </row>
  </sheetData>
  <mergeCells count="8">
    <mergeCell ref="R20:R22"/>
    <mergeCell ref="R17:R19"/>
    <mergeCell ref="B5:B7"/>
    <mergeCell ref="R5:R7"/>
    <mergeCell ref="R8:R10"/>
    <mergeCell ref="R11:R13"/>
    <mergeCell ref="R14:R16"/>
    <mergeCell ref="B11:B13"/>
  </mergeCells>
  <conditionalFormatting sqref="T27:AH27 AH41 AK41:AV41 AH38 AK38:AV38 AI17:AJ17 AK35:AV35 AI14:AJ14 AK32:AV32 AK29:AV29 AI8:AJ8 AI11:AW11 AI20:AJ22">
    <cfRule type="colorScale" priority="21">
      <colorScale>
        <cfvo type="num" val="-100"/>
        <cfvo type="num" val="0"/>
        <cfvo type="num" val="100"/>
        <color rgb="FFF8696B"/>
        <color theme="0"/>
        <color rgb="FF63BE7B"/>
      </colorScale>
    </cfRule>
  </conditionalFormatting>
  <conditionalFormatting sqref="T34:AH34">
    <cfRule type="colorScale" priority="20">
      <colorScale>
        <cfvo type="num" val="-100"/>
        <cfvo type="num" val="0"/>
        <cfvo type="num" val="100"/>
        <color rgb="FFF8696B"/>
        <color theme="0"/>
        <color rgb="FF63BE7B"/>
      </colorScale>
    </cfRule>
  </conditionalFormatting>
  <conditionalFormatting sqref="T16:AH16">
    <cfRule type="colorScale" priority="22">
      <colorScale>
        <cfvo type="num" val="-100"/>
        <cfvo type="num" val="0"/>
        <cfvo type="num" val="100"/>
        <color rgb="FFF8696B"/>
        <color theme="0"/>
        <color rgb="FF63BE7B"/>
      </colorScale>
    </cfRule>
    <cfRule type="colorScale" priority="23">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4">
      <colorScale>
        <cfvo type="num" val="-100"/>
        <cfvo type="num" val="0"/>
        <cfvo type="num" val="100"/>
        <color rgb="FFF8696B"/>
        <color theme="0"/>
        <color rgb="FF63BE7B"/>
      </colorScale>
    </cfRule>
  </conditionalFormatting>
  <conditionalFormatting sqref="T19:AH19">
    <cfRule type="colorScale" priority="19">
      <colorScale>
        <cfvo type="num" val="-100"/>
        <cfvo type="num" val="0"/>
        <cfvo type="num" val="100"/>
        <color rgb="FFF8696B"/>
        <color theme="0"/>
        <color rgb="FF63BE7B"/>
      </colorScale>
    </cfRule>
  </conditionalFormatting>
  <conditionalFormatting sqref="AY19:BM19 AY16:BM16 AY13:BM13 AY10:BM10 AY7:BM7">
    <cfRule type="colorScale" priority="18">
      <colorScale>
        <cfvo type="num" val="-100"/>
        <cfvo type="num" val="0"/>
        <cfvo type="num" val="100"/>
        <color rgb="FFF8696B"/>
        <color theme="0"/>
        <color rgb="FF63BE7B"/>
      </colorScale>
    </cfRule>
  </conditionalFormatting>
  <conditionalFormatting sqref="C19:F19 C16:F16 C10:F10 C7:F7 I7:Q7 I10:Q10 I16:Q16 I19:Q19 C13:Q13">
    <cfRule type="colorScale" priority="17">
      <colorScale>
        <cfvo type="num" val="-100"/>
        <cfvo type="num" val="0"/>
        <cfvo type="num" val="100"/>
        <color rgb="FFF8696B"/>
        <color theme="0"/>
        <color rgb="FF63BE7B"/>
      </colorScale>
    </cfRule>
  </conditionalFormatting>
  <conditionalFormatting sqref="C27:Q27">
    <cfRule type="colorScale" priority="16">
      <colorScale>
        <cfvo type="num" val="-100"/>
        <cfvo type="num" val="0"/>
        <cfvo type="num" val="100"/>
        <color rgb="FFF8696B"/>
        <color theme="0"/>
        <color rgb="FF63BE7B"/>
      </colorScale>
    </cfRule>
  </conditionalFormatting>
  <conditionalFormatting sqref="G7:H7">
    <cfRule type="colorScale" priority="14">
      <colorScale>
        <cfvo type="num" val="-100"/>
        <cfvo type="num" val="0"/>
        <cfvo type="num" val="100"/>
        <color rgb="FFF8696B"/>
        <color theme="0"/>
        <color rgb="FF63BE7B"/>
      </colorScale>
    </cfRule>
  </conditionalFormatting>
  <conditionalFormatting sqref="G16:H1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theme="0"/>
        <color rgb="FF63BE7B"/>
      </colorScale>
    </cfRule>
  </conditionalFormatting>
  <conditionalFormatting sqref="G10:H10">
    <cfRule type="colorScale" priority="13">
      <colorScale>
        <cfvo type="num" val="-100"/>
        <cfvo type="num" val="0"/>
        <cfvo type="num" val="100"/>
        <color rgb="FFF8696B"/>
        <color theme="0"/>
        <color rgb="FF63BE7B"/>
      </colorScale>
    </cfRule>
  </conditionalFormatting>
  <conditionalFormatting sqref="G19:H19">
    <cfRule type="colorScale" priority="10">
      <colorScale>
        <cfvo type="num" val="-100"/>
        <cfvo type="num" val="0"/>
        <cfvo type="num" val="100"/>
        <color rgb="FFF8696B"/>
        <color theme="0"/>
        <color rgb="FF63BE7B"/>
      </colorScale>
    </cfRule>
  </conditionalFormatting>
  <conditionalFormatting sqref="T4:AH4">
    <cfRule type="colorScale" priority="9">
      <colorScale>
        <cfvo type="num" val="-100"/>
        <cfvo type="num" val="0"/>
        <cfvo type="num" val="100"/>
        <color rgb="FFF8696B"/>
        <color theme="0"/>
        <color rgb="FF63BE7B"/>
      </colorScale>
    </cfRule>
  </conditionalFormatting>
  <conditionalFormatting sqref="C4:Q4">
    <cfRule type="colorScale" priority="8">
      <colorScale>
        <cfvo type="num" val="-100"/>
        <cfvo type="num" val="0"/>
        <cfvo type="num" val="100"/>
        <color rgb="FFF8696B"/>
        <color theme="0"/>
        <color rgb="FF63BE7B"/>
      </colorScale>
    </cfRule>
  </conditionalFormatting>
  <conditionalFormatting sqref="AB44:AJ44">
    <cfRule type="colorScale" priority="7">
      <colorScale>
        <cfvo type="num" val="-100"/>
        <cfvo type="num" val="0"/>
        <cfvo type="num" val="100"/>
        <color rgb="FFF8696B"/>
        <color theme="0"/>
        <color rgb="FF63BE7B"/>
      </colorScale>
    </cfRule>
  </conditionalFormatting>
  <conditionalFormatting sqref="C35:Q35">
    <cfRule type="colorScale" priority="4">
      <colorScale>
        <cfvo type="num" val="-100"/>
        <cfvo type="num" val="0"/>
        <cfvo type="num" val="100"/>
        <color rgb="FFF8696B"/>
        <color theme="0"/>
        <color rgb="FF63BE7B"/>
      </colorScale>
    </cfRule>
    <cfRule type="colorScale" priority="5">
      <colorScale>
        <cfvo type="num" val="-100"/>
        <cfvo type="num" val="0"/>
        <cfvo type="num" val="100"/>
        <color rgb="FFF8696B"/>
        <color rgb="FFFFEB84"/>
        <color rgb="FF63BE7B"/>
      </colorScale>
    </cfRule>
  </conditionalFormatting>
  <conditionalFormatting sqref="T22:AH22">
    <cfRule type="colorScale" priority="3">
      <colorScale>
        <cfvo type="num" val="-100"/>
        <cfvo type="num" val="0"/>
        <cfvo type="num" val="100"/>
        <color rgb="FFF8696B"/>
        <color theme="0"/>
        <color rgb="FF63BE7B"/>
      </colorScale>
    </cfRule>
  </conditionalFormatting>
  <conditionalFormatting sqref="C22:Q22">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8" sqref="J38"/>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03"/>
  <sheetViews>
    <sheetView topLeftCell="A43" workbookViewId="0">
      <selection activeCell="F87" sqref="F87"/>
    </sheetView>
  </sheetViews>
  <sheetFormatPr defaultRowHeight="15" x14ac:dyDescent="0.25"/>
  <cols>
    <col min="1" max="1" width="28.42578125" customWidth="1"/>
    <col min="2" max="2" width="8.42578125" customWidth="1"/>
    <col min="3" max="3" width="17.85546875"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 min="24" max="24" width="14.42578125" customWidth="1"/>
  </cols>
  <sheetData>
    <row r="1" spans="1:23" ht="15.75" thickBot="1" x14ac:dyDescent="0.3">
      <c r="A1" s="208" t="s">
        <v>132</v>
      </c>
      <c r="B1" s="56" t="s">
        <v>133</v>
      </c>
      <c r="C1" s="56" t="s">
        <v>134</v>
      </c>
      <c r="D1" s="56" t="s">
        <v>135</v>
      </c>
      <c r="E1" s="56" t="s">
        <v>136</v>
      </c>
      <c r="F1" s="56" t="s">
        <v>137</v>
      </c>
      <c r="G1" s="56" t="s">
        <v>138</v>
      </c>
      <c r="H1" s="56" t="s">
        <v>139</v>
      </c>
      <c r="I1" s="56" t="s">
        <v>140</v>
      </c>
      <c r="J1" s="56" t="s">
        <v>141</v>
      </c>
      <c r="K1" s="56" t="s">
        <v>142</v>
      </c>
      <c r="L1" s="56" t="s">
        <v>143</v>
      </c>
      <c r="M1" s="56" t="s">
        <v>144</v>
      </c>
      <c r="N1" s="56" t="s">
        <v>145</v>
      </c>
      <c r="O1" s="56" t="s">
        <v>146</v>
      </c>
      <c r="P1" s="102" t="s">
        <v>147</v>
      </c>
      <c r="Q1" s="46" t="s">
        <v>148</v>
      </c>
      <c r="R1" s="103" t="s">
        <v>149</v>
      </c>
      <c r="S1" s="103" t="s">
        <v>150</v>
      </c>
      <c r="T1" s="103" t="s">
        <v>151</v>
      </c>
      <c r="U1" s="103" t="s">
        <v>152</v>
      </c>
      <c r="V1" s="103" t="s">
        <v>153</v>
      </c>
      <c r="W1" s="103" t="s">
        <v>154</v>
      </c>
    </row>
    <row r="2" spans="1:23" ht="15.75" customHeight="1" x14ac:dyDescent="0.25">
      <c r="A2" s="54" t="s">
        <v>155</v>
      </c>
      <c r="B2" s="266"/>
      <c r="C2" s="266" t="s">
        <v>441</v>
      </c>
      <c r="D2" s="266"/>
      <c r="E2" s="266"/>
      <c r="F2" s="266"/>
      <c r="G2" s="266"/>
      <c r="H2" s="266"/>
      <c r="I2" s="266"/>
      <c r="J2" s="266"/>
      <c r="K2" s="266"/>
      <c r="L2" s="266"/>
      <c r="M2" s="266"/>
      <c r="N2" s="266"/>
      <c r="O2" s="266"/>
      <c r="P2" s="267"/>
      <c r="Q2" s="268"/>
      <c r="R2" s="269"/>
      <c r="S2" s="270"/>
      <c r="T2" s="270"/>
      <c r="U2" s="270"/>
      <c r="V2" s="270"/>
      <c r="W2" s="270"/>
    </row>
    <row r="3" spans="1:23" x14ac:dyDescent="0.25">
      <c r="A3" s="6" t="s">
        <v>156</v>
      </c>
      <c r="B3" s="56">
        <v>86</v>
      </c>
      <c r="C3" s="56" t="s">
        <v>157</v>
      </c>
      <c r="D3" s="56">
        <v>59</v>
      </c>
      <c r="E3" s="56">
        <v>1.5</v>
      </c>
      <c r="F3" s="56" t="s">
        <v>158</v>
      </c>
      <c r="G3" s="56">
        <v>7.8</v>
      </c>
      <c r="H3" s="56">
        <v>2.2999999999999998</v>
      </c>
      <c r="I3" s="56" t="s">
        <v>159</v>
      </c>
      <c r="J3" s="56">
        <v>15</v>
      </c>
      <c r="K3" s="105">
        <v>1.25</v>
      </c>
      <c r="L3" s="105">
        <v>1.25</v>
      </c>
      <c r="M3" s="105">
        <v>1.25</v>
      </c>
      <c r="N3" s="56">
        <v>9996</v>
      </c>
      <c r="O3" s="56">
        <v>781.7</v>
      </c>
      <c r="P3" s="11" t="s">
        <v>160</v>
      </c>
      <c r="Q3" s="46">
        <v>14</v>
      </c>
      <c r="R3" s="103">
        <v>50.714289062500001</v>
      </c>
      <c r="S3" s="7">
        <v>55.428703124999998</v>
      </c>
      <c r="T3" s="7">
        <f t="shared" ref="T3:T9" si="0">Q3*R3</f>
        <v>710.00004687499995</v>
      </c>
      <c r="U3" s="7">
        <f t="shared" ref="U3:U9" si="1">Q3*S3</f>
        <v>776.00184375000003</v>
      </c>
      <c r="V3" s="7">
        <f t="shared" ref="V3:W9" si="2">60000/T3</f>
        <v>84.507036674271347</v>
      </c>
      <c r="W3" s="292">
        <f t="shared" si="2"/>
        <v>77.319403920552858</v>
      </c>
    </row>
    <row r="4" spans="1:23" x14ac:dyDescent="0.25">
      <c r="A4" s="6" t="s">
        <v>161</v>
      </c>
      <c r="B4" s="105">
        <v>60</v>
      </c>
      <c r="C4" s="105" t="s">
        <v>157</v>
      </c>
      <c r="D4" s="105">
        <v>58</v>
      </c>
      <c r="E4" s="105">
        <v>3</v>
      </c>
      <c r="F4" s="105" t="s">
        <v>162</v>
      </c>
      <c r="G4" s="105">
        <v>6.5</v>
      </c>
      <c r="H4" s="105">
        <v>2.2999999999999998</v>
      </c>
      <c r="I4" s="105" t="s">
        <v>159</v>
      </c>
      <c r="J4" s="105">
        <v>15</v>
      </c>
      <c r="K4" s="105">
        <v>1.25</v>
      </c>
      <c r="L4" s="105">
        <v>1.25</v>
      </c>
      <c r="M4" s="105">
        <v>1.25</v>
      </c>
      <c r="N4" s="105">
        <v>10989</v>
      </c>
      <c r="O4" s="105">
        <v>721.4</v>
      </c>
      <c r="P4" s="106" t="s">
        <v>163</v>
      </c>
      <c r="Q4" s="104">
        <v>14</v>
      </c>
      <c r="R4" s="7">
        <v>62.774999999999999</v>
      </c>
      <c r="S4" s="7">
        <v>59.614289062499999</v>
      </c>
      <c r="T4" s="7">
        <f t="shared" si="0"/>
        <v>878.85</v>
      </c>
      <c r="U4" s="7">
        <f t="shared" si="1"/>
        <v>834.60004687499998</v>
      </c>
      <c r="V4" s="7">
        <f t="shared" si="2"/>
        <v>68.271036012971493</v>
      </c>
      <c r="W4" s="7">
        <f t="shared" si="2"/>
        <v>71.890722058617783</v>
      </c>
    </row>
    <row r="5" spans="1:23" x14ac:dyDescent="0.25">
      <c r="A5" s="6" t="s">
        <v>164</v>
      </c>
      <c r="B5" s="105">
        <v>69</v>
      </c>
      <c r="C5" s="105" t="s">
        <v>157</v>
      </c>
      <c r="D5" s="105">
        <v>68</v>
      </c>
      <c r="E5" s="105">
        <v>1.5</v>
      </c>
      <c r="F5" s="105" t="s">
        <v>165</v>
      </c>
      <c r="G5" s="105">
        <v>7.55</v>
      </c>
      <c r="H5" s="105">
        <v>2.2799999999999998</v>
      </c>
      <c r="I5" s="105" t="s">
        <v>159</v>
      </c>
      <c r="J5" s="105">
        <v>15</v>
      </c>
      <c r="K5" s="105">
        <v>1.25</v>
      </c>
      <c r="L5" s="105">
        <v>1.25</v>
      </c>
      <c r="M5" s="105">
        <v>1.25</v>
      </c>
      <c r="N5" s="105">
        <v>9996</v>
      </c>
      <c r="O5" s="105">
        <v>754.5</v>
      </c>
      <c r="P5" s="107">
        <v>42090</v>
      </c>
      <c r="Q5" s="104">
        <v>14</v>
      </c>
      <c r="R5" s="7">
        <v>80.142852783199999</v>
      </c>
      <c r="S5" s="7">
        <v>72.071434021000002</v>
      </c>
      <c r="T5" s="7">
        <f t="shared" si="0"/>
        <v>1121.9999389648001</v>
      </c>
      <c r="U5" s="7">
        <f t="shared" si="1"/>
        <v>1009.000076294</v>
      </c>
      <c r="V5" s="7">
        <f t="shared" si="2"/>
        <v>53.475938737891809</v>
      </c>
      <c r="W5" s="7">
        <f t="shared" si="2"/>
        <v>59.464812153807358</v>
      </c>
    </row>
    <row r="6" spans="1:23" x14ac:dyDescent="0.25">
      <c r="A6" s="6" t="s">
        <v>166</v>
      </c>
      <c r="B6" s="105">
        <v>61</v>
      </c>
      <c r="C6" s="105" t="s">
        <v>167</v>
      </c>
      <c r="D6" s="105">
        <v>79</v>
      </c>
      <c r="E6" s="105">
        <v>3</v>
      </c>
      <c r="F6" s="105" t="s">
        <v>162</v>
      </c>
      <c r="G6" s="105">
        <v>6.5</v>
      </c>
      <c r="H6" s="105">
        <v>2.2999999999999998</v>
      </c>
      <c r="I6" s="105" t="s">
        <v>159</v>
      </c>
      <c r="J6" s="105">
        <v>15</v>
      </c>
      <c r="K6" s="105">
        <v>1.25</v>
      </c>
      <c r="L6" s="105">
        <v>1.25</v>
      </c>
      <c r="M6" s="105">
        <v>1.25</v>
      </c>
      <c r="N6" s="105">
        <v>10980</v>
      </c>
      <c r="O6" s="105">
        <v>719.7</v>
      </c>
      <c r="P6" s="106" t="s">
        <v>168</v>
      </c>
      <c r="Q6" s="104">
        <v>14</v>
      </c>
      <c r="R6" s="7">
        <v>83.571421874999999</v>
      </c>
      <c r="S6" s="7">
        <v>75.664289062500004</v>
      </c>
      <c r="T6" s="7">
        <f t="shared" si="0"/>
        <v>1169.9999062500001</v>
      </c>
      <c r="U6" s="7">
        <f t="shared" si="1"/>
        <v>1059.3000468750001</v>
      </c>
      <c r="V6" s="7">
        <f t="shared" si="2"/>
        <v>51.282055391190333</v>
      </c>
      <c r="W6" s="7">
        <f t="shared" si="2"/>
        <v>56.641175630081079</v>
      </c>
    </row>
    <row r="7" spans="1:23" x14ac:dyDescent="0.25">
      <c r="A7" s="6" t="s">
        <v>169</v>
      </c>
      <c r="B7" s="56">
        <v>31</v>
      </c>
      <c r="C7" s="56" t="s">
        <v>157</v>
      </c>
      <c r="D7" s="56">
        <v>86</v>
      </c>
      <c r="E7" s="56">
        <v>3</v>
      </c>
      <c r="F7" s="56" t="s">
        <v>162</v>
      </c>
      <c r="G7" s="56"/>
      <c r="H7" s="56">
        <v>2.2000000000000002</v>
      </c>
      <c r="I7" s="56">
        <v>1000</v>
      </c>
      <c r="J7" s="56">
        <v>10</v>
      </c>
      <c r="K7" s="105">
        <v>1.25</v>
      </c>
      <c r="L7" s="105">
        <v>1.25</v>
      </c>
      <c r="M7" s="105">
        <v>1.25</v>
      </c>
      <c r="N7" s="56">
        <v>10989</v>
      </c>
      <c r="O7" s="56">
        <v>713.3</v>
      </c>
      <c r="P7" s="11" t="s">
        <v>170</v>
      </c>
      <c r="Q7" s="104">
        <v>14</v>
      </c>
      <c r="R7" s="7">
        <v>68.142859375</v>
      </c>
      <c r="S7" s="7">
        <v>62.571425781249999</v>
      </c>
      <c r="T7" s="7">
        <f t="shared" si="0"/>
        <v>954.00003125000001</v>
      </c>
      <c r="U7" s="7">
        <f t="shared" si="1"/>
        <v>875.99996093749996</v>
      </c>
      <c r="V7" s="7">
        <f t="shared" si="2"/>
        <v>62.893079700829411</v>
      </c>
      <c r="W7" s="7">
        <f t="shared" si="2"/>
        <v>68.493153739171021</v>
      </c>
    </row>
    <row r="8" spans="1:23" x14ac:dyDescent="0.25">
      <c r="A8" s="6" t="s">
        <v>171</v>
      </c>
      <c r="B8" s="104">
        <v>46</v>
      </c>
      <c r="C8" s="104" t="s">
        <v>157</v>
      </c>
      <c r="D8" s="104">
        <v>80.739999999999995</v>
      </c>
      <c r="E8" s="104">
        <v>1.5</v>
      </c>
      <c r="F8" s="104" t="s">
        <v>172</v>
      </c>
      <c r="G8" s="104">
        <v>8.3879999999999999</v>
      </c>
      <c r="H8" s="104">
        <v>2.54</v>
      </c>
      <c r="I8" s="56"/>
      <c r="J8" s="104">
        <v>12</v>
      </c>
      <c r="K8" s="104">
        <v>1.25</v>
      </c>
      <c r="L8" s="104">
        <v>1.25</v>
      </c>
      <c r="M8" s="104">
        <v>1.25</v>
      </c>
      <c r="N8" s="56"/>
      <c r="O8" s="56"/>
      <c r="P8" s="108">
        <v>42801</v>
      </c>
      <c r="Q8" s="226">
        <v>12</v>
      </c>
      <c r="R8" s="7"/>
      <c r="S8" s="7"/>
      <c r="T8" s="7">
        <v>720</v>
      </c>
      <c r="U8" s="7">
        <v>660</v>
      </c>
      <c r="V8" s="7">
        <f t="shared" si="2"/>
        <v>83.333333333333329</v>
      </c>
      <c r="W8" s="7">
        <f t="shared" si="2"/>
        <v>90.909090909090907</v>
      </c>
    </row>
    <row r="9" spans="1:23" x14ac:dyDescent="0.25">
      <c r="A9" s="11" t="s">
        <v>173</v>
      </c>
      <c r="B9" s="105">
        <v>22</v>
      </c>
      <c r="C9" s="105" t="s">
        <v>167</v>
      </c>
      <c r="D9" s="105">
        <v>54</v>
      </c>
      <c r="E9" s="105">
        <v>1.5</v>
      </c>
      <c r="F9" s="105" t="s">
        <v>158</v>
      </c>
      <c r="G9" s="105">
        <v>7.82</v>
      </c>
      <c r="H9" s="105">
        <v>2.34</v>
      </c>
      <c r="I9" s="105" t="s">
        <v>159</v>
      </c>
      <c r="J9" s="105">
        <v>15</v>
      </c>
      <c r="K9" s="105">
        <v>1.25</v>
      </c>
      <c r="L9" s="105">
        <v>1.25</v>
      </c>
      <c r="M9" s="105">
        <v>1.25</v>
      </c>
      <c r="N9" s="105">
        <v>10000</v>
      </c>
      <c r="O9" s="105">
        <v>782</v>
      </c>
      <c r="P9" s="107">
        <v>42586</v>
      </c>
      <c r="Q9" s="104">
        <v>14</v>
      </c>
      <c r="R9" s="7">
        <v>59.428573608400001</v>
      </c>
      <c r="S9" s="7">
        <v>57.571430206300001</v>
      </c>
      <c r="T9" s="7">
        <f t="shared" si="0"/>
        <v>832.00003051759995</v>
      </c>
      <c r="U9" s="7">
        <f t="shared" si="1"/>
        <v>806.00002288819996</v>
      </c>
      <c r="V9" s="7">
        <f t="shared" si="2"/>
        <v>72.115381970206272</v>
      </c>
      <c r="W9" s="7">
        <f t="shared" si="2"/>
        <v>74.441685230972482</v>
      </c>
    </row>
    <row r="10" spans="1:23" x14ac:dyDescent="0.25">
      <c r="A10" s="11" t="s">
        <v>174</v>
      </c>
      <c r="B10">
        <v>21</v>
      </c>
      <c r="C10" t="s">
        <v>157</v>
      </c>
      <c r="D10">
        <v>52</v>
      </c>
      <c r="E10">
        <v>3</v>
      </c>
      <c r="F10" t="s">
        <v>162</v>
      </c>
      <c r="H10">
        <v>2.2999999999999998</v>
      </c>
      <c r="I10" t="s">
        <v>175</v>
      </c>
      <c r="J10">
        <v>10</v>
      </c>
      <c r="K10">
        <v>1.25</v>
      </c>
      <c r="L10">
        <v>1.25</v>
      </c>
      <c r="M10">
        <v>1.25</v>
      </c>
      <c r="N10">
        <v>10982</v>
      </c>
      <c r="O10">
        <v>710.8</v>
      </c>
      <c r="P10" s="11" t="s">
        <v>176</v>
      </c>
      <c r="Q10" s="46">
        <v>14</v>
      </c>
      <c r="R10" s="7">
        <v>78.142859375</v>
      </c>
      <c r="S10" s="7">
        <v>71.142859375</v>
      </c>
      <c r="T10" s="7">
        <f>Q10*R10</f>
        <v>1094.0000312500001</v>
      </c>
      <c r="U10" s="7">
        <f>Q10*S10</f>
        <v>996.00003125000001</v>
      </c>
      <c r="V10" s="7">
        <f>60000/T10</f>
        <v>54.844605380352903</v>
      </c>
      <c r="W10" s="7">
        <f>60000/U10</f>
        <v>60.240961965331266</v>
      </c>
    </row>
    <row r="11" spans="1:23" x14ac:dyDescent="0.25">
      <c r="A11" s="11" t="s">
        <v>194</v>
      </c>
      <c r="B11">
        <v>42</v>
      </c>
      <c r="C11" t="s">
        <v>167</v>
      </c>
      <c r="D11">
        <v>96</v>
      </c>
      <c r="E11">
        <v>1.5</v>
      </c>
      <c r="F11" t="s">
        <v>165</v>
      </c>
      <c r="G11">
        <v>7.1</v>
      </c>
      <c r="H11">
        <v>2.2999999999999998</v>
      </c>
      <c r="I11">
        <v>1000</v>
      </c>
      <c r="J11">
        <v>10</v>
      </c>
      <c r="K11">
        <v>1.25</v>
      </c>
      <c r="L11">
        <v>1.25</v>
      </c>
      <c r="M11">
        <v>1.25</v>
      </c>
      <c r="N11">
        <v>10000</v>
      </c>
      <c r="O11">
        <v>713</v>
      </c>
      <c r="P11" s="11" t="s">
        <v>195</v>
      </c>
      <c r="Q11" s="46">
        <v>14</v>
      </c>
      <c r="R11" s="7">
        <v>65.581632812500004</v>
      </c>
      <c r="S11" s="7">
        <v>65.661843750000003</v>
      </c>
      <c r="T11" s="7">
        <f>Q11*R11</f>
        <v>918.14285937500006</v>
      </c>
      <c r="U11" s="7">
        <f>Q11*S11</f>
        <v>919.26581250000004</v>
      </c>
      <c r="V11" s="7">
        <f t="shared" ref="V11:V13" si="3">60000/T11</f>
        <v>65.349307449652571</v>
      </c>
      <c r="W11" s="292">
        <f t="shared" ref="W11:W13" si="4">60000/U11</f>
        <v>65.269478299020278</v>
      </c>
    </row>
    <row r="12" spans="1:23" x14ac:dyDescent="0.25">
      <c r="A12" s="6" t="s">
        <v>196</v>
      </c>
      <c r="B12" s="25">
        <v>22</v>
      </c>
      <c r="C12" s="25" t="s">
        <v>167</v>
      </c>
      <c r="D12" s="25">
        <v>57</v>
      </c>
      <c r="E12" s="25">
        <v>1.5</v>
      </c>
      <c r="F12" s="25" t="s">
        <v>158</v>
      </c>
      <c r="G12" s="25">
        <v>7.82</v>
      </c>
      <c r="H12" s="25">
        <v>2.34</v>
      </c>
      <c r="I12" s="25">
        <v>1000</v>
      </c>
      <c r="J12" s="25">
        <v>15</v>
      </c>
      <c r="K12" s="25">
        <v>1.25</v>
      </c>
      <c r="L12" s="25">
        <v>1.25</v>
      </c>
      <c r="M12" s="25">
        <v>1.25</v>
      </c>
      <c r="N12" s="25">
        <v>10000</v>
      </c>
      <c r="O12" s="25">
        <v>782</v>
      </c>
      <c r="P12" s="107">
        <v>42535</v>
      </c>
      <c r="Q12" s="104">
        <v>14</v>
      </c>
      <c r="R12" s="7">
        <v>74.142860412600001</v>
      </c>
      <c r="S12" s="7">
        <v>58.571426391599999</v>
      </c>
      <c r="T12" s="7">
        <f t="shared" ref="T12:T13" si="5">Q12*R12</f>
        <v>1038.0000457763999</v>
      </c>
      <c r="U12" s="7">
        <f t="shared" ref="U12:U13" si="6">Q12*S12</f>
        <v>819.99996948240005</v>
      </c>
      <c r="V12" s="7">
        <f t="shared" si="3"/>
        <v>57.803465658926243</v>
      </c>
      <c r="W12" s="7">
        <f t="shared" si="4"/>
        <v>73.170734430481957</v>
      </c>
    </row>
    <row r="13" spans="1:23" x14ac:dyDescent="0.25">
      <c r="A13" s="6" t="s">
        <v>197</v>
      </c>
      <c r="B13" s="105">
        <v>35</v>
      </c>
      <c r="C13" s="105" t="s">
        <v>157</v>
      </c>
      <c r="D13" s="105">
        <v>47</v>
      </c>
      <c r="E13" s="105">
        <v>1.5</v>
      </c>
      <c r="F13" s="105" t="s">
        <v>198</v>
      </c>
      <c r="G13" s="105">
        <v>6.72</v>
      </c>
      <c r="H13" s="105">
        <v>2.17</v>
      </c>
      <c r="I13" s="105" t="s">
        <v>159</v>
      </c>
      <c r="J13" s="105">
        <v>15</v>
      </c>
      <c r="K13" s="105">
        <v>1.37</v>
      </c>
      <c r="L13" s="105">
        <v>1.37</v>
      </c>
      <c r="M13" s="105">
        <v>1.37</v>
      </c>
      <c r="N13" s="105">
        <v>10998</v>
      </c>
      <c r="O13" s="105">
        <v>739.5</v>
      </c>
      <c r="P13" s="107">
        <v>42335</v>
      </c>
      <c r="Q13" s="104">
        <v>14</v>
      </c>
      <c r="R13" s="7">
        <v>43.7142868042</v>
      </c>
      <c r="S13" s="7">
        <v>39.571430206300001</v>
      </c>
      <c r="T13" s="7">
        <f t="shared" si="5"/>
        <v>612.00001525879998</v>
      </c>
      <c r="U13" s="7">
        <f t="shared" si="6"/>
        <v>554.00002288819996</v>
      </c>
      <c r="V13" s="7">
        <f t="shared" si="3"/>
        <v>98.039213241894203</v>
      </c>
      <c r="W13" s="7">
        <f t="shared" si="4"/>
        <v>108.30324462298498</v>
      </c>
    </row>
    <row r="14" spans="1:23" x14ac:dyDescent="0.25">
      <c r="A14" s="6" t="s">
        <v>177</v>
      </c>
      <c r="B14" s="25">
        <v>35</v>
      </c>
      <c r="C14" s="25" t="s">
        <v>167</v>
      </c>
      <c r="D14" s="25">
        <v>101</v>
      </c>
      <c r="E14" s="25">
        <v>1.5</v>
      </c>
      <c r="F14" s="25" t="s">
        <v>158</v>
      </c>
      <c r="G14" s="25">
        <v>6.04</v>
      </c>
      <c r="H14" s="25">
        <v>2.39</v>
      </c>
      <c r="I14" s="25">
        <v>1000</v>
      </c>
      <c r="J14" s="25">
        <v>12</v>
      </c>
      <c r="K14" s="25">
        <v>1.25</v>
      </c>
      <c r="L14" s="25">
        <v>1.25</v>
      </c>
      <c r="M14" s="25">
        <v>1.25</v>
      </c>
      <c r="N14" s="25">
        <v>10998</v>
      </c>
      <c r="O14" s="25">
        <v>664.3</v>
      </c>
      <c r="P14" s="107">
        <v>42647</v>
      </c>
      <c r="Q14" s="104">
        <v>14</v>
      </c>
      <c r="R14" s="7">
        <v>56.2857131958</v>
      </c>
      <c r="S14" s="7">
        <v>47.428569793699999</v>
      </c>
      <c r="T14" s="7">
        <f>Q14*R14</f>
        <v>787.99998474120002</v>
      </c>
      <c r="U14" s="7">
        <f>Q14*S14</f>
        <v>663.99997711180004</v>
      </c>
      <c r="V14" s="7">
        <f>60000/T14</f>
        <v>76.142133454108603</v>
      </c>
      <c r="W14" s="7">
        <f>60000/U14</f>
        <v>90.361448897908005</v>
      </c>
    </row>
    <row r="15" spans="1:23" x14ac:dyDescent="0.25">
      <c r="A15" s="54" t="s">
        <v>178</v>
      </c>
      <c r="B15" s="272"/>
      <c r="C15" s="272" t="s">
        <v>440</v>
      </c>
      <c r="D15" s="272"/>
      <c r="E15" s="272"/>
      <c r="F15" s="272"/>
      <c r="G15" s="272"/>
      <c r="H15" s="272"/>
      <c r="I15" s="272"/>
      <c r="J15" s="272"/>
      <c r="K15" s="273"/>
      <c r="L15" s="273"/>
      <c r="M15" s="273"/>
      <c r="N15" s="272"/>
      <c r="O15" s="272"/>
      <c r="P15" s="54"/>
      <c r="Q15" s="272"/>
      <c r="R15" s="270"/>
      <c r="S15" s="270"/>
      <c r="T15" s="270"/>
      <c r="U15" s="270"/>
      <c r="V15" s="270"/>
      <c r="W15" s="270"/>
    </row>
    <row r="16" spans="1:23" ht="15.75" thickBot="1" x14ac:dyDescent="0.3">
      <c r="A16" s="14" t="s">
        <v>181</v>
      </c>
      <c r="B16" s="26">
        <v>46</v>
      </c>
      <c r="C16" s="26" t="s">
        <v>167</v>
      </c>
      <c r="D16" s="26">
        <v>74</v>
      </c>
      <c r="E16" s="26">
        <v>1.5</v>
      </c>
      <c r="F16" s="26" t="s">
        <v>172</v>
      </c>
      <c r="G16" s="26">
        <v>6.9</v>
      </c>
      <c r="H16" s="26">
        <v>2.5</v>
      </c>
      <c r="I16" s="26" t="s">
        <v>159</v>
      </c>
      <c r="J16" s="26">
        <v>14</v>
      </c>
      <c r="K16" s="111">
        <v>1.25</v>
      </c>
      <c r="L16" s="111">
        <v>1.25</v>
      </c>
      <c r="M16" s="111">
        <v>1.25</v>
      </c>
      <c r="N16" s="26">
        <v>10983</v>
      </c>
      <c r="O16" s="26">
        <v>761.6</v>
      </c>
      <c r="P16" s="50" t="s">
        <v>182</v>
      </c>
      <c r="Q16" s="46">
        <v>14</v>
      </c>
      <c r="R16" s="7">
        <v>62.463855468749998</v>
      </c>
      <c r="S16" s="7">
        <v>57.671023437499997</v>
      </c>
      <c r="T16" s="7">
        <f t="shared" ref="T16" si="7">Q16*R16</f>
        <v>874.49397656249994</v>
      </c>
      <c r="U16" s="7">
        <f t="shared" ref="U16" si="8">Q16*S16</f>
        <v>807.3943281249999</v>
      </c>
      <c r="V16" s="7">
        <f t="shared" ref="V16" si="9">60000/T16</f>
        <v>68.611107232379908</v>
      </c>
      <c r="W16" s="7">
        <f t="shared" ref="W16" si="10">60000/U16</f>
        <v>74.313130412170622</v>
      </c>
    </row>
    <row r="17" spans="1:23" ht="15.75" thickBot="1" x14ac:dyDescent="0.3">
      <c r="V17" s="294">
        <f>AVERAGE(V3:V16)</f>
        <v>68.974438018308334</v>
      </c>
      <c r="W17" s="293">
        <f>AVERAGE(W3:W16)</f>
        <v>74.678387866937726</v>
      </c>
    </row>
    <row r="18" spans="1:23" x14ac:dyDescent="0.25">
      <c r="R18" s="7"/>
      <c r="S18" s="7"/>
      <c r="T18" s="7"/>
      <c r="U18" s="7"/>
      <c r="V18" s="7"/>
      <c r="W18" s="7"/>
    </row>
    <row r="19" spans="1:23" ht="15.75" thickBot="1" x14ac:dyDescent="0.3">
      <c r="A19" s="101" t="s">
        <v>183</v>
      </c>
      <c r="B19" s="56" t="s">
        <v>133</v>
      </c>
      <c r="C19" s="56" t="s">
        <v>134</v>
      </c>
      <c r="D19" s="56" t="s">
        <v>135</v>
      </c>
      <c r="E19" s="56" t="s">
        <v>136</v>
      </c>
      <c r="F19" s="56" t="s">
        <v>137</v>
      </c>
      <c r="G19" s="56" t="s">
        <v>138</v>
      </c>
      <c r="H19" s="56" t="s">
        <v>139</v>
      </c>
      <c r="I19" s="56" t="s">
        <v>140</v>
      </c>
      <c r="J19" s="56" t="s">
        <v>141</v>
      </c>
      <c r="K19" s="56" t="s">
        <v>142</v>
      </c>
      <c r="L19" s="56" t="s">
        <v>143</v>
      </c>
      <c r="M19" s="56" t="s">
        <v>144</v>
      </c>
      <c r="N19" s="56" t="s">
        <v>145</v>
      </c>
      <c r="O19" s="56" t="s">
        <v>146</v>
      </c>
      <c r="P19" s="102" t="s">
        <v>147</v>
      </c>
      <c r="Q19" s="46" t="s">
        <v>148</v>
      </c>
      <c r="R19" s="103" t="s">
        <v>149</v>
      </c>
      <c r="S19" s="103" t="s">
        <v>150</v>
      </c>
      <c r="T19" s="103" t="s">
        <v>151</v>
      </c>
      <c r="U19" s="103" t="s">
        <v>152</v>
      </c>
      <c r="V19" s="103" t="s">
        <v>153</v>
      </c>
      <c r="W19" s="103" t="s">
        <v>154</v>
      </c>
    </row>
    <row r="20" spans="1:23" x14ac:dyDescent="0.25">
      <c r="A20" s="29" t="s">
        <v>184</v>
      </c>
      <c r="B20" s="63">
        <v>66</v>
      </c>
      <c r="C20" s="63" t="s">
        <v>157</v>
      </c>
      <c r="D20" s="63">
        <v>79</v>
      </c>
      <c r="E20" s="63">
        <v>1.5</v>
      </c>
      <c r="F20" s="63" t="s">
        <v>185</v>
      </c>
      <c r="G20" s="63">
        <v>6.7</v>
      </c>
      <c r="H20" s="63">
        <v>2.2000000000000002</v>
      </c>
      <c r="I20" s="63" t="s">
        <v>159</v>
      </c>
      <c r="J20" s="63">
        <v>15</v>
      </c>
      <c r="K20" s="63">
        <v>1.37</v>
      </c>
      <c r="L20" s="63">
        <v>1.37</v>
      </c>
      <c r="M20" s="63">
        <v>1.37</v>
      </c>
      <c r="N20" s="63">
        <v>10998</v>
      </c>
      <c r="O20" s="63">
        <v>739.5</v>
      </c>
      <c r="P20" s="69" t="s">
        <v>186</v>
      </c>
      <c r="Q20" s="46">
        <v>14</v>
      </c>
      <c r="R20" s="7">
        <v>44.928573608400001</v>
      </c>
      <c r="S20" s="7">
        <v>43.7142868042</v>
      </c>
      <c r="T20" s="7">
        <f>Q20*R20</f>
        <v>629.00003051759995</v>
      </c>
      <c r="U20" s="7">
        <f>Q20*S20</f>
        <v>612.00001525879998</v>
      </c>
      <c r="V20" s="7">
        <f>60000/T20</f>
        <v>95.389502526138827</v>
      </c>
      <c r="W20" s="7">
        <f>60000/U20</f>
        <v>98.039213241894203</v>
      </c>
    </row>
    <row r="21" spans="1:23" x14ac:dyDescent="0.25">
      <c r="A21" s="6" t="s">
        <v>187</v>
      </c>
      <c r="B21" s="25">
        <v>73</v>
      </c>
      <c r="C21" s="25" t="s">
        <v>157</v>
      </c>
      <c r="D21" s="25">
        <v>46</v>
      </c>
      <c r="E21" s="25">
        <v>1.5</v>
      </c>
      <c r="F21" s="25" t="s">
        <v>165</v>
      </c>
      <c r="G21" s="25">
        <v>7.82</v>
      </c>
      <c r="H21" s="25">
        <v>2.34</v>
      </c>
      <c r="I21" s="25" t="s">
        <v>159</v>
      </c>
      <c r="J21" s="25">
        <v>15</v>
      </c>
      <c r="K21" s="25">
        <v>1.25</v>
      </c>
      <c r="L21" s="25">
        <v>1.25</v>
      </c>
      <c r="M21" s="25">
        <v>1.25</v>
      </c>
      <c r="N21" s="25">
        <v>9988</v>
      </c>
      <c r="O21" s="25">
        <v>781.1</v>
      </c>
      <c r="P21" s="107">
        <v>42195</v>
      </c>
      <c r="Q21" s="104">
        <v>14</v>
      </c>
      <c r="R21" s="7">
        <v>61.8571434021</v>
      </c>
      <c r="S21" s="7">
        <v>55.7142868042</v>
      </c>
      <c r="T21" s="7">
        <f t="shared" ref="T21:T25" si="11">Q21*R21</f>
        <v>866.00000762939999</v>
      </c>
      <c r="U21" s="7">
        <f t="shared" ref="U21:U25" si="12">Q21*S21</f>
        <v>780.00001525879998</v>
      </c>
      <c r="V21" s="7">
        <f t="shared" ref="V21:W25" si="13">60000/T21</f>
        <v>69.284064054739218</v>
      </c>
      <c r="W21" s="7">
        <f t="shared" si="13"/>
        <v>76.923075418264332</v>
      </c>
    </row>
    <row r="22" spans="1:23" x14ac:dyDescent="0.25">
      <c r="A22" s="6" t="s">
        <v>188</v>
      </c>
      <c r="B22" s="56">
        <v>67</v>
      </c>
      <c r="C22" s="56" t="s">
        <v>157</v>
      </c>
      <c r="D22" s="56">
        <v>49.9</v>
      </c>
      <c r="E22" s="56">
        <v>1.5</v>
      </c>
      <c r="F22" s="56" t="s">
        <v>185</v>
      </c>
      <c r="G22" s="46">
        <v>8.3879999999999999</v>
      </c>
      <c r="H22" s="46">
        <v>2.54</v>
      </c>
      <c r="I22" s="46"/>
      <c r="J22" s="46">
        <v>8</v>
      </c>
      <c r="K22" s="46">
        <v>1.25</v>
      </c>
      <c r="L22" s="46">
        <v>1.25</v>
      </c>
      <c r="M22" s="46">
        <v>1.25</v>
      </c>
      <c r="N22" s="46">
        <v>9430</v>
      </c>
      <c r="O22" s="56"/>
      <c r="P22" s="108">
        <v>42811</v>
      </c>
      <c r="Q22" s="46">
        <v>14</v>
      </c>
      <c r="R22" s="7"/>
      <c r="S22" s="7"/>
      <c r="T22" s="7">
        <v>900</v>
      </c>
      <c r="U22" s="7">
        <v>998</v>
      </c>
      <c r="V22" s="7">
        <f t="shared" si="13"/>
        <v>66.666666666666671</v>
      </c>
      <c r="W22" s="292">
        <f t="shared" si="13"/>
        <v>60.120240480961925</v>
      </c>
    </row>
    <row r="23" spans="1:23" x14ac:dyDescent="0.25">
      <c r="A23" s="6" t="s">
        <v>189</v>
      </c>
      <c r="B23" s="56">
        <v>47</v>
      </c>
      <c r="C23" s="56" t="s">
        <v>157</v>
      </c>
      <c r="D23" s="56">
        <v>47</v>
      </c>
      <c r="E23" s="56">
        <v>1.5</v>
      </c>
      <c r="F23" s="56" t="s">
        <v>158</v>
      </c>
      <c r="G23" s="56">
        <v>6.9</v>
      </c>
      <c r="H23" s="56">
        <v>2.2000000000000002</v>
      </c>
      <c r="I23" s="56">
        <v>1500</v>
      </c>
      <c r="J23" s="56">
        <v>10</v>
      </c>
      <c r="K23" s="46">
        <v>1.25</v>
      </c>
      <c r="L23" s="46">
        <v>1.25</v>
      </c>
      <c r="M23" s="46">
        <v>1.25</v>
      </c>
      <c r="N23" s="56">
        <v>9999</v>
      </c>
      <c r="O23" s="56">
        <v>699.9</v>
      </c>
      <c r="P23" s="11" t="s">
        <v>190</v>
      </c>
      <c r="Q23" s="176">
        <v>18</v>
      </c>
      <c r="R23" s="7">
        <v>38.104656249999998</v>
      </c>
      <c r="S23" s="7">
        <v>36.55158203125</v>
      </c>
      <c r="T23" s="7">
        <f t="shared" si="11"/>
        <v>685.88381249999998</v>
      </c>
      <c r="U23" s="7">
        <f t="shared" si="12"/>
        <v>657.92847656250001</v>
      </c>
      <c r="V23" s="7">
        <f t="shared" si="13"/>
        <v>87.478373022544545</v>
      </c>
      <c r="W23" s="7">
        <f t="shared" si="13"/>
        <v>91.195323104851639</v>
      </c>
    </row>
    <row r="24" spans="1:23" x14ac:dyDescent="0.25">
      <c r="A24" s="6" t="s">
        <v>191</v>
      </c>
      <c r="B24" s="56">
        <v>80</v>
      </c>
      <c r="C24" s="56" t="s">
        <v>167</v>
      </c>
      <c r="D24" s="56">
        <v>68</v>
      </c>
      <c r="E24" s="56">
        <v>3</v>
      </c>
      <c r="F24" s="56" t="s">
        <v>162</v>
      </c>
      <c r="G24" s="56">
        <v>6.4</v>
      </c>
      <c r="H24" s="56">
        <v>2.2000000000000002</v>
      </c>
      <c r="I24" s="56" t="s">
        <v>192</v>
      </c>
      <c r="J24" s="56">
        <v>15</v>
      </c>
      <c r="K24" s="46">
        <v>1.25</v>
      </c>
      <c r="L24" s="46">
        <v>1.25</v>
      </c>
      <c r="M24" s="46">
        <v>1.25</v>
      </c>
      <c r="N24" s="56">
        <v>10982</v>
      </c>
      <c r="O24" s="56">
        <v>705.6</v>
      </c>
      <c r="P24" s="11" t="s">
        <v>193</v>
      </c>
      <c r="Q24" s="46">
        <v>14</v>
      </c>
      <c r="R24" s="7">
        <v>88.377515625000001</v>
      </c>
      <c r="S24" s="7">
        <v>83.8249140625</v>
      </c>
      <c r="T24" s="7">
        <f>Q24*R24</f>
        <v>1237.28521875</v>
      </c>
      <c r="U24" s="7">
        <f>Q24*S24</f>
        <v>1173.5487968749999</v>
      </c>
      <c r="V24" s="7">
        <f t="shared" si="13"/>
        <v>48.493265005312665</v>
      </c>
      <c r="W24" s="7">
        <f t="shared" si="13"/>
        <v>51.12697500075992</v>
      </c>
    </row>
    <row r="25" spans="1:23" ht="15.75" thickBot="1" x14ac:dyDescent="0.3">
      <c r="A25" s="50" t="s">
        <v>199</v>
      </c>
      <c r="B25" s="26">
        <v>42</v>
      </c>
      <c r="C25" s="26" t="s">
        <v>167</v>
      </c>
      <c r="D25" s="26">
        <v>95</v>
      </c>
      <c r="E25" s="26">
        <v>1.5</v>
      </c>
      <c r="F25" s="26" t="s">
        <v>158</v>
      </c>
      <c r="G25" s="26">
        <v>7</v>
      </c>
      <c r="H25" s="26">
        <v>2.2999999999999998</v>
      </c>
      <c r="I25" s="26">
        <v>1200</v>
      </c>
      <c r="J25" s="26">
        <v>10</v>
      </c>
      <c r="K25" s="26">
        <v>1.25</v>
      </c>
      <c r="L25" s="26">
        <v>1.25</v>
      </c>
      <c r="M25" s="26">
        <v>1.25</v>
      </c>
      <c r="N25" s="26">
        <v>9999</v>
      </c>
      <c r="O25" s="26">
        <v>706.9</v>
      </c>
      <c r="P25" s="50" t="s">
        <v>200</v>
      </c>
      <c r="Q25" s="176">
        <v>16</v>
      </c>
      <c r="R25" s="7">
        <v>63.648695312500003</v>
      </c>
      <c r="S25" s="7">
        <v>73.662890625000003</v>
      </c>
      <c r="T25" s="7">
        <f t="shared" si="11"/>
        <v>1018.379125</v>
      </c>
      <c r="U25" s="7">
        <f t="shared" si="12"/>
        <v>1178.60625</v>
      </c>
      <c r="V25" s="7">
        <f t="shared" si="13"/>
        <v>58.917154257261508</v>
      </c>
      <c r="W25" s="292">
        <f t="shared" si="13"/>
        <v>50.907586821298459</v>
      </c>
    </row>
    <row r="26" spans="1:23" ht="15.75" thickBot="1" x14ac:dyDescent="0.3">
      <c r="A26" s="118"/>
      <c r="B26" s="105"/>
      <c r="C26" s="105"/>
      <c r="D26" s="105"/>
      <c r="E26" s="56"/>
      <c r="F26" s="56"/>
      <c r="G26" s="105"/>
      <c r="H26" s="105"/>
      <c r="I26" s="105"/>
      <c r="J26" s="105"/>
      <c r="K26" s="105"/>
      <c r="L26" s="105"/>
      <c r="M26" s="105"/>
      <c r="N26" s="105"/>
      <c r="O26" s="119"/>
      <c r="P26" s="112"/>
      <c r="R26" s="7"/>
      <c r="S26" s="7"/>
      <c r="T26" s="7"/>
      <c r="U26" s="7"/>
      <c r="V26" s="294">
        <f>AVERAGE(V20:V25)</f>
        <v>71.038170922110581</v>
      </c>
      <c r="W26" s="293">
        <f>AVERAGE(W20:W25)</f>
        <v>71.385402344671746</v>
      </c>
    </row>
    <row r="27" spans="1:23" x14ac:dyDescent="0.25">
      <c r="R27" s="7"/>
      <c r="S27" s="7"/>
      <c r="T27" s="7"/>
      <c r="U27" s="7"/>
      <c r="V27" s="7"/>
      <c r="W27" s="7"/>
    </row>
    <row r="28" spans="1:23" ht="15.75" thickBot="1" x14ac:dyDescent="0.3">
      <c r="A28" s="208" t="s">
        <v>201</v>
      </c>
      <c r="B28" s="56" t="s">
        <v>133</v>
      </c>
      <c r="C28" s="56" t="s">
        <v>134</v>
      </c>
      <c r="D28" s="56" t="s">
        <v>135</v>
      </c>
      <c r="E28" s="56" t="s">
        <v>136</v>
      </c>
      <c r="F28" s="56" t="s">
        <v>137</v>
      </c>
      <c r="G28" s="56" t="s">
        <v>138</v>
      </c>
      <c r="H28" s="56" t="s">
        <v>139</v>
      </c>
      <c r="I28" s="56" t="s">
        <v>140</v>
      </c>
      <c r="J28" s="56" t="s">
        <v>141</v>
      </c>
      <c r="K28" s="26" t="s">
        <v>142</v>
      </c>
      <c r="L28" s="26" t="s">
        <v>143</v>
      </c>
      <c r="M28" s="26" t="s">
        <v>144</v>
      </c>
      <c r="N28" s="56" t="s">
        <v>145</v>
      </c>
      <c r="O28" s="56" t="s">
        <v>146</v>
      </c>
      <c r="P28" s="102" t="s">
        <v>147</v>
      </c>
      <c r="Q28" s="46" t="s">
        <v>148</v>
      </c>
      <c r="R28" s="103" t="s">
        <v>149</v>
      </c>
      <c r="S28" s="103" t="s">
        <v>150</v>
      </c>
      <c r="T28" s="103" t="s">
        <v>151</v>
      </c>
      <c r="U28" s="103" t="s">
        <v>152</v>
      </c>
      <c r="V28" s="103" t="s">
        <v>153</v>
      </c>
      <c r="W28" s="103" t="s">
        <v>154</v>
      </c>
    </row>
    <row r="29" spans="1:23" x14ac:dyDescent="0.25">
      <c r="A29" s="11" t="s">
        <v>202</v>
      </c>
      <c r="B29" s="63">
        <v>70</v>
      </c>
      <c r="C29" s="63" t="s">
        <v>167</v>
      </c>
      <c r="D29" s="63">
        <v>63</v>
      </c>
      <c r="E29" s="63">
        <v>3</v>
      </c>
      <c r="F29" s="63" t="s">
        <v>162</v>
      </c>
      <c r="G29" s="63"/>
      <c r="H29" s="63">
        <v>2.1</v>
      </c>
      <c r="I29" s="63">
        <v>1000</v>
      </c>
      <c r="J29" s="63">
        <v>15</v>
      </c>
      <c r="K29" s="46">
        <v>1.25</v>
      </c>
      <c r="L29" s="46">
        <v>1.25</v>
      </c>
      <c r="M29" s="46">
        <v>1.25</v>
      </c>
      <c r="N29" s="63">
        <v>9984</v>
      </c>
      <c r="O29" s="63">
        <v>623.79999999999995</v>
      </c>
      <c r="P29" s="113">
        <v>41765</v>
      </c>
      <c r="Q29" s="46">
        <v>14</v>
      </c>
      <c r="R29" s="7">
        <v>67.7142868042</v>
      </c>
      <c r="S29" s="7">
        <v>62.8571434021</v>
      </c>
      <c r="T29" s="7">
        <f>Q29*R29</f>
        <v>948.00001525879998</v>
      </c>
      <c r="U29" s="7">
        <f>Q29*S29</f>
        <v>880.00000762939999</v>
      </c>
      <c r="V29" s="7">
        <f>60000/T29</f>
        <v>63.291138221786056</v>
      </c>
      <c r="W29" s="7">
        <f>60000/U29</f>
        <v>68.181817590697321</v>
      </c>
    </row>
    <row r="30" spans="1:23" x14ac:dyDescent="0.25">
      <c r="A30" s="6" t="s">
        <v>205</v>
      </c>
      <c r="B30" s="56">
        <v>36</v>
      </c>
      <c r="C30" s="56" t="s">
        <v>167</v>
      </c>
      <c r="D30" s="56">
        <v>93</v>
      </c>
      <c r="E30" s="56">
        <v>1.5</v>
      </c>
      <c r="F30" s="56" t="s">
        <v>158</v>
      </c>
      <c r="G30" s="56">
        <v>7.3</v>
      </c>
      <c r="H30" s="56">
        <v>2.4</v>
      </c>
      <c r="I30" s="56">
        <v>1000</v>
      </c>
      <c r="J30" s="56">
        <v>10</v>
      </c>
      <c r="K30">
        <v>1.25</v>
      </c>
      <c r="L30">
        <v>1.25</v>
      </c>
      <c r="M30">
        <v>1.25</v>
      </c>
      <c r="N30" s="56">
        <v>9994</v>
      </c>
      <c r="O30" s="56">
        <v>736.6</v>
      </c>
      <c r="P30" s="11" t="s">
        <v>206</v>
      </c>
      <c r="Q30" s="46">
        <v>14</v>
      </c>
      <c r="R30" s="7">
        <v>69.758140624999996</v>
      </c>
      <c r="S30" s="7">
        <v>76.565343749999997</v>
      </c>
      <c r="T30" s="48">
        <v>1395.162</v>
      </c>
      <c r="U30" s="7">
        <f t="shared" ref="U30:U32" si="14">Q30*S30</f>
        <v>1071.9148124999999</v>
      </c>
      <c r="V30" s="7">
        <f t="shared" ref="V30:W32" si="15">60000/T30</f>
        <v>43.005758471059274</v>
      </c>
      <c r="W30" s="7">
        <f t="shared" si="15"/>
        <v>55.974597328367459</v>
      </c>
    </row>
    <row r="31" spans="1:23" x14ac:dyDescent="0.25">
      <c r="A31" s="6" t="s">
        <v>207</v>
      </c>
      <c r="B31" s="56">
        <v>29</v>
      </c>
      <c r="C31" s="56" t="s">
        <v>157</v>
      </c>
      <c r="D31" s="56">
        <v>53</v>
      </c>
      <c r="E31" s="56">
        <v>3</v>
      </c>
      <c r="F31" s="56" t="s">
        <v>185</v>
      </c>
      <c r="G31" s="56">
        <v>6</v>
      </c>
      <c r="H31" s="56">
        <v>1.9</v>
      </c>
      <c r="I31" s="56">
        <v>2000</v>
      </c>
      <c r="J31" s="56">
        <v>15</v>
      </c>
      <c r="K31">
        <v>1.25</v>
      </c>
      <c r="L31">
        <v>1.25</v>
      </c>
      <c r="M31">
        <v>1.25</v>
      </c>
      <c r="N31" s="56">
        <v>8976</v>
      </c>
      <c r="O31" s="56">
        <v>541.1</v>
      </c>
      <c r="P31" s="11" t="s">
        <v>208</v>
      </c>
      <c r="Q31" s="46">
        <v>14</v>
      </c>
      <c r="R31" s="7"/>
      <c r="S31" s="7"/>
      <c r="T31" s="7">
        <v>952</v>
      </c>
      <c r="U31" s="7">
        <v>906</v>
      </c>
      <c r="V31" s="7">
        <f t="shared" si="15"/>
        <v>63.025210084033617</v>
      </c>
      <c r="W31" s="7">
        <f t="shared" si="15"/>
        <v>66.225165562913901</v>
      </c>
    </row>
    <row r="32" spans="1:23" x14ac:dyDescent="0.25">
      <c r="A32" s="11" t="s">
        <v>209</v>
      </c>
      <c r="B32">
        <v>53</v>
      </c>
      <c r="C32" t="s">
        <v>157</v>
      </c>
      <c r="D32">
        <v>62.14</v>
      </c>
      <c r="E32">
        <v>1.5</v>
      </c>
      <c r="F32" t="s">
        <v>158</v>
      </c>
      <c r="G32">
        <v>6.44</v>
      </c>
      <c r="H32">
        <v>2.68</v>
      </c>
      <c r="I32" t="s">
        <v>179</v>
      </c>
      <c r="J32">
        <v>12</v>
      </c>
      <c r="K32">
        <v>1.25</v>
      </c>
      <c r="L32">
        <v>1.25</v>
      </c>
      <c r="M32">
        <v>1.25</v>
      </c>
      <c r="N32">
        <v>9990</v>
      </c>
      <c r="P32" s="108">
        <v>43231</v>
      </c>
      <c r="Q32" s="46">
        <v>14</v>
      </c>
      <c r="R32" s="7">
        <v>54.142860412600001</v>
      </c>
      <c r="S32" s="7">
        <v>49.571430206300001</v>
      </c>
      <c r="T32" s="7">
        <f t="shared" ref="T32" si="16">Q32*R32</f>
        <v>758.00004577640004</v>
      </c>
      <c r="U32" s="7">
        <f t="shared" si="14"/>
        <v>694.00002288819996</v>
      </c>
      <c r="V32" s="7">
        <f t="shared" si="15"/>
        <v>79.155668042926749</v>
      </c>
      <c r="W32" s="7">
        <f t="shared" si="15"/>
        <v>86.455328560797042</v>
      </c>
    </row>
    <row r="33" spans="1:23" x14ac:dyDescent="0.25">
      <c r="A33" s="11" t="s">
        <v>210</v>
      </c>
      <c r="B33">
        <v>14</v>
      </c>
      <c r="C33" t="s">
        <v>157</v>
      </c>
      <c r="D33">
        <v>54.43</v>
      </c>
      <c r="E33">
        <v>3</v>
      </c>
      <c r="F33" t="s">
        <v>185</v>
      </c>
      <c r="G33">
        <v>6.2880000000000003</v>
      </c>
      <c r="H33">
        <v>2.15</v>
      </c>
      <c r="J33">
        <v>12</v>
      </c>
      <c r="K33">
        <v>1.25</v>
      </c>
      <c r="L33">
        <v>1.25</v>
      </c>
      <c r="M33">
        <v>1.25</v>
      </c>
      <c r="P33" s="108">
        <v>43019</v>
      </c>
      <c r="Q33" s="46">
        <v>14</v>
      </c>
      <c r="R33" s="7"/>
      <c r="S33" s="7"/>
      <c r="T33" s="7">
        <v>712</v>
      </c>
      <c r="U33" s="7">
        <v>700</v>
      </c>
      <c r="V33" s="7">
        <f>60000/T33</f>
        <v>84.269662921348313</v>
      </c>
      <c r="W33" s="7">
        <f>60000/U33</f>
        <v>85.714285714285708</v>
      </c>
    </row>
    <row r="34" spans="1:23" x14ac:dyDescent="0.25">
      <c r="A34" s="109" t="s">
        <v>203</v>
      </c>
      <c r="B34" s="248"/>
      <c r="C34" s="272" t="s">
        <v>445</v>
      </c>
      <c r="D34" s="272"/>
      <c r="E34" s="272"/>
      <c r="F34" s="272"/>
      <c r="G34" s="272"/>
      <c r="H34" s="272"/>
      <c r="I34" s="272"/>
      <c r="J34" s="272"/>
      <c r="K34" s="272"/>
      <c r="L34" s="272"/>
      <c r="M34" s="272"/>
      <c r="N34" s="272"/>
      <c r="O34" s="272"/>
      <c r="P34" s="284"/>
      <c r="Q34" s="272"/>
      <c r="R34" s="270"/>
      <c r="S34" s="270"/>
      <c r="T34" s="270"/>
      <c r="U34" s="270"/>
      <c r="V34" s="270"/>
      <c r="W34" s="270"/>
    </row>
    <row r="35" spans="1:23" x14ac:dyDescent="0.25">
      <c r="A35" s="54" t="s">
        <v>446</v>
      </c>
      <c r="B35" s="248"/>
      <c r="C35" s="272" t="s">
        <v>447</v>
      </c>
      <c r="D35" s="272"/>
      <c r="E35" s="272"/>
      <c r="F35" s="272"/>
      <c r="G35" s="272"/>
      <c r="H35" s="272"/>
      <c r="I35" s="272"/>
      <c r="J35" s="272"/>
      <c r="K35" s="272"/>
      <c r="L35" s="272"/>
      <c r="M35" s="272"/>
      <c r="N35" s="272"/>
      <c r="O35" s="272"/>
      <c r="P35" s="284"/>
      <c r="Q35" s="272"/>
      <c r="R35" s="270"/>
      <c r="S35" s="270"/>
      <c r="T35" s="270"/>
      <c r="U35" s="270"/>
      <c r="V35" s="270"/>
      <c r="W35" s="270"/>
    </row>
    <row r="36" spans="1:23" ht="15.75" thickBot="1" x14ac:dyDescent="0.3">
      <c r="A36" s="50" t="s">
        <v>432</v>
      </c>
      <c r="B36" s="110">
        <v>36</v>
      </c>
      <c r="C36" s="26" t="s">
        <v>167</v>
      </c>
      <c r="D36" s="26">
        <v>99</v>
      </c>
      <c r="E36" s="26">
        <v>3</v>
      </c>
      <c r="F36" s="26" t="s">
        <v>162</v>
      </c>
      <c r="G36" s="26">
        <v>6.5</v>
      </c>
      <c r="H36" s="26">
        <v>2.2999999999999998</v>
      </c>
      <c r="I36" s="26">
        <v>1000</v>
      </c>
      <c r="J36" s="26">
        <v>15</v>
      </c>
      <c r="K36" s="26">
        <v>1.25</v>
      </c>
      <c r="L36" s="26">
        <v>1.25</v>
      </c>
      <c r="M36" s="26">
        <v>1.25</v>
      </c>
      <c r="N36" s="26">
        <v>10974</v>
      </c>
      <c r="O36" s="26">
        <v>721.5</v>
      </c>
      <c r="P36" s="234">
        <v>41134</v>
      </c>
      <c r="Q36" s="46"/>
      <c r="R36" s="7">
        <v>61.122</v>
      </c>
      <c r="S36" s="7">
        <v>47.404000000000003</v>
      </c>
      <c r="T36" s="7">
        <f>16*R36</f>
        <v>977.952</v>
      </c>
      <c r="U36" s="7">
        <f>18*S36</f>
        <v>853.27200000000005</v>
      </c>
      <c r="V36" s="7">
        <f>60000/T36</f>
        <v>61.352704427211151</v>
      </c>
      <c r="W36" s="7">
        <f>60000/U36</f>
        <v>70.31755407419908</v>
      </c>
    </row>
    <row r="37" spans="1:23" ht="15.75" thickBot="1" x14ac:dyDescent="0.3">
      <c r="A37" s="115"/>
      <c r="B37" s="25"/>
      <c r="C37" s="25"/>
      <c r="D37" s="25"/>
      <c r="E37" s="25"/>
      <c r="F37" s="25"/>
      <c r="G37" s="25"/>
      <c r="H37" s="25"/>
      <c r="I37" s="25"/>
      <c r="J37" s="25"/>
      <c r="K37" s="25"/>
      <c r="L37" s="25"/>
      <c r="M37" s="25"/>
      <c r="N37" s="25"/>
      <c r="O37" s="25"/>
      <c r="P37" s="25"/>
      <c r="R37" s="7"/>
      <c r="S37" s="7"/>
      <c r="T37" s="7"/>
      <c r="U37" s="7"/>
      <c r="V37" s="235">
        <f>AVERAGE(V29:V36,V2:V16,V20:V25)</f>
        <v>68.679874477561484</v>
      </c>
      <c r="W37" s="235">
        <f>AVERAGE(W29:W36,W2:W16,W20:W25)</f>
        <v>73.280008206779272</v>
      </c>
    </row>
    <row r="38" spans="1:23" x14ac:dyDescent="0.25">
      <c r="A38" s="116" t="s">
        <v>211</v>
      </c>
      <c r="B38" s="313">
        <f>AVERAGE(B2:B36)</f>
        <v>47.56</v>
      </c>
      <c r="C38" s="117"/>
      <c r="D38" s="313">
        <f>AVERAGE(D2:D36)</f>
        <v>68.848400000000012</v>
      </c>
      <c r="E38" s="117"/>
      <c r="F38" s="117"/>
      <c r="G38" s="230">
        <f>AVERAGE(G2:G36)</f>
        <v>7.0397272727272755</v>
      </c>
      <c r="H38" s="230">
        <f>AVERAGE(H2:H36)</f>
        <v>2.3027999999999995</v>
      </c>
      <c r="I38" s="231">
        <f>AVERAGE(I2:I36)</f>
        <v>1170</v>
      </c>
      <c r="J38" s="230">
        <f>AVERAGE(J2:J36)</f>
        <v>13</v>
      </c>
      <c r="K38" s="117"/>
      <c r="L38" s="117"/>
      <c r="M38" s="117"/>
      <c r="N38" s="231">
        <f>AVERAGE(N2:N36)</f>
        <v>10357.608695652174</v>
      </c>
      <c r="O38" s="231">
        <f>AVERAGE(O2:O36)</f>
        <v>719.03809523809525</v>
      </c>
      <c r="S38" s="7"/>
      <c r="T38" s="7"/>
      <c r="U38" s="7"/>
      <c r="V38" s="7"/>
      <c r="W38" s="7"/>
    </row>
    <row r="39" spans="1:23" x14ac:dyDescent="0.25">
      <c r="A39" s="118" t="s">
        <v>212</v>
      </c>
      <c r="B39" s="105">
        <f>MAX(B1:B36)</f>
        <v>86</v>
      </c>
      <c r="C39" s="105"/>
      <c r="D39" s="105">
        <f>MAX(D1:D36)</f>
        <v>101</v>
      </c>
      <c r="E39" s="105"/>
      <c r="F39" s="105"/>
      <c r="G39" s="232">
        <f>MAX(G1:G36)</f>
        <v>8.3879999999999999</v>
      </c>
      <c r="H39" s="105">
        <f>MAX(H1:H36)</f>
        <v>2.68</v>
      </c>
      <c r="I39" s="105">
        <f>MAX(I1:I36)</f>
        <v>2000</v>
      </c>
      <c r="J39" s="105">
        <f>MAX(J1:J36)</f>
        <v>15</v>
      </c>
      <c r="K39" s="105"/>
      <c r="L39" s="105"/>
      <c r="M39" s="105"/>
      <c r="N39" s="105">
        <f>MAX(N1:N36)</f>
        <v>10998</v>
      </c>
      <c r="O39" s="105">
        <f>MAX(O1:O36)</f>
        <v>782</v>
      </c>
      <c r="S39" s="7"/>
      <c r="T39" s="7"/>
      <c r="U39" s="7"/>
      <c r="V39" s="7"/>
      <c r="W39" s="7"/>
    </row>
    <row r="40" spans="1:23" ht="20.25" customHeight="1" x14ac:dyDescent="0.25">
      <c r="A40" s="120" t="s">
        <v>213</v>
      </c>
      <c r="B40" s="121">
        <f>MIN(B1:B36)</f>
        <v>14</v>
      </c>
      <c r="C40" s="121"/>
      <c r="D40" s="121">
        <f>MIN(D1:D36)</f>
        <v>46</v>
      </c>
      <c r="E40" s="121"/>
      <c r="F40" s="121"/>
      <c r="G40" s="121">
        <f>MIN(G1:G36)</f>
        <v>6</v>
      </c>
      <c r="H40" s="121">
        <f>MIN(H1:H36)</f>
        <v>1.9</v>
      </c>
      <c r="I40" s="121">
        <f>MIN(I1:I36)</f>
        <v>1000</v>
      </c>
      <c r="J40" s="121">
        <f>MIN(J1:J36)</f>
        <v>8</v>
      </c>
      <c r="K40" s="121"/>
      <c r="L40" s="121"/>
      <c r="M40" s="121"/>
      <c r="N40" s="121">
        <f>MIN(N1:N36)</f>
        <v>8976</v>
      </c>
      <c r="O40" s="233">
        <f>MIN(O1:O36)</f>
        <v>541.1</v>
      </c>
      <c r="S40" s="7"/>
      <c r="T40" s="7"/>
      <c r="U40" s="7"/>
      <c r="V40" s="7"/>
      <c r="W40" s="7"/>
    </row>
    <row r="41" spans="1:23" ht="15.75" customHeight="1" x14ac:dyDescent="0.25">
      <c r="A41" s="118"/>
      <c r="B41" s="105"/>
      <c r="C41" s="105" t="str">
        <f>CONCATENATE("Females x ",COUNTIF(C2:C36,"F"))</f>
        <v>Females x 14</v>
      </c>
      <c r="D41" s="105"/>
      <c r="E41" s="56" t="str">
        <f>CONCATENATE("1.5T x ",COUNTIF(E2:E36,1.5))</f>
        <v>1.5T x 16</v>
      </c>
      <c r="F41" s="56" t="str">
        <f>CONCATENATE("32Ch Torso x ",COUNTIF(F2:F36,"32Ch Torso"))</f>
        <v>32Ch Torso x 7</v>
      </c>
      <c r="G41" s="105"/>
      <c r="H41" s="105"/>
      <c r="I41" s="105"/>
      <c r="J41" s="105"/>
      <c r="K41" s="105"/>
      <c r="L41" s="105"/>
      <c r="M41" s="105"/>
      <c r="N41" s="105"/>
      <c r="O41" s="119"/>
      <c r="S41" s="7"/>
      <c r="T41" s="7"/>
      <c r="U41" s="7"/>
      <c r="V41" s="7"/>
      <c r="W41" s="7"/>
    </row>
    <row r="42" spans="1:23" x14ac:dyDescent="0.25">
      <c r="A42" s="118"/>
      <c r="B42" s="56"/>
      <c r="C42" s="104" t="str">
        <f>CONCATENATE("Males x ",COUNTIF(C2:C36,"M"))</f>
        <v>Males x 11</v>
      </c>
      <c r="D42" s="56"/>
      <c r="E42" s="56" t="str">
        <f>CONCATENATE("3T x ",COUNTIF(E2:E36,3))</f>
        <v>3T x 9</v>
      </c>
      <c r="F42" s="56" t="str">
        <f>CONCATENATE("8Ch Body x ",COUNTIF(F2:F36,"8Ch Body"))</f>
        <v>8Ch Body x 8</v>
      </c>
      <c r="G42" s="56"/>
      <c r="H42" s="56"/>
      <c r="I42" s="56"/>
      <c r="J42" s="56"/>
      <c r="K42" s="56"/>
      <c r="L42" s="56"/>
      <c r="M42" s="56"/>
      <c r="N42" s="56"/>
      <c r="O42" s="62"/>
      <c r="S42" s="7"/>
      <c r="T42" s="7"/>
      <c r="U42" s="7"/>
      <c r="V42" s="7"/>
      <c r="W42" s="7"/>
    </row>
    <row r="43" spans="1:23" x14ac:dyDescent="0.25">
      <c r="A43" s="118"/>
      <c r="B43" s="56"/>
      <c r="C43" s="104"/>
      <c r="D43" s="56"/>
      <c r="E43" s="56"/>
      <c r="F43" s="56" t="str">
        <f>CONCATENATE("Body 24Ch x ",COUNTIF(F2:F36,"Body 24Ch"))</f>
        <v>Body 24Ch x 4</v>
      </c>
      <c r="G43" s="56"/>
      <c r="H43" s="56"/>
      <c r="I43" s="56"/>
      <c r="J43" s="56"/>
      <c r="K43" s="56"/>
      <c r="L43" s="56"/>
      <c r="M43" s="56"/>
      <c r="N43" s="56"/>
      <c r="O43" s="62"/>
      <c r="S43" s="7"/>
      <c r="T43" s="7"/>
      <c r="U43" s="7"/>
      <c r="V43" s="7"/>
      <c r="W43" s="7"/>
    </row>
    <row r="44" spans="1:23" x14ac:dyDescent="0.25">
      <c r="A44" s="118"/>
      <c r="B44" s="56"/>
      <c r="C44" s="104"/>
      <c r="D44" s="56"/>
      <c r="E44" s="56"/>
      <c r="F44" s="56" t="str">
        <f>CONCATENATE("HD BodyFull x ",COUNTIF(F2:F36,"HD BodyFull"))</f>
        <v>HD BodyFull x 2</v>
      </c>
      <c r="G44" s="56"/>
      <c r="H44" s="56"/>
      <c r="I44" s="56"/>
      <c r="J44" s="56"/>
      <c r="K44" s="56"/>
      <c r="L44" s="56"/>
      <c r="M44" s="56"/>
      <c r="N44" s="56"/>
      <c r="O44" s="62"/>
      <c r="S44" s="7"/>
      <c r="T44" s="7"/>
      <c r="U44" s="7"/>
      <c r="V44" s="7"/>
      <c r="W44" s="7"/>
    </row>
    <row r="45" spans="1:23" x14ac:dyDescent="0.25">
      <c r="A45" s="120"/>
      <c r="B45" s="122"/>
      <c r="C45" s="122"/>
      <c r="D45" s="122"/>
      <c r="E45" s="122"/>
      <c r="F45" s="122" t="str">
        <f>CONCATENATE("8Ch Cardiac x ",COUNTIF(F2:F37,"8CARDIAC Series"))</f>
        <v>8Ch Cardiac x 3</v>
      </c>
      <c r="G45" s="122"/>
      <c r="H45" s="122"/>
      <c r="I45" s="122"/>
      <c r="J45" s="122"/>
      <c r="K45" s="122"/>
      <c r="L45" s="122"/>
      <c r="M45" s="122"/>
      <c r="N45" s="122"/>
      <c r="O45" s="123"/>
      <c r="S45" s="7"/>
      <c r="T45" s="7"/>
      <c r="U45" s="7"/>
      <c r="V45" s="7"/>
      <c r="W45" s="7"/>
    </row>
    <row r="46" spans="1:23" x14ac:dyDescent="0.25">
      <c r="A46" s="124" t="s">
        <v>214</v>
      </c>
      <c r="B46" s="125">
        <f>COUNT(D2:D36)</f>
        <v>25</v>
      </c>
      <c r="C46" s="56"/>
      <c r="D46" s="56"/>
      <c r="E46" s="56"/>
      <c r="F46" s="56"/>
      <c r="G46" s="56"/>
      <c r="H46" s="56"/>
      <c r="I46" s="56"/>
      <c r="J46" s="56"/>
      <c r="K46" s="56"/>
      <c r="L46" s="56"/>
      <c r="M46" s="56"/>
      <c r="N46" s="56"/>
      <c r="O46" s="62"/>
      <c r="R46" s="7"/>
      <c r="S46" s="7"/>
      <c r="T46" s="7"/>
      <c r="U46" s="7"/>
      <c r="V46" s="7"/>
      <c r="W46" s="7"/>
    </row>
    <row r="47" spans="1:23" ht="15.75" thickBot="1" x14ac:dyDescent="0.3">
      <c r="A47" s="76"/>
      <c r="B47" s="76"/>
      <c r="C47" s="76"/>
      <c r="D47" s="76"/>
      <c r="E47" s="76"/>
      <c r="F47" s="76"/>
      <c r="G47" s="76"/>
      <c r="H47" s="76"/>
      <c r="I47" s="76"/>
      <c r="J47" s="76"/>
      <c r="K47" s="76"/>
      <c r="L47" s="76"/>
      <c r="M47" s="76"/>
      <c r="N47" s="76"/>
      <c r="O47" s="76"/>
      <c r="P47" s="76"/>
      <c r="Q47" s="76"/>
      <c r="R47" s="209"/>
      <c r="S47" s="209"/>
      <c r="T47" s="209"/>
      <c r="U47" s="209"/>
      <c r="V47" s="209"/>
      <c r="W47" s="209"/>
    </row>
    <row r="48" spans="1:23" ht="15.75" thickTop="1" x14ac:dyDescent="0.25">
      <c r="B48" s="56"/>
      <c r="C48" s="56"/>
      <c r="D48" s="56"/>
      <c r="E48" s="56"/>
      <c r="F48" s="56"/>
      <c r="G48" s="56"/>
      <c r="H48" s="56"/>
      <c r="I48" s="56"/>
      <c r="J48" s="56"/>
      <c r="K48" s="56"/>
      <c r="L48" s="56"/>
      <c r="M48" s="56"/>
      <c r="N48" s="56"/>
      <c r="O48" s="56"/>
      <c r="P48" s="56"/>
      <c r="R48" s="7"/>
      <c r="S48" s="7"/>
      <c r="T48" s="7"/>
      <c r="U48" s="7"/>
      <c r="V48" s="7"/>
      <c r="W48" s="7"/>
    </row>
    <row r="49" spans="1:23" x14ac:dyDescent="0.25">
      <c r="R49" s="7"/>
      <c r="S49" s="7"/>
      <c r="T49" s="7"/>
      <c r="U49" s="7"/>
      <c r="V49" s="7"/>
      <c r="W49" s="7"/>
    </row>
    <row r="50" spans="1:23" ht="15.75" thickBot="1" x14ac:dyDescent="0.3">
      <c r="A50" s="101" t="s">
        <v>215</v>
      </c>
      <c r="B50" s="56" t="s">
        <v>133</v>
      </c>
      <c r="C50" s="56" t="s">
        <v>134</v>
      </c>
      <c r="D50" s="56" t="s">
        <v>135</v>
      </c>
      <c r="E50" s="56" t="s">
        <v>136</v>
      </c>
      <c r="F50" s="56" t="s">
        <v>137</v>
      </c>
      <c r="G50" s="56" t="s">
        <v>138</v>
      </c>
      <c r="H50" s="56" t="s">
        <v>139</v>
      </c>
      <c r="I50" s="56" t="s">
        <v>140</v>
      </c>
      <c r="J50" s="56" t="s">
        <v>141</v>
      </c>
      <c r="K50" s="26" t="s">
        <v>142</v>
      </c>
      <c r="L50" s="26" t="s">
        <v>143</v>
      </c>
      <c r="M50" s="26" t="s">
        <v>144</v>
      </c>
      <c r="N50" s="56" t="s">
        <v>145</v>
      </c>
      <c r="O50" s="56" t="s">
        <v>146</v>
      </c>
      <c r="P50" s="102" t="s">
        <v>147</v>
      </c>
      <c r="Q50" s="46" t="s">
        <v>148</v>
      </c>
      <c r="R50" s="103" t="s">
        <v>149</v>
      </c>
      <c r="S50" s="103" t="s">
        <v>150</v>
      </c>
      <c r="T50" s="103" t="s">
        <v>151</v>
      </c>
      <c r="U50" s="103" t="s">
        <v>152</v>
      </c>
      <c r="V50" s="103" t="s">
        <v>153</v>
      </c>
      <c r="W50" s="103" t="s">
        <v>154</v>
      </c>
    </row>
    <row r="51" spans="1:23" x14ac:dyDescent="0.25">
      <c r="A51" s="29" t="s">
        <v>216</v>
      </c>
      <c r="B51" s="63">
        <v>32</v>
      </c>
      <c r="C51" s="63" t="s">
        <v>167</v>
      </c>
      <c r="D51" s="63">
        <v>78</v>
      </c>
      <c r="E51" s="63">
        <v>3</v>
      </c>
      <c r="F51" s="63" t="s">
        <v>162</v>
      </c>
      <c r="G51" s="63">
        <v>6.5</v>
      </c>
      <c r="H51" s="63">
        <v>2.2999999999999998</v>
      </c>
      <c r="I51" s="63" t="s">
        <v>159</v>
      </c>
      <c r="J51" s="63">
        <v>14</v>
      </c>
      <c r="K51" s="25">
        <v>1.25</v>
      </c>
      <c r="L51" s="25">
        <v>1.25</v>
      </c>
      <c r="M51" s="25">
        <v>1.25</v>
      </c>
      <c r="N51" s="63">
        <v>11000</v>
      </c>
      <c r="O51" s="63">
        <v>719.9</v>
      </c>
      <c r="P51" s="69" t="s">
        <v>218</v>
      </c>
      <c r="Q51" s="46">
        <v>14</v>
      </c>
      <c r="R51" s="7">
        <v>101.9857109375</v>
      </c>
      <c r="S51" s="7">
        <v>89.421421874999993</v>
      </c>
      <c r="T51" s="7">
        <f>Q51*R51</f>
        <v>1427.799953125</v>
      </c>
      <c r="U51" s="7">
        <f>Q51*S51</f>
        <v>1251.89990625</v>
      </c>
      <c r="V51" s="7">
        <f>60000/T51</f>
        <v>42.022693633431686</v>
      </c>
      <c r="W51" s="7">
        <f>60000/U51</f>
        <v>47.927154319970221</v>
      </c>
    </row>
    <row r="52" spans="1:23" x14ac:dyDescent="0.25">
      <c r="A52" s="6" t="s">
        <v>217</v>
      </c>
      <c r="B52" s="56">
        <v>32</v>
      </c>
      <c r="C52" s="56" t="s">
        <v>157</v>
      </c>
      <c r="D52" s="56">
        <v>86</v>
      </c>
      <c r="E52" s="56">
        <v>3</v>
      </c>
      <c r="F52" s="56" t="s">
        <v>162</v>
      </c>
      <c r="G52" s="56">
        <v>6.4</v>
      </c>
      <c r="H52" s="56">
        <v>2.2000000000000002</v>
      </c>
      <c r="I52" s="56">
        <v>1200</v>
      </c>
      <c r="J52" s="56">
        <v>14</v>
      </c>
      <c r="K52" s="25">
        <v>1.25</v>
      </c>
      <c r="L52" s="25">
        <v>1.25</v>
      </c>
      <c r="M52" s="25">
        <v>1.25</v>
      </c>
      <c r="N52" s="56">
        <v>11000</v>
      </c>
      <c r="O52" s="56">
        <v>712.2</v>
      </c>
      <c r="P52" s="11" t="s">
        <v>220</v>
      </c>
      <c r="Q52" s="46">
        <v>14</v>
      </c>
      <c r="R52" s="7">
        <v>83.442851562499996</v>
      </c>
      <c r="S52" s="7">
        <v>81.5714296875</v>
      </c>
      <c r="T52" s="7">
        <f t="shared" ref="T52:T73" si="17">Q52*R52</f>
        <v>1168.199921875</v>
      </c>
      <c r="U52" s="7">
        <f t="shared" ref="U52:U73" si="18">Q52*S52</f>
        <v>1142.0000156250001</v>
      </c>
      <c r="V52" s="7">
        <f t="shared" ref="V52:W73" si="19">60000/T52</f>
        <v>51.361071745063974</v>
      </c>
      <c r="W52" s="7">
        <f t="shared" si="19"/>
        <v>52.539403834563757</v>
      </c>
    </row>
    <row r="53" spans="1:23" x14ac:dyDescent="0.25">
      <c r="A53" s="6" t="s">
        <v>219</v>
      </c>
      <c r="B53" s="56">
        <v>46</v>
      </c>
      <c r="C53" s="56" t="s">
        <v>157</v>
      </c>
      <c r="D53" s="56">
        <v>90</v>
      </c>
      <c r="E53" s="56">
        <v>3</v>
      </c>
      <c r="F53" s="56" t="s">
        <v>162</v>
      </c>
      <c r="G53" s="56">
        <v>6.5</v>
      </c>
      <c r="H53" s="56">
        <v>2.2999999999999998</v>
      </c>
      <c r="I53" s="56" t="s">
        <v>159</v>
      </c>
      <c r="J53" s="56">
        <v>14</v>
      </c>
      <c r="K53" s="25">
        <v>1.25</v>
      </c>
      <c r="L53" s="25">
        <v>1.25</v>
      </c>
      <c r="M53" s="25">
        <v>1.25</v>
      </c>
      <c r="N53" s="56">
        <v>10980</v>
      </c>
      <c r="O53" s="56">
        <v>718.6</v>
      </c>
      <c r="P53" s="11" t="s">
        <v>222</v>
      </c>
      <c r="Q53" s="46">
        <v>14</v>
      </c>
      <c r="R53" s="7">
        <v>69.535710937499999</v>
      </c>
      <c r="S53" s="7">
        <v>60.28571484375</v>
      </c>
      <c r="T53" s="7">
        <f t="shared" si="17"/>
        <v>973.49995312500005</v>
      </c>
      <c r="U53" s="7">
        <f t="shared" si="18"/>
        <v>844.00000781250003</v>
      </c>
      <c r="V53" s="7">
        <f t="shared" si="19"/>
        <v>61.633284939969421</v>
      </c>
      <c r="W53" s="7">
        <f t="shared" si="19"/>
        <v>71.090046735318737</v>
      </c>
    </row>
    <row r="54" spans="1:23" x14ac:dyDescent="0.25">
      <c r="A54" s="6" t="s">
        <v>221</v>
      </c>
      <c r="B54" s="56">
        <v>31</v>
      </c>
      <c r="C54" s="56" t="s">
        <v>167</v>
      </c>
      <c r="D54" s="56">
        <v>80</v>
      </c>
      <c r="E54" s="56">
        <v>3</v>
      </c>
      <c r="F54" s="56" t="s">
        <v>162</v>
      </c>
      <c r="G54" s="56">
        <v>6.6</v>
      </c>
      <c r="H54" s="56">
        <v>2.2000000000000002</v>
      </c>
      <c r="I54" s="56" t="s">
        <v>159</v>
      </c>
      <c r="J54" s="56">
        <v>6</v>
      </c>
      <c r="K54" s="25">
        <v>1.25</v>
      </c>
      <c r="L54" s="25">
        <v>1.25</v>
      </c>
      <c r="M54" s="25">
        <v>1.25</v>
      </c>
      <c r="N54" s="56">
        <v>11000</v>
      </c>
      <c r="O54" s="56">
        <v>732</v>
      </c>
      <c r="P54" s="11" t="s">
        <v>225</v>
      </c>
      <c r="Q54" s="46">
        <v>14</v>
      </c>
      <c r="R54" s="7">
        <v>94.285710937499999</v>
      </c>
      <c r="S54" s="7">
        <v>93.285718750000001</v>
      </c>
      <c r="T54" s="7">
        <f t="shared" si="17"/>
        <v>1319.999953125</v>
      </c>
      <c r="U54" s="7">
        <f t="shared" si="18"/>
        <v>1306.0000625</v>
      </c>
      <c r="V54" s="7">
        <f t="shared" si="19"/>
        <v>45.454547068698403</v>
      </c>
      <c r="W54" s="7">
        <f t="shared" si="19"/>
        <v>45.941804845817146</v>
      </c>
    </row>
    <row r="55" spans="1:23" x14ac:dyDescent="0.25">
      <c r="A55" s="6" t="s">
        <v>223</v>
      </c>
      <c r="B55" s="56">
        <v>46</v>
      </c>
      <c r="C55" s="56" t="s">
        <v>167</v>
      </c>
      <c r="D55" s="56">
        <v>88</v>
      </c>
      <c r="E55" s="56">
        <v>3</v>
      </c>
      <c r="F55" s="56" t="s">
        <v>162</v>
      </c>
      <c r="G55" s="56">
        <v>6.6</v>
      </c>
      <c r="H55" s="56">
        <v>2.2000000000000002</v>
      </c>
      <c r="I55" s="56" t="s">
        <v>224</v>
      </c>
      <c r="J55" s="56">
        <v>6</v>
      </c>
      <c r="K55" s="25">
        <v>1.25</v>
      </c>
      <c r="L55" s="25">
        <v>1.25</v>
      </c>
      <c r="M55" s="25">
        <v>1.25</v>
      </c>
      <c r="N55" s="56">
        <v>10974</v>
      </c>
      <c r="O55" s="56">
        <v>730.3</v>
      </c>
      <c r="P55" s="11" t="s">
        <v>227</v>
      </c>
      <c r="Q55" s="46">
        <v>14</v>
      </c>
      <c r="R55" s="7">
        <v>73.071421874999999</v>
      </c>
      <c r="S55" s="7">
        <v>74.400000000000006</v>
      </c>
      <c r="T55" s="7">
        <f t="shared" si="17"/>
        <v>1022.99990625</v>
      </c>
      <c r="U55" s="7">
        <f t="shared" si="18"/>
        <v>1041.6000000000001</v>
      </c>
      <c r="V55" s="7">
        <f t="shared" si="19"/>
        <v>58.65103176787315</v>
      </c>
      <c r="W55" s="292">
        <f t="shared" si="19"/>
        <v>57.60368663594469</v>
      </c>
    </row>
    <row r="56" spans="1:23" x14ac:dyDescent="0.25">
      <c r="A56" s="109" t="s">
        <v>226</v>
      </c>
      <c r="B56" s="272"/>
      <c r="C56" s="272" t="s">
        <v>444</v>
      </c>
      <c r="D56" s="272"/>
      <c r="E56" s="272"/>
      <c r="F56" s="272"/>
      <c r="G56" s="272"/>
      <c r="H56" s="272"/>
      <c r="I56" s="272"/>
      <c r="J56" s="272"/>
      <c r="K56" s="273"/>
      <c r="L56" s="273"/>
      <c r="M56" s="273"/>
      <c r="N56" s="272"/>
      <c r="O56" s="272"/>
      <c r="P56" s="54"/>
      <c r="Q56" s="272"/>
      <c r="R56" s="270"/>
      <c r="S56" s="270"/>
      <c r="T56" s="270"/>
      <c r="U56" s="270"/>
      <c r="V56" s="270"/>
      <c r="W56" s="270"/>
    </row>
    <row r="57" spans="1:23" x14ac:dyDescent="0.25">
      <c r="A57" s="6" t="s">
        <v>228</v>
      </c>
      <c r="B57" s="56">
        <v>44</v>
      </c>
      <c r="C57" s="56" t="s">
        <v>167</v>
      </c>
      <c r="D57" s="56">
        <v>102</v>
      </c>
      <c r="E57" s="56">
        <v>3</v>
      </c>
      <c r="F57" s="56" t="s">
        <v>162</v>
      </c>
      <c r="G57" s="56">
        <v>6.6</v>
      </c>
      <c r="H57" s="56">
        <v>2.2000000000000002</v>
      </c>
      <c r="I57" s="56">
        <v>1000</v>
      </c>
      <c r="J57" s="56">
        <v>6</v>
      </c>
      <c r="K57" s="25">
        <v>1.25</v>
      </c>
      <c r="L57" s="25">
        <v>1.25</v>
      </c>
      <c r="M57" s="25">
        <v>1.25</v>
      </c>
      <c r="N57" s="56">
        <v>10980</v>
      </c>
      <c r="O57" s="56">
        <v>730.7</v>
      </c>
      <c r="P57" s="11" t="s">
        <v>230</v>
      </c>
      <c r="Q57" s="46">
        <v>14</v>
      </c>
      <c r="R57" s="7">
        <v>61</v>
      </c>
      <c r="S57" s="7">
        <v>62</v>
      </c>
      <c r="T57" s="7">
        <f t="shared" si="17"/>
        <v>854</v>
      </c>
      <c r="U57" s="7">
        <f t="shared" si="18"/>
        <v>868</v>
      </c>
      <c r="V57" s="7">
        <f t="shared" si="19"/>
        <v>70.257611241217802</v>
      </c>
      <c r="W57" s="292">
        <f t="shared" si="19"/>
        <v>69.124423963133637</v>
      </c>
    </row>
    <row r="58" spans="1:23" x14ac:dyDescent="0.25">
      <c r="A58" s="109" t="s">
        <v>442</v>
      </c>
      <c r="B58" s="272"/>
      <c r="C58" s="272" t="s">
        <v>440</v>
      </c>
      <c r="D58" s="272"/>
      <c r="E58" s="272"/>
      <c r="F58" s="272"/>
      <c r="G58" s="272"/>
      <c r="H58" s="272"/>
      <c r="I58" s="272"/>
      <c r="J58" s="272"/>
      <c r="K58" s="273"/>
      <c r="L58" s="273"/>
      <c r="M58" s="273"/>
      <c r="N58" s="272"/>
      <c r="O58" s="272"/>
      <c r="P58" s="54"/>
      <c r="Q58" s="272"/>
      <c r="R58" s="270"/>
      <c r="S58" s="270"/>
      <c r="T58" s="270"/>
      <c r="U58" s="270"/>
      <c r="V58" s="270"/>
      <c r="W58" s="270"/>
    </row>
    <row r="59" spans="1:23" x14ac:dyDescent="0.25">
      <c r="A59" s="6" t="s">
        <v>229</v>
      </c>
      <c r="B59" s="56">
        <v>36</v>
      </c>
      <c r="C59" s="56" t="s">
        <v>167</v>
      </c>
      <c r="D59" s="56">
        <v>93</v>
      </c>
      <c r="E59" s="56">
        <v>1.5</v>
      </c>
      <c r="F59" s="56" t="s">
        <v>158</v>
      </c>
      <c r="G59" s="56">
        <v>7.3</v>
      </c>
      <c r="H59" s="56">
        <v>2.4</v>
      </c>
      <c r="I59" s="56">
        <v>1000</v>
      </c>
      <c r="J59" s="56">
        <v>10</v>
      </c>
      <c r="K59" s="25">
        <v>1.25</v>
      </c>
      <c r="L59" s="25">
        <v>1.25</v>
      </c>
      <c r="M59" s="25">
        <v>1.25</v>
      </c>
      <c r="N59" s="56">
        <v>9994</v>
      </c>
      <c r="O59" s="56">
        <v>736.6</v>
      </c>
      <c r="P59" s="11" t="s">
        <v>231</v>
      </c>
      <c r="Q59" s="176">
        <v>15</v>
      </c>
      <c r="R59" s="7">
        <v>61.333332061999997</v>
      </c>
      <c r="S59" s="7">
        <v>55.999999045999999</v>
      </c>
      <c r="T59" s="7">
        <f t="shared" si="17"/>
        <v>919.99998092999999</v>
      </c>
      <c r="U59" s="7">
        <f t="shared" si="18"/>
        <v>839.99998569000002</v>
      </c>
      <c r="V59" s="7">
        <f t="shared" si="19"/>
        <v>65.217392656190952</v>
      </c>
      <c r="W59" s="7">
        <f t="shared" si="19"/>
        <v>71.428572645408181</v>
      </c>
    </row>
    <row r="60" spans="1:23" x14ac:dyDescent="0.25">
      <c r="A60" s="109" t="s">
        <v>284</v>
      </c>
      <c r="B60" s="272"/>
      <c r="C60" s="272" t="s">
        <v>443</v>
      </c>
      <c r="D60" s="272"/>
      <c r="E60" s="272"/>
      <c r="F60" s="272"/>
      <c r="G60" s="272"/>
      <c r="H60" s="272"/>
      <c r="I60" s="272"/>
      <c r="J60" s="272"/>
      <c r="K60" s="273"/>
      <c r="L60" s="273"/>
      <c r="M60" s="273"/>
      <c r="N60" s="272"/>
      <c r="O60" s="272"/>
      <c r="P60" s="54"/>
      <c r="Q60" s="283"/>
      <c r="R60" s="270"/>
      <c r="S60" s="270"/>
      <c r="T60" s="270"/>
      <c r="U60" s="270"/>
      <c r="V60" s="270"/>
      <c r="W60" s="270"/>
    </row>
    <row r="61" spans="1:23" x14ac:dyDescent="0.25">
      <c r="A61" s="6" t="s">
        <v>232</v>
      </c>
      <c r="B61" s="56">
        <v>64</v>
      </c>
      <c r="C61" s="56" t="s">
        <v>167</v>
      </c>
      <c r="D61" s="56">
        <v>96</v>
      </c>
      <c r="E61" s="56">
        <v>3</v>
      </c>
      <c r="F61" s="56" t="s">
        <v>162</v>
      </c>
      <c r="G61" s="56">
        <v>6.7</v>
      </c>
      <c r="H61" s="56">
        <v>2.5</v>
      </c>
      <c r="I61" s="56">
        <v>600</v>
      </c>
      <c r="J61" s="56">
        <v>10</v>
      </c>
      <c r="K61" s="25">
        <v>1.25</v>
      </c>
      <c r="L61" s="25">
        <v>1.25</v>
      </c>
      <c r="M61" s="25">
        <v>1.25</v>
      </c>
      <c r="N61" s="56">
        <v>10980</v>
      </c>
      <c r="O61" s="56">
        <v>741.7</v>
      </c>
      <c r="P61" s="11" t="s">
        <v>233</v>
      </c>
      <c r="Q61" s="46">
        <v>14</v>
      </c>
      <c r="R61" s="7">
        <v>79.896859375000005</v>
      </c>
      <c r="S61" s="7">
        <v>79.782906249999996</v>
      </c>
      <c r="T61" s="7">
        <f t="shared" si="17"/>
        <v>1118.5560312500002</v>
      </c>
      <c r="U61" s="7">
        <f t="shared" si="18"/>
        <v>1116.9606874999999</v>
      </c>
      <c r="V61" s="7">
        <f t="shared" si="19"/>
        <v>53.640585114854964</v>
      </c>
      <c r="W61" s="7">
        <f t="shared" si="19"/>
        <v>53.717199424711175</v>
      </c>
    </row>
    <row r="62" spans="1:23" x14ac:dyDescent="0.25">
      <c r="A62" s="11" t="s">
        <v>285</v>
      </c>
      <c r="B62" s="25">
        <v>50</v>
      </c>
      <c r="C62" s="25" t="s">
        <v>167</v>
      </c>
      <c r="D62" s="25">
        <v>101</v>
      </c>
      <c r="E62" s="25">
        <v>3</v>
      </c>
      <c r="F62" s="25" t="s">
        <v>162</v>
      </c>
      <c r="G62" s="25">
        <v>6.7</v>
      </c>
      <c r="H62" s="25">
        <v>2.5099999999999998</v>
      </c>
      <c r="I62" s="25">
        <v>600</v>
      </c>
      <c r="J62" s="25">
        <v>10</v>
      </c>
      <c r="K62" s="25">
        <v>1.25</v>
      </c>
      <c r="L62" s="25">
        <v>1.25</v>
      </c>
      <c r="M62" s="25">
        <v>1.25</v>
      </c>
      <c r="N62" s="25">
        <v>10980</v>
      </c>
      <c r="O62" s="25">
        <v>741.7</v>
      </c>
      <c r="P62" s="107">
        <v>40995</v>
      </c>
      <c r="Q62" s="104">
        <v>14</v>
      </c>
      <c r="R62" s="7">
        <v>84.168421875000007</v>
      </c>
      <c r="S62" s="7">
        <v>77.409820312500003</v>
      </c>
      <c r="T62" s="7">
        <f t="shared" si="17"/>
        <v>1178.35790625</v>
      </c>
      <c r="U62" s="7">
        <f t="shared" si="18"/>
        <v>1083.7374843750001</v>
      </c>
      <c r="V62" s="7">
        <f t="shared" si="19"/>
        <v>50.918315803509721</v>
      </c>
      <c r="W62" s="7">
        <f t="shared" si="19"/>
        <v>55.363961166852569</v>
      </c>
    </row>
    <row r="63" spans="1:23" x14ac:dyDescent="0.25">
      <c r="A63" s="6" t="s">
        <v>234</v>
      </c>
      <c r="B63" s="56">
        <v>54</v>
      </c>
      <c r="C63" s="56" t="s">
        <v>157</v>
      </c>
      <c r="D63" s="56">
        <v>49</v>
      </c>
      <c r="E63" s="56">
        <v>3</v>
      </c>
      <c r="F63" s="56" t="s">
        <v>162</v>
      </c>
      <c r="G63" s="56">
        <v>6.4</v>
      </c>
      <c r="H63" s="56">
        <v>2.2000000000000002</v>
      </c>
      <c r="I63" s="56">
        <v>1200</v>
      </c>
      <c r="J63" s="56">
        <v>14</v>
      </c>
      <c r="K63" s="25">
        <v>1.25</v>
      </c>
      <c r="L63" s="25">
        <v>1.25</v>
      </c>
      <c r="M63" s="25">
        <v>1.25</v>
      </c>
      <c r="N63" s="56">
        <v>11000</v>
      </c>
      <c r="O63" s="56">
        <v>712.2</v>
      </c>
      <c r="P63" s="108" t="s">
        <v>236</v>
      </c>
      <c r="Q63" s="46">
        <v>14</v>
      </c>
      <c r="R63" s="7">
        <v>58.917832031250001</v>
      </c>
      <c r="S63" s="7">
        <v>61.623203125000003</v>
      </c>
      <c r="T63" s="7">
        <f t="shared" si="17"/>
        <v>824.84964843750004</v>
      </c>
      <c r="U63" s="7">
        <f t="shared" si="18"/>
        <v>862.72484374999999</v>
      </c>
      <c r="V63" s="7">
        <f t="shared" si="19"/>
        <v>72.74052927543471</v>
      </c>
      <c r="W63" s="292">
        <f t="shared" si="19"/>
        <v>69.547087271995579</v>
      </c>
    </row>
    <row r="64" spans="1:23" x14ac:dyDescent="0.25">
      <c r="A64" s="6" t="s">
        <v>235</v>
      </c>
      <c r="B64" s="56">
        <v>20</v>
      </c>
      <c r="C64" s="56" t="s">
        <v>157</v>
      </c>
      <c r="D64" s="56">
        <v>50</v>
      </c>
      <c r="E64" s="56">
        <v>1.5</v>
      </c>
      <c r="F64" s="56" t="s">
        <v>165</v>
      </c>
      <c r="G64" s="56">
        <v>7.5</v>
      </c>
      <c r="H64" s="56">
        <v>2.6</v>
      </c>
      <c r="I64" s="56">
        <v>600</v>
      </c>
      <c r="J64" s="56">
        <v>10</v>
      </c>
      <c r="K64" s="25">
        <v>1.25</v>
      </c>
      <c r="L64" s="25">
        <v>1.25</v>
      </c>
      <c r="M64" s="25">
        <v>1.25</v>
      </c>
      <c r="N64" s="56">
        <v>9996</v>
      </c>
      <c r="O64" s="56">
        <v>756.7</v>
      </c>
      <c r="P64" s="11" t="s">
        <v>238</v>
      </c>
      <c r="Q64" s="104">
        <v>14</v>
      </c>
      <c r="R64" s="7">
        <v>46.261523437500003</v>
      </c>
      <c r="S64" s="7">
        <v>46.009859374999998</v>
      </c>
      <c r="T64" s="7">
        <f t="shared" si="17"/>
        <v>647.66132812500007</v>
      </c>
      <c r="U64" s="7">
        <f t="shared" si="18"/>
        <v>644.13803124999993</v>
      </c>
      <c r="V64" s="7">
        <f t="shared" si="19"/>
        <v>92.641010655525605</v>
      </c>
      <c r="W64" s="7">
        <f t="shared" si="19"/>
        <v>93.147737113993003</v>
      </c>
    </row>
    <row r="65" spans="1:23" x14ac:dyDescent="0.25">
      <c r="A65" s="6" t="s">
        <v>237</v>
      </c>
      <c r="B65" s="56">
        <v>52</v>
      </c>
      <c r="C65" s="56" t="s">
        <v>157</v>
      </c>
      <c r="D65" s="56">
        <v>48</v>
      </c>
      <c r="E65" s="56">
        <v>3</v>
      </c>
      <c r="F65" s="56" t="s">
        <v>162</v>
      </c>
      <c r="G65" s="56">
        <v>6.4</v>
      </c>
      <c r="H65" s="56">
        <v>2.2000000000000002</v>
      </c>
      <c r="I65" s="56">
        <v>1200</v>
      </c>
      <c r="J65" s="56">
        <v>14</v>
      </c>
      <c r="K65" s="25">
        <v>1.25</v>
      </c>
      <c r="L65" s="25">
        <v>1.25</v>
      </c>
      <c r="M65" s="25">
        <v>1.25</v>
      </c>
      <c r="N65" s="56">
        <v>10998</v>
      </c>
      <c r="O65" s="56">
        <v>712.1</v>
      </c>
      <c r="P65" s="11" t="s">
        <v>240</v>
      </c>
      <c r="Q65" s="46">
        <v>14</v>
      </c>
      <c r="R65" s="7">
        <v>64.079074218749994</v>
      </c>
      <c r="S65" s="7">
        <v>66.546585937499998</v>
      </c>
      <c r="T65" s="7">
        <f t="shared" si="17"/>
        <v>897.10703906249989</v>
      </c>
      <c r="U65" s="7">
        <f t="shared" si="18"/>
        <v>931.65220312499991</v>
      </c>
      <c r="V65" s="7">
        <f t="shared" si="19"/>
        <v>66.881651115681308</v>
      </c>
      <c r="W65" s="292">
        <f t="shared" si="19"/>
        <v>64.401715359814148</v>
      </c>
    </row>
    <row r="66" spans="1:23" x14ac:dyDescent="0.25">
      <c r="A66" s="6" t="s">
        <v>239</v>
      </c>
      <c r="B66" s="56">
        <v>63</v>
      </c>
      <c r="C66" s="56" t="s">
        <v>157</v>
      </c>
      <c r="D66" s="56">
        <v>90</v>
      </c>
      <c r="E66" s="56">
        <v>3</v>
      </c>
      <c r="F66" s="56" t="s">
        <v>162</v>
      </c>
      <c r="G66" s="56">
        <v>6.5</v>
      </c>
      <c r="H66" s="56">
        <v>2.2999999999999998</v>
      </c>
      <c r="I66" s="56">
        <v>1000</v>
      </c>
      <c r="J66" s="56">
        <v>14</v>
      </c>
      <c r="K66" s="25">
        <v>1.25</v>
      </c>
      <c r="L66" s="25">
        <v>1.25</v>
      </c>
      <c r="M66" s="25">
        <v>1.25</v>
      </c>
      <c r="N66" s="56">
        <v>10982</v>
      </c>
      <c r="O66" s="56">
        <v>718.7</v>
      </c>
      <c r="P66" s="11" t="s">
        <v>242</v>
      </c>
      <c r="Q66" s="104">
        <v>14</v>
      </c>
      <c r="R66" s="7">
        <v>83.085398437500004</v>
      </c>
      <c r="S66" s="7">
        <v>78.665875</v>
      </c>
      <c r="T66" s="7">
        <f t="shared" si="17"/>
        <v>1163.1955781250001</v>
      </c>
      <c r="U66" s="7">
        <f t="shared" si="18"/>
        <v>1101.3222499999999</v>
      </c>
      <c r="V66" s="7">
        <f t="shared" si="19"/>
        <v>51.582039278997534</v>
      </c>
      <c r="W66" s="7">
        <f t="shared" si="19"/>
        <v>54.47996714857981</v>
      </c>
    </row>
    <row r="67" spans="1:23" x14ac:dyDescent="0.25">
      <c r="A67" s="6" t="s">
        <v>241</v>
      </c>
      <c r="B67" s="56">
        <v>61</v>
      </c>
      <c r="C67" s="56" t="s">
        <v>167</v>
      </c>
      <c r="D67" s="56">
        <v>71</v>
      </c>
      <c r="E67" s="56">
        <v>3</v>
      </c>
      <c r="F67" s="56" t="s">
        <v>162</v>
      </c>
      <c r="G67" s="56">
        <v>6.5</v>
      </c>
      <c r="H67" s="56">
        <v>2.2999999999999998</v>
      </c>
      <c r="I67" s="56">
        <v>1000</v>
      </c>
      <c r="J67" s="56">
        <v>14</v>
      </c>
      <c r="K67" s="25">
        <v>1.25</v>
      </c>
      <c r="L67" s="25">
        <v>1.25</v>
      </c>
      <c r="M67" s="25">
        <v>1.25</v>
      </c>
      <c r="N67" s="56">
        <v>10976</v>
      </c>
      <c r="O67" s="56">
        <v>718.3</v>
      </c>
      <c r="P67" s="11" t="s">
        <v>244</v>
      </c>
      <c r="Q67" s="46">
        <v>14</v>
      </c>
      <c r="R67" s="7">
        <v>71.853578124999999</v>
      </c>
      <c r="S67" s="7">
        <v>64.900000000000006</v>
      </c>
      <c r="T67" s="7">
        <f t="shared" si="17"/>
        <v>1005.95009375</v>
      </c>
      <c r="U67" s="7">
        <f t="shared" si="18"/>
        <v>908.60000000000014</v>
      </c>
      <c r="V67" s="7">
        <f t="shared" si="19"/>
        <v>59.645106027408232</v>
      </c>
      <c r="W67" s="7">
        <f t="shared" si="19"/>
        <v>66.035659255998226</v>
      </c>
    </row>
    <row r="68" spans="1:23" x14ac:dyDescent="0.25">
      <c r="A68" s="6" t="s">
        <v>243</v>
      </c>
      <c r="B68" s="56">
        <v>53</v>
      </c>
      <c r="C68" s="56" t="s">
        <v>167</v>
      </c>
      <c r="D68" s="56">
        <v>103</v>
      </c>
      <c r="E68" s="56">
        <v>3</v>
      </c>
      <c r="F68" s="56" t="s">
        <v>162</v>
      </c>
      <c r="G68" s="56">
        <v>6.5</v>
      </c>
      <c r="H68" s="56">
        <v>2.2999999999999998</v>
      </c>
      <c r="I68" s="56">
        <v>1000</v>
      </c>
      <c r="J68" s="56">
        <v>14</v>
      </c>
      <c r="K68" s="25">
        <v>1.25</v>
      </c>
      <c r="L68" s="25">
        <v>1.25</v>
      </c>
      <c r="M68" s="25">
        <v>1.25</v>
      </c>
      <c r="N68" s="56">
        <v>10974</v>
      </c>
      <c r="O68" s="56">
        <v>718.2</v>
      </c>
      <c r="P68" s="11" t="s">
        <v>246</v>
      </c>
      <c r="Q68" s="104">
        <v>14</v>
      </c>
      <c r="R68" s="7">
        <v>71.853578124999999</v>
      </c>
      <c r="S68" s="7">
        <v>71.853578124999999</v>
      </c>
      <c r="T68" s="7">
        <f t="shared" si="17"/>
        <v>1005.95009375</v>
      </c>
      <c r="U68" s="7">
        <f t="shared" si="18"/>
        <v>1005.95009375</v>
      </c>
      <c r="V68" s="7">
        <f t="shared" si="19"/>
        <v>59.645106027408232</v>
      </c>
      <c r="W68" s="7">
        <f t="shared" si="19"/>
        <v>59.645106027408232</v>
      </c>
    </row>
    <row r="69" spans="1:23" x14ac:dyDescent="0.25">
      <c r="A69" s="6" t="s">
        <v>245</v>
      </c>
      <c r="B69" s="56">
        <v>73</v>
      </c>
      <c r="C69" s="56" t="s">
        <v>167</v>
      </c>
      <c r="D69" s="56">
        <v>97</v>
      </c>
      <c r="E69" s="56">
        <v>3</v>
      </c>
      <c r="F69" s="56" t="s">
        <v>162</v>
      </c>
      <c r="G69" s="56">
        <v>6.5</v>
      </c>
      <c r="H69" s="56">
        <v>2.2999999999999998</v>
      </c>
      <c r="I69" s="56">
        <v>1000</v>
      </c>
      <c r="J69" s="56">
        <v>14</v>
      </c>
      <c r="K69" s="25">
        <v>1.25</v>
      </c>
      <c r="L69" s="25">
        <v>1.25</v>
      </c>
      <c r="M69" s="25">
        <v>1.25</v>
      </c>
      <c r="N69" s="56">
        <v>11000</v>
      </c>
      <c r="O69" s="56">
        <v>719.9</v>
      </c>
      <c r="P69" s="11" t="s">
        <v>248</v>
      </c>
      <c r="Q69" s="46">
        <v>14</v>
      </c>
      <c r="R69" s="7">
        <v>48.674999999999997</v>
      </c>
      <c r="S69" s="7">
        <v>46.357148437500001</v>
      </c>
      <c r="T69" s="7">
        <f t="shared" si="17"/>
        <v>681.44999999999993</v>
      </c>
      <c r="U69" s="7">
        <f t="shared" si="18"/>
        <v>649.00007812500007</v>
      </c>
      <c r="V69" s="7">
        <f t="shared" si="19"/>
        <v>88.047545674664335</v>
      </c>
      <c r="W69" s="7">
        <f t="shared" si="19"/>
        <v>92.449911829507911</v>
      </c>
    </row>
    <row r="70" spans="1:23" x14ac:dyDescent="0.25">
      <c r="A70" s="6" t="s">
        <v>247</v>
      </c>
      <c r="B70" s="56">
        <v>34</v>
      </c>
      <c r="C70" s="56" t="s">
        <v>167</v>
      </c>
      <c r="D70" s="56">
        <v>61</v>
      </c>
      <c r="E70" s="56">
        <v>3</v>
      </c>
      <c r="F70" s="56" t="s">
        <v>162</v>
      </c>
      <c r="G70" s="56">
        <v>6.5</v>
      </c>
      <c r="H70" s="56">
        <v>2.2999999999999998</v>
      </c>
      <c r="I70" s="56">
        <v>1000</v>
      </c>
      <c r="J70" s="56">
        <v>14</v>
      </c>
      <c r="K70" s="25">
        <v>1.25</v>
      </c>
      <c r="L70" s="25">
        <v>1.25</v>
      </c>
      <c r="M70" s="25">
        <v>1.25</v>
      </c>
      <c r="N70" s="56">
        <v>11000</v>
      </c>
      <c r="O70" s="56">
        <v>719.9</v>
      </c>
      <c r="P70" s="11" t="s">
        <v>250</v>
      </c>
      <c r="Q70" s="104">
        <v>14</v>
      </c>
      <c r="R70" s="7">
        <v>50.992859375000002</v>
      </c>
      <c r="S70" s="7">
        <v>46.357148437500001</v>
      </c>
      <c r="T70" s="7">
        <f t="shared" si="17"/>
        <v>713.90003124999998</v>
      </c>
      <c r="U70" s="7">
        <f t="shared" si="18"/>
        <v>649.00007812500007</v>
      </c>
      <c r="V70" s="7">
        <f t="shared" si="19"/>
        <v>84.045380828662061</v>
      </c>
      <c r="W70" s="7">
        <f t="shared" si="19"/>
        <v>92.449911829507911</v>
      </c>
    </row>
    <row r="71" spans="1:23" x14ac:dyDescent="0.25">
      <c r="A71" s="6" t="s">
        <v>249</v>
      </c>
      <c r="B71" s="56">
        <v>54</v>
      </c>
      <c r="C71" s="56" t="s">
        <v>157</v>
      </c>
      <c r="D71" s="56">
        <v>73</v>
      </c>
      <c r="E71" s="56">
        <v>3</v>
      </c>
      <c r="F71" s="56" t="s">
        <v>162</v>
      </c>
      <c r="G71" s="56">
        <v>6.5</v>
      </c>
      <c r="H71" s="56">
        <v>2.2999999999999998</v>
      </c>
      <c r="I71" s="56">
        <v>1000</v>
      </c>
      <c r="J71" s="56">
        <v>14</v>
      </c>
      <c r="K71" s="25">
        <v>1.25</v>
      </c>
      <c r="L71" s="25">
        <v>1.25</v>
      </c>
      <c r="M71" s="25">
        <v>1.25</v>
      </c>
      <c r="N71" s="56">
        <v>11000</v>
      </c>
      <c r="O71" s="56">
        <v>719.9</v>
      </c>
      <c r="P71" s="11" t="s">
        <v>251</v>
      </c>
      <c r="Q71" s="46">
        <v>14</v>
      </c>
      <c r="R71" s="7">
        <v>60.264281250000003</v>
      </c>
      <c r="S71" s="7">
        <v>57.9464296875</v>
      </c>
      <c r="T71" s="7">
        <f t="shared" si="17"/>
        <v>843.69993750000003</v>
      </c>
      <c r="U71" s="7">
        <f t="shared" si="18"/>
        <v>811.25001562500006</v>
      </c>
      <c r="V71" s="7">
        <f t="shared" si="19"/>
        <v>71.115330620727931</v>
      </c>
      <c r="W71" s="7">
        <f t="shared" si="19"/>
        <v>73.959936942220011</v>
      </c>
    </row>
    <row r="72" spans="1:23" x14ac:dyDescent="0.25">
      <c r="A72" s="6" t="s">
        <v>286</v>
      </c>
      <c r="B72" s="56">
        <v>19</v>
      </c>
      <c r="C72" s="56" t="s">
        <v>157</v>
      </c>
      <c r="D72" s="56">
        <v>53</v>
      </c>
      <c r="E72" s="56">
        <v>1.5</v>
      </c>
      <c r="F72" s="56" t="s">
        <v>158</v>
      </c>
      <c r="G72" s="56">
        <v>7.3</v>
      </c>
      <c r="H72" s="56">
        <v>2.4</v>
      </c>
      <c r="I72" s="56" t="s">
        <v>159</v>
      </c>
      <c r="J72" s="56">
        <v>10</v>
      </c>
      <c r="K72" s="25">
        <v>1.25</v>
      </c>
      <c r="L72" s="25">
        <v>1.25</v>
      </c>
      <c r="M72" s="25">
        <v>1.25</v>
      </c>
      <c r="N72" s="56">
        <v>9999</v>
      </c>
      <c r="O72" s="56">
        <v>736.9</v>
      </c>
      <c r="P72" s="11" t="s">
        <v>253</v>
      </c>
      <c r="Q72" s="104">
        <v>14</v>
      </c>
      <c r="R72" s="7">
        <v>99.367792968749995</v>
      </c>
      <c r="S72" s="7">
        <v>101.40396484375</v>
      </c>
      <c r="T72" s="7">
        <f t="shared" si="17"/>
        <v>1391.1491015624999</v>
      </c>
      <c r="U72" s="7">
        <f t="shared" si="18"/>
        <v>1419.6555078125</v>
      </c>
      <c r="V72" s="7">
        <f t="shared" si="19"/>
        <v>43.129812564742103</v>
      </c>
      <c r="W72" s="292">
        <f t="shared" si="19"/>
        <v>42.263774323992166</v>
      </c>
    </row>
    <row r="73" spans="1:23" ht="15.75" thickBot="1" x14ac:dyDescent="0.3">
      <c r="A73" s="14" t="s">
        <v>252</v>
      </c>
      <c r="B73" s="26">
        <v>24</v>
      </c>
      <c r="C73" s="26" t="s">
        <v>167</v>
      </c>
      <c r="D73" s="26">
        <v>95</v>
      </c>
      <c r="E73" s="26">
        <v>3</v>
      </c>
      <c r="F73" s="26" t="s">
        <v>162</v>
      </c>
      <c r="G73" s="26">
        <v>6.2</v>
      </c>
      <c r="H73" s="26">
        <v>2.5</v>
      </c>
      <c r="I73" s="26">
        <v>1000</v>
      </c>
      <c r="J73" s="26">
        <v>8</v>
      </c>
      <c r="K73" s="111">
        <v>1.25</v>
      </c>
      <c r="L73" s="111">
        <v>1.25</v>
      </c>
      <c r="M73" s="111">
        <v>1.25</v>
      </c>
      <c r="N73" s="26">
        <v>10965</v>
      </c>
      <c r="O73" s="26">
        <v>689.1</v>
      </c>
      <c r="P73" s="234" t="s">
        <v>254</v>
      </c>
      <c r="Q73" s="46">
        <v>14</v>
      </c>
      <c r="R73" s="7">
        <v>100.5466875</v>
      </c>
      <c r="S73" s="7">
        <v>101.83809375</v>
      </c>
      <c r="T73" s="7">
        <f t="shared" si="17"/>
        <v>1407.6536250000001</v>
      </c>
      <c r="U73" s="7">
        <f t="shared" si="18"/>
        <v>1425.7333125</v>
      </c>
      <c r="V73" s="7">
        <f t="shared" si="19"/>
        <v>42.624122109585016</v>
      </c>
      <c r="W73" s="292">
        <f t="shared" si="19"/>
        <v>42.083606712387876</v>
      </c>
    </row>
    <row r="74" spans="1:23" ht="15.75" thickBot="1" x14ac:dyDescent="0.3">
      <c r="V74" s="235">
        <f>AVERAGE(V51:V73)</f>
        <v>61.56270840748234</v>
      </c>
      <c r="W74" s="235">
        <f>AVERAGE(W51:W73)</f>
        <v>63.760033369356258</v>
      </c>
    </row>
    <row r="75" spans="1:23" x14ac:dyDescent="0.25">
      <c r="A75" s="126" t="s">
        <v>211</v>
      </c>
      <c r="B75" s="127">
        <f>AVERAGE(B51:B73)</f>
        <v>44.4</v>
      </c>
      <c r="C75" s="127"/>
      <c r="D75" s="127">
        <f>AVERAGE(D51:D73)</f>
        <v>80.2</v>
      </c>
      <c r="E75" s="127"/>
      <c r="F75" s="127"/>
      <c r="G75" s="314">
        <f>AVERAGE(G51:G73)</f>
        <v>6.6350000000000007</v>
      </c>
      <c r="H75" s="314">
        <f>AVERAGE(H51:H73)</f>
        <v>2.325499999999999</v>
      </c>
      <c r="I75" s="127"/>
      <c r="J75" s="127">
        <f>AVERAGE(J51:J73)</f>
        <v>11.5</v>
      </c>
      <c r="K75" s="127"/>
      <c r="L75" s="127"/>
      <c r="M75" s="127"/>
      <c r="N75" s="127">
        <f>AVERAGE(N51:N73)</f>
        <v>10838.9</v>
      </c>
      <c r="O75" s="128">
        <f>AVERAGE(O51:O73)</f>
        <v>724.28</v>
      </c>
    </row>
    <row r="76" spans="1:23" x14ac:dyDescent="0.25">
      <c r="A76" s="124" t="s">
        <v>212</v>
      </c>
      <c r="B76" s="56">
        <f>MAX(B51:B73)</f>
        <v>73</v>
      </c>
      <c r="C76" s="56"/>
      <c r="D76" s="56">
        <f>MAX(D51:D73)</f>
        <v>103</v>
      </c>
      <c r="E76" s="56"/>
      <c r="F76" s="56"/>
      <c r="G76" s="56">
        <f>MAX(G51:G73)</f>
        <v>7.5</v>
      </c>
      <c r="H76" s="56">
        <f>MAX(H51:H73)</f>
        <v>2.6</v>
      </c>
      <c r="I76" s="56">
        <f>MAX(I51:I73)</f>
        <v>1200</v>
      </c>
      <c r="J76" s="56">
        <f>MAX(J51:J73)</f>
        <v>14</v>
      </c>
      <c r="K76" s="56"/>
      <c r="L76" s="56"/>
      <c r="M76" s="56"/>
      <c r="N76" s="56">
        <f>MAX(N51:N73)</f>
        <v>11000</v>
      </c>
      <c r="O76" s="62">
        <f>MAX(O51:O73)</f>
        <v>756.7</v>
      </c>
      <c r="P76" s="62"/>
    </row>
    <row r="77" spans="1:23" ht="15.75" customHeight="1" x14ac:dyDescent="0.25">
      <c r="A77" s="129" t="s">
        <v>213</v>
      </c>
      <c r="B77" s="122">
        <f>MIN(B51:B73)</f>
        <v>19</v>
      </c>
      <c r="C77" s="122"/>
      <c r="D77" s="122">
        <f>MIN(D51:D73)</f>
        <v>48</v>
      </c>
      <c r="E77" s="122"/>
      <c r="F77" s="122"/>
      <c r="G77" s="122">
        <f>MIN(G51:G73)</f>
        <v>6.2</v>
      </c>
      <c r="H77" s="122">
        <f>MIN(H51:H73)</f>
        <v>2.2000000000000002</v>
      </c>
      <c r="I77" s="122">
        <f>MIN(I51:I73)</f>
        <v>600</v>
      </c>
      <c r="J77" s="122">
        <f>MIN(J51:J73)</f>
        <v>6</v>
      </c>
      <c r="K77" s="122"/>
      <c r="L77" s="122"/>
      <c r="M77" s="122"/>
      <c r="N77" s="122">
        <f>MIN(N51:N73)</f>
        <v>9994</v>
      </c>
      <c r="O77" s="123">
        <f>MIN(O51:O73)</f>
        <v>689.1</v>
      </c>
      <c r="P77" s="123"/>
    </row>
    <row r="78" spans="1:23" ht="18.75" customHeight="1" x14ac:dyDescent="0.25">
      <c r="A78" s="118"/>
      <c r="B78" s="56"/>
      <c r="C78" s="104" t="str">
        <f>CONCATENATE("Females x ", COUNTIF(C51:C73,"F"))</f>
        <v>Females x 8</v>
      </c>
      <c r="D78" s="56"/>
      <c r="E78" s="56" t="str">
        <f>CONCATENATE("1.5T x ",COUNTIF(E51:E73,1.5))</f>
        <v>1.5T x 3</v>
      </c>
      <c r="F78" s="56" t="str">
        <f>CONCATENATE("32Ch Torso x ",COUNTIF(F51:F73,"32Ch Torso"))</f>
        <v>32Ch Torso x 17</v>
      </c>
      <c r="G78" s="56"/>
      <c r="H78" s="56"/>
      <c r="I78" s="56"/>
      <c r="J78" s="56"/>
      <c r="K78" s="56"/>
      <c r="L78" s="56"/>
      <c r="M78" s="56"/>
      <c r="N78" s="56"/>
      <c r="O78" s="62"/>
    </row>
    <row r="79" spans="1:23" x14ac:dyDescent="0.25">
      <c r="A79" s="118"/>
      <c r="B79" s="56"/>
      <c r="C79" s="104" t="str">
        <f>CONCATENATE("Males x ",COUNTIF(C51:C73,"M"))</f>
        <v>Males x 12</v>
      </c>
      <c r="D79" s="56"/>
      <c r="E79" s="56" t="str">
        <f>CONCATENATE("3T x ",COUNTIF(E51:E73,3))</f>
        <v>3T x 17</v>
      </c>
      <c r="F79" s="56" t="str">
        <f>CONCATENATE("8Ch Body x ",COUNTIF(F51:F73,"8Ch Body"))</f>
        <v>8Ch Body x 2</v>
      </c>
      <c r="G79" s="56"/>
      <c r="H79" s="56"/>
      <c r="I79" s="56"/>
      <c r="J79" s="56"/>
      <c r="K79" s="56"/>
      <c r="L79" s="56"/>
      <c r="M79" s="56"/>
      <c r="N79" s="56"/>
      <c r="O79" s="62"/>
    </row>
    <row r="80" spans="1:23" x14ac:dyDescent="0.25">
      <c r="A80" s="120"/>
      <c r="B80" s="122"/>
      <c r="C80" s="122"/>
      <c r="D80" s="122"/>
      <c r="E80" s="122"/>
      <c r="F80" s="122" t="str">
        <f>CONCATENATE("8Ch Cardiac x ",COUNTIF(F51:F73,"8CARDIAC Series"))</f>
        <v>8Ch Cardiac x 1</v>
      </c>
      <c r="G80" s="122"/>
      <c r="H80" s="122"/>
      <c r="I80" s="122"/>
      <c r="J80" s="122"/>
      <c r="K80" s="122"/>
      <c r="L80" s="122"/>
      <c r="M80" s="122"/>
      <c r="N80" s="122"/>
      <c r="O80" s="123"/>
    </row>
    <row r="81" spans="1:23" ht="15.75" customHeight="1" x14ac:dyDescent="0.25">
      <c r="A81" s="124" t="s">
        <v>214</v>
      </c>
      <c r="B81" s="125">
        <f>COUNT(D51:D73)</f>
        <v>20</v>
      </c>
      <c r="C81" s="56"/>
      <c r="D81" s="56"/>
      <c r="E81" s="56"/>
      <c r="F81" s="56"/>
      <c r="G81" s="56"/>
      <c r="H81" s="56"/>
      <c r="I81" s="56"/>
      <c r="J81" s="56"/>
      <c r="K81" s="56"/>
      <c r="L81" s="56"/>
      <c r="M81" s="56"/>
      <c r="N81" s="56"/>
      <c r="O81" s="62"/>
    </row>
    <row r="92" spans="1:23" ht="15.75" thickBot="1" x14ac:dyDescent="0.3">
      <c r="A92" s="208" t="s">
        <v>431</v>
      </c>
      <c r="B92" s="56" t="s">
        <v>133</v>
      </c>
      <c r="C92" s="56" t="s">
        <v>134</v>
      </c>
      <c r="D92" s="56" t="s">
        <v>135</v>
      </c>
      <c r="E92" s="56" t="s">
        <v>136</v>
      </c>
      <c r="F92" s="56" t="s">
        <v>137</v>
      </c>
      <c r="G92" s="56" t="s">
        <v>138</v>
      </c>
      <c r="H92" s="56" t="s">
        <v>139</v>
      </c>
      <c r="I92" s="56" t="s">
        <v>140</v>
      </c>
      <c r="J92" s="56" t="s">
        <v>141</v>
      </c>
      <c r="K92" s="26" t="s">
        <v>142</v>
      </c>
      <c r="L92" s="26" t="s">
        <v>143</v>
      </c>
      <c r="M92" s="26" t="s">
        <v>144</v>
      </c>
      <c r="N92" s="56" t="s">
        <v>145</v>
      </c>
      <c r="O92" s="56" t="s">
        <v>146</v>
      </c>
      <c r="P92" s="275" t="s">
        <v>147</v>
      </c>
      <c r="Q92" s="46" t="s">
        <v>148</v>
      </c>
      <c r="R92" s="103" t="s">
        <v>149</v>
      </c>
      <c r="S92" s="103" t="s">
        <v>150</v>
      </c>
      <c r="T92" s="103" t="s">
        <v>151</v>
      </c>
      <c r="U92" s="103" t="s">
        <v>152</v>
      </c>
      <c r="V92" s="103" t="s">
        <v>153</v>
      </c>
      <c r="W92" s="103" t="s">
        <v>154</v>
      </c>
    </row>
    <row r="93" spans="1:23" x14ac:dyDescent="0.25">
      <c r="A93" s="276" t="s">
        <v>155</v>
      </c>
      <c r="B93" s="277">
        <v>28</v>
      </c>
      <c r="C93" s="266" t="s">
        <v>157</v>
      </c>
      <c r="D93" s="266">
        <v>65</v>
      </c>
      <c r="E93" s="266">
        <v>1.5</v>
      </c>
      <c r="F93" s="266" t="s">
        <v>165</v>
      </c>
      <c r="G93" s="266">
        <v>7.55</v>
      </c>
      <c r="H93" s="266">
        <v>2.2799999999999998</v>
      </c>
      <c r="I93" s="266" t="s">
        <v>159</v>
      </c>
      <c r="J93" s="266">
        <v>15</v>
      </c>
      <c r="K93" s="266">
        <v>1.25</v>
      </c>
      <c r="L93" s="266">
        <v>1.25</v>
      </c>
      <c r="M93" s="266">
        <v>1.25</v>
      </c>
      <c r="N93" s="266">
        <v>9996</v>
      </c>
      <c r="O93" s="266">
        <v>754.5</v>
      </c>
      <c r="P93" s="267">
        <v>42167</v>
      </c>
      <c r="Q93" s="104">
        <v>14</v>
      </c>
      <c r="R93" s="72">
        <v>86.071426391599999</v>
      </c>
      <c r="S93" s="7">
        <v>68.857139587399999</v>
      </c>
      <c r="T93" s="7">
        <f>Q93*R93</f>
        <v>1204.9999694824</v>
      </c>
      <c r="U93" s="7">
        <f>Q93*S93</f>
        <v>963.99995422359996</v>
      </c>
      <c r="V93" s="7">
        <f>60000/T93</f>
        <v>49.792532381368119</v>
      </c>
      <c r="W93" s="7">
        <f>60000/U93</f>
        <v>62.240666855968534</v>
      </c>
    </row>
    <row r="94" spans="1:23" x14ac:dyDescent="0.25">
      <c r="A94" s="11" t="s">
        <v>99</v>
      </c>
      <c r="B94" s="274">
        <v>62</v>
      </c>
      <c r="C94" s="46" t="s">
        <v>167</v>
      </c>
      <c r="D94" s="46">
        <v>141</v>
      </c>
      <c r="E94" s="46">
        <v>3</v>
      </c>
      <c r="F94" s="46" t="s">
        <v>162</v>
      </c>
      <c r="G94" s="46">
        <v>6.29</v>
      </c>
      <c r="H94" s="46">
        <v>2.1800000000000002</v>
      </c>
      <c r="I94" s="46">
        <v>1000</v>
      </c>
      <c r="J94" s="46">
        <v>14</v>
      </c>
      <c r="K94" s="105">
        <v>1.64</v>
      </c>
      <c r="L94" s="105">
        <v>1.64</v>
      </c>
      <c r="M94" s="105">
        <v>1.64</v>
      </c>
      <c r="N94" s="104">
        <v>10980</v>
      </c>
      <c r="O94" s="56"/>
      <c r="P94" s="108">
        <v>40878</v>
      </c>
      <c r="Q94" s="104">
        <v>14</v>
      </c>
      <c r="R94" s="7">
        <v>81.728453125000001</v>
      </c>
      <c r="S94" s="7">
        <v>75.607007812500001</v>
      </c>
      <c r="T94" s="7">
        <f t="shared" ref="T94:T95" si="20">Q94*R94</f>
        <v>1144.19834375</v>
      </c>
      <c r="U94" s="7">
        <f t="shared" ref="U94:U95" si="21">Q94*S94</f>
        <v>1058.498109375</v>
      </c>
      <c r="V94" s="7">
        <f t="shared" ref="V94:W95" si="22">60000/T94</f>
        <v>52.438460803356669</v>
      </c>
      <c r="W94" s="7">
        <f t="shared" si="22"/>
        <v>56.684088019229016</v>
      </c>
    </row>
    <row r="95" spans="1:23" x14ac:dyDescent="0.25">
      <c r="A95" s="6" t="s">
        <v>226</v>
      </c>
      <c r="B95" s="58">
        <v>33</v>
      </c>
      <c r="C95" s="56" t="s">
        <v>157</v>
      </c>
      <c r="D95" s="56">
        <v>81</v>
      </c>
      <c r="E95" s="56">
        <v>3</v>
      </c>
      <c r="F95" s="56" t="s">
        <v>162</v>
      </c>
      <c r="G95" s="56">
        <v>6.5</v>
      </c>
      <c r="H95" s="56">
        <v>2.1</v>
      </c>
      <c r="I95" s="56">
        <v>1250</v>
      </c>
      <c r="J95" s="56">
        <v>6</v>
      </c>
      <c r="K95" s="105">
        <v>1.25</v>
      </c>
      <c r="L95" s="105">
        <v>1.25</v>
      </c>
      <c r="M95" s="105">
        <v>1.25</v>
      </c>
      <c r="N95" s="56">
        <v>10998</v>
      </c>
      <c r="O95" s="56">
        <v>722</v>
      </c>
      <c r="P95" s="11" t="s">
        <v>231</v>
      </c>
      <c r="Q95" s="46">
        <v>14</v>
      </c>
      <c r="R95" s="7">
        <v>54.214292968750001</v>
      </c>
      <c r="S95" s="7">
        <v>69.750004882811993</v>
      </c>
      <c r="T95" s="7">
        <f t="shared" si="20"/>
        <v>759.00010156250005</v>
      </c>
      <c r="U95" s="7">
        <f t="shared" si="21"/>
        <v>976.5000683593679</v>
      </c>
      <c r="V95" s="7">
        <f t="shared" si="22"/>
        <v>79.051372821271329</v>
      </c>
      <c r="W95" s="7">
        <f t="shared" si="22"/>
        <v>61.443928110324542</v>
      </c>
    </row>
    <row r="96" spans="1:23" ht="14.25" customHeight="1" x14ac:dyDescent="0.25">
      <c r="A96" s="6" t="s">
        <v>203</v>
      </c>
      <c r="B96" s="58">
        <v>26</v>
      </c>
      <c r="C96" s="56" t="s">
        <v>157</v>
      </c>
      <c r="D96" s="56">
        <v>66</v>
      </c>
      <c r="E96" s="56">
        <v>3</v>
      </c>
      <c r="F96" s="56" t="s">
        <v>162</v>
      </c>
      <c r="G96" s="56">
        <v>6.4</v>
      </c>
      <c r="H96" s="56">
        <v>2.2000000000000002</v>
      </c>
      <c r="I96" s="56">
        <v>1200</v>
      </c>
      <c r="J96" s="56">
        <v>14</v>
      </c>
      <c r="K96" s="56">
        <v>1.25</v>
      </c>
      <c r="L96" s="56">
        <v>1.25</v>
      </c>
      <c r="M96" s="56">
        <v>1.25</v>
      </c>
      <c r="N96" s="56">
        <v>10998</v>
      </c>
      <c r="O96" s="56">
        <v>712.1</v>
      </c>
      <c r="P96" s="114" t="s">
        <v>204</v>
      </c>
      <c r="Q96" s="46">
        <v>14</v>
      </c>
      <c r="R96" s="7">
        <v>70.932968750000001</v>
      </c>
      <c r="S96" s="7">
        <v>73.162765625000006</v>
      </c>
      <c r="T96" s="7">
        <f>Q96*R96</f>
        <v>993.06156250000004</v>
      </c>
      <c r="U96" s="7">
        <f>Q96*S96</f>
        <v>1024.2787187500001</v>
      </c>
      <c r="V96" s="7">
        <f>60000/T96</f>
        <v>60.419214946706788</v>
      </c>
      <c r="W96" s="7">
        <f>60000/U96</f>
        <v>58.577805924955911</v>
      </c>
    </row>
    <row r="97" spans="1:23" x14ac:dyDescent="0.25">
      <c r="A97" s="54" t="s">
        <v>178</v>
      </c>
      <c r="B97" s="248">
        <v>65</v>
      </c>
      <c r="C97" s="272" t="s">
        <v>167</v>
      </c>
      <c r="D97" s="272">
        <v>83</v>
      </c>
      <c r="E97" s="272">
        <v>1.5</v>
      </c>
      <c r="F97" s="272" t="s">
        <v>158</v>
      </c>
      <c r="G97" s="272">
        <v>7.5</v>
      </c>
      <c r="H97" s="272">
        <v>2.6</v>
      </c>
      <c r="I97" s="272" t="s">
        <v>179</v>
      </c>
      <c r="J97" s="272">
        <v>10</v>
      </c>
      <c r="K97" s="268">
        <v>1.25</v>
      </c>
      <c r="L97" s="268">
        <v>1.25</v>
      </c>
      <c r="M97" s="268">
        <v>1.25</v>
      </c>
      <c r="N97" s="272">
        <v>10000</v>
      </c>
      <c r="O97" s="272">
        <v>758</v>
      </c>
      <c r="P97" s="54" t="s">
        <v>180</v>
      </c>
      <c r="Q97" s="272">
        <v>14</v>
      </c>
      <c r="R97" s="270">
        <v>74.465234374999994</v>
      </c>
      <c r="S97" s="270">
        <v>66.645617187499994</v>
      </c>
      <c r="T97" s="270">
        <f t="shared" ref="T97" si="23">Q97*R97</f>
        <v>1042.5132812499999</v>
      </c>
      <c r="U97" s="270">
        <f t="shared" ref="U97" si="24">Q97*S97</f>
        <v>933.03864062499997</v>
      </c>
      <c r="V97" s="270">
        <f t="shared" ref="V97" si="25">60000/T97</f>
        <v>57.553223617504884</v>
      </c>
      <c r="W97" s="270">
        <f t="shared" ref="W97" si="26">60000/U97</f>
        <v>64.306018408636049</v>
      </c>
    </row>
    <row r="98" spans="1:23" ht="15.75" thickBot="1" x14ac:dyDescent="0.3"/>
    <row r="99" spans="1:23" x14ac:dyDescent="0.25">
      <c r="A99" s="276" t="s">
        <v>155</v>
      </c>
      <c r="C99" s="64" t="s">
        <v>434</v>
      </c>
    </row>
    <row r="100" spans="1:23" x14ac:dyDescent="0.25">
      <c r="A100" s="11" t="s">
        <v>99</v>
      </c>
      <c r="C100" t="s">
        <v>435</v>
      </c>
    </row>
    <row r="101" spans="1:23" x14ac:dyDescent="0.25">
      <c r="A101" s="6" t="s">
        <v>226</v>
      </c>
      <c r="C101" t="s">
        <v>436</v>
      </c>
    </row>
    <row r="102" spans="1:23" x14ac:dyDescent="0.25">
      <c r="A102" s="6" t="s">
        <v>203</v>
      </c>
      <c r="C102" t="s">
        <v>437</v>
      </c>
    </row>
    <row r="103" spans="1:23" x14ac:dyDescent="0.25">
      <c r="A103" s="54" t="s">
        <v>178</v>
      </c>
      <c r="C103" s="64" t="s">
        <v>433</v>
      </c>
    </row>
  </sheetData>
  <pageMargins left="0.25" right="0.25" top="0.75" bottom="0.75" header="0.3" footer="0.3"/>
  <pageSetup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98"/>
  <sheetViews>
    <sheetView tabSelected="1" topLeftCell="BJ57" zoomScaleNormal="100" workbookViewId="0">
      <selection activeCell="BZ112" sqref="BZ112"/>
    </sheetView>
  </sheetViews>
  <sheetFormatPr defaultRowHeight="15" x14ac:dyDescent="0.25"/>
  <cols>
    <col min="2" max="2" width="24.7109375" customWidth="1"/>
    <col min="3" max="11" width="11.28515625" customWidth="1"/>
    <col min="15" max="15" width="24.28515625" customWidth="1"/>
    <col min="16" max="24" width="10.7109375" customWidth="1"/>
    <col min="25" max="25" width="11" customWidth="1"/>
    <col min="26" max="26" width="10.28515625" customWidth="1"/>
    <col min="27" max="27" width="35" customWidth="1"/>
    <col min="28" max="36" width="12.5703125" customWidth="1"/>
    <col min="37" max="37" width="15.42578125" customWidth="1"/>
    <col min="39" max="39" width="30" style="56" customWidth="1"/>
    <col min="40" max="48" width="10.28515625" style="56" customWidth="1"/>
    <col min="49" max="49" width="9.5703125" bestFit="1" customWidth="1"/>
    <col min="53" max="53" width="24.7109375" customWidth="1"/>
    <col min="54" max="62" width="11.28515625" customWidth="1"/>
    <col min="66" max="66" width="24.28515625" customWidth="1"/>
    <col min="67" max="75" width="10.7109375" customWidth="1"/>
    <col min="76" max="76" width="13.42578125" customWidth="1"/>
    <col min="77" max="77" width="10.28515625" customWidth="1"/>
    <col min="78" max="78" width="35" customWidth="1"/>
    <col min="79" max="87" width="12.5703125" customWidth="1"/>
    <col min="89" max="89" width="10.5703125" customWidth="1"/>
    <col min="90" max="90" width="30" customWidth="1"/>
    <col min="91" max="99" width="10.28515625" customWidth="1"/>
    <col min="106" max="106" width="20.28515625" customWidth="1"/>
    <col min="107" max="107" width="18" customWidth="1"/>
    <col min="108" max="108" width="12.28515625" customWidth="1"/>
    <col min="109" max="109" width="16.85546875" customWidth="1"/>
    <col min="113" max="113" width="14.5703125" customWidth="1"/>
  </cols>
  <sheetData>
    <row r="1" spans="1:113" ht="21" x14ac:dyDescent="0.35">
      <c r="B1" s="130" t="s">
        <v>255</v>
      </c>
      <c r="O1" s="130" t="s">
        <v>378</v>
      </c>
      <c r="AA1" s="130" t="s">
        <v>439</v>
      </c>
      <c r="AK1" s="11"/>
      <c r="AM1" s="241" t="s">
        <v>395</v>
      </c>
      <c r="AX1" s="246"/>
      <c r="BA1" s="130" t="s">
        <v>255</v>
      </c>
      <c r="BN1" s="130" t="s">
        <v>378</v>
      </c>
      <c r="BZ1" s="130" t="s">
        <v>439</v>
      </c>
      <c r="CJ1" s="11"/>
      <c r="CL1" s="130" t="s">
        <v>430</v>
      </c>
    </row>
    <row r="2" spans="1:113" ht="21.75" thickBot="1" x14ac:dyDescent="0.4">
      <c r="B2" s="130"/>
      <c r="AK2" s="11"/>
      <c r="AX2" s="246"/>
      <c r="BA2" s="130"/>
      <c r="CJ2" s="11"/>
      <c r="DB2" t="s">
        <v>391</v>
      </c>
      <c r="DC2" s="76" t="s">
        <v>390</v>
      </c>
      <c r="DD2" s="76" t="s">
        <v>16</v>
      </c>
      <c r="DE2" s="76" t="s">
        <v>393</v>
      </c>
      <c r="DI2" s="56" t="s">
        <v>389</v>
      </c>
    </row>
    <row r="3" spans="1:113" ht="21.75" thickTop="1" x14ac:dyDescent="0.35">
      <c r="B3" s="131" t="s">
        <v>256</v>
      </c>
      <c r="O3" s="131" t="s">
        <v>256</v>
      </c>
      <c r="AA3" s="131" t="s">
        <v>256</v>
      </c>
      <c r="AK3" s="11"/>
      <c r="AM3" s="143" t="s">
        <v>256</v>
      </c>
      <c r="AO3" s="241"/>
      <c r="AX3" s="246"/>
      <c r="BA3" s="131" t="s">
        <v>256</v>
      </c>
      <c r="BN3" s="131" t="s">
        <v>256</v>
      </c>
      <c r="BZ3" s="131" t="s">
        <v>256</v>
      </c>
      <c r="CJ3" s="11"/>
      <c r="CL3" s="131" t="s">
        <v>256</v>
      </c>
      <c r="CN3" s="130"/>
      <c r="DB3" s="10" t="s">
        <v>216</v>
      </c>
      <c r="DC3" s="7">
        <f t="shared" ref="DC3:DC9" si="0">BF5+BG5</f>
        <v>14.816716897913782</v>
      </c>
      <c r="DD3" s="8">
        <v>12.57803870746508</v>
      </c>
      <c r="DE3" s="214">
        <f t="shared" ref="DE3:DE8" si="1">DC3/DD3</f>
        <v>1.1779830896147621</v>
      </c>
      <c r="DI3" s="29">
        <f t="shared" ref="DI3:DI8" si="2">(BJ5*1.31)-2.08</f>
        <v>14.397230706779256</v>
      </c>
    </row>
    <row r="4" spans="1:113" ht="15.75" thickBot="1" x14ac:dyDescent="0.3">
      <c r="A4" s="11"/>
      <c r="B4" s="1" t="s">
        <v>73</v>
      </c>
      <c r="C4" s="76" t="s">
        <v>8</v>
      </c>
      <c r="D4" s="76" t="s">
        <v>9</v>
      </c>
      <c r="E4" s="76" t="s">
        <v>10</v>
      </c>
      <c r="F4" s="76" t="s">
        <v>11</v>
      </c>
      <c r="G4" s="76" t="s">
        <v>12</v>
      </c>
      <c r="H4" s="77" t="s">
        <v>13</v>
      </c>
      <c r="I4" s="76" t="s">
        <v>14</v>
      </c>
      <c r="J4" s="76" t="s">
        <v>15</v>
      </c>
      <c r="K4" s="44" t="s">
        <v>16</v>
      </c>
      <c r="L4" s="132" t="s">
        <v>140</v>
      </c>
      <c r="M4" s="132" t="s">
        <v>135</v>
      </c>
      <c r="O4" s="11" t="s">
        <v>0</v>
      </c>
      <c r="P4" t="s">
        <v>8</v>
      </c>
      <c r="Q4" t="s">
        <v>9</v>
      </c>
      <c r="R4" t="s">
        <v>10</v>
      </c>
      <c r="S4" t="s">
        <v>11</v>
      </c>
      <c r="T4" t="s">
        <v>12</v>
      </c>
      <c r="U4" t="s">
        <v>13</v>
      </c>
      <c r="V4" t="s">
        <v>14</v>
      </c>
      <c r="W4" t="s">
        <v>15</v>
      </c>
      <c r="X4" t="s">
        <v>16</v>
      </c>
      <c r="Y4" s="5" t="s">
        <v>135</v>
      </c>
      <c r="Z4" s="136"/>
      <c r="AA4" s="50" t="s">
        <v>0</v>
      </c>
      <c r="AB4" t="s">
        <v>8</v>
      </c>
      <c r="AC4" t="s">
        <v>9</v>
      </c>
      <c r="AD4" t="s">
        <v>10</v>
      </c>
      <c r="AE4" t="s">
        <v>11</v>
      </c>
      <c r="AF4" t="s">
        <v>12</v>
      </c>
      <c r="AG4" t="s">
        <v>13</v>
      </c>
      <c r="AH4" t="s">
        <v>14</v>
      </c>
      <c r="AI4" t="s">
        <v>15</v>
      </c>
      <c r="AJ4" t="s">
        <v>16</v>
      </c>
      <c r="AK4" s="11" t="s">
        <v>135</v>
      </c>
      <c r="AL4" s="136"/>
      <c r="AM4" s="133" t="s">
        <v>0</v>
      </c>
      <c r="AN4" s="134" t="s">
        <v>8</v>
      </c>
      <c r="AO4" s="134" t="s">
        <v>9</v>
      </c>
      <c r="AP4" s="134" t="s">
        <v>10</v>
      </c>
      <c r="AQ4" s="134" t="s">
        <v>11</v>
      </c>
      <c r="AR4" s="134" t="s">
        <v>12</v>
      </c>
      <c r="AS4" s="134" t="s">
        <v>13</v>
      </c>
      <c r="AT4" s="134" t="s">
        <v>14</v>
      </c>
      <c r="AU4" s="134" t="s">
        <v>15</v>
      </c>
      <c r="AV4" s="135" t="s">
        <v>16</v>
      </c>
      <c r="AW4" s="247" t="s">
        <v>135</v>
      </c>
      <c r="AX4" s="246"/>
      <c r="AZ4" s="11"/>
      <c r="BA4" s="1" t="s">
        <v>73</v>
      </c>
      <c r="BB4" s="76" t="s">
        <v>8</v>
      </c>
      <c r="BC4" s="76" t="s">
        <v>9</v>
      </c>
      <c r="BD4" s="76" t="s">
        <v>10</v>
      </c>
      <c r="BE4" s="76" t="s">
        <v>11</v>
      </c>
      <c r="BF4" s="76" t="s">
        <v>12</v>
      </c>
      <c r="BG4" s="77" t="s">
        <v>13</v>
      </c>
      <c r="BH4" s="76" t="s">
        <v>14</v>
      </c>
      <c r="BI4" s="76" t="s">
        <v>15</v>
      </c>
      <c r="BJ4" s="44" t="s">
        <v>16</v>
      </c>
      <c r="BK4" s="132"/>
      <c r="BL4" s="132"/>
      <c r="BN4" s="11" t="s">
        <v>0</v>
      </c>
      <c r="BO4" t="s">
        <v>8</v>
      </c>
      <c r="BP4" t="s">
        <v>9</v>
      </c>
      <c r="BQ4" t="s">
        <v>10</v>
      </c>
      <c r="BR4" t="s">
        <v>11</v>
      </c>
      <c r="BS4" t="s">
        <v>12</v>
      </c>
      <c r="BT4" t="s">
        <v>13</v>
      </c>
      <c r="BU4" t="s">
        <v>14</v>
      </c>
      <c r="BV4" t="s">
        <v>15</v>
      </c>
      <c r="BW4" t="s">
        <v>16</v>
      </c>
      <c r="BX4" s="5"/>
      <c r="BY4" s="136"/>
      <c r="BZ4" s="50" t="s">
        <v>0</v>
      </c>
      <c r="CA4" s="110" t="s">
        <v>8</v>
      </c>
      <c r="CB4" s="26" t="s">
        <v>9</v>
      </c>
      <c r="CC4" s="26" t="s">
        <v>10</v>
      </c>
      <c r="CD4" s="26" t="s">
        <v>11</v>
      </c>
      <c r="CE4" s="26" t="s">
        <v>12</v>
      </c>
      <c r="CF4" s="26" t="s">
        <v>13</v>
      </c>
      <c r="CG4" s="26" t="s">
        <v>14</v>
      </c>
      <c r="CH4" s="26" t="s">
        <v>15</v>
      </c>
      <c r="CI4" s="26" t="s">
        <v>16</v>
      </c>
      <c r="CJ4" s="11"/>
      <c r="CK4" s="57"/>
      <c r="CL4" s="133" t="s">
        <v>0</v>
      </c>
      <c r="CM4" s="134" t="s">
        <v>8</v>
      </c>
      <c r="CN4" s="134" t="s">
        <v>9</v>
      </c>
      <c r="CO4" s="134" t="s">
        <v>10</v>
      </c>
      <c r="CP4" s="134" t="s">
        <v>11</v>
      </c>
      <c r="CQ4" s="134" t="s">
        <v>12</v>
      </c>
      <c r="CR4" s="134" t="s">
        <v>13</v>
      </c>
      <c r="CS4" s="134" t="s">
        <v>14</v>
      </c>
      <c r="CT4" s="134" t="s">
        <v>15</v>
      </c>
      <c r="CU4" s="135" t="s">
        <v>16</v>
      </c>
      <c r="CV4" s="136"/>
      <c r="DB4" s="8" t="s">
        <v>217</v>
      </c>
      <c r="DC4" s="7">
        <f t="shared" si="0"/>
        <v>11.662128561481252</v>
      </c>
      <c r="DD4" s="8">
        <v>4.9228392824114868</v>
      </c>
      <c r="DE4" s="6">
        <f t="shared" si="1"/>
        <v>2.3689842167198432</v>
      </c>
      <c r="DI4" s="6">
        <f t="shared" si="2"/>
        <v>4.3689194599590477</v>
      </c>
    </row>
    <row r="5" spans="1:113" ht="15.75" thickTop="1" x14ac:dyDescent="0.25">
      <c r="A5" s="1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v>100</v>
      </c>
      <c r="M5" s="281">
        <v>78</v>
      </c>
      <c r="O5" s="210" t="s">
        <v>36</v>
      </c>
      <c r="P5" s="31">
        <v>2.7801175121740633</v>
      </c>
      <c r="Q5" s="31">
        <v>1.9886231149634266</v>
      </c>
      <c r="R5" s="31">
        <v>0.21740221520732303</v>
      </c>
      <c r="S5" s="31">
        <v>0.16413671699672708</v>
      </c>
      <c r="T5" s="31">
        <v>0.17328457028898378</v>
      </c>
      <c r="U5" s="31">
        <v>0.21404450471840292</v>
      </c>
      <c r="V5" s="31">
        <v>0.47377104219657373</v>
      </c>
      <c r="W5" s="31">
        <v>0.13634975491086282</v>
      </c>
      <c r="X5" s="27">
        <v>0.66465497570163012</v>
      </c>
      <c r="Y5" s="282">
        <v>79</v>
      </c>
      <c r="Z5" s="57"/>
      <c r="AA5" s="64" t="s">
        <v>155</v>
      </c>
      <c r="AB5" s="30">
        <v>2.659344338505</v>
      </c>
      <c r="AC5" s="31">
        <v>0.60179251757999996</v>
      </c>
      <c r="AD5" s="31">
        <v>0.49057592257199995</v>
      </c>
      <c r="AE5" s="31">
        <v>0.44534936757300003</v>
      </c>
      <c r="AF5" s="31">
        <v>0.28123816794599998</v>
      </c>
      <c r="AG5" s="31">
        <v>0.392604140544</v>
      </c>
      <c r="AH5" s="31">
        <v>0.391588372932</v>
      </c>
      <c r="AI5" s="31">
        <v>0.49451949094800002</v>
      </c>
      <c r="AJ5" s="27">
        <v>0.75909707835600004</v>
      </c>
      <c r="AK5" s="11">
        <v>65</v>
      </c>
      <c r="AL5" s="136"/>
      <c r="AM5" s="214" t="s">
        <v>58</v>
      </c>
      <c r="AN5" s="33">
        <v>1.7861835155537795</v>
      </c>
      <c r="AO5" s="33">
        <v>0.47155695443523915</v>
      </c>
      <c r="AP5" s="33">
        <v>0.21594303449891186</v>
      </c>
      <c r="AQ5" s="33">
        <v>0.28048733725748931</v>
      </c>
      <c r="AR5" s="33">
        <v>0.31282910888882198</v>
      </c>
      <c r="AS5" s="33">
        <v>0.59872783846427391</v>
      </c>
      <c r="AT5" s="33">
        <v>0.31833543791411734</v>
      </c>
      <c r="AU5" s="33">
        <v>0.25719619839187197</v>
      </c>
      <c r="AV5" s="10">
        <v>0.81323416412555116</v>
      </c>
      <c r="AW5" s="63">
        <v>63</v>
      </c>
      <c r="AX5" s="246"/>
      <c r="AZ5" s="11"/>
      <c r="BA5" s="10" t="s">
        <v>216</v>
      </c>
      <c r="BB5" s="7">
        <f>C5/$M5*1000</f>
        <v>41.526610347564208</v>
      </c>
      <c r="BC5" s="7">
        <f t="shared" ref="BC5:BJ5" si="3">D5/$M5*1000</f>
        <v>10.562996672493783</v>
      </c>
      <c r="BD5" s="7">
        <f t="shared" si="3"/>
        <v>6.6242311483315302</v>
      </c>
      <c r="BE5" s="7">
        <f t="shared" si="3"/>
        <v>5.9655523632516116</v>
      </c>
      <c r="BF5" s="7">
        <f t="shared" si="3"/>
        <v>6.2536771908818594</v>
      </c>
      <c r="BG5" s="7">
        <f t="shared" si="3"/>
        <v>8.5630397070319226</v>
      </c>
      <c r="BH5" s="7">
        <f t="shared" si="3"/>
        <v>8.1524025648857474</v>
      </c>
      <c r="BI5" s="7">
        <f t="shared" si="3"/>
        <v>3.9017532286158847</v>
      </c>
      <c r="BJ5" s="10">
        <f t="shared" si="3"/>
        <v>12.57803870746508</v>
      </c>
      <c r="BN5" s="215" t="s">
        <v>36</v>
      </c>
      <c r="BO5" s="30">
        <f t="shared" ref="BO5:BW5" si="4">P5/$Y5*1000</f>
        <v>35.191360913595737</v>
      </c>
      <c r="BP5" s="31">
        <f t="shared" si="4"/>
        <v>25.17244449320793</v>
      </c>
      <c r="BQ5" s="31">
        <f t="shared" si="4"/>
        <v>2.751926774776241</v>
      </c>
      <c r="BR5" s="31">
        <f t="shared" si="4"/>
        <v>2.077679961983887</v>
      </c>
      <c r="BS5" s="31">
        <f t="shared" si="4"/>
        <v>2.1934755732782758</v>
      </c>
      <c r="BT5" s="31">
        <f t="shared" si="4"/>
        <v>2.7094241103595307</v>
      </c>
      <c r="BU5" s="31">
        <f>V5/$Y5*1000</f>
        <v>5.9971017999566296</v>
      </c>
      <c r="BV5" s="31">
        <f t="shared" si="4"/>
        <v>1.7259462646944661</v>
      </c>
      <c r="BW5" s="27">
        <f t="shared" si="4"/>
        <v>8.413354122805444</v>
      </c>
      <c r="BX5" s="136"/>
      <c r="BY5" s="57"/>
      <c r="BZ5" s="271" t="s">
        <v>155</v>
      </c>
      <c r="CA5" s="7"/>
      <c r="CB5" s="7"/>
      <c r="CC5" s="7"/>
      <c r="CD5" s="7"/>
      <c r="CE5" s="7"/>
      <c r="CF5" s="7"/>
      <c r="CG5" s="7"/>
      <c r="CH5" s="7"/>
      <c r="CI5" s="7"/>
      <c r="CJ5" s="6"/>
      <c r="CK5" s="57"/>
      <c r="CL5" s="214" t="s">
        <v>58</v>
      </c>
      <c r="CM5" s="7">
        <f t="shared" ref="CM5:CM10" si="5">AN5/$AW5*1000</f>
        <v>28.352119294504437</v>
      </c>
      <c r="CN5" s="7">
        <f t="shared" ref="CN5:CU5" si="6">AO5/$AW5*1000</f>
        <v>7.4850310227815742</v>
      </c>
      <c r="CO5" s="7">
        <f t="shared" si="6"/>
        <v>3.4276672142684421</v>
      </c>
      <c r="CP5" s="7">
        <f t="shared" si="6"/>
        <v>4.4521799564680844</v>
      </c>
      <c r="CQ5" s="7">
        <f t="shared" si="6"/>
        <v>4.9655414109336826</v>
      </c>
      <c r="CR5" s="7">
        <f t="shared" si="6"/>
        <v>9.5036164835599042</v>
      </c>
      <c r="CS5" s="7">
        <f t="shared" si="6"/>
        <v>5.0529434589542435</v>
      </c>
      <c r="CT5" s="7">
        <f t="shared" si="6"/>
        <v>4.0824793395535233</v>
      </c>
      <c r="CU5" s="10">
        <f t="shared" si="6"/>
        <v>12.908478795643671</v>
      </c>
      <c r="CV5" s="7"/>
      <c r="DB5" s="8" t="s">
        <v>219</v>
      </c>
      <c r="DC5" s="7">
        <f t="shared" si="0"/>
        <v>12.604006770223744</v>
      </c>
      <c r="DD5" s="8">
        <v>12.49827144583784</v>
      </c>
      <c r="DE5" s="6">
        <f t="shared" si="1"/>
        <v>1.0084599958357534</v>
      </c>
      <c r="DI5" s="6">
        <f t="shared" si="2"/>
        <v>14.292735594047572</v>
      </c>
    </row>
    <row r="6" spans="1:113" ht="15" customHeight="1" x14ac:dyDescent="0.25">
      <c r="A6" s="11" t="s">
        <v>258</v>
      </c>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v>120</v>
      </c>
      <c r="M6" s="281">
        <v>86</v>
      </c>
      <c r="O6" s="211" t="s">
        <v>38</v>
      </c>
      <c r="P6" s="48"/>
      <c r="Q6" s="33">
        <v>0.94504849051945394</v>
      </c>
      <c r="R6" s="33">
        <v>1.0838798980723405</v>
      </c>
      <c r="S6" s="33">
        <v>0.7948267828359683</v>
      </c>
      <c r="T6" s="33">
        <v>0.27353348488811041</v>
      </c>
      <c r="U6" s="33">
        <v>0.32714549365366763</v>
      </c>
      <c r="V6" s="33">
        <v>0.53668821698082092</v>
      </c>
      <c r="W6" s="33">
        <v>0.30383833450565334</v>
      </c>
      <c r="X6" s="8">
        <v>0.84633948446066698</v>
      </c>
      <c r="Y6" s="282">
        <v>46</v>
      </c>
      <c r="Z6" s="57"/>
      <c r="AA6" t="s">
        <v>156</v>
      </c>
      <c r="AB6" s="32">
        <v>3.3707913267523337</v>
      </c>
      <c r="AC6" s="33">
        <v>1.5933970779007212</v>
      </c>
      <c r="AD6" s="33">
        <v>0.19709576163540307</v>
      </c>
      <c r="AE6" s="33">
        <v>0.191712663399252</v>
      </c>
      <c r="AF6" s="33">
        <v>0.6055605234004936</v>
      </c>
      <c r="AG6" s="33">
        <v>0.53013799316870647</v>
      </c>
      <c r="AH6" s="33">
        <v>0.6343351693880831</v>
      </c>
      <c r="AI6" s="33">
        <v>0.50438869909405604</v>
      </c>
      <c r="AJ6" s="8">
        <v>1.2831632955658034</v>
      </c>
      <c r="AK6" s="11">
        <v>59</v>
      </c>
      <c r="AL6" s="136"/>
      <c r="AM6" s="6" t="s">
        <v>62</v>
      </c>
      <c r="AN6" s="33">
        <v>2.7269951446498686</v>
      </c>
      <c r="AO6" s="33">
        <v>0.21158833167761162</v>
      </c>
      <c r="AP6" s="33">
        <v>0.23180103815900946</v>
      </c>
      <c r="AQ6" s="33">
        <v>0.26706576010527805</v>
      </c>
      <c r="AR6" s="33">
        <v>0.23352126849785185</v>
      </c>
      <c r="AS6" s="33">
        <v>1.1392225418983601</v>
      </c>
      <c r="AT6" s="33">
        <v>0.24814322637801201</v>
      </c>
      <c r="AU6" s="33">
        <v>0.5478933629212952</v>
      </c>
      <c r="AV6" s="8">
        <v>0.94182611051619802</v>
      </c>
      <c r="AW6" s="56">
        <v>93</v>
      </c>
      <c r="AX6" s="246"/>
      <c r="AZ6" s="11" t="s">
        <v>258</v>
      </c>
      <c r="BA6" s="8" t="s">
        <v>217</v>
      </c>
      <c r="BB6" s="7">
        <f t="shared" ref="BB6:BB11" si="7">C6/$M6*1000</f>
        <v>38.558966279548095</v>
      </c>
      <c r="BC6" s="7">
        <f t="shared" ref="BC6:BC11" si="8">D6/$M6*1000</f>
        <v>11.215884459063673</v>
      </c>
      <c r="BD6" s="7">
        <f t="shared" ref="BD6:BD11" si="9">E6/$M6*1000</f>
        <v>3.2832863723914381</v>
      </c>
      <c r="BE6" s="7">
        <f t="shared" ref="BE6:BE11" si="10">F6/$M6*1000</f>
        <v>3.23204474499927</v>
      </c>
      <c r="BF6" s="7">
        <f t="shared" ref="BF6:BF11" si="11">G6/$M6*1000</f>
        <v>5.0358933624270747</v>
      </c>
      <c r="BG6" s="7">
        <f t="shared" ref="BG6:BG11" si="12">H6/$M6*1000</f>
        <v>6.626235199054177</v>
      </c>
      <c r="BH6" s="7">
        <f t="shared" ref="BH6:BH10" si="13">I6/$M6*1000</f>
        <v>3.5721028176927523</v>
      </c>
      <c r="BI6" s="7">
        <f t="shared" ref="BI6:BI10" si="14">J6/$M6*1000</f>
        <v>2.2680093727797086</v>
      </c>
      <c r="BJ6" s="8">
        <f t="shared" ref="BJ6:BJ10" si="15">K6/$M6*1000</f>
        <v>4.9228392824114868</v>
      </c>
      <c r="BN6" s="58" t="s">
        <v>38</v>
      </c>
      <c r="BO6" s="306"/>
      <c r="BP6" s="33">
        <f t="shared" ref="BP6:BP10" si="16">Q6/$Y6*1000</f>
        <v>20.544532402596825</v>
      </c>
      <c r="BQ6" s="33"/>
      <c r="BR6" s="33">
        <f t="shared" ref="BR6:BR9" si="17">S6/$Y6*1000</f>
        <v>17.278843105129749</v>
      </c>
      <c r="BS6" s="33">
        <f t="shared" ref="BS6:BS10" si="18">T6/$Y6*1000</f>
        <v>5.9463801062632697</v>
      </c>
      <c r="BT6" s="33">
        <f t="shared" ref="BT6:BT9" si="19">U6/$Y6*1000</f>
        <v>7.1118585576884268</v>
      </c>
      <c r="BU6" s="33">
        <f>V6/$Y6*1000</f>
        <v>11.667135151756977</v>
      </c>
      <c r="BV6" s="33">
        <f t="shared" ref="BV6:BV10" si="20">W6/$Y6*1000</f>
        <v>6.6051811849055078</v>
      </c>
      <c r="BW6" s="8">
        <f t="shared" ref="BW6:BW10" si="21">X6/$Y6*1000</f>
        <v>18.398684444797109</v>
      </c>
      <c r="BX6" s="33">
        <v>23.562606479833487</v>
      </c>
      <c r="BY6" s="57"/>
      <c r="BZ6" t="s">
        <v>156</v>
      </c>
      <c r="CA6" s="32">
        <f t="shared" ref="CA6:CA19" si="22">AB6/$AK6*1000</f>
        <v>57.132056385632779</v>
      </c>
      <c r="CB6" s="33">
        <f t="shared" ref="CB6:CB19" si="23">AC6/$AK6*1000</f>
        <v>27.00673013391053</v>
      </c>
      <c r="CC6" s="33">
        <f t="shared" ref="CC6:CC19" si="24">AD6/$AK6*1000</f>
        <v>3.3406061294136111</v>
      </c>
      <c r="CD6" s="33">
        <f t="shared" ref="CD6:CD19" si="25">AE6/$AK6*1000</f>
        <v>3.2493671762585086</v>
      </c>
      <c r="CE6" s="33">
        <f t="shared" ref="CE6:CE19" si="26">AF6/$AK6*1000</f>
        <v>10.263737684754128</v>
      </c>
      <c r="CF6" s="33">
        <f t="shared" ref="CF6:CF19" si="27">AG6/$AK6*1000</f>
        <v>8.9853897147238388</v>
      </c>
      <c r="CG6" s="33">
        <f t="shared" ref="CG6:CG19" si="28">AH6/$AK6*1000</f>
        <v>10.751443548950562</v>
      </c>
      <c r="CH6" s="33">
        <f t="shared" ref="CH6:CH19" si="29">AI6/$AK6*1000</f>
        <v>8.5489610015941704</v>
      </c>
      <c r="CI6" s="8">
        <f t="shared" ref="CI6:CI19" si="30">AJ6/$AK6*1000</f>
        <v>21.748530433318702</v>
      </c>
      <c r="CJ6" s="11"/>
      <c r="CK6" s="57"/>
      <c r="CL6" s="6" t="s">
        <v>62</v>
      </c>
      <c r="CM6" s="7">
        <f t="shared" si="5"/>
        <v>29.322528437095361</v>
      </c>
      <c r="CN6" s="7">
        <f t="shared" ref="CN6:CU6" si="31">AO6/$AW6*1000</f>
        <v>2.2751433513721682</v>
      </c>
      <c r="CO6" s="7">
        <f t="shared" si="31"/>
        <v>2.4924842812796717</v>
      </c>
      <c r="CP6" s="7">
        <f t="shared" si="31"/>
        <v>2.8716748398416994</v>
      </c>
      <c r="CQ6" s="7">
        <f t="shared" si="31"/>
        <v>2.5109813816973316</v>
      </c>
      <c r="CR6" s="7">
        <f t="shared" si="31"/>
        <v>12.249704751595271</v>
      </c>
      <c r="CS6" s="7">
        <f t="shared" si="31"/>
        <v>2.6682067352474408</v>
      </c>
      <c r="CT6" s="7">
        <f t="shared" si="31"/>
        <v>5.8913264830246801</v>
      </c>
      <c r="CU6" s="8">
        <f t="shared" si="31"/>
        <v>10.127162478668795</v>
      </c>
      <c r="CV6" s="7"/>
      <c r="DB6" s="8" t="s">
        <v>385</v>
      </c>
      <c r="DC6" s="7">
        <f t="shared" si="0"/>
        <v>13.989943678620158</v>
      </c>
      <c r="DD6" s="8">
        <v>10.027386719722539</v>
      </c>
      <c r="DE6" s="6">
        <f t="shared" si="1"/>
        <v>1.3951734454505276</v>
      </c>
      <c r="DI6" s="6">
        <f t="shared" si="2"/>
        <v>11.055876602836527</v>
      </c>
    </row>
    <row r="7" spans="1:113" x14ac:dyDescent="0.25">
      <c r="A7" s="1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v>100</v>
      </c>
      <c r="M7" s="281">
        <v>90</v>
      </c>
      <c r="O7" s="6" t="s">
        <v>41</v>
      </c>
      <c r="P7" s="33">
        <v>1.9276000000000002</v>
      </c>
      <c r="Q7" s="33">
        <v>0.82972000000000001</v>
      </c>
      <c r="R7" s="33">
        <v>0.14709333333333333</v>
      </c>
      <c r="S7" s="33">
        <v>0.17254</v>
      </c>
      <c r="T7" s="33">
        <v>0.53300666666666663</v>
      </c>
      <c r="U7" s="33">
        <v>0.42238000000000003</v>
      </c>
      <c r="V7" s="33">
        <v>0.57267999999999997</v>
      </c>
      <c r="W7" s="33">
        <v>0.22384666666666667</v>
      </c>
      <c r="X7" s="8">
        <v>1.0158933333333335</v>
      </c>
      <c r="Y7" s="282">
        <v>50</v>
      </c>
      <c r="Z7" s="57"/>
      <c r="AA7" t="s">
        <v>161</v>
      </c>
      <c r="AB7" s="32">
        <v>1.4761358593616658</v>
      </c>
      <c r="AC7" s="33">
        <v>0.50415429254138933</v>
      </c>
      <c r="AD7" s="33">
        <v>0.20186379928315409</v>
      </c>
      <c r="AE7" s="33">
        <v>0.26811401263014162</v>
      </c>
      <c r="AF7" s="33">
        <v>0.14216760539341183</v>
      </c>
      <c r="AG7" s="33">
        <v>0.54636627410820959</v>
      </c>
      <c r="AH7" s="33">
        <v>0.25082778631165725</v>
      </c>
      <c r="AI7" s="33">
        <v>0.18121863799283153</v>
      </c>
      <c r="AJ7" s="8">
        <v>0.58350571769926618</v>
      </c>
      <c r="AK7" s="11">
        <v>58</v>
      </c>
      <c r="AL7" s="136"/>
      <c r="AM7" s="6" t="s">
        <v>65</v>
      </c>
      <c r="AN7" s="33">
        <v>3.1238004201680676</v>
      </c>
      <c r="AO7" s="33">
        <v>0.78969957983193273</v>
      </c>
      <c r="AP7" s="33">
        <v>0.49667647058823539</v>
      </c>
      <c r="AQ7" s="33">
        <v>0.40639285714285717</v>
      </c>
      <c r="AR7" s="33">
        <v>0.78955462184873959</v>
      </c>
      <c r="AS7" s="48"/>
      <c r="AT7" s="33">
        <v>0.28602731092436973</v>
      </c>
      <c r="AU7" s="33">
        <v>0.23866386554621849</v>
      </c>
      <c r="AV7" s="8">
        <v>0.60750630252100835</v>
      </c>
      <c r="AW7" s="56">
        <v>53</v>
      </c>
      <c r="AX7" s="246"/>
      <c r="AZ7" s="11"/>
      <c r="BA7" s="8" t="s">
        <v>219</v>
      </c>
      <c r="BB7" s="7">
        <f t="shared" si="7"/>
        <v>45.392708914004338</v>
      </c>
      <c r="BC7" s="7">
        <f t="shared" si="8"/>
        <v>17.108304196492131</v>
      </c>
      <c r="BD7" s="7">
        <f t="shared" si="9"/>
        <v>5.0824176390053006</v>
      </c>
      <c r="BE7" s="7">
        <f t="shared" si="10"/>
        <v>4.4197228630452061</v>
      </c>
      <c r="BF7" s="7">
        <f t="shared" si="11"/>
        <v>4.3485021782256874</v>
      </c>
      <c r="BG7" s="7">
        <f t="shared" si="12"/>
        <v>8.2555045919980579</v>
      </c>
      <c r="BH7" s="7">
        <f t="shared" si="13"/>
        <v>6.9079270574994851</v>
      </c>
      <c r="BI7" s="7">
        <f t="shared" si="14"/>
        <v>5.575552399952767</v>
      </c>
      <c r="BJ7" s="8">
        <f t="shared" si="15"/>
        <v>12.49827144583784</v>
      </c>
      <c r="BN7" s="58" t="s">
        <v>41</v>
      </c>
      <c r="BO7" s="32">
        <f t="shared" ref="BO7:BO10" si="32">P7/$Y7*1000</f>
        <v>38.552</v>
      </c>
      <c r="BP7" s="33">
        <f t="shared" si="16"/>
        <v>16.5944</v>
      </c>
      <c r="BQ7" s="33">
        <f t="shared" ref="BQ7:BQ10" si="33">R7/$Y7*1000</f>
        <v>2.9418666666666664</v>
      </c>
      <c r="BR7" s="33">
        <f t="shared" si="17"/>
        <v>3.4508000000000001</v>
      </c>
      <c r="BS7" s="33">
        <f t="shared" si="18"/>
        <v>10.660133333333333</v>
      </c>
      <c r="BT7" s="33">
        <f t="shared" si="19"/>
        <v>8.4476000000000013</v>
      </c>
      <c r="BU7" s="33">
        <f t="shared" ref="BU7:BU10" si="34">V7/$Y7*1000</f>
        <v>11.4536</v>
      </c>
      <c r="BV7" s="33">
        <f t="shared" si="20"/>
        <v>4.4769333333333332</v>
      </c>
      <c r="BW7" s="8">
        <f t="shared" si="21"/>
        <v>20.317866666666671</v>
      </c>
      <c r="BX7" s="136"/>
      <c r="BY7" s="57"/>
      <c r="BZ7" t="s">
        <v>161</v>
      </c>
      <c r="CA7" s="32">
        <f t="shared" si="22"/>
        <v>25.45061826485631</v>
      </c>
      <c r="CB7" s="33">
        <f t="shared" si="23"/>
        <v>8.6923153886446425</v>
      </c>
      <c r="CC7" s="33">
        <f t="shared" si="24"/>
        <v>3.4804103324681739</v>
      </c>
      <c r="CD7" s="33">
        <f t="shared" si="25"/>
        <v>4.6226553901748559</v>
      </c>
      <c r="CE7" s="33">
        <f t="shared" si="26"/>
        <v>2.4511656102312385</v>
      </c>
      <c r="CF7" s="33">
        <f t="shared" si="27"/>
        <v>9.420108174279477</v>
      </c>
      <c r="CG7" s="33">
        <f t="shared" si="28"/>
        <v>4.3246170053734003</v>
      </c>
      <c r="CH7" s="33">
        <f t="shared" si="29"/>
        <v>3.1244592757384746</v>
      </c>
      <c r="CI7" s="8">
        <f t="shared" si="30"/>
        <v>10.060443408608037</v>
      </c>
      <c r="CJ7" s="11"/>
      <c r="CK7" s="57"/>
      <c r="CL7" s="6" t="s">
        <v>65</v>
      </c>
      <c r="CM7" s="7">
        <f t="shared" si="5"/>
        <v>58.939630569208823</v>
      </c>
      <c r="CN7" s="7">
        <f t="shared" ref="CN7:CQ10" si="35">AO7/$AW7*1000</f>
        <v>14.899992072300618</v>
      </c>
      <c r="CO7" s="7">
        <f t="shared" si="35"/>
        <v>9.3712541620421774</v>
      </c>
      <c r="CP7" s="7">
        <f t="shared" si="35"/>
        <v>7.6677897574123994</v>
      </c>
      <c r="CQ7" s="7">
        <f t="shared" si="35"/>
        <v>14.897257016013954</v>
      </c>
      <c r="CR7" s="48"/>
      <c r="CS7" s="7">
        <f t="shared" ref="CS7:CU10" si="36">AT7/$AW7*1000</f>
        <v>5.3967417155541453</v>
      </c>
      <c r="CT7" s="7">
        <f t="shared" si="36"/>
        <v>4.5030918027588394</v>
      </c>
      <c r="CU7" s="8">
        <f t="shared" si="36"/>
        <v>11.46238306643412</v>
      </c>
      <c r="CV7" s="7"/>
      <c r="DB7" s="8" t="s">
        <v>223</v>
      </c>
      <c r="DC7" s="7">
        <f t="shared" si="0"/>
        <v>20.229540643536282</v>
      </c>
      <c r="DD7" s="8">
        <v>15.812651409117283</v>
      </c>
      <c r="DE7" s="6">
        <f t="shared" si="1"/>
        <v>1.2793262888140506</v>
      </c>
      <c r="DI7" s="6">
        <f t="shared" si="2"/>
        <v>18.634573345943643</v>
      </c>
    </row>
    <row r="8" spans="1:113" ht="15" customHeight="1" x14ac:dyDescent="0.25">
      <c r="A8" s="1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v>100</v>
      </c>
      <c r="M8" s="281">
        <v>80</v>
      </c>
      <c r="O8" s="6" t="s">
        <v>43</v>
      </c>
      <c r="P8" s="33">
        <v>2.3256387903162534</v>
      </c>
      <c r="Q8" s="33">
        <v>0.73807252886581287</v>
      </c>
      <c r="R8" s="33">
        <v>0.13080641118061087</v>
      </c>
      <c r="S8" s="33">
        <v>0.21875716741747714</v>
      </c>
      <c r="T8" s="33">
        <v>0.3620292467538006</v>
      </c>
      <c r="U8" s="33">
        <v>0.43223938894169484</v>
      </c>
      <c r="V8" s="33">
        <v>0.7236385973170929</v>
      </c>
      <c r="W8" s="33">
        <v>0.28898480527997589</v>
      </c>
      <c r="X8" s="8">
        <v>1.2150920969577483</v>
      </c>
      <c r="Y8" s="282">
        <v>47</v>
      </c>
      <c r="Z8" s="57"/>
      <c r="AA8" t="s">
        <v>164</v>
      </c>
      <c r="AB8" s="32">
        <v>2.7184172601774876</v>
      </c>
      <c r="AC8" s="33">
        <v>1.2769412459343707</v>
      </c>
      <c r="AD8" s="33">
        <v>0.49647061524258762</v>
      </c>
      <c r="AE8" s="33">
        <v>0.31336365341017219</v>
      </c>
      <c r="AF8" s="33">
        <v>0.40442248189305441</v>
      </c>
      <c r="AG8" s="33">
        <v>0.37354547486579565</v>
      </c>
      <c r="AH8" s="33">
        <v>0.41787702807950794</v>
      </c>
      <c r="AI8" s="33">
        <v>0.21675937008017063</v>
      </c>
      <c r="AJ8" s="8">
        <v>0.63019254765055976</v>
      </c>
      <c r="AK8" s="11">
        <v>68</v>
      </c>
      <c r="AL8" s="136"/>
      <c r="AM8" s="6" t="s">
        <v>67</v>
      </c>
      <c r="AN8" s="33">
        <v>2.4284246554557538</v>
      </c>
      <c r="AO8" s="33">
        <v>0.68356460251830253</v>
      </c>
      <c r="AP8" s="33">
        <v>0.3175250467873964</v>
      </c>
      <c r="AQ8" s="33">
        <v>0.30064905836064443</v>
      </c>
      <c r="AR8" s="33">
        <v>0.29195776600953105</v>
      </c>
      <c r="AS8" s="33">
        <v>0.1716965595519124</v>
      </c>
      <c r="AT8" s="33">
        <v>0.76762000641308648</v>
      </c>
      <c r="AU8" s="33">
        <v>0.16062268159270696</v>
      </c>
      <c r="AV8" s="8">
        <v>1.0220184079362489</v>
      </c>
      <c r="AW8" s="149">
        <v>62.14</v>
      </c>
      <c r="AX8" s="246"/>
      <c r="AZ8" s="11"/>
      <c r="BA8" s="8" t="s">
        <v>385</v>
      </c>
      <c r="BB8" s="7">
        <f t="shared" si="7"/>
        <v>32.735967071589741</v>
      </c>
      <c r="BC8" s="7">
        <f t="shared" si="8"/>
        <v>9.8559662590897101</v>
      </c>
      <c r="BD8" s="7">
        <f t="shared" si="9"/>
        <v>4.4838069774079177</v>
      </c>
      <c r="BE8" s="7">
        <f t="shared" si="10"/>
        <v>4.1739774209509024</v>
      </c>
      <c r="BF8" s="7">
        <f t="shared" si="11"/>
        <v>4.1182956007917459</v>
      </c>
      <c r="BG8" s="7">
        <f t="shared" si="12"/>
        <v>9.8716480778284108</v>
      </c>
      <c r="BH8" s="7">
        <f t="shared" si="13"/>
        <v>4.1308524194194742</v>
      </c>
      <c r="BI8" s="7">
        <f t="shared" si="14"/>
        <v>5.2707956417185953</v>
      </c>
      <c r="BJ8" s="8">
        <f t="shared" si="15"/>
        <v>10.027386719722539</v>
      </c>
      <c r="BM8" t="s">
        <v>258</v>
      </c>
      <c r="BN8" s="58" t="s">
        <v>43</v>
      </c>
      <c r="BO8" s="32">
        <f t="shared" si="32"/>
        <v>49.481676389707516</v>
      </c>
      <c r="BP8" s="33">
        <f t="shared" si="16"/>
        <v>15.703670826932189</v>
      </c>
      <c r="BQ8" s="33">
        <f t="shared" si="33"/>
        <v>2.7831151315023588</v>
      </c>
      <c r="BR8" s="33">
        <f t="shared" si="17"/>
        <v>4.6544078173931309</v>
      </c>
      <c r="BS8" s="33">
        <f t="shared" si="18"/>
        <v>7.7027499309319278</v>
      </c>
      <c r="BT8" s="33">
        <f t="shared" si="19"/>
        <v>9.1965827434403167</v>
      </c>
      <c r="BU8" s="33">
        <f t="shared" si="34"/>
        <v>15.396565900363679</v>
      </c>
      <c r="BV8" s="33">
        <f t="shared" si="20"/>
        <v>6.1486128782973593</v>
      </c>
      <c r="BW8" s="8">
        <f t="shared" si="21"/>
        <v>25.853023339526558</v>
      </c>
      <c r="BX8" s="136"/>
      <c r="BY8" s="57"/>
      <c r="BZ8" t="s">
        <v>164</v>
      </c>
      <c r="CA8" s="32">
        <f t="shared" si="22"/>
        <v>39.976724414374814</v>
      </c>
      <c r="CB8" s="33">
        <f t="shared" si="23"/>
        <v>18.778547734328981</v>
      </c>
      <c r="CC8" s="33">
        <f t="shared" si="24"/>
        <v>7.3010384594498179</v>
      </c>
      <c r="CD8" s="33">
        <f t="shared" si="25"/>
        <v>4.6082890207378258</v>
      </c>
      <c r="CE8" s="33">
        <f t="shared" si="26"/>
        <v>5.9473894396037412</v>
      </c>
      <c r="CF8" s="33">
        <f t="shared" si="27"/>
        <v>5.4933158068499361</v>
      </c>
      <c r="CG8" s="33">
        <f t="shared" si="28"/>
        <v>6.1452504129339403</v>
      </c>
      <c r="CH8" s="33">
        <f t="shared" si="29"/>
        <v>3.1876377952966268</v>
      </c>
      <c r="CI8" s="8">
        <f t="shared" si="30"/>
        <v>9.2675374654494078</v>
      </c>
      <c r="CJ8" s="11"/>
      <c r="CL8" s="6" t="s">
        <v>67</v>
      </c>
      <c r="CM8" s="7">
        <f t="shared" si="5"/>
        <v>39.079894680652622</v>
      </c>
      <c r="CN8" s="7">
        <f t="shared" si="35"/>
        <v>11.000395920796629</v>
      </c>
      <c r="CO8" s="7">
        <f t="shared" si="35"/>
        <v>5.1098333889185135</v>
      </c>
      <c r="CP8" s="7">
        <f t="shared" si="35"/>
        <v>4.838253272620606</v>
      </c>
      <c r="CQ8" s="7">
        <f t="shared" si="35"/>
        <v>4.6983869650713075</v>
      </c>
      <c r="CR8" s="7">
        <f>AS8/$AW8*1000</f>
        <v>2.7630601794643126</v>
      </c>
      <c r="CS8" s="7">
        <f t="shared" si="36"/>
        <v>12.353073807741977</v>
      </c>
      <c r="CT8" s="7">
        <f t="shared" si="36"/>
        <v>2.584851650993031</v>
      </c>
      <c r="CU8" s="8">
        <f t="shared" si="36"/>
        <v>16.447029416418555</v>
      </c>
      <c r="CV8" s="7"/>
      <c r="DB8" s="8" t="s">
        <v>228</v>
      </c>
      <c r="DC8" s="7">
        <f t="shared" si="0"/>
        <v>13.41135142581623</v>
      </c>
      <c r="DD8" s="8">
        <v>14.873536299765806</v>
      </c>
      <c r="DE8" s="6">
        <f t="shared" si="1"/>
        <v>0.90169218372280446</v>
      </c>
      <c r="DI8" s="6">
        <f t="shared" si="2"/>
        <v>17.404332552693205</v>
      </c>
    </row>
    <row r="9" spans="1:113" x14ac:dyDescent="0.25">
      <c r="A9" s="1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v>100</v>
      </c>
      <c r="M9" s="281">
        <v>88</v>
      </c>
      <c r="O9" s="6" t="s">
        <v>45</v>
      </c>
      <c r="P9" s="33">
        <v>1.3903019077023142</v>
      </c>
      <c r="Q9" s="48"/>
      <c r="R9" s="33">
        <v>0.10120059473958701</v>
      </c>
      <c r="S9" s="33">
        <v>0.17686463612737638</v>
      </c>
      <c r="T9" s="33">
        <v>0.67031270351543593</v>
      </c>
      <c r="U9" s="33">
        <v>0.40894855311630218</v>
      </c>
      <c r="V9" s="33">
        <v>0.45790250413916539</v>
      </c>
      <c r="W9" s="33">
        <v>0.45481833248482745</v>
      </c>
      <c r="X9" s="8">
        <v>1.0848864753723544</v>
      </c>
      <c r="Y9" s="282">
        <v>68</v>
      </c>
      <c r="Z9" s="57"/>
      <c r="AA9" t="s">
        <v>166</v>
      </c>
      <c r="AB9" s="32">
        <v>2.053518113262669</v>
      </c>
      <c r="AC9" s="48"/>
      <c r="AD9" s="33">
        <v>0.32360002592948922</v>
      </c>
      <c r="AE9" s="48"/>
      <c r="AF9" s="33">
        <v>0.47508208934952634</v>
      </c>
      <c r="AG9" s="33">
        <v>0.72312313486563573</v>
      </c>
      <c r="AH9" s="33">
        <v>0.58236927743343558</v>
      </c>
      <c r="AI9" s="33">
        <v>0.37598977371712933</v>
      </c>
      <c r="AJ9" s="8">
        <v>0.97390264213963473</v>
      </c>
      <c r="AK9" s="11">
        <v>79</v>
      </c>
      <c r="AL9" s="68"/>
      <c r="AM9" s="6" t="s">
        <v>70</v>
      </c>
      <c r="AN9" s="7">
        <v>4.1026685393258431</v>
      </c>
      <c r="AO9" s="7">
        <v>2.5060280898876401</v>
      </c>
      <c r="AP9" s="7">
        <v>0.39976685393258427</v>
      </c>
      <c r="AQ9" s="7">
        <v>0.51550280898876411</v>
      </c>
      <c r="AR9" s="7">
        <v>0.58700561797752815</v>
      </c>
      <c r="AS9" s="7">
        <v>0.28283426966292136</v>
      </c>
      <c r="AT9" s="7">
        <v>0.83579494382022479</v>
      </c>
      <c r="AU9" s="7">
        <v>0.26701685393258429</v>
      </c>
      <c r="AV9" s="8">
        <v>1.1938061797752808</v>
      </c>
      <c r="AW9" s="149">
        <v>54.43</v>
      </c>
      <c r="AX9" s="246"/>
      <c r="AZ9" s="11"/>
      <c r="BA9" s="8" t="s">
        <v>223</v>
      </c>
      <c r="BB9" s="7">
        <f t="shared" si="7"/>
        <v>45.717012987262919</v>
      </c>
      <c r="BC9" s="7">
        <f t="shared" si="8"/>
        <v>9.7633973223587933</v>
      </c>
      <c r="BD9" s="7">
        <f t="shared" si="9"/>
        <v>6.033858190919422</v>
      </c>
      <c r="BE9" s="7">
        <f t="shared" si="10"/>
        <v>5.2174758180504703</v>
      </c>
      <c r="BF9" s="7">
        <f t="shared" si="11"/>
        <v>6.5783797017643364</v>
      </c>
      <c r="BG9" s="7">
        <f t="shared" si="12"/>
        <v>13.651160941771947</v>
      </c>
      <c r="BH9" s="7">
        <f t="shared" si="13"/>
        <v>7.4736077230212361</v>
      </c>
      <c r="BI9" s="7">
        <f t="shared" si="14"/>
        <v>6.0648499292967646</v>
      </c>
      <c r="BJ9" s="8">
        <f t="shared" si="15"/>
        <v>15.812651409117283</v>
      </c>
      <c r="BM9" t="s">
        <v>258</v>
      </c>
      <c r="BN9" s="58" t="s">
        <v>45</v>
      </c>
      <c r="BO9" s="32">
        <f t="shared" si="32"/>
        <v>20.445616289739917</v>
      </c>
      <c r="BP9" s="48"/>
      <c r="BQ9" s="33">
        <f t="shared" si="33"/>
        <v>1.4882440402880444</v>
      </c>
      <c r="BR9" s="33">
        <f t="shared" si="17"/>
        <v>2.6009505312849468</v>
      </c>
      <c r="BS9" s="33">
        <f t="shared" si="18"/>
        <v>9.8575397575799393</v>
      </c>
      <c r="BT9" s="33">
        <f t="shared" si="19"/>
        <v>6.0139493105338557</v>
      </c>
      <c r="BU9" s="33">
        <f t="shared" si="34"/>
        <v>6.7338603549877263</v>
      </c>
      <c r="BV9" s="33">
        <f t="shared" si="20"/>
        <v>6.6885048894827559</v>
      </c>
      <c r="BW9" s="8">
        <f t="shared" si="21"/>
        <v>15.954212873122858</v>
      </c>
      <c r="BX9" s="136"/>
      <c r="BY9" s="57"/>
      <c r="BZ9" t="s">
        <v>166</v>
      </c>
      <c r="CA9" s="32">
        <f t="shared" si="22"/>
        <v>25.993900167881886</v>
      </c>
      <c r="CB9" s="48"/>
      <c r="CC9" s="33">
        <f t="shared" si="24"/>
        <v>4.0962028598669518</v>
      </c>
      <c r="CD9" s="48"/>
      <c r="CE9" s="33">
        <f t="shared" si="26"/>
        <v>6.0136973335383086</v>
      </c>
      <c r="CF9" s="33">
        <f t="shared" si="27"/>
        <v>9.1534574033624772</v>
      </c>
      <c r="CG9" s="33">
        <f t="shared" si="28"/>
        <v>7.3717630054865264</v>
      </c>
      <c r="CH9" s="33">
        <f t="shared" si="29"/>
        <v>4.7593642242674603</v>
      </c>
      <c r="CI9" s="8">
        <f t="shared" si="30"/>
        <v>12.327881546071326</v>
      </c>
      <c r="CJ9" s="11"/>
      <c r="CL9" s="6" t="s">
        <v>70</v>
      </c>
      <c r="CM9" s="32">
        <f t="shared" si="5"/>
        <v>75.375133921106794</v>
      </c>
      <c r="CN9" s="33">
        <f t="shared" si="35"/>
        <v>46.04130240469668</v>
      </c>
      <c r="CO9" s="33">
        <f t="shared" si="35"/>
        <v>7.3446050694944747</v>
      </c>
      <c r="CP9" s="33">
        <f t="shared" si="35"/>
        <v>9.4709316367584808</v>
      </c>
      <c r="CQ9" s="33">
        <f t="shared" si="35"/>
        <v>10.78459706003175</v>
      </c>
      <c r="CR9" s="33">
        <f>AS9/$AW9*1000</f>
        <v>5.1962937656241293</v>
      </c>
      <c r="CS9" s="33">
        <f t="shared" si="36"/>
        <v>15.355409586996597</v>
      </c>
      <c r="CT9" s="33">
        <f t="shared" si="36"/>
        <v>4.9056927049896064</v>
      </c>
      <c r="CU9" s="8">
        <f t="shared" si="36"/>
        <v>21.932871206600787</v>
      </c>
      <c r="CV9" s="7"/>
      <c r="DB9" s="8" t="s">
        <v>229</v>
      </c>
      <c r="DC9" s="7">
        <f t="shared" si="0"/>
        <v>11.872931522402556</v>
      </c>
      <c r="DD9" s="8"/>
      <c r="DE9" s="6"/>
      <c r="DI9" s="6"/>
    </row>
    <row r="10" spans="1:113" ht="15" customHeight="1" thickBot="1" x14ac:dyDescent="0.3">
      <c r="A10" s="1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v>125</v>
      </c>
      <c r="M10" s="281">
        <v>102</v>
      </c>
      <c r="O10" s="278" t="s">
        <v>48</v>
      </c>
      <c r="P10" s="15">
        <v>3.6701086150013142</v>
      </c>
      <c r="Q10" s="15">
        <v>1.6415909939238003</v>
      </c>
      <c r="R10" s="15">
        <v>0.62303712283968904</v>
      </c>
      <c r="S10" s="51"/>
      <c r="T10" s="15">
        <v>0.87218598476279652</v>
      </c>
      <c r="U10" s="15">
        <v>1.2592540130867274</v>
      </c>
      <c r="V10" s="15">
        <v>1.2286053094420999</v>
      </c>
      <c r="W10" s="15">
        <v>0.53097906931271788</v>
      </c>
      <c r="X10" s="16">
        <v>1.6642151811585886</v>
      </c>
      <c r="Y10" s="282">
        <v>95</v>
      </c>
      <c r="Z10" s="57"/>
      <c r="AA10" s="175" t="s">
        <v>169</v>
      </c>
      <c r="AB10" s="32">
        <v>3.5578552293679495</v>
      </c>
      <c r="AC10" s="33">
        <v>1.4328364310522657</v>
      </c>
      <c r="AD10" s="33">
        <v>0.48117608486713553</v>
      </c>
      <c r="AE10" s="33">
        <v>0.52862891350141139</v>
      </c>
      <c r="AF10" s="33">
        <v>0.78462261580769732</v>
      </c>
      <c r="AG10" s="33">
        <v>0.20174842106432062</v>
      </c>
      <c r="AH10" s="33">
        <v>0.74935846601944234</v>
      </c>
      <c r="AI10" s="33">
        <v>0.21649055894619498</v>
      </c>
      <c r="AJ10" s="8">
        <v>1.0001005961707088</v>
      </c>
      <c r="AK10" s="11">
        <v>86</v>
      </c>
      <c r="AL10" s="68"/>
      <c r="AM10" s="14" t="s">
        <v>449</v>
      </c>
      <c r="AN10" s="297">
        <v>4.3722207224894474</v>
      </c>
      <c r="AO10" s="298">
        <v>1.2974869932266613</v>
      </c>
      <c r="AP10" s="298">
        <v>0.61833709629920486</v>
      </c>
      <c r="AQ10" s="298">
        <v>0.62595710218906442</v>
      </c>
      <c r="AR10" s="298">
        <v>0.8218685579660352</v>
      </c>
      <c r="AS10" s="298"/>
      <c r="AT10" s="298">
        <v>0.46405958574653966</v>
      </c>
      <c r="AU10" s="298">
        <v>0.4355551192696574</v>
      </c>
      <c r="AV10" s="299">
        <v>0.87934377147344656</v>
      </c>
      <c r="AW10" s="26">
        <v>99</v>
      </c>
      <c r="AX10" s="246"/>
      <c r="AZ10" s="11"/>
      <c r="BA10" s="8" t="s">
        <v>228</v>
      </c>
      <c r="BB10" s="7">
        <f t="shared" si="7"/>
        <v>42.617853698856592</v>
      </c>
      <c r="BC10" s="7">
        <f t="shared" si="8"/>
        <v>16.739013638242181</v>
      </c>
      <c r="BD10" s="7">
        <f t="shared" si="9"/>
        <v>3.6352803416448549</v>
      </c>
      <c r="BE10" s="7">
        <f t="shared" si="10"/>
        <v>3.7890894062543055</v>
      </c>
      <c r="BF10" s="7">
        <f t="shared" si="11"/>
        <v>6.609174817467971</v>
      </c>
      <c r="BG10" s="7">
        <f t="shared" si="12"/>
        <v>6.8021766083482591</v>
      </c>
      <c r="BH10" s="7">
        <f t="shared" si="13"/>
        <v>9.057377049180328</v>
      </c>
      <c r="BI10" s="7">
        <f t="shared" si="14"/>
        <v>5.4181016668962663</v>
      </c>
      <c r="BJ10" s="8">
        <f t="shared" si="15"/>
        <v>14.873536299765806</v>
      </c>
      <c r="BN10" s="110" t="s">
        <v>48</v>
      </c>
      <c r="BO10" s="24">
        <f t="shared" si="32"/>
        <v>38.632722263171729</v>
      </c>
      <c r="BP10" s="15">
        <f t="shared" si="16"/>
        <v>17.279905199197895</v>
      </c>
      <c r="BQ10" s="15">
        <f t="shared" si="33"/>
        <v>6.5582855035756742</v>
      </c>
      <c r="BR10" s="172"/>
      <c r="BS10" s="15">
        <f t="shared" si="18"/>
        <v>9.18090510276628</v>
      </c>
      <c r="BT10" s="15">
        <f>U10/$Y10*1000</f>
        <v>13.255305400912919</v>
      </c>
      <c r="BU10" s="15">
        <f t="shared" si="34"/>
        <v>12.932687467811578</v>
      </c>
      <c r="BV10" s="15">
        <f t="shared" si="20"/>
        <v>5.5892533611865041</v>
      </c>
      <c r="BW10" s="16">
        <f t="shared" si="21"/>
        <v>17.518054538511461</v>
      </c>
      <c r="BX10" s="136"/>
      <c r="BY10" s="57" t="s">
        <v>258</v>
      </c>
      <c r="BZ10" t="s">
        <v>169</v>
      </c>
      <c r="CA10" s="32">
        <f t="shared" si="22"/>
        <v>41.370409643813367</v>
      </c>
      <c r="CB10" s="33">
        <f t="shared" si="23"/>
        <v>16.66088873316588</v>
      </c>
      <c r="CC10" s="33">
        <f t="shared" si="24"/>
        <v>5.5950707542690177</v>
      </c>
      <c r="CD10" s="33">
        <f t="shared" si="25"/>
        <v>6.1468478314117601</v>
      </c>
      <c r="CE10" s="33">
        <f t="shared" si="26"/>
        <v>9.1235187884615971</v>
      </c>
      <c r="CF10" s="33">
        <f t="shared" si="27"/>
        <v>2.3459118728409374</v>
      </c>
      <c r="CG10" s="33">
        <f t="shared" si="28"/>
        <v>8.7134705351097939</v>
      </c>
      <c r="CH10" s="33">
        <f t="shared" si="29"/>
        <v>2.5173320807697093</v>
      </c>
      <c r="CI10" s="8">
        <f t="shared" si="30"/>
        <v>11.629076699659404</v>
      </c>
      <c r="CJ10" s="11"/>
      <c r="CL10" s="14" t="s">
        <v>449</v>
      </c>
      <c r="CM10" s="15">
        <f t="shared" si="5"/>
        <v>44.163845681711592</v>
      </c>
      <c r="CN10" s="15">
        <f t="shared" si="35"/>
        <v>13.105929224511732</v>
      </c>
      <c r="CO10" s="15">
        <f t="shared" si="35"/>
        <v>6.2458292555475241</v>
      </c>
      <c r="CP10" s="15">
        <f t="shared" si="35"/>
        <v>6.3227990120107513</v>
      </c>
      <c r="CQ10" s="15">
        <f t="shared" si="35"/>
        <v>8.3017026057175283</v>
      </c>
      <c r="CR10" s="51"/>
      <c r="CS10" s="15">
        <f t="shared" si="36"/>
        <v>4.68747056309636</v>
      </c>
      <c r="CT10" s="15">
        <f t="shared" si="36"/>
        <v>4.3995466592894683</v>
      </c>
      <c r="CU10" s="16">
        <f t="shared" si="36"/>
        <v>8.8822603179136017</v>
      </c>
      <c r="CV10" s="7"/>
      <c r="DB10" s="11" t="s">
        <v>284</v>
      </c>
      <c r="DC10" s="7"/>
      <c r="DD10" s="8"/>
      <c r="DE10" s="6"/>
      <c r="DI10" s="6"/>
    </row>
    <row r="11" spans="1:113" ht="15" customHeight="1" x14ac:dyDescent="0.25">
      <c r="A11" s="11"/>
      <c r="B11" s="8" t="s">
        <v>229</v>
      </c>
      <c r="C11" s="7">
        <v>3.9940957349645716</v>
      </c>
      <c r="D11" s="7">
        <v>1.21434132951901</v>
      </c>
      <c r="E11" s="7">
        <v>0.21439565661796212</v>
      </c>
      <c r="F11" s="7">
        <v>0.20505652598959559</v>
      </c>
      <c r="G11" s="7">
        <v>0.23687609186655115</v>
      </c>
      <c r="H11" s="7">
        <v>0.86730653971688665</v>
      </c>
      <c r="I11" s="48"/>
      <c r="J11" s="48"/>
      <c r="K11" s="91"/>
      <c r="L11">
        <v>100</v>
      </c>
      <c r="M11" s="281">
        <v>93</v>
      </c>
      <c r="O11" t="s">
        <v>261</v>
      </c>
      <c r="P11" s="7">
        <f t="shared" ref="P11:X11" si="37">AVERAGE(P5:P10)</f>
        <v>2.4187533650387891</v>
      </c>
      <c r="Q11" s="7">
        <f t="shared" si="37"/>
        <v>1.2286110256544986</v>
      </c>
      <c r="R11" s="7">
        <f t="shared" si="37"/>
        <v>0.3839032625621473</v>
      </c>
      <c r="S11" s="7">
        <f t="shared" si="37"/>
        <v>0.30542506067550979</v>
      </c>
      <c r="T11" s="7">
        <f t="shared" si="37"/>
        <v>0.48072544281263235</v>
      </c>
      <c r="U11" s="7">
        <f t="shared" si="37"/>
        <v>0.51066865891946589</v>
      </c>
      <c r="V11" s="7">
        <f t="shared" si="37"/>
        <v>0.66554761167929211</v>
      </c>
      <c r="W11" s="7">
        <f t="shared" si="37"/>
        <v>0.32313616052678401</v>
      </c>
      <c r="X11" s="7">
        <f t="shared" si="37"/>
        <v>1.081846924497387</v>
      </c>
      <c r="Y11" s="142"/>
      <c r="Z11" s="57"/>
      <c r="AA11" s="175" t="s">
        <v>171</v>
      </c>
      <c r="AB11" s="32">
        <v>4.2205166666666667</v>
      </c>
      <c r="AC11" s="33">
        <v>1.7646833333333334</v>
      </c>
      <c r="AD11" s="33">
        <v>0.36100833333333326</v>
      </c>
      <c r="AE11" s="33">
        <v>0.16195833333333332</v>
      </c>
      <c r="AF11" s="33">
        <v>0.65074166666666666</v>
      </c>
      <c r="AG11" s="33">
        <v>0.55703333333333327</v>
      </c>
      <c r="AH11" s="33">
        <v>0.24007499999999998</v>
      </c>
      <c r="AI11" s="33">
        <v>0.20473333333333332</v>
      </c>
      <c r="AJ11" s="8">
        <v>0.63325833333333337</v>
      </c>
      <c r="AK11" s="11">
        <v>81</v>
      </c>
      <c r="AL11" s="136"/>
      <c r="AM11" s="242" t="s">
        <v>261</v>
      </c>
      <c r="AN11" s="243">
        <f>AVERAGE(AN5:AN10)</f>
        <v>3.0900488329404605</v>
      </c>
      <c r="AO11" s="243">
        <f t="shared" ref="AO11:AV11" si="38">AVERAGE(AO5:AO10)</f>
        <v>0.99332075859623126</v>
      </c>
      <c r="AP11" s="243">
        <f t="shared" si="38"/>
        <v>0.38000825671089039</v>
      </c>
      <c r="AQ11" s="243">
        <f t="shared" si="38"/>
        <v>0.39934248734068295</v>
      </c>
      <c r="AR11" s="243">
        <f t="shared" si="38"/>
        <v>0.50612282353141802</v>
      </c>
      <c r="AS11" s="243">
        <f t="shared" si="38"/>
        <v>0.54812030239436693</v>
      </c>
      <c r="AT11" s="243">
        <f t="shared" si="38"/>
        <v>0.48666341853272493</v>
      </c>
      <c r="AU11" s="243">
        <f t="shared" si="38"/>
        <v>0.31782468027572242</v>
      </c>
      <c r="AV11" s="243">
        <f t="shared" si="38"/>
        <v>0.90962248939128898</v>
      </c>
      <c r="AX11" s="246"/>
      <c r="AZ11" s="11"/>
      <c r="BA11" s="8" t="s">
        <v>229</v>
      </c>
      <c r="BB11" s="7">
        <f t="shared" si="7"/>
        <v>42.947265967360991</v>
      </c>
      <c r="BC11" s="7">
        <f t="shared" si="8"/>
        <v>13.057433650742041</v>
      </c>
      <c r="BD11" s="7">
        <f t="shared" si="9"/>
        <v>2.3053296410533561</v>
      </c>
      <c r="BE11" s="7">
        <f t="shared" si="10"/>
        <v>2.2049088816085547</v>
      </c>
      <c r="BF11" s="7">
        <f t="shared" si="11"/>
        <v>2.547054751253238</v>
      </c>
      <c r="BG11" s="7">
        <f t="shared" si="12"/>
        <v>9.3258767711493178</v>
      </c>
      <c r="BH11" s="48"/>
      <c r="BI11" s="48"/>
      <c r="BJ11" s="288"/>
      <c r="BK11" s="58"/>
      <c r="BN11" t="s">
        <v>261</v>
      </c>
      <c r="BO11" s="7">
        <f t="shared" ref="BO11:BW11" si="39">AVERAGE(BO5:BO10)</f>
        <v>36.460675171242983</v>
      </c>
      <c r="BP11" s="7">
        <f t="shared" si="39"/>
        <v>19.058990584386969</v>
      </c>
      <c r="BQ11" s="7">
        <f t="shared" si="39"/>
        <v>3.3046876233617972</v>
      </c>
      <c r="BR11" s="31">
        <f t="shared" si="39"/>
        <v>6.0125362831583429</v>
      </c>
      <c r="BS11" s="7">
        <f t="shared" si="39"/>
        <v>7.5901973006921715</v>
      </c>
      <c r="BT11" s="7">
        <f t="shared" si="39"/>
        <v>7.7891200204891744</v>
      </c>
      <c r="BU11" s="7">
        <f t="shared" si="39"/>
        <v>10.696825112479431</v>
      </c>
      <c r="BV11" s="7">
        <f t="shared" si="39"/>
        <v>5.2057386519833218</v>
      </c>
      <c r="BW11" s="7">
        <f t="shared" si="39"/>
        <v>17.74253266423835</v>
      </c>
      <c r="BX11" s="136"/>
      <c r="BY11" s="57" t="s">
        <v>258</v>
      </c>
      <c r="BZ11" t="s">
        <v>171</v>
      </c>
      <c r="CA11" s="32">
        <f t="shared" si="22"/>
        <v>52.105144032921807</v>
      </c>
      <c r="CB11" s="33">
        <f t="shared" si="23"/>
        <v>21.786213991769547</v>
      </c>
      <c r="CC11" s="33">
        <f t="shared" si="24"/>
        <v>4.4568930041152255</v>
      </c>
      <c r="CD11" s="33">
        <f t="shared" si="25"/>
        <v>1.9994855967078187</v>
      </c>
      <c r="CE11" s="33">
        <f t="shared" si="26"/>
        <v>8.0338477366255141</v>
      </c>
      <c r="CF11" s="33">
        <f t="shared" si="27"/>
        <v>6.8769547325102867</v>
      </c>
      <c r="CG11" s="33">
        <f t="shared" si="28"/>
        <v>2.9638888888888886</v>
      </c>
      <c r="CH11" s="33">
        <f t="shared" si="29"/>
        <v>2.5275720164609052</v>
      </c>
      <c r="CI11" s="8">
        <f t="shared" si="30"/>
        <v>7.8180041152263371</v>
      </c>
      <c r="CJ11" s="11"/>
      <c r="CL11" s="140" t="s">
        <v>261</v>
      </c>
      <c r="CM11" s="141">
        <f t="shared" ref="CM11:CU11" si="40">AVERAGE(CM5:CM10)</f>
        <v>45.872192097379944</v>
      </c>
      <c r="CN11" s="141">
        <f t="shared" si="40"/>
        <v>15.8012989994099</v>
      </c>
      <c r="CO11" s="141">
        <f t="shared" si="40"/>
        <v>5.6652788952584672</v>
      </c>
      <c r="CP11" s="141">
        <f t="shared" si="40"/>
        <v>5.937271412518669</v>
      </c>
      <c r="CQ11" s="141">
        <f t="shared" si="40"/>
        <v>7.693077739910926</v>
      </c>
      <c r="CR11" s="141">
        <f t="shared" si="40"/>
        <v>7.4281687950609046</v>
      </c>
      <c r="CS11" s="141">
        <f t="shared" si="40"/>
        <v>7.5856409779317948</v>
      </c>
      <c r="CT11" s="141">
        <f t="shared" si="40"/>
        <v>4.3944981067681921</v>
      </c>
      <c r="CU11" s="141">
        <f t="shared" si="40"/>
        <v>13.626697546946589</v>
      </c>
      <c r="CV11" s="144"/>
      <c r="DB11" s="8" t="s">
        <v>232</v>
      </c>
      <c r="DC11" s="7">
        <f t="shared" ref="DC11:DC23" si="41">BF12+BG12</f>
        <v>9.1139265402803211</v>
      </c>
      <c r="DD11" s="8">
        <v>11.755669481577433</v>
      </c>
      <c r="DE11" s="6">
        <f t="shared" ref="DE11:DE23" si="42">DC11/DD11</f>
        <v>0.77527924331004328</v>
      </c>
      <c r="DI11" s="6">
        <f t="shared" ref="DI11:DI23" si="43">(BJ12*1.31)-2.08</f>
        <v>13.319927020866437</v>
      </c>
    </row>
    <row r="12" spans="1:113" ht="15.75" x14ac:dyDescent="0.25">
      <c r="A12" s="1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v>60</v>
      </c>
      <c r="M12" s="281">
        <v>96</v>
      </c>
      <c r="O12" s="308" t="s">
        <v>263</v>
      </c>
      <c r="P12" s="309">
        <f>_xlfn.STDEV.S(P5:P10)</f>
        <v>0.86661530689167099</v>
      </c>
      <c r="Q12" s="309">
        <f t="shared" ref="Q12:X12" si="44">_xlfn.STDEV.S(Q5:Q10)</f>
        <v>0.55414813195549328</v>
      </c>
      <c r="R12" s="309">
        <f t="shared" si="44"/>
        <v>0.39368328623812776</v>
      </c>
      <c r="S12" s="309">
        <f t="shared" si="44"/>
        <v>0.27439660509271635</v>
      </c>
      <c r="T12" s="309">
        <f t="shared" si="44"/>
        <v>0.26208975415987573</v>
      </c>
      <c r="U12" s="309">
        <f t="shared" si="44"/>
        <v>0.37585627336152</v>
      </c>
      <c r="V12" s="309">
        <f t="shared" si="44"/>
        <v>0.29173015401610697</v>
      </c>
      <c r="W12" s="309">
        <f t="shared" si="44"/>
        <v>0.14616781808074927</v>
      </c>
      <c r="X12" s="309">
        <f t="shared" si="44"/>
        <v>0.3437379972770559</v>
      </c>
      <c r="Y12" s="142"/>
      <c r="Z12" s="57"/>
      <c r="AA12" t="s">
        <v>173</v>
      </c>
      <c r="AB12" s="32">
        <v>3.1495527690903944</v>
      </c>
      <c r="AC12" s="33">
        <v>1.0626922687129596</v>
      </c>
      <c r="AD12" s="33">
        <v>0.58331969014240748</v>
      </c>
      <c r="AE12" s="33">
        <v>0.52446632691652217</v>
      </c>
      <c r="AF12" s="33">
        <v>0.27247354769803034</v>
      </c>
      <c r="AG12" s="33">
        <v>0.59268026672214025</v>
      </c>
      <c r="AH12" s="33">
        <v>0.13162499517202048</v>
      </c>
      <c r="AI12" s="33">
        <v>0.7256105503078214</v>
      </c>
      <c r="AJ12" s="8">
        <v>0.84191102681117314</v>
      </c>
      <c r="AK12" s="11">
        <v>54</v>
      </c>
      <c r="AL12" s="136"/>
      <c r="AM12" s="308" t="s">
        <v>263</v>
      </c>
      <c r="AN12" s="309">
        <f>_xlfn.STDEV.S(AN5:AN10)</f>
        <v>0.99399415415258785</v>
      </c>
      <c r="AO12" s="309">
        <f t="shared" ref="AO12:AV12" si="45">_xlfn.STDEV.S(AO5:AO10)</f>
        <v>0.82480956392735794</v>
      </c>
      <c r="AP12" s="309">
        <f t="shared" si="45"/>
        <v>0.1572192344248666</v>
      </c>
      <c r="AQ12" s="309">
        <f t="shared" si="45"/>
        <v>0.1457814692585167</v>
      </c>
      <c r="AR12" s="309">
        <f t="shared" si="45"/>
        <v>0.26234013011312735</v>
      </c>
      <c r="AS12" s="309">
        <f t="shared" si="45"/>
        <v>0.43360292649366622</v>
      </c>
      <c r="AT12" s="309">
        <f t="shared" si="45"/>
        <v>0.25566438871319913</v>
      </c>
      <c r="AU12" s="309">
        <f t="shared" si="45"/>
        <v>0.14424160704304595</v>
      </c>
      <c r="AV12" s="309">
        <f t="shared" si="45"/>
        <v>0.19794543994480243</v>
      </c>
      <c r="AX12" s="246"/>
      <c r="AZ12" s="11"/>
      <c r="BA12" s="8" t="s">
        <v>232</v>
      </c>
      <c r="BB12" s="7">
        <f t="shared" ref="BB12:BJ12" si="46">C12/$M12*1000</f>
        <v>31.246702465983414</v>
      </c>
      <c r="BC12" s="7">
        <f t="shared" si="46"/>
        <v>10.936756548823979</v>
      </c>
      <c r="BD12" s="7">
        <f t="shared" si="46"/>
        <v>3.2190497385957388</v>
      </c>
      <c r="BE12" s="7">
        <f t="shared" si="46"/>
        <v>3.7421013190750694</v>
      </c>
      <c r="BF12" s="7">
        <f t="shared" si="46"/>
        <v>2.6352054949862391</v>
      </c>
      <c r="BG12" s="7">
        <f t="shared" si="46"/>
        <v>6.4787210452940815</v>
      </c>
      <c r="BH12" s="7">
        <f t="shared" si="46"/>
        <v>4.9780698010965185</v>
      </c>
      <c r="BI12" s="7">
        <f t="shared" si="46"/>
        <v>4.8656480747933024</v>
      </c>
      <c r="BJ12" s="8">
        <f t="shared" si="46"/>
        <v>11.755669481577433</v>
      </c>
      <c r="BN12" s="308" t="s">
        <v>263</v>
      </c>
      <c r="BO12" s="309">
        <f>_xlfn.STDEV.S(BO5:BO10)</f>
        <v>10.449057020885476</v>
      </c>
      <c r="BP12" s="309">
        <f t="shared" ref="BP12:BW12" si="47">_xlfn.STDEV.S(BP5:BP10)</f>
        <v>3.8755217526204664</v>
      </c>
      <c r="BQ12" s="309">
        <f t="shared" si="47"/>
        <v>1.910143183326364</v>
      </c>
      <c r="BR12" s="309">
        <f t="shared" si="47"/>
        <v>6.3729641206318446</v>
      </c>
      <c r="BS12" s="309">
        <f t="shared" si="47"/>
        <v>3.1284216096718489</v>
      </c>
      <c r="BT12" s="309">
        <f t="shared" si="47"/>
        <v>3.5130315822929385</v>
      </c>
      <c r="BU12" s="309">
        <f t="shared" si="47"/>
        <v>3.6439907417936865</v>
      </c>
      <c r="BV12" s="309">
        <f t="shared" si="47"/>
        <v>1.8885572645788815</v>
      </c>
      <c r="BW12" s="309">
        <f t="shared" si="47"/>
        <v>5.7118296497582612</v>
      </c>
      <c r="BX12" s="136"/>
      <c r="BY12" s="57"/>
      <c r="BZ12" t="s">
        <v>173</v>
      </c>
      <c r="CA12" s="32">
        <f t="shared" si="22"/>
        <v>58.325051279451749</v>
      </c>
      <c r="CB12" s="33">
        <f t="shared" si="23"/>
        <v>19.679486457647403</v>
      </c>
      <c r="CC12" s="33">
        <f t="shared" si="24"/>
        <v>10.802216484118656</v>
      </c>
      <c r="CD12" s="33">
        <f t="shared" si="25"/>
        <v>9.7123393873430039</v>
      </c>
      <c r="CE12" s="33">
        <f t="shared" si="26"/>
        <v>5.0458064388524138</v>
      </c>
      <c r="CF12" s="33">
        <f t="shared" si="27"/>
        <v>10.975560494854449</v>
      </c>
      <c r="CG12" s="33">
        <f t="shared" si="28"/>
        <v>2.4374999105929716</v>
      </c>
      <c r="CH12" s="33">
        <f t="shared" si="29"/>
        <v>13.437232413107804</v>
      </c>
      <c r="CI12" s="8">
        <f t="shared" si="30"/>
        <v>15.590944940947651</v>
      </c>
      <c r="CJ12" s="11"/>
      <c r="CL12" s="308" t="s">
        <v>263</v>
      </c>
      <c r="CM12" s="309">
        <f>_xlfn.STDEV.S(CM5:CM10)</f>
        <v>18.281573205985598</v>
      </c>
      <c r="CN12" s="309">
        <f t="shared" ref="CN12:CU12" si="48">_xlfn.STDEV.S(CN5:CN10)</f>
        <v>15.477086601788601</v>
      </c>
      <c r="CO12" s="309">
        <f t="shared" si="48"/>
        <v>2.5406093444773301</v>
      </c>
      <c r="CP12" s="309">
        <f t="shared" si="48"/>
        <v>2.3850073250800183</v>
      </c>
      <c r="CQ12" s="309">
        <f t="shared" si="48"/>
        <v>4.5845362885422025</v>
      </c>
      <c r="CR12" s="309">
        <f t="shared" si="48"/>
        <v>4.2543780050745577</v>
      </c>
      <c r="CS12" s="309">
        <f t="shared" si="48"/>
        <v>5.0375412258995</v>
      </c>
      <c r="CT12" s="309">
        <f t="shared" si="48"/>
        <v>1.0849708926881496</v>
      </c>
      <c r="CU12" s="309">
        <f t="shared" si="48"/>
        <v>4.8353555893628242</v>
      </c>
      <c r="CV12" s="136"/>
      <c r="DB12" s="8" t="s">
        <v>285</v>
      </c>
      <c r="DC12" s="7">
        <f t="shared" si="41"/>
        <v>7.3450426759173713</v>
      </c>
      <c r="DD12" s="8">
        <v>16.439709262687025</v>
      </c>
      <c r="DE12" s="6">
        <f t="shared" si="42"/>
        <v>0.44678665288736646</v>
      </c>
      <c r="DI12" s="6">
        <f t="shared" si="43"/>
        <v>19.456019134120005</v>
      </c>
    </row>
    <row r="13" spans="1:113" ht="15" customHeight="1" x14ac:dyDescent="0.25">
      <c r="A13" s="1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v>60</v>
      </c>
      <c r="M13" s="281">
        <v>101</v>
      </c>
      <c r="O13" s="140" t="s">
        <v>455</v>
      </c>
      <c r="P13" s="141">
        <f>MAX(P5:P10)</f>
        <v>3.6701086150013142</v>
      </c>
      <c r="Q13" s="141">
        <f t="shared" ref="Q13:X13" si="49">MAX(Q5:Q10)</f>
        <v>1.9886231149634266</v>
      </c>
      <c r="R13" s="141">
        <f t="shared" si="49"/>
        <v>1.0838798980723405</v>
      </c>
      <c r="S13" s="141">
        <f t="shared" si="49"/>
        <v>0.7948267828359683</v>
      </c>
      <c r="T13" s="141">
        <f t="shared" si="49"/>
        <v>0.87218598476279652</v>
      </c>
      <c r="U13" s="141">
        <f t="shared" si="49"/>
        <v>1.2592540130867274</v>
      </c>
      <c r="V13" s="141">
        <f t="shared" si="49"/>
        <v>1.2286053094420999</v>
      </c>
      <c r="W13" s="141">
        <f t="shared" si="49"/>
        <v>0.53097906931271788</v>
      </c>
      <c r="X13" s="141">
        <f t="shared" si="49"/>
        <v>1.6642151811585886</v>
      </c>
      <c r="Y13" s="142"/>
      <c r="Z13" s="57"/>
      <c r="AA13" t="s">
        <v>174</v>
      </c>
      <c r="AB13" s="32">
        <v>2.68892679704848</v>
      </c>
      <c r="AC13" s="33">
        <v>0.58936561387781039</v>
      </c>
      <c r="AD13" s="33">
        <v>0.41984093864713951</v>
      </c>
      <c r="AE13" s="33">
        <v>0.24937293620392659</v>
      </c>
      <c r="AF13" s="33">
        <v>0.78174952063101233</v>
      </c>
      <c r="AG13" s="48"/>
      <c r="AH13" s="33">
        <v>0.7549140552184056</v>
      </c>
      <c r="AI13" s="33">
        <v>0.25906946243517304</v>
      </c>
      <c r="AJ13" s="8">
        <v>1.0265813235094456</v>
      </c>
      <c r="AK13" s="11">
        <v>52</v>
      </c>
      <c r="AL13" s="136"/>
      <c r="AM13" s="140" t="s">
        <v>455</v>
      </c>
      <c r="AN13" s="141">
        <f>MAX(AN5:AN10)</f>
        <v>4.3722207224894474</v>
      </c>
      <c r="AO13" s="141">
        <f t="shared" ref="AO13:AV13" si="50">MAX(AO5:AO10)</f>
        <v>2.5060280898876401</v>
      </c>
      <c r="AP13" s="141">
        <f t="shared" si="50"/>
        <v>0.61833709629920486</v>
      </c>
      <c r="AQ13" s="141">
        <f t="shared" si="50"/>
        <v>0.62595710218906442</v>
      </c>
      <c r="AR13" s="141">
        <f t="shared" si="50"/>
        <v>0.8218685579660352</v>
      </c>
      <c r="AS13" s="141">
        <f t="shared" si="50"/>
        <v>1.1392225418983601</v>
      </c>
      <c r="AT13" s="141">
        <f t="shared" si="50"/>
        <v>0.83579494382022479</v>
      </c>
      <c r="AU13" s="141">
        <f t="shared" si="50"/>
        <v>0.5478933629212952</v>
      </c>
      <c r="AV13" s="141">
        <f t="shared" si="50"/>
        <v>1.1938061797752808</v>
      </c>
      <c r="AX13" s="246"/>
      <c r="AZ13" s="11"/>
      <c r="BA13" s="8" t="s">
        <v>285</v>
      </c>
      <c r="BB13" s="7">
        <f t="shared" ref="BB13:BB24" si="51">C13/$M13*1000</f>
        <v>33.189415281686706</v>
      </c>
      <c r="BC13" s="48"/>
      <c r="BD13" s="7">
        <f t="shared" ref="BD13:BJ16" si="52">E13/$M13*1000</f>
        <v>3.848769290482517</v>
      </c>
      <c r="BE13" s="7">
        <f t="shared" si="52"/>
        <v>2.6954442304459909</v>
      </c>
      <c r="BF13" s="7">
        <f t="shared" si="52"/>
        <v>2.8325707838970269</v>
      </c>
      <c r="BG13" s="7">
        <f t="shared" si="52"/>
        <v>4.5124718920203444</v>
      </c>
      <c r="BH13" s="7">
        <f t="shared" si="52"/>
        <v>7.1089026846068366</v>
      </c>
      <c r="BI13" s="7">
        <f t="shared" si="52"/>
        <v>7.2287875905283698</v>
      </c>
      <c r="BJ13" s="8">
        <f t="shared" si="52"/>
        <v>16.439709262687025</v>
      </c>
      <c r="BN13" s="140" t="s">
        <v>455</v>
      </c>
      <c r="BO13" s="141">
        <f>MAX(BO5:BO10)</f>
        <v>49.481676389707516</v>
      </c>
      <c r="BP13" s="141">
        <f t="shared" ref="BP13:BW13" si="53">MAX(BP5:BP10)</f>
        <v>25.17244449320793</v>
      </c>
      <c r="BQ13" s="141">
        <f t="shared" si="53"/>
        <v>6.5582855035756742</v>
      </c>
      <c r="BR13" s="141">
        <f t="shared" si="53"/>
        <v>17.278843105129749</v>
      </c>
      <c r="BS13" s="141">
        <f t="shared" si="53"/>
        <v>10.660133333333333</v>
      </c>
      <c r="BT13" s="141">
        <f t="shared" si="53"/>
        <v>13.255305400912919</v>
      </c>
      <c r="BU13" s="141">
        <f t="shared" si="53"/>
        <v>15.396565900363679</v>
      </c>
      <c r="BV13" s="141">
        <f t="shared" si="53"/>
        <v>6.6885048894827559</v>
      </c>
      <c r="BW13" s="141">
        <f t="shared" si="53"/>
        <v>25.853023339526558</v>
      </c>
      <c r="BX13" s="136"/>
      <c r="BY13" s="57"/>
      <c r="BZ13" s="323" t="s">
        <v>174</v>
      </c>
      <c r="CA13" s="32">
        <f t="shared" si="22"/>
        <v>51.710130712470772</v>
      </c>
      <c r="CB13" s="33">
        <f t="shared" si="23"/>
        <v>11.333954113034814</v>
      </c>
      <c r="CC13" s="33">
        <f t="shared" si="24"/>
        <v>8.0738642047526827</v>
      </c>
      <c r="CD13" s="33">
        <f t="shared" si="25"/>
        <v>4.7956333885370492</v>
      </c>
      <c r="CE13" s="33">
        <f t="shared" si="26"/>
        <v>15.033644627519468</v>
      </c>
      <c r="CF13" s="48"/>
      <c r="CG13" s="33">
        <f t="shared" si="28"/>
        <v>14.517577984969339</v>
      </c>
      <c r="CH13" s="33">
        <f t="shared" si="29"/>
        <v>4.9821050468302506</v>
      </c>
      <c r="CI13" s="8">
        <f t="shared" si="30"/>
        <v>19.741948529027798</v>
      </c>
      <c r="CJ13" s="11"/>
      <c r="CL13" s="140" t="s">
        <v>455</v>
      </c>
      <c r="CM13" s="141">
        <f>MAX(CM5:CM10)</f>
        <v>75.375133921106794</v>
      </c>
      <c r="CN13" s="141">
        <f t="shared" ref="CN13:CU13" si="54">MAX(CN5:CN10)</f>
        <v>46.04130240469668</v>
      </c>
      <c r="CO13" s="141">
        <f t="shared" si="54"/>
        <v>9.3712541620421774</v>
      </c>
      <c r="CP13" s="141">
        <f t="shared" si="54"/>
        <v>9.4709316367584808</v>
      </c>
      <c r="CQ13" s="141">
        <f t="shared" si="54"/>
        <v>14.897257016013954</v>
      </c>
      <c r="CR13" s="141">
        <f t="shared" si="54"/>
        <v>12.249704751595271</v>
      </c>
      <c r="CS13" s="141">
        <f t="shared" si="54"/>
        <v>15.355409586996597</v>
      </c>
      <c r="CT13" s="141">
        <f t="shared" si="54"/>
        <v>5.8913264830246801</v>
      </c>
      <c r="CU13" s="141">
        <f t="shared" si="54"/>
        <v>21.932871206600787</v>
      </c>
      <c r="CV13" s="136"/>
      <c r="DB13" s="8" t="s">
        <v>234</v>
      </c>
      <c r="DC13" s="7">
        <f t="shared" si="41"/>
        <v>40.824657130449381</v>
      </c>
      <c r="DD13" s="8">
        <v>21.965709990404584</v>
      </c>
      <c r="DE13" s="6">
        <f t="shared" si="42"/>
        <v>1.8585630579791441</v>
      </c>
      <c r="DI13" s="6">
        <f t="shared" si="43"/>
        <v>26.695080087430007</v>
      </c>
    </row>
    <row r="14" spans="1:113" ht="15.75" x14ac:dyDescent="0.25">
      <c r="A14" s="1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v>120</v>
      </c>
      <c r="M14" s="281">
        <v>49</v>
      </c>
      <c r="O14" s="140" t="s">
        <v>456</v>
      </c>
      <c r="P14" s="141">
        <f>MIN(P5:P10)</f>
        <v>1.3903019077023142</v>
      </c>
      <c r="Q14" s="141">
        <f t="shared" ref="Q14:X14" si="55">MIN(Q5:Q10)</f>
        <v>0.73807252886581287</v>
      </c>
      <c r="R14" s="141">
        <f t="shared" si="55"/>
        <v>0.10120059473958701</v>
      </c>
      <c r="S14" s="141">
        <f t="shared" si="55"/>
        <v>0.16413671699672708</v>
      </c>
      <c r="T14" s="141">
        <f t="shared" si="55"/>
        <v>0.17328457028898378</v>
      </c>
      <c r="U14" s="141">
        <f t="shared" si="55"/>
        <v>0.21404450471840292</v>
      </c>
      <c r="V14" s="141">
        <f t="shared" si="55"/>
        <v>0.45790250413916539</v>
      </c>
      <c r="W14" s="141">
        <f t="shared" si="55"/>
        <v>0.13634975491086282</v>
      </c>
      <c r="X14" s="141">
        <f t="shared" si="55"/>
        <v>0.66465497570163012</v>
      </c>
      <c r="Y14" s="142"/>
      <c r="Z14" s="57"/>
      <c r="AA14" t="s">
        <v>177</v>
      </c>
      <c r="AB14" s="32">
        <v>3.2379746819893498</v>
      </c>
      <c r="AC14" s="33">
        <v>1.2244188054354843</v>
      </c>
      <c r="AD14" s="33">
        <v>0.40857107390140135</v>
      </c>
      <c r="AE14" s="33">
        <v>0.61358376822658889</v>
      </c>
      <c r="AF14" s="33">
        <v>0.52567006094047497</v>
      </c>
      <c r="AG14" s="33">
        <v>0.24826904034046651</v>
      </c>
      <c r="AH14" s="33">
        <v>0.26871320317289465</v>
      </c>
      <c r="AI14" s="33">
        <v>0.44582741980049667</v>
      </c>
      <c r="AJ14" s="8">
        <v>0.73360661319030018</v>
      </c>
      <c r="AK14" s="11">
        <v>101</v>
      </c>
      <c r="AL14" s="136"/>
      <c r="AM14" s="140" t="s">
        <v>456</v>
      </c>
      <c r="AN14" s="141">
        <f>MIN(AN5:AN10)</f>
        <v>1.7861835155537795</v>
      </c>
      <c r="AO14" s="141">
        <f t="shared" ref="AO14:AV14" si="56">MIN(AO5:AO10)</f>
        <v>0.21158833167761162</v>
      </c>
      <c r="AP14" s="141">
        <f t="shared" si="56"/>
        <v>0.21594303449891186</v>
      </c>
      <c r="AQ14" s="141">
        <f t="shared" si="56"/>
        <v>0.26706576010527805</v>
      </c>
      <c r="AR14" s="141">
        <f t="shared" si="56"/>
        <v>0.23352126849785185</v>
      </c>
      <c r="AS14" s="141">
        <f t="shared" si="56"/>
        <v>0.1716965595519124</v>
      </c>
      <c r="AT14" s="141">
        <f t="shared" si="56"/>
        <v>0.24814322637801201</v>
      </c>
      <c r="AU14" s="141">
        <f t="shared" si="56"/>
        <v>0.16062268159270696</v>
      </c>
      <c r="AV14" s="141">
        <f t="shared" si="56"/>
        <v>0.60750630252100835</v>
      </c>
      <c r="AX14" s="246"/>
      <c r="AZ14" s="11"/>
      <c r="BA14" s="8" t="s">
        <v>234</v>
      </c>
      <c r="BB14" s="7">
        <f t="shared" si="51"/>
        <v>92.11845782435077</v>
      </c>
      <c r="BC14" s="7">
        <f t="shared" ref="BC14:BC23" si="57">D14/$M14*1000</f>
        <v>16.975115881870785</v>
      </c>
      <c r="BD14" s="7">
        <f t="shared" si="52"/>
        <v>15.186441111993819</v>
      </c>
      <c r="BE14" s="7">
        <f t="shared" si="52"/>
        <v>12.869135679362113</v>
      </c>
      <c r="BF14" s="7">
        <f t="shared" si="52"/>
        <v>13.647310892549516</v>
      </c>
      <c r="BG14" s="7">
        <f t="shared" si="52"/>
        <v>27.177346237899869</v>
      </c>
      <c r="BH14" s="7">
        <f t="shared" si="52"/>
        <v>12.219963568093792</v>
      </c>
      <c r="BI14" s="7">
        <f t="shared" si="52"/>
        <v>4.789592727638011</v>
      </c>
      <c r="BJ14" s="8">
        <f t="shared" si="52"/>
        <v>21.965709990404584</v>
      </c>
      <c r="BN14" s="140" t="s">
        <v>456</v>
      </c>
      <c r="BO14" s="141">
        <f>MIN(BO5:BO10)</f>
        <v>20.445616289739917</v>
      </c>
      <c r="BP14" s="141">
        <f t="shared" ref="BP14:BW14" si="58">MIN(BP5:BP10)</f>
        <v>15.703670826932189</v>
      </c>
      <c r="BQ14" s="141">
        <f t="shared" si="58"/>
        <v>1.4882440402880444</v>
      </c>
      <c r="BR14" s="141">
        <f t="shared" si="58"/>
        <v>2.077679961983887</v>
      </c>
      <c r="BS14" s="141">
        <f t="shared" si="58"/>
        <v>2.1934755732782758</v>
      </c>
      <c r="BT14" s="141">
        <f t="shared" si="58"/>
        <v>2.7094241103595307</v>
      </c>
      <c r="BU14" s="141">
        <f t="shared" si="58"/>
        <v>5.9971017999566296</v>
      </c>
      <c r="BV14" s="141">
        <f t="shared" si="58"/>
        <v>1.7259462646944661</v>
      </c>
      <c r="BW14" s="141">
        <f t="shared" si="58"/>
        <v>8.413354122805444</v>
      </c>
      <c r="BX14" s="136"/>
      <c r="BY14" s="57"/>
      <c r="BZ14" s="322" t="s">
        <v>177</v>
      </c>
      <c r="CA14" s="32">
        <f t="shared" si="22"/>
        <v>32.059155267221286</v>
      </c>
      <c r="CB14" s="33">
        <f t="shared" si="23"/>
        <v>12.12295846965826</v>
      </c>
      <c r="CC14" s="33">
        <f t="shared" si="24"/>
        <v>4.0452581574396174</v>
      </c>
      <c r="CD14" s="33">
        <f t="shared" si="25"/>
        <v>6.0750868141246421</v>
      </c>
      <c r="CE14" s="33">
        <f t="shared" si="26"/>
        <v>5.2046540687175735</v>
      </c>
      <c r="CF14" s="33">
        <f t="shared" si="27"/>
        <v>2.4581093103016487</v>
      </c>
      <c r="CG14" s="33">
        <f t="shared" si="28"/>
        <v>2.6605267640880657</v>
      </c>
      <c r="CH14" s="33">
        <f t="shared" si="29"/>
        <v>4.4141328693118487</v>
      </c>
      <c r="CI14" s="8">
        <f t="shared" si="30"/>
        <v>7.2634318137653482</v>
      </c>
      <c r="CJ14" s="11"/>
      <c r="CL14" s="140" t="s">
        <v>456</v>
      </c>
      <c r="CM14" s="141">
        <f>MIN(CM5:CM10)</f>
        <v>28.352119294504437</v>
      </c>
      <c r="CN14" s="141">
        <f t="shared" ref="CN14:CU14" si="59">MIN(CN5:CN10)</f>
        <v>2.2751433513721682</v>
      </c>
      <c r="CO14" s="141">
        <f t="shared" si="59"/>
        <v>2.4924842812796717</v>
      </c>
      <c r="CP14" s="141">
        <f t="shared" si="59"/>
        <v>2.8716748398416994</v>
      </c>
      <c r="CQ14" s="141">
        <f t="shared" si="59"/>
        <v>2.5109813816973316</v>
      </c>
      <c r="CR14" s="141">
        <f t="shared" si="59"/>
        <v>2.7630601794643126</v>
      </c>
      <c r="CS14" s="141">
        <f t="shared" si="59"/>
        <v>2.6682067352474408</v>
      </c>
      <c r="CT14" s="141">
        <f t="shared" si="59"/>
        <v>2.584851650993031</v>
      </c>
      <c r="CU14" s="141">
        <f t="shared" si="59"/>
        <v>8.8822603179136017</v>
      </c>
      <c r="CV14" s="136"/>
      <c r="DB14" s="8" t="s">
        <v>235</v>
      </c>
      <c r="DC14" s="7">
        <f t="shared" si="41"/>
        <v>36.255059520039943</v>
      </c>
      <c r="DD14" s="8">
        <v>30.940985866817687</v>
      </c>
      <c r="DE14" s="6">
        <f t="shared" si="42"/>
        <v>1.1717486855815178</v>
      </c>
      <c r="DI14" s="6">
        <f t="shared" si="43"/>
        <v>38.452691485531176</v>
      </c>
    </row>
    <row r="15" spans="1:113" ht="15.75" x14ac:dyDescent="0.25">
      <c r="A15" s="1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v>60</v>
      </c>
      <c r="M15" s="281">
        <v>50</v>
      </c>
      <c r="O15" s="140" t="s">
        <v>265</v>
      </c>
      <c r="P15" s="142">
        <f>COUNT(P5:P10)</f>
        <v>5</v>
      </c>
      <c r="Q15" s="142">
        <f t="shared" ref="Q15:X15" si="60">COUNT(Q5:Q10)</f>
        <v>5</v>
      </c>
      <c r="R15" s="142">
        <f t="shared" si="60"/>
        <v>6</v>
      </c>
      <c r="S15" s="142">
        <f t="shared" si="60"/>
        <v>5</v>
      </c>
      <c r="T15" s="142">
        <f t="shared" si="60"/>
        <v>6</v>
      </c>
      <c r="U15" s="142">
        <f t="shared" si="60"/>
        <v>6</v>
      </c>
      <c r="V15" s="142">
        <f t="shared" si="60"/>
        <v>6</v>
      </c>
      <c r="W15" s="142">
        <f t="shared" si="60"/>
        <v>6</v>
      </c>
      <c r="X15" s="142">
        <f t="shared" si="60"/>
        <v>6</v>
      </c>
      <c r="Y15" s="142"/>
      <c r="Z15" s="57"/>
      <c r="AA15" s="64" t="s">
        <v>178</v>
      </c>
      <c r="AB15" s="32">
        <v>2.5229606637205615</v>
      </c>
      <c r="AC15" s="7">
        <v>1.1047571486274532</v>
      </c>
      <c r="AD15" s="7">
        <v>0.27397636570877021</v>
      </c>
      <c r="AE15" s="7">
        <v>0.2646930307392667</v>
      </c>
      <c r="AF15" s="7">
        <v>0.26355347691164011</v>
      </c>
      <c r="AG15" s="12">
        <v>0.12837822060120638</v>
      </c>
      <c r="AH15" s="7">
        <v>0.13276377624086028</v>
      </c>
      <c r="AI15" s="7">
        <v>0.27783818701350482</v>
      </c>
      <c r="AJ15" s="8">
        <v>0.30706946928883555</v>
      </c>
      <c r="AK15" s="11">
        <v>83</v>
      </c>
      <c r="AL15" s="136"/>
      <c r="AM15" s="140" t="s">
        <v>265</v>
      </c>
      <c r="AN15" s="142">
        <f>COUNT(AN5:AN10)</f>
        <v>6</v>
      </c>
      <c r="AO15" s="142">
        <f t="shared" ref="AO15:AV15" si="61">COUNT(AO5:AO10)</f>
        <v>6</v>
      </c>
      <c r="AP15" s="142">
        <f t="shared" si="61"/>
        <v>6</v>
      </c>
      <c r="AQ15" s="142">
        <f t="shared" si="61"/>
        <v>6</v>
      </c>
      <c r="AR15" s="142">
        <f t="shared" si="61"/>
        <v>6</v>
      </c>
      <c r="AS15" s="142">
        <f t="shared" si="61"/>
        <v>4</v>
      </c>
      <c r="AT15" s="142">
        <f t="shared" si="61"/>
        <v>6</v>
      </c>
      <c r="AU15" s="142">
        <f t="shared" si="61"/>
        <v>6</v>
      </c>
      <c r="AV15" s="142">
        <f t="shared" si="61"/>
        <v>6</v>
      </c>
      <c r="AX15" s="246"/>
      <c r="AZ15" s="11"/>
      <c r="BA15" s="8" t="s">
        <v>235</v>
      </c>
      <c r="BB15" s="7">
        <f t="shared" si="51"/>
        <v>71.552952117987019</v>
      </c>
      <c r="BC15" s="7">
        <f t="shared" si="57"/>
        <v>14.793842991580883</v>
      </c>
      <c r="BD15" s="7">
        <f t="shared" si="52"/>
        <v>2.8435231810607031</v>
      </c>
      <c r="BE15" s="7">
        <f t="shared" si="52"/>
        <v>5.8213758275719183</v>
      </c>
      <c r="BF15" s="7">
        <f t="shared" si="52"/>
        <v>4.3604270895342792</v>
      </c>
      <c r="BG15" s="7">
        <f t="shared" si="52"/>
        <v>31.894632430505666</v>
      </c>
      <c r="BH15" s="7">
        <f t="shared" si="52"/>
        <v>5.5647602280561124</v>
      </c>
      <c r="BI15" s="7">
        <f t="shared" si="52"/>
        <v>21.283160505979144</v>
      </c>
      <c r="BJ15" s="8">
        <f t="shared" si="52"/>
        <v>30.940985866817687</v>
      </c>
      <c r="BN15" s="140" t="s">
        <v>265</v>
      </c>
      <c r="BO15" s="142">
        <f>COUNT(BO5:BO10)</f>
        <v>5</v>
      </c>
      <c r="BP15" s="142">
        <f t="shared" ref="BP15:BW15" si="62">COUNT(BP5:BP10)</f>
        <v>5</v>
      </c>
      <c r="BQ15" s="142">
        <f t="shared" si="62"/>
        <v>5</v>
      </c>
      <c r="BR15" s="142">
        <f t="shared" si="62"/>
        <v>5</v>
      </c>
      <c r="BS15" s="142">
        <f t="shared" si="62"/>
        <v>6</v>
      </c>
      <c r="BT15" s="142">
        <f t="shared" si="62"/>
        <v>6</v>
      </c>
      <c r="BU15" s="142">
        <f t="shared" si="62"/>
        <v>6</v>
      </c>
      <c r="BV15" s="142">
        <f t="shared" si="62"/>
        <v>6</v>
      </c>
      <c r="BW15" s="142">
        <f t="shared" si="62"/>
        <v>6</v>
      </c>
      <c r="BX15" s="136"/>
      <c r="BY15" s="57"/>
      <c r="BZ15" s="64" t="s">
        <v>178</v>
      </c>
      <c r="CA15" s="32"/>
      <c r="CB15" s="33"/>
      <c r="CC15" s="33"/>
      <c r="CD15" s="33"/>
      <c r="CE15" s="33"/>
      <c r="CF15" s="33"/>
      <c r="CG15" s="33"/>
      <c r="CH15" s="33"/>
      <c r="CI15" s="8"/>
      <c r="CJ15" s="11"/>
      <c r="CK15" s="136"/>
      <c r="CL15" s="140" t="s">
        <v>265</v>
      </c>
      <c r="CM15" s="142">
        <f>COUNT(CM5:CM10)</f>
        <v>6</v>
      </c>
      <c r="CN15" s="142">
        <f t="shared" ref="CN15:CU15" si="63">COUNT(CN5:CN10)</f>
        <v>6</v>
      </c>
      <c r="CO15" s="142">
        <f t="shared" si="63"/>
        <v>6</v>
      </c>
      <c r="CP15" s="142">
        <f t="shared" si="63"/>
        <v>6</v>
      </c>
      <c r="CQ15" s="142">
        <f t="shared" si="63"/>
        <v>6</v>
      </c>
      <c r="CR15" s="142">
        <f t="shared" si="63"/>
        <v>4</v>
      </c>
      <c r="CS15" s="142">
        <f t="shared" si="63"/>
        <v>6</v>
      </c>
      <c r="CT15" s="142">
        <f t="shared" si="63"/>
        <v>6</v>
      </c>
      <c r="CU15" s="142">
        <f t="shared" si="63"/>
        <v>6</v>
      </c>
      <c r="CV15" s="136"/>
      <c r="DB15" s="8" t="s">
        <v>237</v>
      </c>
      <c r="DC15" s="7">
        <f t="shared" si="41"/>
        <v>20.464252536893746</v>
      </c>
      <c r="DD15" s="8">
        <v>16.776426161729713</v>
      </c>
      <c r="DE15" s="6">
        <f t="shared" si="42"/>
        <v>1.2198219298682744</v>
      </c>
      <c r="DI15" s="6">
        <f t="shared" si="43"/>
        <v>19.897118271865928</v>
      </c>
    </row>
    <row r="16" spans="1:113" x14ac:dyDescent="0.25">
      <c r="A16" s="1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v>120</v>
      </c>
      <c r="M16" s="281">
        <v>48</v>
      </c>
      <c r="O16" s="136"/>
      <c r="P16" s="136"/>
      <c r="Q16" s="136"/>
      <c r="R16" s="136"/>
      <c r="S16" s="136"/>
      <c r="T16" s="136"/>
      <c r="U16" s="136"/>
      <c r="V16" s="136"/>
      <c r="W16" s="136"/>
      <c r="X16" s="136"/>
      <c r="Y16" s="142"/>
      <c r="Z16" s="57"/>
      <c r="AA16" t="s">
        <v>181</v>
      </c>
      <c r="AB16" s="32">
        <v>2.7890346478855204</v>
      </c>
      <c r="AC16" s="33">
        <v>0.67936660048285613</v>
      </c>
      <c r="AD16" s="33">
        <v>0.4718591677692463</v>
      </c>
      <c r="AE16" s="33">
        <v>0.35903506303632082</v>
      </c>
      <c r="AF16" s="33">
        <v>0.55484430196680989</v>
      </c>
      <c r="AG16" s="33">
        <v>0.22831032042646737</v>
      </c>
      <c r="AH16" s="33">
        <v>0.42808528135498797</v>
      </c>
      <c r="AI16" s="33">
        <v>0.30120276075014779</v>
      </c>
      <c r="AJ16" s="8">
        <v>0.99140305506499671</v>
      </c>
      <c r="AK16" s="11">
        <v>74</v>
      </c>
      <c r="AL16" s="136"/>
      <c r="AM16" s="144"/>
      <c r="AN16" s="243"/>
      <c r="AO16" s="243"/>
      <c r="AP16" s="243"/>
      <c r="AQ16" s="243"/>
      <c r="AR16" s="243"/>
      <c r="AS16" s="243"/>
      <c r="AT16" s="243"/>
      <c r="AU16" s="243"/>
      <c r="AV16" s="243"/>
      <c r="AX16" s="246"/>
      <c r="AZ16" s="11"/>
      <c r="BA16" s="8" t="s">
        <v>237</v>
      </c>
      <c r="BB16" s="7">
        <f t="shared" si="51"/>
        <v>73.908683259568889</v>
      </c>
      <c r="BC16" s="7">
        <f t="shared" si="57"/>
        <v>38.071961887282107</v>
      </c>
      <c r="BD16" s="7">
        <f t="shared" si="52"/>
        <v>5.1879260749795044</v>
      </c>
      <c r="BE16" s="7">
        <f t="shared" si="52"/>
        <v>6.372288646819694</v>
      </c>
      <c r="BF16" s="7">
        <f t="shared" si="52"/>
        <v>7.2119320418678097</v>
      </c>
      <c r="BG16" s="7">
        <f t="shared" si="52"/>
        <v>13.252320495025934</v>
      </c>
      <c r="BH16" s="7">
        <f t="shared" si="52"/>
        <v>9.6107539285502472</v>
      </c>
      <c r="BI16" s="7">
        <f t="shared" si="52"/>
        <v>5.5850358784788616</v>
      </c>
      <c r="BJ16" s="8">
        <f t="shared" si="52"/>
        <v>16.776426161729713</v>
      </c>
      <c r="BN16" s="136"/>
      <c r="BO16" s="136"/>
      <c r="BP16" s="136"/>
      <c r="BQ16" s="136"/>
      <c r="BR16" s="136"/>
      <c r="BS16" s="136"/>
      <c r="BT16" s="136"/>
      <c r="BU16" s="136"/>
      <c r="BV16" s="136"/>
      <c r="BW16" s="136"/>
      <c r="BX16" s="136"/>
      <c r="BY16" s="57"/>
      <c r="BZ16" s="322" t="s">
        <v>181</v>
      </c>
      <c r="CA16" s="32">
        <f t="shared" si="22"/>
        <v>37.689657403858384</v>
      </c>
      <c r="CB16" s="33">
        <f t="shared" si="23"/>
        <v>9.1806297362548133</v>
      </c>
      <c r="CC16" s="33">
        <f t="shared" si="24"/>
        <v>6.3764752401249494</v>
      </c>
      <c r="CD16" s="33">
        <f t="shared" si="25"/>
        <v>4.8518251761664981</v>
      </c>
      <c r="CE16" s="33">
        <f t="shared" si="26"/>
        <v>7.4978959725244581</v>
      </c>
      <c r="CF16" s="33">
        <f t="shared" si="27"/>
        <v>3.0852746003576672</v>
      </c>
      <c r="CG16" s="33">
        <f t="shared" si="28"/>
        <v>5.7849362345268638</v>
      </c>
      <c r="CH16" s="33">
        <f t="shared" si="29"/>
        <v>4.0703075777046998</v>
      </c>
      <c r="CI16" s="8">
        <f t="shared" si="30"/>
        <v>13.397338581959415</v>
      </c>
      <c r="CJ16" s="11"/>
      <c r="CK16" s="136"/>
      <c r="CL16" s="136"/>
      <c r="CM16" s="141"/>
      <c r="CN16" s="141"/>
      <c r="CO16" s="141"/>
      <c r="CP16" s="141"/>
      <c r="CQ16" s="141"/>
      <c r="CR16" s="141"/>
      <c r="CS16" s="141"/>
      <c r="CT16" s="141"/>
      <c r="CU16" s="141"/>
      <c r="CV16" s="136"/>
      <c r="DB16" s="8" t="s">
        <v>239</v>
      </c>
      <c r="DC16" s="7">
        <f t="shared" si="41"/>
        <v>15.221401284216361</v>
      </c>
      <c r="DD16" s="8">
        <v>15.343306837045725</v>
      </c>
      <c r="DE16" s="6">
        <f t="shared" si="42"/>
        <v>0.9920548057779156</v>
      </c>
      <c r="DI16" s="6">
        <f t="shared" si="43"/>
        <v>18.019731956529903</v>
      </c>
    </row>
    <row r="17" spans="1:113" ht="15" customHeight="1" x14ac:dyDescent="0.25">
      <c r="A17" s="1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v>100</v>
      </c>
      <c r="M17" s="281">
        <v>90</v>
      </c>
      <c r="O17" s="136"/>
      <c r="P17" s="136"/>
      <c r="Q17" s="136"/>
      <c r="R17" s="136"/>
      <c r="S17" s="136"/>
      <c r="T17" s="136"/>
      <c r="U17" s="136"/>
      <c r="V17" s="136"/>
      <c r="W17" s="136"/>
      <c r="X17" s="136"/>
      <c r="Y17" s="142"/>
      <c r="Z17" s="57"/>
      <c r="AA17" t="s">
        <v>194</v>
      </c>
      <c r="AB17" s="32">
        <v>2.4886323262976693</v>
      </c>
      <c r="AC17" s="33">
        <v>1.1284845156943255</v>
      </c>
      <c r="AD17" s="33">
        <v>0.36244686390800801</v>
      </c>
      <c r="AE17" s="48"/>
      <c r="AF17" s="33">
        <v>0.20293573935415107</v>
      </c>
      <c r="AG17" s="33">
        <v>1.3256368413391821</v>
      </c>
      <c r="AH17" s="33">
        <v>0.47837653532369173</v>
      </c>
      <c r="AI17" s="33">
        <v>1.0987048362895186</v>
      </c>
      <c r="AJ17" s="8">
        <v>1.5411719271696263</v>
      </c>
      <c r="AK17" s="11">
        <v>96</v>
      </c>
      <c r="AL17" s="136"/>
      <c r="AM17" s="144"/>
      <c r="AN17" s="243"/>
      <c r="AO17" s="243"/>
      <c r="AP17" s="243"/>
      <c r="AQ17" s="243"/>
      <c r="AR17" s="243"/>
      <c r="AS17" s="243"/>
      <c r="AT17" s="243"/>
      <c r="AU17" s="243"/>
      <c r="AV17" s="243"/>
      <c r="AX17" s="246"/>
      <c r="AZ17" s="11"/>
      <c r="BA17" s="8" t="s">
        <v>239</v>
      </c>
      <c r="BB17" s="7">
        <f t="shared" si="51"/>
        <v>34.124040771643841</v>
      </c>
      <c r="BC17" s="7">
        <f t="shared" si="57"/>
        <v>10.541821367448726</v>
      </c>
      <c r="BD17" s="48"/>
      <c r="BE17" s="7">
        <f t="shared" ref="BE17:BJ18" si="64">F17/$M17*1000</f>
        <v>5.3650479054085345</v>
      </c>
      <c r="BF17" s="7">
        <f t="shared" si="64"/>
        <v>5.3044676659442</v>
      </c>
      <c r="BG17" s="7">
        <f t="shared" si="64"/>
        <v>9.9169336182721608</v>
      </c>
      <c r="BH17" s="7">
        <f t="shared" si="64"/>
        <v>8.6261217420037326</v>
      </c>
      <c r="BI17" s="7">
        <f t="shared" si="64"/>
        <v>5.6059360288414517</v>
      </c>
      <c r="BJ17" s="8">
        <f t="shared" si="64"/>
        <v>15.343306837045725</v>
      </c>
      <c r="BN17" s="136"/>
      <c r="BO17" s="136"/>
      <c r="BP17" s="136"/>
      <c r="BQ17" s="136"/>
      <c r="BR17" s="136"/>
      <c r="BS17" s="136"/>
      <c r="BT17" s="136"/>
      <c r="BU17" s="136"/>
      <c r="BV17" s="136"/>
      <c r="BW17" s="136"/>
      <c r="BX17" s="136"/>
      <c r="BY17" s="57"/>
      <c r="BZ17" t="s">
        <v>194</v>
      </c>
      <c r="CA17" s="32">
        <f t="shared" si="22"/>
        <v>25.923253398934055</v>
      </c>
      <c r="CB17" s="33">
        <f t="shared" si="23"/>
        <v>11.755047038482557</v>
      </c>
      <c r="CC17" s="33">
        <f t="shared" si="24"/>
        <v>3.7754881657084165</v>
      </c>
      <c r="CD17" s="48"/>
      <c r="CE17" s="33">
        <f t="shared" si="26"/>
        <v>2.1139139516057401</v>
      </c>
      <c r="CF17" s="33">
        <f t="shared" si="27"/>
        <v>13.808717097283147</v>
      </c>
      <c r="CG17" s="33">
        <f t="shared" si="28"/>
        <v>4.983088909621789</v>
      </c>
      <c r="CH17" s="33">
        <f t="shared" si="29"/>
        <v>11.444842044682485</v>
      </c>
      <c r="CI17" s="8">
        <f t="shared" si="30"/>
        <v>16.053874241350272</v>
      </c>
      <c r="CJ17" s="11"/>
      <c r="CK17" s="136"/>
      <c r="CL17" s="136"/>
      <c r="CM17" s="141"/>
      <c r="CN17" s="141"/>
      <c r="CO17" s="141"/>
      <c r="CP17" s="141"/>
      <c r="CQ17" s="141"/>
      <c r="CR17" s="141"/>
      <c r="CS17" s="141"/>
      <c r="CT17" s="141"/>
      <c r="CU17" s="141"/>
      <c r="CV17" s="136"/>
      <c r="DB17" s="8" t="s">
        <v>241</v>
      </c>
      <c r="DC17" s="7">
        <f t="shared" si="41"/>
        <v>18.05415355853853</v>
      </c>
      <c r="DD17" s="8">
        <v>16.181969286810617</v>
      </c>
      <c r="DE17" s="6">
        <f t="shared" si="42"/>
        <v>1.1156957004765711</v>
      </c>
      <c r="DI17" s="6">
        <f t="shared" si="43"/>
        <v>19.118379765721912</v>
      </c>
    </row>
    <row r="18" spans="1:113" x14ac:dyDescent="0.25">
      <c r="A18" s="1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v>100</v>
      </c>
      <c r="M18" s="281">
        <v>71</v>
      </c>
      <c r="O18" s="136"/>
      <c r="P18" s="136"/>
      <c r="Q18" s="136"/>
      <c r="R18" s="136"/>
      <c r="S18" s="136"/>
      <c r="T18" s="136"/>
      <c r="U18" s="136"/>
      <c r="V18" s="136"/>
      <c r="W18" s="136"/>
      <c r="X18" s="136"/>
      <c r="Y18" s="142"/>
      <c r="Z18" s="57"/>
      <c r="AA18" t="s">
        <v>53</v>
      </c>
      <c r="AB18" s="32">
        <v>3.1852657554816965</v>
      </c>
      <c r="AC18" s="33">
        <v>1.4226068736783999</v>
      </c>
      <c r="AD18" s="33">
        <v>0.54959535148507066</v>
      </c>
      <c r="AE18" s="33">
        <v>0.46655489271945733</v>
      </c>
      <c r="AF18" s="33">
        <v>0.65415026016893651</v>
      </c>
      <c r="AG18" s="33">
        <v>0.24841039366923554</v>
      </c>
      <c r="AH18" s="33">
        <v>0.24199999999999999</v>
      </c>
      <c r="AI18" s="33">
        <v>0.59556066737704882</v>
      </c>
      <c r="AJ18" s="8">
        <v>0.75894794340856975</v>
      </c>
      <c r="AK18" s="11">
        <v>57</v>
      </c>
      <c r="AL18" s="136"/>
      <c r="AM18" s="144"/>
      <c r="AN18" s="243"/>
      <c r="AO18" s="243"/>
      <c r="AP18" s="243"/>
      <c r="AQ18" s="243"/>
      <c r="AR18" s="243"/>
      <c r="AS18" s="243"/>
      <c r="AT18" s="243"/>
      <c r="AU18" s="243"/>
      <c r="AV18" s="243"/>
      <c r="AX18" s="246"/>
      <c r="AZ18" s="11"/>
      <c r="BA18" s="8" t="s">
        <v>241</v>
      </c>
      <c r="BB18" s="7">
        <f t="shared" si="51"/>
        <v>49.688993716368387</v>
      </c>
      <c r="BC18" s="7">
        <f t="shared" si="57"/>
        <v>12.721629058113473</v>
      </c>
      <c r="BD18" s="7">
        <f t="shared" ref="BD18:BD24" si="65">E18/$M18*1000</f>
        <v>6.7404010242466574</v>
      </c>
      <c r="BE18" s="7">
        <f t="shared" si="64"/>
        <v>5.7864153565744774</v>
      </c>
      <c r="BF18" s="7">
        <f t="shared" si="64"/>
        <v>3.3308011392686043</v>
      </c>
      <c r="BG18" s="7">
        <f t="shared" si="64"/>
        <v>14.723352419269927</v>
      </c>
      <c r="BH18" s="7">
        <f t="shared" si="64"/>
        <v>6.8006341806151811</v>
      </c>
      <c r="BI18" s="7">
        <f t="shared" si="64"/>
        <v>9.510790188432388</v>
      </c>
      <c r="BJ18" s="8">
        <f t="shared" si="64"/>
        <v>16.181969286810617</v>
      </c>
      <c r="BN18" s="136"/>
      <c r="BO18" s="136"/>
      <c r="BP18" s="136"/>
      <c r="BQ18" s="136"/>
      <c r="BR18" s="136"/>
      <c r="BS18" s="136"/>
      <c r="BT18" s="136"/>
      <c r="BU18" s="136"/>
      <c r="BV18" s="136"/>
      <c r="BW18" s="136"/>
      <c r="BX18" s="136"/>
      <c r="BY18" s="57"/>
      <c r="BZ18" s="323" t="s">
        <v>53</v>
      </c>
      <c r="CA18" s="32">
        <f t="shared" si="22"/>
        <v>55.881855359328014</v>
      </c>
      <c r="CB18" s="33">
        <f t="shared" si="23"/>
        <v>24.958015327691225</v>
      </c>
      <c r="CC18" s="33">
        <f t="shared" si="24"/>
        <v>9.6420237102643966</v>
      </c>
      <c r="CD18" s="33">
        <f t="shared" si="25"/>
        <v>8.1851735564817059</v>
      </c>
      <c r="CE18" s="33">
        <f t="shared" si="26"/>
        <v>11.476320353840991</v>
      </c>
      <c r="CF18" s="33">
        <f t="shared" si="27"/>
        <v>4.358077081916413</v>
      </c>
      <c r="CG18" s="33">
        <f t="shared" si="28"/>
        <v>4.2456140350877192</v>
      </c>
      <c r="CH18" s="33">
        <f t="shared" si="29"/>
        <v>10.448432761000857</v>
      </c>
      <c r="CI18" s="8">
        <f t="shared" si="30"/>
        <v>13.314876200150346</v>
      </c>
      <c r="CJ18" s="11"/>
      <c r="CK18" s="136"/>
      <c r="CL18" s="136"/>
      <c r="CM18" s="141"/>
      <c r="CN18" s="141"/>
      <c r="CO18" s="141"/>
      <c r="CP18" s="141"/>
      <c r="CQ18" s="141"/>
      <c r="CR18" s="141"/>
      <c r="CS18" s="141"/>
      <c r="CT18" s="141"/>
      <c r="CU18" s="141"/>
      <c r="CV18" s="136"/>
      <c r="DB18" s="8" t="s">
        <v>243</v>
      </c>
      <c r="DC18" s="7">
        <f t="shared" si="41"/>
        <v>10.221086489780308</v>
      </c>
      <c r="DD18" s="8">
        <v>7.9076670860958824</v>
      </c>
      <c r="DE18" s="6">
        <f t="shared" si="42"/>
        <v>1.2925539705322358</v>
      </c>
      <c r="DI18" s="6">
        <f t="shared" si="43"/>
        <v>8.2790438827856061</v>
      </c>
    </row>
    <row r="19" spans="1:113" ht="15.75" thickBot="1" x14ac:dyDescent="0.3">
      <c r="A19" s="1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v>100</v>
      </c>
      <c r="M19" s="281">
        <v>103</v>
      </c>
      <c r="O19" s="136"/>
      <c r="P19" s="136"/>
      <c r="Q19" s="136"/>
      <c r="R19" s="136"/>
      <c r="S19" s="136"/>
      <c r="T19" s="136"/>
      <c r="U19" s="136"/>
      <c r="V19" s="136"/>
      <c r="W19" s="136"/>
      <c r="X19" s="136"/>
      <c r="Y19" s="142"/>
      <c r="Z19" s="178"/>
      <c r="AA19" s="50" t="s">
        <v>197</v>
      </c>
      <c r="AB19" s="24">
        <v>3.6081959884693777</v>
      </c>
      <c r="AC19" s="15">
        <v>1.0896176198917364</v>
      </c>
      <c r="AD19" s="15">
        <v>0.52133332033509661</v>
      </c>
      <c r="AE19" s="15">
        <v>0.61230390630225018</v>
      </c>
      <c r="AF19" s="33">
        <v>0.76679067180566873</v>
      </c>
      <c r="AG19" s="15">
        <v>0.20156862242533449</v>
      </c>
      <c r="AH19" s="15">
        <v>0.72746076617617916</v>
      </c>
      <c r="AI19" s="15">
        <v>0.43858822435893791</v>
      </c>
      <c r="AJ19" s="16">
        <v>0.86546076273546946</v>
      </c>
      <c r="AK19" s="11">
        <v>47</v>
      </c>
      <c r="AL19" s="289"/>
      <c r="AM19" s="144"/>
      <c r="AN19" s="243"/>
      <c r="AO19" s="243"/>
      <c r="AP19" s="243"/>
      <c r="AQ19" s="243"/>
      <c r="AR19" s="243"/>
      <c r="AS19" s="243"/>
      <c r="AT19" s="243"/>
      <c r="AU19" s="243"/>
      <c r="AV19" s="243"/>
      <c r="AX19" s="246"/>
      <c r="AZ19" s="11"/>
      <c r="BA19" s="8" t="s">
        <v>243</v>
      </c>
      <c r="BB19" s="7">
        <f t="shared" si="51"/>
        <v>32.798785896601849</v>
      </c>
      <c r="BC19" s="7">
        <f t="shared" si="57"/>
        <v>8.2210644781544584</v>
      </c>
      <c r="BD19" s="7">
        <f t="shared" si="65"/>
        <v>3.8986473430051061</v>
      </c>
      <c r="BE19" s="7">
        <f t="shared" ref="BE19:BH23" si="66">F19/$M19*1000</f>
        <v>4.6576457941713585</v>
      </c>
      <c r="BF19" s="7">
        <f t="shared" si="66"/>
        <v>4.018864080978795</v>
      </c>
      <c r="BG19" s="7">
        <f t="shared" si="66"/>
        <v>6.2022224088015134</v>
      </c>
      <c r="BH19" s="7">
        <f t="shared" si="66"/>
        <v>2.2580594800318026</v>
      </c>
      <c r="BI19" s="48"/>
      <c r="BJ19" s="8">
        <f t="shared" ref="BJ19:BJ24" si="67">K19/$M19*1000</f>
        <v>7.9076670860958824</v>
      </c>
      <c r="BN19" s="136"/>
      <c r="BO19" s="136"/>
      <c r="BP19" s="136"/>
      <c r="BQ19" s="136"/>
      <c r="BR19" s="136"/>
      <c r="BS19" s="136"/>
      <c r="BT19" s="136"/>
      <c r="BU19" s="136"/>
      <c r="BV19" s="136"/>
      <c r="BW19" s="136"/>
      <c r="BX19" s="136"/>
      <c r="BY19" s="178"/>
      <c r="BZ19" s="26" t="s">
        <v>197</v>
      </c>
      <c r="CA19" s="24">
        <f t="shared" si="22"/>
        <v>76.770127414242083</v>
      </c>
      <c r="CB19" s="15">
        <f t="shared" si="23"/>
        <v>23.183353614717799</v>
      </c>
      <c r="CC19" s="15">
        <f t="shared" si="24"/>
        <v>11.092198305002055</v>
      </c>
      <c r="CD19" s="15">
        <f t="shared" si="25"/>
        <v>13.027742687281918</v>
      </c>
      <c r="CE19" s="15">
        <f t="shared" si="26"/>
        <v>16.314695144801462</v>
      </c>
      <c r="CF19" s="15">
        <f t="shared" si="27"/>
        <v>4.2886940941560532</v>
      </c>
      <c r="CG19" s="15">
        <f t="shared" si="28"/>
        <v>15.477888642046365</v>
      </c>
      <c r="CH19" s="15">
        <f t="shared" si="29"/>
        <v>9.3316643480625086</v>
      </c>
      <c r="CI19" s="16">
        <f t="shared" si="30"/>
        <v>18.414058781605732</v>
      </c>
      <c r="CJ19" s="11"/>
      <c r="CK19" s="136"/>
      <c r="CL19" s="136"/>
      <c r="CM19" s="136"/>
      <c r="CN19" s="136"/>
      <c r="CO19" s="136"/>
      <c r="CP19" s="136"/>
      <c r="CQ19" s="136"/>
      <c r="CR19" s="136"/>
      <c r="CS19" s="141"/>
      <c r="CT19" s="141"/>
      <c r="CU19" s="141"/>
      <c r="CV19" s="141"/>
      <c r="DB19" s="8" t="s">
        <v>245</v>
      </c>
      <c r="DC19" s="7">
        <f t="shared" si="41"/>
        <v>9.8470741210563002</v>
      </c>
      <c r="DD19" s="8">
        <v>14.789899948033799</v>
      </c>
      <c r="DE19" s="6">
        <f t="shared" si="42"/>
        <v>0.66579720996458747</v>
      </c>
      <c r="DI19" s="6">
        <f t="shared" si="43"/>
        <v>17.294768931924274</v>
      </c>
    </row>
    <row r="20" spans="1:113" ht="15" customHeight="1" x14ac:dyDescent="0.25">
      <c r="A20" s="11" t="s">
        <v>258</v>
      </c>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v>100</v>
      </c>
      <c r="M20" s="281">
        <v>97</v>
      </c>
      <c r="U20" s="136"/>
      <c r="W20" s="136"/>
      <c r="X20" s="136"/>
      <c r="Y20" s="142"/>
      <c r="Z20" s="141"/>
      <c r="AA20" s="140" t="s">
        <v>261</v>
      </c>
      <c r="AB20" s="141">
        <f t="shared" ref="AB20:AJ20" si="68">AVERAGE(AB5:AB19)</f>
        <v>2.9151414949384544</v>
      </c>
      <c r="AC20" s="141">
        <f t="shared" si="68"/>
        <v>1.1053653103387933</v>
      </c>
      <c r="AD20" s="141">
        <f t="shared" si="68"/>
        <v>0.40951555431734948</v>
      </c>
      <c r="AE20" s="141">
        <f t="shared" si="68"/>
        <v>0.38454898984551095</v>
      </c>
      <c r="AF20" s="286">
        <f t="shared" si="68"/>
        <v>0.49106684866223832</v>
      </c>
      <c r="AG20" s="141">
        <f t="shared" si="68"/>
        <v>0.44984374839100244</v>
      </c>
      <c r="AH20" s="141">
        <f t="shared" si="68"/>
        <v>0.4286913141882111</v>
      </c>
      <c r="AI20" s="141">
        <f t="shared" si="68"/>
        <v>0.42243346482962435</v>
      </c>
      <c r="AJ20" s="141">
        <f t="shared" si="68"/>
        <v>0.86195815547291488</v>
      </c>
      <c r="AK20" s="11"/>
      <c r="AL20" s="141"/>
      <c r="AM20" s="144">
        <v>4.6593860636594426</v>
      </c>
      <c r="AN20" s="144"/>
      <c r="AO20" s="144"/>
      <c r="AP20" s="144"/>
      <c r="AQ20" s="144"/>
      <c r="AR20" s="144"/>
      <c r="AS20" s="144"/>
      <c r="AT20" s="243"/>
      <c r="AU20" s="243"/>
      <c r="AV20" s="243"/>
      <c r="AX20" s="246"/>
      <c r="AZ20" s="11" t="s">
        <v>258</v>
      </c>
      <c r="BA20" s="8" t="s">
        <v>245</v>
      </c>
      <c r="BB20" s="7">
        <f t="shared" si="51"/>
        <v>55.881871055730926</v>
      </c>
      <c r="BC20" s="7">
        <f t="shared" si="57"/>
        <v>24.98480725983784</v>
      </c>
      <c r="BD20" s="7">
        <f t="shared" si="65"/>
        <v>2.3598557654122918</v>
      </c>
      <c r="BE20" s="7">
        <f t="shared" si="66"/>
        <v>3.2171847024197193</v>
      </c>
      <c r="BF20" s="7">
        <f t="shared" si="66"/>
        <v>5.535285961635779</v>
      </c>
      <c r="BG20" s="7">
        <f t="shared" si="66"/>
        <v>4.3117881594205212</v>
      </c>
      <c r="BH20" s="7">
        <f t="shared" si="66"/>
        <v>6.707407567096543</v>
      </c>
      <c r="BI20" s="7">
        <f>J20/$M20*1000</f>
        <v>5.9265983012269938</v>
      </c>
      <c r="BJ20" s="8">
        <f t="shared" si="67"/>
        <v>14.789899948033799</v>
      </c>
      <c r="BT20" s="136"/>
      <c r="BV20" s="136"/>
      <c r="BW20" s="136"/>
      <c r="BX20" s="136"/>
      <c r="BY20" s="141"/>
      <c r="BZ20" s="140" t="s">
        <v>261</v>
      </c>
      <c r="CA20" s="141">
        <f t="shared" ref="CA20:CI20" si="69">AVERAGE(CA5:CA19)</f>
        <v>44.645237211152867</v>
      </c>
      <c r="CB20" s="141">
        <f t="shared" si="69"/>
        <v>17.094845061608869</v>
      </c>
      <c r="CC20" s="141">
        <f t="shared" si="69"/>
        <v>6.31367275438412</v>
      </c>
      <c r="CD20" s="141">
        <f t="shared" si="69"/>
        <v>6.1158587295659625</v>
      </c>
      <c r="CE20" s="141">
        <f t="shared" si="69"/>
        <v>8.0400220885443581</v>
      </c>
      <c r="CF20" s="141">
        <f t="shared" si="69"/>
        <v>6.7707975319530265</v>
      </c>
      <c r="CG20" s="141">
        <f t="shared" si="69"/>
        <v>6.9521204521289386</v>
      </c>
      <c r="CH20" s="141">
        <f t="shared" si="69"/>
        <v>6.3687725734482923</v>
      </c>
      <c r="CI20" s="141">
        <f t="shared" si="69"/>
        <v>13.586765135164599</v>
      </c>
      <c r="CJ20" s="11"/>
      <c r="CK20" s="136"/>
      <c r="CM20" s="136"/>
      <c r="CN20" s="136"/>
      <c r="CO20" s="136"/>
      <c r="CP20" s="136"/>
      <c r="CQ20" s="136"/>
      <c r="CR20" s="136"/>
      <c r="CS20" s="141"/>
      <c r="CT20" s="141"/>
      <c r="CU20" s="141"/>
      <c r="CV20" s="141"/>
      <c r="DB20" s="8" t="s">
        <v>247</v>
      </c>
      <c r="DC20" s="7">
        <f t="shared" si="41"/>
        <v>36.955580626239708</v>
      </c>
      <c r="DD20" s="8">
        <v>10.826422843860012</v>
      </c>
      <c r="DE20" s="6">
        <f t="shared" si="42"/>
        <v>3.4134617831963143</v>
      </c>
      <c r="DI20" s="6">
        <f t="shared" si="43"/>
        <v>12.102613925456616</v>
      </c>
    </row>
    <row r="21" spans="1:113" ht="15.75" x14ac:dyDescent="0.25">
      <c r="A21" s="11" t="s">
        <v>258</v>
      </c>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v>100</v>
      </c>
      <c r="M21" s="281">
        <v>61</v>
      </c>
      <c r="Y21" s="149"/>
      <c r="Z21" s="136"/>
      <c r="AA21" s="308" t="s">
        <v>263</v>
      </c>
      <c r="AB21" s="309">
        <f>_xlfn.STDEV.S(AB5:AB19)</f>
        <v>0.67385989400339119</v>
      </c>
      <c r="AC21" s="309">
        <f t="shared" ref="AC21:AJ21" si="70">_xlfn.STDEV.S(AC5:AC19)</f>
        <v>0.39122505044110323</v>
      </c>
      <c r="AD21" s="309">
        <f t="shared" si="70"/>
        <v>0.12075862902281255</v>
      </c>
      <c r="AE21" s="309">
        <f t="shared" si="70"/>
        <v>0.15645357495888296</v>
      </c>
      <c r="AF21" s="309">
        <f t="shared" si="70"/>
        <v>0.2192922776643767</v>
      </c>
      <c r="AG21" s="309">
        <f t="shared" si="70"/>
        <v>0.31073923522155938</v>
      </c>
      <c r="AH21" s="309">
        <f t="shared" si="70"/>
        <v>0.21906627478606994</v>
      </c>
      <c r="AI21" s="309">
        <f t="shared" si="70"/>
        <v>0.24592324522989481</v>
      </c>
      <c r="AJ21" s="309">
        <f t="shared" si="70"/>
        <v>0.29805952042033551</v>
      </c>
      <c r="AK21" s="11"/>
      <c r="AL21" s="136"/>
      <c r="AN21" s="144"/>
      <c r="AO21" s="144"/>
      <c r="AP21" s="144"/>
      <c r="AQ21" s="144"/>
      <c r="AR21" s="144"/>
      <c r="AS21" s="144"/>
      <c r="AT21" s="243"/>
      <c r="AU21" s="243"/>
      <c r="AV21" s="243"/>
      <c r="AX21" s="246"/>
      <c r="AZ21" s="11" t="s">
        <v>258</v>
      </c>
      <c r="BA21" s="8" t="s">
        <v>247</v>
      </c>
      <c r="BB21" s="7">
        <f t="shared" si="51"/>
        <v>70.339783684512611</v>
      </c>
      <c r="BC21" s="7">
        <f t="shared" si="57"/>
        <v>17.464216798257475</v>
      </c>
      <c r="BD21" s="7">
        <f t="shared" si="65"/>
        <v>2.2492472820129641</v>
      </c>
      <c r="BE21" s="7">
        <f t="shared" si="66"/>
        <v>2.820755871647866</v>
      </c>
      <c r="BF21" s="7">
        <f t="shared" si="66"/>
        <v>13.135604126955709</v>
      </c>
      <c r="BG21" s="7">
        <f t="shared" si="66"/>
        <v>23.819976499284</v>
      </c>
      <c r="BH21" s="7">
        <f t="shared" si="66"/>
        <v>10.190020197880358</v>
      </c>
      <c r="BI21" s="7">
        <f>J21/$M21*1000</f>
        <v>3.1366838359759357</v>
      </c>
      <c r="BJ21" s="8">
        <f t="shared" si="67"/>
        <v>10.826422843860012</v>
      </c>
      <c r="BY21" s="136"/>
      <c r="BZ21" s="308" t="s">
        <v>263</v>
      </c>
      <c r="CA21" s="309">
        <f>_xlfn.STDEV.S(CA5:CA19)</f>
        <v>15.580486081225022</v>
      </c>
      <c r="CB21" s="309">
        <f t="shared" ref="CB21:CI21" si="71">_xlfn.STDEV.S(CB5:CB19)</f>
        <v>6.3854636618493998</v>
      </c>
      <c r="CC21" s="309">
        <f t="shared" si="71"/>
        <v>2.8206402933451562</v>
      </c>
      <c r="CD21" s="309">
        <f t="shared" si="71"/>
        <v>3.1304632165570934</v>
      </c>
      <c r="CE21" s="309">
        <f t="shared" si="71"/>
        <v>4.3535976324212857</v>
      </c>
      <c r="CF21" s="309">
        <f t="shared" si="71"/>
        <v>3.6952049431226093</v>
      </c>
      <c r="CG21" s="309">
        <f t="shared" si="71"/>
        <v>4.3056468903419693</v>
      </c>
      <c r="CH21" s="309">
        <f t="shared" si="71"/>
        <v>3.7611543539341832</v>
      </c>
      <c r="CI21" s="309">
        <f t="shared" si="71"/>
        <v>4.5441150758708657</v>
      </c>
      <c r="CJ21" s="11"/>
      <c r="CS21" s="141"/>
      <c r="CT21" s="141"/>
      <c r="CU21" s="141"/>
      <c r="CV21" s="136"/>
      <c r="DB21" s="8" t="s">
        <v>249</v>
      </c>
      <c r="DC21" s="7">
        <f t="shared" si="41"/>
        <v>19.575420226836044</v>
      </c>
      <c r="DD21" s="8">
        <v>12.825990841362218</v>
      </c>
      <c r="DE21" s="6">
        <f t="shared" si="42"/>
        <v>1.5262306412778466</v>
      </c>
      <c r="DI21" s="6">
        <f t="shared" si="43"/>
        <v>14.722048002184506</v>
      </c>
    </row>
    <row r="22" spans="1:113" ht="15.75" x14ac:dyDescent="0.25">
      <c r="A22" s="1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v>100</v>
      </c>
      <c r="M22" s="281">
        <v>73</v>
      </c>
      <c r="Y22" s="142"/>
      <c r="Z22" s="136"/>
      <c r="AA22" s="140" t="s">
        <v>455</v>
      </c>
      <c r="AB22" s="141">
        <f>MAX(AB5:AB19)</f>
        <v>4.2205166666666667</v>
      </c>
      <c r="AC22" s="141">
        <f t="shared" ref="AC22:AJ22" si="72">MAX(AC5:AC19)</f>
        <v>1.7646833333333334</v>
      </c>
      <c r="AD22" s="141">
        <f t="shared" si="72"/>
        <v>0.58331969014240748</v>
      </c>
      <c r="AE22" s="141">
        <f t="shared" si="72"/>
        <v>0.61358376822658889</v>
      </c>
      <c r="AF22" s="141">
        <f t="shared" si="72"/>
        <v>0.78462261580769732</v>
      </c>
      <c r="AG22" s="141">
        <f t="shared" si="72"/>
        <v>1.3256368413391821</v>
      </c>
      <c r="AH22" s="141">
        <f t="shared" si="72"/>
        <v>0.7549140552184056</v>
      </c>
      <c r="AI22" s="141">
        <f t="shared" si="72"/>
        <v>1.0987048362895186</v>
      </c>
      <c r="AJ22" s="141">
        <f t="shared" si="72"/>
        <v>1.5411719271696263</v>
      </c>
      <c r="AK22" s="11"/>
      <c r="AL22" s="136"/>
      <c r="AT22" s="243"/>
      <c r="AU22" s="243"/>
      <c r="AV22" s="243"/>
      <c r="AX22" s="246"/>
      <c r="AZ22" s="11"/>
      <c r="BA22" s="8" t="s">
        <v>249</v>
      </c>
      <c r="BB22" s="7">
        <f t="shared" si="51"/>
        <v>36.948603242696507</v>
      </c>
      <c r="BC22" s="7">
        <f t="shared" si="57"/>
        <v>7.9486481799137723</v>
      </c>
      <c r="BD22" s="7">
        <f t="shared" si="65"/>
        <v>2.6529915051976491</v>
      </c>
      <c r="BE22" s="7">
        <f t="shared" si="66"/>
        <v>2.9980469860998662</v>
      </c>
      <c r="BF22" s="7">
        <f t="shared" si="66"/>
        <v>4.7153360931987596</v>
      </c>
      <c r="BG22" s="7">
        <f t="shared" si="66"/>
        <v>14.860084133637285</v>
      </c>
      <c r="BH22" s="7">
        <f t="shared" si="66"/>
        <v>3.8125610673600114</v>
      </c>
      <c r="BI22" s="7">
        <f>J22/$M22*1000</f>
        <v>10.665643482670076</v>
      </c>
      <c r="BJ22" s="8">
        <f t="shared" si="67"/>
        <v>12.825990841362218</v>
      </c>
      <c r="BX22" s="136"/>
      <c r="BY22" s="136"/>
      <c r="BZ22" s="140" t="s">
        <v>455</v>
      </c>
      <c r="CA22" s="141">
        <f>MAX(CA5:CA19)</f>
        <v>76.770127414242083</v>
      </c>
      <c r="CB22" s="141">
        <f t="shared" ref="CB22:CI22" si="73">MAX(CB5:CB19)</f>
        <v>27.00673013391053</v>
      </c>
      <c r="CC22" s="141">
        <f t="shared" si="73"/>
        <v>11.092198305002055</v>
      </c>
      <c r="CD22" s="141">
        <f t="shared" si="73"/>
        <v>13.027742687281918</v>
      </c>
      <c r="CE22" s="141">
        <f t="shared" si="73"/>
        <v>16.314695144801462</v>
      </c>
      <c r="CF22" s="141">
        <f t="shared" si="73"/>
        <v>13.808717097283147</v>
      </c>
      <c r="CG22" s="141">
        <f t="shared" si="73"/>
        <v>15.477888642046365</v>
      </c>
      <c r="CH22" s="141">
        <f t="shared" si="73"/>
        <v>13.437232413107804</v>
      </c>
      <c r="CI22" s="141">
        <f t="shared" si="73"/>
        <v>21.748530433318702</v>
      </c>
      <c r="CJ22" s="11"/>
      <c r="CK22" s="136"/>
      <c r="CL22" s="136"/>
      <c r="CM22" s="141"/>
      <c r="CN22" s="141"/>
      <c r="CO22" s="141"/>
      <c r="CP22" s="141"/>
      <c r="CQ22" s="141"/>
      <c r="CR22" s="141"/>
      <c r="CS22" s="141"/>
      <c r="CT22" s="141"/>
      <c r="CU22" s="141"/>
      <c r="CV22" s="136"/>
      <c r="DB22" s="8" t="s">
        <v>286</v>
      </c>
      <c r="DC22" s="7">
        <f t="shared" si="41"/>
        <v>14.873686913361301</v>
      </c>
      <c r="DD22" s="8">
        <v>10.81500394312118</v>
      </c>
      <c r="DE22" s="6">
        <f t="shared" si="42"/>
        <v>1.375282615853471</v>
      </c>
      <c r="DI22" s="6">
        <f t="shared" si="43"/>
        <v>12.087655165488746</v>
      </c>
    </row>
    <row r="23" spans="1:113" ht="15" customHeight="1" thickBot="1" x14ac:dyDescent="0.3">
      <c r="A23" s="11" t="s">
        <v>258</v>
      </c>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v>100</v>
      </c>
      <c r="M23" s="281">
        <v>53</v>
      </c>
      <c r="Y23" s="142"/>
      <c r="Z23" s="136"/>
      <c r="AA23" s="140" t="s">
        <v>456</v>
      </c>
      <c r="AB23" s="141">
        <f>MIN(AB5:AB19)</f>
        <v>1.4761358593616658</v>
      </c>
      <c r="AC23" s="141">
        <f t="shared" ref="AC23:AJ23" si="74">MIN(AC5:AC19)</f>
        <v>0.50415429254138933</v>
      </c>
      <c r="AD23" s="141">
        <f t="shared" si="74"/>
        <v>0.19709576163540307</v>
      </c>
      <c r="AE23" s="141">
        <f t="shared" si="74"/>
        <v>0.16195833333333332</v>
      </c>
      <c r="AF23" s="141">
        <f t="shared" si="74"/>
        <v>0.14216760539341183</v>
      </c>
      <c r="AG23" s="141">
        <f t="shared" si="74"/>
        <v>0.12837822060120638</v>
      </c>
      <c r="AH23" s="141">
        <f t="shared" si="74"/>
        <v>0.13162499517202048</v>
      </c>
      <c r="AI23" s="141">
        <f t="shared" si="74"/>
        <v>0.18121863799283153</v>
      </c>
      <c r="AJ23" s="141">
        <f t="shared" si="74"/>
        <v>0.30706946928883555</v>
      </c>
      <c r="AK23" s="11"/>
      <c r="AL23" s="136"/>
      <c r="AM23" s="144"/>
      <c r="AN23" s="243"/>
      <c r="AO23" s="243"/>
      <c r="AP23" s="243"/>
      <c r="AQ23" s="243"/>
      <c r="AR23" s="243"/>
      <c r="AS23" s="243"/>
      <c r="AT23" s="243"/>
      <c r="AU23" s="243"/>
      <c r="AV23" s="243"/>
      <c r="AX23" s="246"/>
      <c r="AZ23" s="11" t="s">
        <v>258</v>
      </c>
      <c r="BA23" s="8" t="s">
        <v>286</v>
      </c>
      <c r="BB23" s="7">
        <f t="shared" si="51"/>
        <v>64.475814704095868</v>
      </c>
      <c r="BC23" s="7">
        <f t="shared" si="57"/>
        <v>27.800012393145654</v>
      </c>
      <c r="BD23" s="7">
        <f t="shared" si="65"/>
        <v>12.189461554854189</v>
      </c>
      <c r="BE23" s="7">
        <f t="shared" si="66"/>
        <v>8.2150086385107848</v>
      </c>
      <c r="BF23" s="7">
        <f t="shared" si="66"/>
        <v>10.36661664645754</v>
      </c>
      <c r="BG23" s="7">
        <f t="shared" si="66"/>
        <v>4.5070702669037601</v>
      </c>
      <c r="BH23" s="7">
        <f t="shared" si="66"/>
        <v>5.5490979599806876</v>
      </c>
      <c r="BI23" s="7">
        <f>J23/$M23*1000</f>
        <v>4.5652499714755326</v>
      </c>
      <c r="BJ23" s="8">
        <f t="shared" si="67"/>
        <v>10.81500394312118</v>
      </c>
      <c r="BX23" s="136"/>
      <c r="BY23" s="136"/>
      <c r="BZ23" s="140" t="s">
        <v>456</v>
      </c>
      <c r="CA23" s="141">
        <f>MIN(CA5:CA19)</f>
        <v>25.45061826485631</v>
      </c>
      <c r="CB23" s="141">
        <f t="shared" ref="CB23:CI23" si="75">MIN(CB5:CB19)</f>
        <v>8.6923153886446425</v>
      </c>
      <c r="CC23" s="141">
        <f t="shared" si="75"/>
        <v>3.3406061294136111</v>
      </c>
      <c r="CD23" s="141">
        <f t="shared" si="75"/>
        <v>1.9994855967078187</v>
      </c>
      <c r="CE23" s="141">
        <f t="shared" si="75"/>
        <v>2.1139139516057401</v>
      </c>
      <c r="CF23" s="141">
        <f t="shared" si="75"/>
        <v>2.3459118728409374</v>
      </c>
      <c r="CG23" s="141">
        <f t="shared" si="75"/>
        <v>2.4374999105929716</v>
      </c>
      <c r="CH23" s="141">
        <f t="shared" si="75"/>
        <v>2.5173320807697093</v>
      </c>
      <c r="CI23" s="141">
        <f t="shared" si="75"/>
        <v>7.2634318137653482</v>
      </c>
      <c r="CJ23" s="11"/>
      <c r="CK23" s="136"/>
      <c r="CL23" s="136"/>
      <c r="CM23" s="141"/>
      <c r="CN23" s="141"/>
      <c r="CO23" s="141"/>
      <c r="CP23" s="141"/>
      <c r="CQ23" s="141"/>
      <c r="CR23" s="141"/>
      <c r="CS23" s="141"/>
      <c r="CT23" s="141"/>
      <c r="CU23" s="141"/>
      <c r="CV23" s="136"/>
      <c r="DB23" s="16" t="s">
        <v>252</v>
      </c>
      <c r="DC23" s="24">
        <f t="shared" si="41"/>
        <v>6.8825842982801291</v>
      </c>
      <c r="DD23" s="16">
        <v>9.7989267330179342</v>
      </c>
      <c r="DE23" s="14">
        <f t="shared" si="42"/>
        <v>0.7023814429685391</v>
      </c>
      <c r="DI23" s="14">
        <f t="shared" si="43"/>
        <v>10.756594020253495</v>
      </c>
    </row>
    <row r="24" spans="1:113" ht="16.5" thickBot="1" x14ac:dyDescent="0.3">
      <c r="A24" s="1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v>100</v>
      </c>
      <c r="M24" s="281">
        <v>95</v>
      </c>
      <c r="Y24" s="142"/>
      <c r="Z24" s="136"/>
      <c r="AA24" s="140" t="s">
        <v>265</v>
      </c>
      <c r="AB24" s="142">
        <f>COUNT(AB5:AB19)</f>
        <v>15</v>
      </c>
      <c r="AC24" s="142">
        <f t="shared" ref="AC24:AJ24" si="76">COUNT(AC5:AC19)</f>
        <v>14</v>
      </c>
      <c r="AD24" s="142">
        <f t="shared" si="76"/>
        <v>15</v>
      </c>
      <c r="AE24" s="142">
        <f t="shared" si="76"/>
        <v>13</v>
      </c>
      <c r="AF24" s="142">
        <f t="shared" si="76"/>
        <v>15</v>
      </c>
      <c r="AG24" s="142">
        <f t="shared" si="76"/>
        <v>14</v>
      </c>
      <c r="AH24" s="142">
        <f t="shared" si="76"/>
        <v>15</v>
      </c>
      <c r="AI24" s="142">
        <f t="shared" si="76"/>
        <v>15</v>
      </c>
      <c r="AJ24" s="142">
        <f t="shared" si="76"/>
        <v>15</v>
      </c>
      <c r="AK24" s="11"/>
      <c r="AL24" s="136"/>
      <c r="AM24" s="144"/>
      <c r="AN24" s="243"/>
      <c r="AO24" s="243"/>
      <c r="AP24" s="243"/>
      <c r="AQ24" s="243"/>
      <c r="AR24" s="243"/>
      <c r="AS24" s="243"/>
      <c r="AT24" s="243"/>
      <c r="AU24" s="243"/>
      <c r="AV24" s="243"/>
      <c r="AX24" s="246"/>
      <c r="AZ24" s="11"/>
      <c r="BA24" s="16" t="s">
        <v>252</v>
      </c>
      <c r="BB24" s="24">
        <f t="shared" si="51"/>
        <v>27.805689021948435</v>
      </c>
      <c r="BC24" s="172"/>
      <c r="BD24" s="15">
        <f t="shared" si="65"/>
        <v>3.0928960352654036</v>
      </c>
      <c r="BE24" s="15">
        <f>F24/$M24*1000</f>
        <v>3.4294471299432954</v>
      </c>
      <c r="BF24" s="15">
        <f>G24/$M24*1000</f>
        <v>6.8825842982801291</v>
      </c>
      <c r="BG24" s="172"/>
      <c r="BH24" s="15">
        <f>I24/$M24*1000</f>
        <v>2.9199318344944034</v>
      </c>
      <c r="BI24" s="15">
        <f>J24/$M24*1000</f>
        <v>5.7047227681529442</v>
      </c>
      <c r="BJ24" s="16">
        <f t="shared" si="67"/>
        <v>9.7989267330179342</v>
      </c>
      <c r="BX24" s="136"/>
      <c r="BY24" s="136"/>
      <c r="BZ24" s="140" t="s">
        <v>265</v>
      </c>
      <c r="CA24" s="142">
        <f>COUNT(CA5:CA19)</f>
        <v>13</v>
      </c>
      <c r="CB24" s="142">
        <f t="shared" ref="CB24:CI24" si="77">COUNT(CB5:CB19)</f>
        <v>12</v>
      </c>
      <c r="CC24" s="142">
        <f t="shared" si="77"/>
        <v>13</v>
      </c>
      <c r="CD24" s="142">
        <f t="shared" si="77"/>
        <v>11</v>
      </c>
      <c r="CE24" s="142">
        <f t="shared" si="77"/>
        <v>13</v>
      </c>
      <c r="CF24" s="142">
        <f t="shared" si="77"/>
        <v>12</v>
      </c>
      <c r="CG24" s="142">
        <f t="shared" si="77"/>
        <v>13</v>
      </c>
      <c r="CH24" s="142">
        <f t="shared" si="77"/>
        <v>13</v>
      </c>
      <c r="CI24" s="142">
        <f t="shared" si="77"/>
        <v>13</v>
      </c>
      <c r="CJ24" s="11"/>
      <c r="CK24" s="136"/>
      <c r="CL24" s="136"/>
      <c r="CM24" s="141"/>
      <c r="CN24" s="141"/>
      <c r="CO24" s="141"/>
      <c r="CP24" s="141"/>
      <c r="CQ24" s="7"/>
      <c r="CR24" s="7"/>
      <c r="CS24" s="7"/>
      <c r="CT24" s="7"/>
      <c r="CU24" s="7"/>
      <c r="CV24" s="136"/>
      <c r="DB24" s="33"/>
      <c r="DC24" s="7"/>
      <c r="DD24" s="33"/>
      <c r="DE24">
        <f>AVERAGE(DE3:DE23)</f>
        <v>1.2993303663069244</v>
      </c>
    </row>
    <row r="25" spans="1:113" ht="15" customHeight="1" x14ac:dyDescent="0.25">
      <c r="A25" s="56"/>
      <c r="B25" s="140" t="s">
        <v>261</v>
      </c>
      <c r="C25" s="141">
        <f t="shared" ref="C25:K25" si="78">AVERAGE(C5:C24)</f>
        <v>3.6029548593571348</v>
      </c>
      <c r="D25" s="141">
        <f t="shared" si="78"/>
        <v>1.1437624735952696</v>
      </c>
      <c r="E25" s="141">
        <f t="shared" si="78"/>
        <v>0.36548470958340468</v>
      </c>
      <c r="F25" s="141">
        <f t="shared" si="78"/>
        <v>0.36111311489350151</v>
      </c>
      <c r="G25" s="141">
        <f t="shared" si="78"/>
        <v>0.44585579103337453</v>
      </c>
      <c r="H25" s="286">
        <f t="shared" si="78"/>
        <v>0.83920078906022355</v>
      </c>
      <c r="I25" s="141">
        <f t="shared" si="78"/>
        <v>0.5065697182533363</v>
      </c>
      <c r="J25" s="141">
        <f t="shared" si="78"/>
        <v>0.48788103460306786</v>
      </c>
      <c r="K25" s="141">
        <f t="shared" si="78"/>
        <v>1.070390676273143</v>
      </c>
      <c r="M25" s="149"/>
      <c r="Y25" s="142"/>
      <c r="Z25" s="136"/>
      <c r="AK25" s="11"/>
      <c r="AL25" s="136"/>
      <c r="AM25" s="144"/>
      <c r="AN25" s="243"/>
      <c r="AO25" s="243"/>
      <c r="AP25" s="243"/>
      <c r="AQ25" s="243"/>
      <c r="AR25" s="33"/>
      <c r="AS25" s="33"/>
      <c r="AT25" s="33"/>
      <c r="AU25" s="33"/>
      <c r="AV25" s="33"/>
      <c r="AX25" s="246"/>
      <c r="AZ25" s="56"/>
      <c r="BA25" s="140" t="s">
        <v>261</v>
      </c>
      <c r="BB25" s="141">
        <f t="shared" ref="BB25:BJ25" si="79">AVERAGE(BB5:BB24)</f>
        <v>48.17880891546811</v>
      </c>
      <c r="BC25" s="286">
        <f t="shared" si="79"/>
        <v>15.486826280161747</v>
      </c>
      <c r="BD25" s="141">
        <f t="shared" si="79"/>
        <v>4.99565369567686</v>
      </c>
      <c r="BE25" s="141">
        <f t="shared" si="79"/>
        <v>4.8496334793105493</v>
      </c>
      <c r="BF25" s="141">
        <f t="shared" si="79"/>
        <v>5.9733991959183141</v>
      </c>
      <c r="BG25" s="286">
        <f t="shared" si="79"/>
        <v>11.82908218439564</v>
      </c>
      <c r="BH25" s="141">
        <f t="shared" si="79"/>
        <v>6.6126607300823812</v>
      </c>
      <c r="BI25" s="141">
        <f t="shared" si="79"/>
        <v>6.5203839774140562</v>
      </c>
      <c r="BJ25" s="141">
        <f t="shared" si="79"/>
        <v>14.056863797204411</v>
      </c>
      <c r="BX25" s="136"/>
      <c r="BY25" s="136"/>
      <c r="CJ25" s="11"/>
      <c r="CK25" s="136"/>
      <c r="CL25" s="136"/>
      <c r="CM25" s="141"/>
      <c r="CN25" s="141"/>
      <c r="CO25" s="141"/>
      <c r="CP25" s="141"/>
      <c r="CQ25" s="7"/>
      <c r="CR25" s="7"/>
      <c r="CS25" s="7"/>
      <c r="CT25" s="7"/>
      <c r="CU25" s="7"/>
      <c r="CV25" s="136"/>
      <c r="DB25" s="33"/>
      <c r="DC25" s="7"/>
      <c r="DD25" s="33"/>
      <c r="DE25">
        <f>_xlfn.STDEV.S(DE3:DE23)</f>
        <v>0.67332899355421927</v>
      </c>
    </row>
    <row r="26" spans="1:113" ht="15" customHeight="1" x14ac:dyDescent="0.25">
      <c r="B26" s="308" t="s">
        <v>263</v>
      </c>
      <c r="C26" s="309">
        <f t="shared" ref="C26:K26" si="80">_xlfn.STDEV.S(C5:C24)</f>
        <v>0.70538706921235506</v>
      </c>
      <c r="D26" s="309">
        <f t="shared" si="80"/>
        <v>0.47354492517957314</v>
      </c>
      <c r="E26" s="309">
        <f t="shared" si="80"/>
        <v>0.16621144812574001</v>
      </c>
      <c r="F26" s="309">
        <f t="shared" si="80"/>
        <v>0.11226151498097202</v>
      </c>
      <c r="G26" s="309">
        <f t="shared" si="80"/>
        <v>0.17028480697752821</v>
      </c>
      <c r="H26" s="309">
        <f t="shared" si="80"/>
        <v>0.36329075673846101</v>
      </c>
      <c r="I26" s="309">
        <f t="shared" si="80"/>
        <v>0.20249392130009955</v>
      </c>
      <c r="J26" s="309">
        <f t="shared" si="80"/>
        <v>0.23171251234090856</v>
      </c>
      <c r="K26" s="309">
        <f t="shared" si="80"/>
        <v>0.35013277364303352</v>
      </c>
      <c r="M26" s="149"/>
      <c r="Y26" s="142"/>
      <c r="Z26" s="136"/>
      <c r="AK26" s="11"/>
      <c r="AL26" s="136"/>
      <c r="AM26" s="144"/>
      <c r="AN26" s="243"/>
      <c r="AO26" s="243"/>
      <c r="AP26" s="243"/>
      <c r="AQ26" s="243"/>
      <c r="AR26" s="33"/>
      <c r="AS26" s="33"/>
      <c r="AT26" s="33"/>
      <c r="AU26" s="33"/>
      <c r="AV26" s="33"/>
      <c r="AX26" s="246"/>
      <c r="BA26" s="308" t="s">
        <v>263</v>
      </c>
      <c r="BB26" s="35">
        <f t="shared" ref="BB26:BJ26" si="81">_xlfn.STDEV.S(BB5:BB24)</f>
        <v>17.608940035363521</v>
      </c>
      <c r="BC26" s="35">
        <f t="shared" si="81"/>
        <v>7.8139625251234373</v>
      </c>
      <c r="BD26" s="35">
        <f t="shared" si="81"/>
        <v>3.4043267133084414</v>
      </c>
      <c r="BE26" s="35">
        <f t="shared" si="81"/>
        <v>2.4163099905512677</v>
      </c>
      <c r="BF26" s="35">
        <f t="shared" si="81"/>
        <v>3.1458573305044131</v>
      </c>
      <c r="BG26" s="35">
        <f t="shared" si="81"/>
        <v>7.8823271653910112</v>
      </c>
      <c r="BH26" s="35">
        <f t="shared" si="81"/>
        <v>2.661382538012512</v>
      </c>
      <c r="BI26" s="35">
        <f t="shared" si="81"/>
        <v>4.1806169322447415</v>
      </c>
      <c r="BJ26" s="35">
        <f t="shared" si="81"/>
        <v>5.5734355663333126</v>
      </c>
      <c r="BX26" s="136"/>
      <c r="BY26" s="136"/>
      <c r="BZ26" s="64" t="s">
        <v>467</v>
      </c>
      <c r="CJ26" s="11"/>
      <c r="CK26" s="136"/>
      <c r="CL26" s="136"/>
      <c r="CM26" s="141"/>
      <c r="CN26" s="141"/>
      <c r="CO26" s="141"/>
      <c r="CP26" s="7"/>
      <c r="CQ26" s="7"/>
      <c r="CR26" s="7"/>
      <c r="CS26" s="7"/>
      <c r="CT26" s="7"/>
      <c r="CU26" s="7"/>
      <c r="CV26" s="136"/>
      <c r="DB26" s="33"/>
      <c r="DC26" s="7"/>
      <c r="DD26" s="33"/>
    </row>
    <row r="27" spans="1:113" s="289" customFormat="1" ht="15" customHeight="1" x14ac:dyDescent="0.25">
      <c r="B27" s="140" t="s">
        <v>455</v>
      </c>
      <c r="C27" s="141">
        <f>MAX(C5:C24)</f>
        <v>5.4205414924059001</v>
      </c>
      <c r="D27" s="141">
        <f t="shared" ref="D27:K27" si="82">MAX(D5:D24)</f>
        <v>2.4235263042042705</v>
      </c>
      <c r="E27" s="141">
        <f t="shared" si="82"/>
        <v>0.74413561448769716</v>
      </c>
      <c r="F27" s="141">
        <f t="shared" si="82"/>
        <v>0.63058764828874359</v>
      </c>
      <c r="G27" s="141">
        <f t="shared" si="82"/>
        <v>0.80127185174429827</v>
      </c>
      <c r="H27" s="141">
        <f t="shared" si="82"/>
        <v>1.5947316215252831</v>
      </c>
      <c r="I27" s="141">
        <f t="shared" si="82"/>
        <v>0.92385245901639346</v>
      </c>
      <c r="J27" s="141">
        <f t="shared" si="82"/>
        <v>1.0641580252989571</v>
      </c>
      <c r="K27" s="141">
        <f t="shared" si="82"/>
        <v>1.6604106355313895</v>
      </c>
      <c r="M27" s="149"/>
      <c r="Y27" s="142"/>
      <c r="Z27" s="136"/>
      <c r="AK27" s="301"/>
      <c r="AL27" s="136"/>
      <c r="AM27" s="144"/>
      <c r="AN27" s="243"/>
      <c r="AO27" s="243"/>
      <c r="AP27" s="243"/>
      <c r="AQ27" s="243"/>
      <c r="AR27" s="33"/>
      <c r="AS27" s="33"/>
      <c r="AT27" s="33"/>
      <c r="AU27" s="33"/>
      <c r="AV27" s="33"/>
      <c r="AX27" s="246"/>
      <c r="BA27" s="140" t="s">
        <v>455</v>
      </c>
      <c r="BB27" s="141">
        <f>MAX(BB5:BB24)</f>
        <v>92.11845782435077</v>
      </c>
      <c r="BC27" s="141">
        <f t="shared" ref="BC27:BJ27" si="83">MAX(BC5:BC24)</f>
        <v>38.071961887282107</v>
      </c>
      <c r="BD27" s="141">
        <f t="shared" si="83"/>
        <v>15.186441111993819</v>
      </c>
      <c r="BE27" s="141">
        <f t="shared" si="83"/>
        <v>12.869135679362113</v>
      </c>
      <c r="BF27" s="141">
        <f t="shared" si="83"/>
        <v>13.647310892549516</v>
      </c>
      <c r="BG27" s="141">
        <f t="shared" si="83"/>
        <v>31.894632430505666</v>
      </c>
      <c r="BH27" s="141">
        <f t="shared" si="83"/>
        <v>12.219963568093792</v>
      </c>
      <c r="BI27" s="141">
        <f t="shared" si="83"/>
        <v>21.283160505979144</v>
      </c>
      <c r="BJ27" s="141">
        <f t="shared" si="83"/>
        <v>30.940985866817687</v>
      </c>
      <c r="BX27" s="136"/>
      <c r="BY27" s="136"/>
      <c r="BZ27" s="324" t="s">
        <v>468</v>
      </c>
      <c r="CJ27" s="301"/>
      <c r="CK27" s="136"/>
      <c r="CL27" s="136"/>
      <c r="CM27" s="141"/>
      <c r="CN27" s="141"/>
      <c r="CO27" s="141"/>
      <c r="CP27" s="7"/>
      <c r="CQ27" s="7"/>
      <c r="CR27" s="7"/>
      <c r="CS27" s="7"/>
      <c r="CT27" s="7"/>
      <c r="CU27" s="7"/>
      <c r="CV27" s="136"/>
      <c r="DB27" s="33"/>
      <c r="DC27" s="7"/>
      <c r="DD27" s="33"/>
    </row>
    <row r="28" spans="1:113" s="289" customFormat="1" ht="15" customHeight="1" x14ac:dyDescent="0.25">
      <c r="B28" s="140" t="s">
        <v>456</v>
      </c>
      <c r="C28" s="141">
        <f>MIN(C5:C24)</f>
        <v>2.6188773657271791</v>
      </c>
      <c r="D28" s="141">
        <f t="shared" ref="D28:K28" si="84">MIN(D5:D24)</f>
        <v>0.58025131713370537</v>
      </c>
      <c r="E28" s="141">
        <f t="shared" si="84"/>
        <v>0.13720408420279082</v>
      </c>
      <c r="F28" s="141">
        <f t="shared" si="84"/>
        <v>0.17206610817051984</v>
      </c>
      <c r="G28" s="141">
        <f t="shared" si="84"/>
        <v>0.21802135447671397</v>
      </c>
      <c r="H28" s="141">
        <f t="shared" si="84"/>
        <v>0.23887472414589925</v>
      </c>
      <c r="I28" s="141">
        <f t="shared" si="84"/>
        <v>0.23258012644327566</v>
      </c>
      <c r="J28" s="141">
        <f t="shared" si="84"/>
        <v>0.19133771399453206</v>
      </c>
      <c r="K28" s="141">
        <f t="shared" si="84"/>
        <v>0.42336417828738787</v>
      </c>
      <c r="M28" s="149"/>
      <c r="Y28" s="142"/>
      <c r="Z28" s="136"/>
      <c r="AK28" s="301"/>
      <c r="AL28" s="136"/>
      <c r="AM28" s="144"/>
      <c r="AN28" s="243"/>
      <c r="AO28" s="243"/>
      <c r="AP28" s="243"/>
      <c r="AQ28" s="243"/>
      <c r="AR28" s="33"/>
      <c r="AS28" s="33"/>
      <c r="AT28" s="33"/>
      <c r="AU28" s="33"/>
      <c r="AV28" s="33"/>
      <c r="AX28" s="246"/>
      <c r="BA28" s="140" t="s">
        <v>456</v>
      </c>
      <c r="BB28" s="141">
        <f>MIN(BB5:BB24)</f>
        <v>27.805689021948435</v>
      </c>
      <c r="BC28" s="141">
        <f t="shared" ref="BC28:BJ28" si="85">MIN(BC5:BC24)</f>
        <v>7.9486481799137723</v>
      </c>
      <c r="BD28" s="141">
        <f t="shared" si="85"/>
        <v>2.2492472820129641</v>
      </c>
      <c r="BE28" s="141">
        <f t="shared" si="85"/>
        <v>2.2049088816085547</v>
      </c>
      <c r="BF28" s="141">
        <f t="shared" si="85"/>
        <v>2.547054751253238</v>
      </c>
      <c r="BG28" s="141">
        <f t="shared" si="85"/>
        <v>4.3117881594205212</v>
      </c>
      <c r="BH28" s="141">
        <f t="shared" si="85"/>
        <v>2.2580594800318026</v>
      </c>
      <c r="BI28" s="141">
        <f t="shared" si="85"/>
        <v>2.2680093727797086</v>
      </c>
      <c r="BJ28" s="141">
        <f t="shared" si="85"/>
        <v>4.9228392824114868</v>
      </c>
      <c r="BX28" s="136"/>
      <c r="BY28" s="136"/>
      <c r="BZ28" s="325" t="s">
        <v>464</v>
      </c>
      <c r="CJ28" s="301"/>
      <c r="CK28" s="136"/>
      <c r="CL28" s="136"/>
      <c r="CM28" s="141"/>
      <c r="CN28" s="141"/>
      <c r="CO28" s="141"/>
      <c r="CP28" s="7"/>
      <c r="CQ28" s="7"/>
      <c r="CR28" s="7"/>
      <c r="CS28" s="7"/>
      <c r="CT28" s="7"/>
      <c r="CU28" s="7"/>
      <c r="CV28" s="136"/>
      <c r="DB28" s="33"/>
      <c r="DC28" s="7"/>
      <c r="DD28" s="33"/>
    </row>
    <row r="29" spans="1:113" ht="15" customHeight="1" thickBot="1" x14ac:dyDescent="0.3">
      <c r="B29" s="140" t="s">
        <v>265</v>
      </c>
      <c r="C29" s="142">
        <f t="shared" ref="C29:K29" si="86">COUNT(C5:C24)</f>
        <v>20</v>
      </c>
      <c r="D29" s="142">
        <f t="shared" si="86"/>
        <v>18</v>
      </c>
      <c r="E29" s="142">
        <f t="shared" si="86"/>
        <v>19</v>
      </c>
      <c r="F29" s="142">
        <f t="shared" si="86"/>
        <v>20</v>
      </c>
      <c r="G29" s="142">
        <f t="shared" si="86"/>
        <v>20</v>
      </c>
      <c r="H29" s="142">
        <f t="shared" si="86"/>
        <v>19</v>
      </c>
      <c r="I29" s="142">
        <f t="shared" si="86"/>
        <v>19</v>
      </c>
      <c r="J29" s="142">
        <f t="shared" si="86"/>
        <v>18</v>
      </c>
      <c r="K29" s="142">
        <f t="shared" si="86"/>
        <v>19</v>
      </c>
      <c r="M29" s="149"/>
      <c r="Y29" s="142"/>
      <c r="Z29" s="136"/>
      <c r="AK29" s="11"/>
      <c r="AL29" s="136"/>
      <c r="AM29" s="144"/>
      <c r="AN29" s="243"/>
      <c r="AO29" s="243"/>
      <c r="AP29" s="243"/>
      <c r="AQ29" s="33"/>
      <c r="AR29" s="33"/>
      <c r="AS29" s="33"/>
      <c r="AT29" s="33"/>
      <c r="AU29" s="33"/>
      <c r="AV29" s="33"/>
      <c r="AX29" s="246"/>
      <c r="BA29" s="140" t="s">
        <v>265</v>
      </c>
      <c r="BB29" s="142">
        <f t="shared" ref="BB29:BJ29" si="87">COUNT(BB5:BB24)</f>
        <v>20</v>
      </c>
      <c r="BC29" s="142">
        <f t="shared" si="87"/>
        <v>18</v>
      </c>
      <c r="BD29" s="142">
        <f t="shared" si="87"/>
        <v>19</v>
      </c>
      <c r="BE29" s="142">
        <f t="shared" si="87"/>
        <v>20</v>
      </c>
      <c r="BF29" s="142">
        <f t="shared" si="87"/>
        <v>20</v>
      </c>
      <c r="BG29" s="142">
        <f t="shared" si="87"/>
        <v>19</v>
      </c>
      <c r="BH29" s="142">
        <f t="shared" si="87"/>
        <v>19</v>
      </c>
      <c r="BI29" s="142">
        <f t="shared" si="87"/>
        <v>18</v>
      </c>
      <c r="BJ29" s="142">
        <f t="shared" si="87"/>
        <v>19</v>
      </c>
      <c r="BX29" s="136"/>
      <c r="BY29" s="136"/>
      <c r="CJ29" s="11"/>
      <c r="CK29" s="136"/>
      <c r="CL29" s="136"/>
      <c r="CM29" s="141"/>
      <c r="CN29" s="141"/>
      <c r="CO29" s="141"/>
      <c r="CP29" s="141"/>
      <c r="CQ29" s="141"/>
      <c r="CR29" s="141"/>
      <c r="CS29" s="7"/>
      <c r="CT29" s="7"/>
      <c r="CU29" s="7"/>
      <c r="CV29" s="136"/>
      <c r="DB29" t="s">
        <v>391</v>
      </c>
      <c r="DC29" t="s">
        <v>14</v>
      </c>
      <c r="DD29" t="s">
        <v>12</v>
      </c>
      <c r="DE29" t="s">
        <v>394</v>
      </c>
      <c r="DI29" t="s">
        <v>392</v>
      </c>
    </row>
    <row r="30" spans="1:113" ht="15" customHeight="1" thickTop="1" x14ac:dyDescent="0.25">
      <c r="B30" s="140"/>
      <c r="C30" s="142"/>
      <c r="D30" s="142"/>
      <c r="E30" s="142"/>
      <c r="F30" s="142"/>
      <c r="G30" s="142"/>
      <c r="H30" s="142"/>
      <c r="I30" s="142"/>
      <c r="J30" s="142"/>
      <c r="K30" s="142"/>
      <c r="M30" s="149"/>
      <c r="Y30" s="142"/>
      <c r="Z30" s="136"/>
      <c r="AA30" s="289"/>
      <c r="AB30" s="289"/>
      <c r="AC30" s="289"/>
      <c r="AD30" s="289"/>
      <c r="AE30" s="289"/>
      <c r="AF30" s="289"/>
      <c r="AG30" s="289"/>
      <c r="AH30" s="289"/>
      <c r="AI30" s="289"/>
      <c r="AJ30" s="289"/>
      <c r="AK30" s="301"/>
      <c r="AL30" s="136"/>
      <c r="AM30" s="144"/>
      <c r="AN30" s="243"/>
      <c r="AO30" s="243"/>
      <c r="AP30" s="243"/>
      <c r="AQ30" s="243"/>
      <c r="AR30" s="243"/>
      <c r="AS30" s="243"/>
      <c r="AT30" s="33"/>
      <c r="AU30" s="33"/>
      <c r="AV30" s="33"/>
      <c r="AX30" s="246"/>
      <c r="BA30" s="140"/>
      <c r="BB30" s="142"/>
      <c r="BC30" s="142"/>
      <c r="BD30" s="142"/>
      <c r="BE30" s="142"/>
      <c r="BF30" s="142"/>
      <c r="BG30" s="142"/>
      <c r="BH30" s="142"/>
      <c r="BI30" s="142"/>
      <c r="BJ30" s="142"/>
      <c r="BX30" s="136"/>
      <c r="BY30" s="136"/>
      <c r="BZ30" s="289"/>
      <c r="CA30" s="289"/>
      <c r="CB30" s="289"/>
      <c r="CC30" s="289"/>
      <c r="CD30" s="289"/>
      <c r="CE30" s="289"/>
      <c r="CF30" s="289"/>
      <c r="CG30" s="289"/>
      <c r="CH30" s="289"/>
      <c r="CI30" s="289"/>
      <c r="CJ30" s="301"/>
      <c r="CK30" s="136"/>
      <c r="CL30" s="136"/>
      <c r="CM30" s="141"/>
      <c r="CN30" s="141"/>
      <c r="CO30" s="141"/>
      <c r="CP30" s="141"/>
      <c r="CQ30" s="141"/>
      <c r="CR30" s="141"/>
      <c r="CS30" s="7"/>
      <c r="CT30" s="7"/>
      <c r="CU30" s="7"/>
      <c r="CV30" s="136"/>
      <c r="DB30" s="10" t="s">
        <v>216</v>
      </c>
      <c r="DC30" s="30">
        <v>8.1524025648857474</v>
      </c>
      <c r="DD30" s="27">
        <v>6.2536771908818594</v>
      </c>
      <c r="DE30" s="69">
        <f>DD30/DC30</f>
        <v>0.76709621993127153</v>
      </c>
      <c r="DI30" s="29">
        <f t="shared" ref="DI30:DI35" si="88">DD30/DD3</f>
        <v>0.49719016901818686</v>
      </c>
    </row>
    <row r="31" spans="1:113" ht="15" customHeight="1" x14ac:dyDescent="0.25">
      <c r="B31" s="140"/>
      <c r="C31" s="136"/>
      <c r="D31" s="136"/>
      <c r="E31" s="136"/>
      <c r="F31" s="136"/>
      <c r="G31" s="136"/>
      <c r="H31" s="136"/>
      <c r="I31" s="136"/>
      <c r="J31" s="136"/>
      <c r="K31" s="136"/>
      <c r="M31" s="149"/>
      <c r="Y31" s="142"/>
      <c r="Z31" s="136"/>
      <c r="AK31" s="11"/>
      <c r="AL31" s="136"/>
      <c r="AM31" s="144"/>
      <c r="AN31" s="243"/>
      <c r="AO31" s="243"/>
      <c r="AP31" s="243"/>
      <c r="AQ31" s="243"/>
      <c r="AR31" s="243"/>
      <c r="AS31" s="243"/>
      <c r="AT31" s="33"/>
      <c r="AU31" s="33"/>
      <c r="AV31" s="33"/>
      <c r="AX31" s="246"/>
      <c r="BA31" s="140"/>
      <c r="BB31" s="142"/>
      <c r="BC31" s="142"/>
      <c r="BD31" s="142"/>
      <c r="BE31" s="142"/>
      <c r="BF31" s="142"/>
      <c r="BG31" s="142"/>
      <c r="BH31" s="142"/>
      <c r="BI31" s="142"/>
      <c r="BJ31" s="142"/>
      <c r="BX31" s="136"/>
      <c r="BY31" s="136"/>
      <c r="CJ31" s="11"/>
      <c r="CK31" s="136"/>
      <c r="CL31" s="136"/>
      <c r="CM31" s="141"/>
      <c r="CN31" s="141"/>
      <c r="CO31" s="141"/>
      <c r="CP31" s="141"/>
      <c r="CQ31" s="141"/>
      <c r="CR31" s="141"/>
      <c r="CS31" s="7"/>
      <c r="CT31" s="7"/>
      <c r="CU31" s="7"/>
      <c r="CV31" s="136"/>
      <c r="DB31" s="8" t="s">
        <v>217</v>
      </c>
      <c r="DC31" s="32">
        <v>3.5721028176927523</v>
      </c>
      <c r="DD31" s="8">
        <v>5.0358933624270747</v>
      </c>
      <c r="DE31" s="11">
        <f t="shared" ref="DE31:DE50" si="89">DD31/DC31</f>
        <v>1.4097839898348155</v>
      </c>
      <c r="DI31" s="6">
        <f t="shared" si="88"/>
        <v>1.0229652185517233</v>
      </c>
    </row>
    <row r="32" spans="1:113" ht="18.75" customHeight="1" x14ac:dyDescent="0.3">
      <c r="B32" s="131" t="s">
        <v>270</v>
      </c>
      <c r="C32" s="136"/>
      <c r="D32" s="136"/>
      <c r="E32" s="136"/>
      <c r="F32" s="136"/>
      <c r="G32" s="136"/>
      <c r="H32" s="136"/>
      <c r="I32" s="136"/>
      <c r="J32" s="136"/>
      <c r="K32" s="136"/>
      <c r="L32" s="136"/>
      <c r="M32" s="142"/>
      <c r="N32" s="136"/>
      <c r="O32" s="143" t="s">
        <v>270</v>
      </c>
      <c r="Y32" s="142"/>
      <c r="AA32" s="131" t="s">
        <v>270</v>
      </c>
      <c r="AK32" s="11"/>
      <c r="AM32" s="143" t="s">
        <v>270</v>
      </c>
      <c r="AN32" s="243"/>
      <c r="AO32" s="243"/>
      <c r="AP32" s="243"/>
      <c r="AQ32" s="243"/>
      <c r="AR32" s="243"/>
      <c r="AS32" s="243"/>
      <c r="AT32" s="243"/>
      <c r="AU32" s="243"/>
      <c r="AV32" s="243"/>
      <c r="AX32" s="246"/>
      <c r="BA32" s="131" t="s">
        <v>270</v>
      </c>
      <c r="BB32" s="136"/>
      <c r="BC32" s="136"/>
      <c r="BD32" s="136"/>
      <c r="BE32" s="136"/>
      <c r="BF32" s="136"/>
      <c r="BG32" s="136"/>
      <c r="BH32" s="136"/>
      <c r="BI32" s="136"/>
      <c r="BJ32" s="136"/>
      <c r="BK32" s="136"/>
      <c r="BL32" s="136"/>
      <c r="BM32" s="136"/>
      <c r="BN32" s="143" t="s">
        <v>270</v>
      </c>
      <c r="BX32" s="136"/>
      <c r="BZ32" s="131" t="s">
        <v>270</v>
      </c>
      <c r="CJ32" s="11"/>
      <c r="CK32" s="136"/>
      <c r="CL32" s="143" t="s">
        <v>270</v>
      </c>
      <c r="CM32" s="141"/>
      <c r="CN32" s="141"/>
      <c r="CO32" s="141"/>
      <c r="CP32" s="141"/>
      <c r="CQ32" s="141"/>
      <c r="CR32" s="141"/>
      <c r="CS32" s="141"/>
      <c r="CT32" s="141"/>
      <c r="CU32" s="141"/>
      <c r="DB32" s="8" t="s">
        <v>219</v>
      </c>
      <c r="DC32" s="32">
        <v>6.9079270574994851</v>
      </c>
      <c r="DD32" s="8">
        <v>4.3485021782256874</v>
      </c>
      <c r="DE32" s="11">
        <f t="shared" si="89"/>
        <v>0.62949451290236236</v>
      </c>
      <c r="DI32" s="6">
        <f t="shared" si="88"/>
        <v>0.34792828728918512</v>
      </c>
    </row>
    <row r="33" spans="1:113" ht="15" customHeight="1" thickBot="1" x14ac:dyDescent="0.3">
      <c r="B33" s="1" t="s">
        <v>73</v>
      </c>
      <c r="C33" s="76" t="s">
        <v>8</v>
      </c>
      <c r="D33" s="76" t="s">
        <v>9</v>
      </c>
      <c r="E33" s="76" t="s">
        <v>10</v>
      </c>
      <c r="F33" s="76" t="s">
        <v>11</v>
      </c>
      <c r="G33" s="76" t="s">
        <v>12</v>
      </c>
      <c r="H33" s="77" t="s">
        <v>13</v>
      </c>
      <c r="I33" s="76" t="s">
        <v>14</v>
      </c>
      <c r="J33" s="76" t="s">
        <v>15</v>
      </c>
      <c r="K33" s="44" t="s">
        <v>16</v>
      </c>
      <c r="L33" s="136"/>
      <c r="M33" s="282" t="s">
        <v>135</v>
      </c>
      <c r="N33" s="144"/>
      <c r="O33" t="s">
        <v>0</v>
      </c>
      <c r="P33" t="s">
        <v>8</v>
      </c>
      <c r="Q33" t="s">
        <v>9</v>
      </c>
      <c r="R33" t="s">
        <v>10</v>
      </c>
      <c r="S33" t="s">
        <v>11</v>
      </c>
      <c r="T33" t="s">
        <v>12</v>
      </c>
      <c r="U33" t="s">
        <v>13</v>
      </c>
      <c r="V33" t="s">
        <v>14</v>
      </c>
      <c r="W33" t="s">
        <v>15</v>
      </c>
      <c r="X33" t="s">
        <v>16</v>
      </c>
      <c r="Y33" s="287" t="s">
        <v>135</v>
      </c>
      <c r="AA33" s="11" t="s">
        <v>0</v>
      </c>
      <c r="AB33" t="s">
        <v>8</v>
      </c>
      <c r="AC33" t="s">
        <v>9</v>
      </c>
      <c r="AD33" t="s">
        <v>10</v>
      </c>
      <c r="AE33" t="s">
        <v>11</v>
      </c>
      <c r="AF33" t="s">
        <v>12</v>
      </c>
      <c r="AG33" t="s">
        <v>13</v>
      </c>
      <c r="AH33" t="s">
        <v>14</v>
      </c>
      <c r="AI33" t="s">
        <v>15</v>
      </c>
      <c r="AJ33" t="s">
        <v>16</v>
      </c>
      <c r="AK33" s="11" t="s">
        <v>135</v>
      </c>
      <c r="AM33" s="133" t="s">
        <v>0</v>
      </c>
      <c r="AN33" s="134" t="s">
        <v>8</v>
      </c>
      <c r="AO33" s="134" t="s">
        <v>9</v>
      </c>
      <c r="AP33" s="134" t="s">
        <v>10</v>
      </c>
      <c r="AQ33" s="134" t="s">
        <v>11</v>
      </c>
      <c r="AR33" s="134" t="s">
        <v>12</v>
      </c>
      <c r="AS33" s="134" t="s">
        <v>13</v>
      </c>
      <c r="AT33" s="134" t="s">
        <v>14</v>
      </c>
      <c r="AU33" s="134" t="s">
        <v>15</v>
      </c>
      <c r="AV33" s="135" t="s">
        <v>16</v>
      </c>
      <c r="AX33" s="246"/>
      <c r="BA33" s="1" t="s">
        <v>73</v>
      </c>
      <c r="BB33" s="76" t="s">
        <v>8</v>
      </c>
      <c r="BC33" s="76" t="s">
        <v>9</v>
      </c>
      <c r="BD33" s="76" t="s">
        <v>10</v>
      </c>
      <c r="BE33" s="76" t="s">
        <v>11</v>
      </c>
      <c r="BF33" s="76" t="s">
        <v>12</v>
      </c>
      <c r="BG33" s="77" t="s">
        <v>13</v>
      </c>
      <c r="BH33" s="76" t="s">
        <v>14</v>
      </c>
      <c r="BI33" s="76" t="s">
        <v>15</v>
      </c>
      <c r="BJ33" s="44" t="s">
        <v>16</v>
      </c>
      <c r="BK33" s="136"/>
      <c r="BL33" s="136"/>
      <c r="BM33" s="144"/>
      <c r="BN33" t="s">
        <v>0</v>
      </c>
      <c r="BO33" t="s">
        <v>8</v>
      </c>
      <c r="BP33" t="s">
        <v>9</v>
      </c>
      <c r="BQ33" t="s">
        <v>10</v>
      </c>
      <c r="BR33" t="s">
        <v>11</v>
      </c>
      <c r="BS33" t="s">
        <v>12</v>
      </c>
      <c r="BT33" t="s">
        <v>13</v>
      </c>
      <c r="BU33" t="s">
        <v>14</v>
      </c>
      <c r="BV33" t="s">
        <v>15</v>
      </c>
      <c r="BW33" t="s">
        <v>16</v>
      </c>
      <c r="BX33" s="136"/>
      <c r="BZ33" s="11" t="s">
        <v>0</v>
      </c>
      <c r="CA33" s="110" t="s">
        <v>8</v>
      </c>
      <c r="CB33" s="26" t="s">
        <v>9</v>
      </c>
      <c r="CC33" s="26" t="s">
        <v>10</v>
      </c>
      <c r="CD33" s="26" t="s">
        <v>11</v>
      </c>
      <c r="CE33" s="26" t="s">
        <v>12</v>
      </c>
      <c r="CF33" s="26" t="s">
        <v>13</v>
      </c>
      <c r="CG33" s="26" t="s">
        <v>14</v>
      </c>
      <c r="CH33" s="26" t="s">
        <v>15</v>
      </c>
      <c r="CI33" s="26" t="s">
        <v>16</v>
      </c>
      <c r="CJ33" s="11"/>
      <c r="CK33" s="136"/>
      <c r="CL33" s="133" t="s">
        <v>0</v>
      </c>
      <c r="CM33" s="134" t="s">
        <v>8</v>
      </c>
      <c r="CN33" s="134" t="s">
        <v>9</v>
      </c>
      <c r="CO33" s="134" t="s">
        <v>10</v>
      </c>
      <c r="CP33" s="134" t="s">
        <v>11</v>
      </c>
      <c r="CQ33" s="134" t="s">
        <v>12</v>
      </c>
      <c r="CR33" s="134" t="s">
        <v>13</v>
      </c>
      <c r="CS33" s="134" t="s">
        <v>14</v>
      </c>
      <c r="CT33" s="134" t="s">
        <v>15</v>
      </c>
      <c r="CU33" s="135" t="s">
        <v>16</v>
      </c>
      <c r="DB33" s="8" t="s">
        <v>385</v>
      </c>
      <c r="DC33" s="32">
        <v>4.1308524194194742</v>
      </c>
      <c r="DD33" s="8">
        <v>4.1182956007917459</v>
      </c>
      <c r="DE33" s="11">
        <f t="shared" si="89"/>
        <v>0.99696023547859092</v>
      </c>
      <c r="DI33" s="6">
        <f t="shared" si="88"/>
        <v>0.41070477442458708</v>
      </c>
    </row>
    <row r="34" spans="1:113" ht="15" customHeight="1" thickTop="1" x14ac:dyDescent="0.25">
      <c r="A34" s="11"/>
      <c r="B34" s="1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36"/>
      <c r="M34" s="281">
        <v>78</v>
      </c>
      <c r="N34" s="144"/>
      <c r="O34" s="210" t="s">
        <v>184</v>
      </c>
      <c r="P34" s="31">
        <v>2.6742450313631205</v>
      </c>
      <c r="Q34" s="31">
        <v>1.6677548603791863</v>
      </c>
      <c r="R34" s="31">
        <v>0.20076470087675097</v>
      </c>
      <c r="S34" s="31">
        <v>0.17103921142180864</v>
      </c>
      <c r="T34" s="31">
        <v>0.19450979907191812</v>
      </c>
      <c r="U34" s="31">
        <v>0.23623528822766829</v>
      </c>
      <c r="V34" s="31">
        <v>0.33928430526622327</v>
      </c>
      <c r="W34" s="31">
        <v>0.1304607810609886</v>
      </c>
      <c r="X34" s="27">
        <v>0.45717645918960104</v>
      </c>
      <c r="Y34" s="282">
        <v>79</v>
      </c>
      <c r="AA34" s="271" t="s">
        <v>155</v>
      </c>
      <c r="AB34" s="31">
        <v>5.7072267003870003</v>
      </c>
      <c r="AC34" s="31">
        <v>2.1003363054179998</v>
      </c>
      <c r="AD34" s="31">
        <v>0.437639047038</v>
      </c>
      <c r="AE34" s="31">
        <v>0.526643205138</v>
      </c>
      <c r="AF34" s="31">
        <v>1.63369310616</v>
      </c>
      <c r="AG34" s="31">
        <v>0.34203737791799999</v>
      </c>
      <c r="AH34" s="31">
        <v>2.075894394309</v>
      </c>
      <c r="AI34" s="31">
        <v>0.37832368852800002</v>
      </c>
      <c r="AJ34" s="27">
        <v>2.378682805725</v>
      </c>
      <c r="AK34" s="11">
        <v>65</v>
      </c>
      <c r="AL34" s="6"/>
      <c r="AM34" s="11" t="s">
        <v>59</v>
      </c>
      <c r="AN34" s="33">
        <v>3.3604499708656626</v>
      </c>
      <c r="AO34" s="33">
        <v>1.4807931689800415</v>
      </c>
      <c r="AP34" s="33">
        <v>0.23623636158824807</v>
      </c>
      <c r="AQ34" s="33">
        <v>0.25930908866094005</v>
      </c>
      <c r="AR34" s="33">
        <v>0.76570226608880809</v>
      </c>
      <c r="AS34" s="33">
        <v>0.49902272294631372</v>
      </c>
      <c r="AT34" s="33">
        <v>0.97866817333335121</v>
      </c>
      <c r="AU34" s="33">
        <v>0.58337726766952447</v>
      </c>
      <c r="AV34" s="10">
        <v>1.6197068041393283</v>
      </c>
      <c r="AX34" s="246"/>
      <c r="BA34" s="11" t="s">
        <v>384</v>
      </c>
      <c r="BB34" s="7">
        <f t="shared" ref="BB34:BJ39" si="90">C34/$M34*1000</f>
        <v>61.601201562945214</v>
      </c>
      <c r="BC34" s="7">
        <f t="shared" si="90"/>
        <v>11.860311677312323</v>
      </c>
      <c r="BD34" s="7">
        <f t="shared" si="90"/>
        <v>5.8031181571734196</v>
      </c>
      <c r="BE34" s="7">
        <f t="shared" si="90"/>
        <v>6.4189206451153957</v>
      </c>
      <c r="BF34" s="7">
        <f t="shared" si="90"/>
        <v>15.004210110563088</v>
      </c>
      <c r="BG34" s="7">
        <f t="shared" si="90"/>
        <v>8.3731196399773609</v>
      </c>
      <c r="BH34" s="7">
        <f t="shared" si="90"/>
        <v>20.496477660422755</v>
      </c>
      <c r="BI34" s="7">
        <f t="shared" si="90"/>
        <v>4.038231421875337</v>
      </c>
      <c r="BJ34" s="10">
        <f t="shared" si="90"/>
        <v>27.887643642467488</v>
      </c>
      <c r="BK34" s="136"/>
      <c r="BL34" s="136"/>
      <c r="BM34" s="144"/>
      <c r="BN34" s="215" t="s">
        <v>184</v>
      </c>
      <c r="BO34" s="30">
        <f t="shared" ref="BO34:BW34" si="91">P34/$Y34*1000</f>
        <v>33.851202928647091</v>
      </c>
      <c r="BP34" s="31">
        <f t="shared" si="91"/>
        <v>21.110821017458054</v>
      </c>
      <c r="BQ34" s="31">
        <f t="shared" si="91"/>
        <v>2.5413253275538099</v>
      </c>
      <c r="BR34" s="31">
        <f t="shared" si="91"/>
        <v>2.1650533091368183</v>
      </c>
      <c r="BS34" s="31">
        <f t="shared" si="91"/>
        <v>2.4621493553407356</v>
      </c>
      <c r="BT34" s="31">
        <f t="shared" si="91"/>
        <v>2.9903201041476999</v>
      </c>
      <c r="BU34" s="31">
        <f t="shared" si="91"/>
        <v>4.2947380413445977</v>
      </c>
      <c r="BV34" s="31">
        <f t="shared" si="91"/>
        <v>1.6514022919112481</v>
      </c>
      <c r="BW34" s="27">
        <f t="shared" si="91"/>
        <v>5.7870437872101395</v>
      </c>
      <c r="BZ34" s="271" t="s">
        <v>155</v>
      </c>
      <c r="CA34" s="7"/>
      <c r="CB34" s="7"/>
      <c r="CC34" s="7"/>
      <c r="CD34" s="7"/>
      <c r="CE34" s="7"/>
      <c r="CF34" s="7"/>
      <c r="CG34" s="7"/>
      <c r="CH34" s="7"/>
      <c r="CI34" s="7"/>
      <c r="CJ34" s="6"/>
      <c r="CK34" s="68"/>
      <c r="CL34" s="11" t="s">
        <v>59</v>
      </c>
      <c r="CM34" s="7">
        <f t="shared" ref="CM34:CU35" si="92">AN34/$AW5*1000</f>
        <v>53.340475728026391</v>
      </c>
      <c r="CN34" s="7">
        <f t="shared" si="92"/>
        <v>23.504653475873674</v>
      </c>
      <c r="CO34" s="7">
        <f t="shared" si="92"/>
        <v>3.7497835172737788</v>
      </c>
      <c r="CP34" s="7">
        <f t="shared" si="92"/>
        <v>4.1160172803323816</v>
      </c>
      <c r="CQ34" s="7">
        <f t="shared" si="92"/>
        <v>12.154004223631874</v>
      </c>
      <c r="CR34" s="7">
        <f t="shared" si="92"/>
        <v>7.9209956023224404</v>
      </c>
      <c r="CS34" s="7">
        <f t="shared" si="92"/>
        <v>15.534415449735734</v>
      </c>
      <c r="CT34" s="7">
        <f t="shared" si="92"/>
        <v>9.2599566296749902</v>
      </c>
      <c r="CU34" s="10">
        <f t="shared" si="92"/>
        <v>25.70963181173537</v>
      </c>
      <c r="DB34" s="8" t="s">
        <v>223</v>
      </c>
      <c r="DC34" s="32">
        <v>7.4736077230212361</v>
      </c>
      <c r="DD34" s="8">
        <v>6.5783797017643364</v>
      </c>
      <c r="DE34" s="11">
        <f t="shared" si="89"/>
        <v>0.88021474307524927</v>
      </c>
      <c r="DI34" s="6">
        <f t="shared" si="88"/>
        <v>0.41602002925147419</v>
      </c>
    </row>
    <row r="35" spans="1:113" x14ac:dyDescent="0.25">
      <c r="A35" s="1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36"/>
      <c r="M35" s="281">
        <v>86</v>
      </c>
      <c r="N35" s="144"/>
      <c r="O35" s="211" t="s">
        <v>187</v>
      </c>
      <c r="P35" s="48"/>
      <c r="Q35" s="33">
        <v>1.3689384347585156</v>
      </c>
      <c r="R35" s="33">
        <v>1.1462692083452659</v>
      </c>
      <c r="S35" s="33">
        <v>0.50795383621696666</v>
      </c>
      <c r="T35" s="33">
        <v>0.32342307059609243</v>
      </c>
      <c r="U35" s="33">
        <v>0.32744614744046757</v>
      </c>
      <c r="V35" s="33">
        <v>1.0824999788235248</v>
      </c>
      <c r="W35" s="33">
        <v>0.21212307277340575</v>
      </c>
      <c r="X35" s="8">
        <v>1.1704769001793938</v>
      </c>
      <c r="Y35" s="282">
        <v>46</v>
      </c>
      <c r="AA35" s="6" t="s">
        <v>156</v>
      </c>
      <c r="AB35" s="33">
        <v>3.2429381711762204</v>
      </c>
      <c r="AC35" s="33">
        <v>1.0595155238637277</v>
      </c>
      <c r="AD35" s="33">
        <v>0.22174431850375356</v>
      </c>
      <c r="AE35" s="33">
        <v>0.19452015638332687</v>
      </c>
      <c r="AF35" s="33">
        <v>0.39367174506149483</v>
      </c>
      <c r="AG35" s="33">
        <v>0.55617393628132084</v>
      </c>
      <c r="AH35" s="33">
        <v>0.8534051888327101</v>
      </c>
      <c r="AI35" s="33">
        <v>0.42550414365558648</v>
      </c>
      <c r="AJ35" s="8">
        <v>1.4740557760433799</v>
      </c>
      <c r="AK35" s="11">
        <v>59</v>
      </c>
      <c r="AL35" s="6"/>
      <c r="AM35" s="11" t="s">
        <v>64</v>
      </c>
      <c r="AN35" s="33">
        <v>3.5739780394162621</v>
      </c>
      <c r="AO35" s="33">
        <v>0.27707425677541891</v>
      </c>
      <c r="AP35" s="33">
        <v>0.23845178461884536</v>
      </c>
      <c r="AQ35" s="33">
        <v>0.33416834605035373</v>
      </c>
      <c r="AR35" s="33">
        <v>1.258868693914984</v>
      </c>
      <c r="AS35" s="33">
        <v>1.0982215995825695</v>
      </c>
      <c r="AT35" s="33">
        <v>1.4866853050414397</v>
      </c>
      <c r="AU35" s="33">
        <v>0.55582775147068886</v>
      </c>
      <c r="AV35" s="8">
        <v>2.0889719722946736</v>
      </c>
      <c r="AX35" s="246"/>
      <c r="AZ35" s="11"/>
      <c r="BA35" s="11" t="s">
        <v>383</v>
      </c>
      <c r="BB35" s="7">
        <f t="shared" si="90"/>
        <v>39.564187134317834</v>
      </c>
      <c r="BC35" s="7">
        <f t="shared" si="90"/>
        <v>12.868305122675588</v>
      </c>
      <c r="BD35" s="7">
        <f t="shared" si="90"/>
        <v>3.8782632956113683</v>
      </c>
      <c r="BE35" s="7">
        <f t="shared" si="90"/>
        <v>4.5758155200102619</v>
      </c>
      <c r="BF35" s="7">
        <f t="shared" si="90"/>
        <v>6.7788049412595281</v>
      </c>
      <c r="BG35" s="7">
        <f t="shared" si="90"/>
        <v>6.73115292382818</v>
      </c>
      <c r="BH35" s="7">
        <f t="shared" si="90"/>
        <v>9.2309899767427321</v>
      </c>
      <c r="BI35" s="7">
        <f t="shared" si="90"/>
        <v>3.6610800623184918</v>
      </c>
      <c r="BJ35" s="8">
        <f t="shared" si="90"/>
        <v>12.685944517505622</v>
      </c>
      <c r="BK35" s="136"/>
      <c r="BL35" s="136"/>
      <c r="BM35" s="144"/>
      <c r="BN35" s="6" t="s">
        <v>187</v>
      </c>
      <c r="BO35" s="307"/>
      <c r="BP35" s="33">
        <f t="shared" ref="BP35:BP39" si="93">Q35/$Y35*1000</f>
        <v>29.759531190402512</v>
      </c>
      <c r="BR35" s="33">
        <f t="shared" ref="BR35:BR38" si="94">S35/$Y35*1000</f>
        <v>11.042474700368841</v>
      </c>
      <c r="BS35" s="33">
        <f t="shared" ref="BS35:BS39" si="95">T35/$Y35*1000</f>
        <v>7.0309363173063568</v>
      </c>
      <c r="BT35" s="33">
        <f t="shared" ref="BT35:BT39" si="96">U35/$Y35*1000</f>
        <v>7.1183945095753822</v>
      </c>
      <c r="BU35" s="33">
        <f t="shared" ref="BU35:BU39" si="97">V35/$Y35*1000</f>
        <v>23.532608235294017</v>
      </c>
      <c r="BV35" s="33">
        <f t="shared" ref="BV35:BV39" si="98">W35/$Y35*1000</f>
        <v>4.6113711472479508</v>
      </c>
      <c r="BW35" s="8">
        <f t="shared" ref="BW35:BW39" si="99">X35/$Y35*1000</f>
        <v>25.445150003899862</v>
      </c>
      <c r="BX35" s="33">
        <v>24.918895833592735</v>
      </c>
      <c r="BZ35" s="58" t="s">
        <v>156</v>
      </c>
      <c r="CA35" s="32">
        <f t="shared" ref="CA35:CI37" si="100">AB35/$AK35*1000</f>
        <v>54.965053748749497</v>
      </c>
      <c r="CB35" s="33">
        <f t="shared" si="100"/>
        <v>17.957890234978436</v>
      </c>
      <c r="CC35" s="33">
        <f t="shared" si="100"/>
        <v>3.7583782797246368</v>
      </c>
      <c r="CD35" s="33">
        <f t="shared" si="100"/>
        <v>3.2969518031072349</v>
      </c>
      <c r="CE35" s="33">
        <f t="shared" si="100"/>
        <v>6.6724024586694037</v>
      </c>
      <c r="CF35" s="33">
        <f t="shared" si="100"/>
        <v>9.4266768861240831</v>
      </c>
      <c r="CG35" s="33">
        <f t="shared" si="100"/>
        <v>14.464494725978136</v>
      </c>
      <c r="CH35" s="33">
        <f t="shared" si="100"/>
        <v>7.2119346382302787</v>
      </c>
      <c r="CI35" s="8">
        <f t="shared" si="100"/>
        <v>24.983996204125084</v>
      </c>
      <c r="CJ35" s="11"/>
      <c r="CK35" s="68"/>
      <c r="CL35" s="11" t="s">
        <v>64</v>
      </c>
      <c r="CM35" s="7">
        <f t="shared" si="92"/>
        <v>38.429871391572711</v>
      </c>
      <c r="CN35" s="7">
        <f t="shared" si="92"/>
        <v>2.9792930836066551</v>
      </c>
      <c r="CO35" s="7">
        <f t="shared" si="92"/>
        <v>2.5639976840736063</v>
      </c>
      <c r="CP35" s="7">
        <f t="shared" si="92"/>
        <v>3.5932080220468139</v>
      </c>
      <c r="CQ35" s="7">
        <f t="shared" si="92"/>
        <v>13.536222515214881</v>
      </c>
      <c r="CR35" s="7">
        <f t="shared" si="92"/>
        <v>11.808834404113652</v>
      </c>
      <c r="CS35" s="7">
        <f t="shared" si="92"/>
        <v>15.985863495069246</v>
      </c>
      <c r="CT35" s="7">
        <f t="shared" si="92"/>
        <v>5.9766424889321383</v>
      </c>
      <c r="CU35" s="8">
        <f t="shared" si="92"/>
        <v>22.462064218222299</v>
      </c>
      <c r="DB35" s="8" t="s">
        <v>228</v>
      </c>
      <c r="DC35" s="32">
        <v>9.057377049180328</v>
      </c>
      <c r="DD35" s="8">
        <v>6.609174817467971</v>
      </c>
      <c r="DE35" s="11">
        <f t="shared" si="89"/>
        <v>0.72970074907791171</v>
      </c>
      <c r="DI35" s="6">
        <f t="shared" si="88"/>
        <v>0.44435799827725142</v>
      </c>
    </row>
    <row r="36" spans="1:113" x14ac:dyDescent="0.25">
      <c r="A36" s="11"/>
      <c r="B36" s="1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36"/>
      <c r="M36" s="281">
        <v>90</v>
      </c>
      <c r="N36" s="144"/>
      <c r="O36" s="6" t="s">
        <v>188</v>
      </c>
      <c r="P36" s="33">
        <v>1.7324729458917836</v>
      </c>
      <c r="Q36" s="33">
        <v>0.66058316633266534</v>
      </c>
      <c r="R36" s="33">
        <v>0.12976953907815633</v>
      </c>
      <c r="S36" s="33">
        <v>0.15742484969939879</v>
      </c>
      <c r="T36" s="33">
        <v>0.49080961923847694</v>
      </c>
      <c r="U36" s="33">
        <v>0.39327054108216436</v>
      </c>
      <c r="V36" s="33">
        <v>0.56323647294589174</v>
      </c>
      <c r="W36" s="33">
        <v>0.21397394789579158</v>
      </c>
      <c r="X36" s="8">
        <v>0.80064529058116229</v>
      </c>
      <c r="Y36" s="282">
        <v>50</v>
      </c>
      <c r="AA36" s="6" t="s">
        <v>161</v>
      </c>
      <c r="AB36" s="33">
        <v>2.0106540926798337</v>
      </c>
      <c r="AC36" s="33">
        <v>0.79401864699302172</v>
      </c>
      <c r="AD36" s="33">
        <v>0.22357295653009543</v>
      </c>
      <c r="AE36" s="33">
        <v>0.21436375503438648</v>
      </c>
      <c r="AF36" s="33">
        <v>0.26386051717174486</v>
      </c>
      <c r="AG36" s="33">
        <v>0.62670736954600048</v>
      </c>
      <c r="AH36" s="33">
        <v>0.69213511569154851</v>
      </c>
      <c r="AI36" s="33">
        <v>0.10892882206321766</v>
      </c>
      <c r="AJ36" s="8">
        <v>0.85176846402270945</v>
      </c>
      <c r="AK36" s="11">
        <v>58</v>
      </c>
      <c r="AL36" s="68"/>
      <c r="AM36" s="11" t="s">
        <v>66</v>
      </c>
      <c r="AN36" s="33">
        <v>4.6802582781456952</v>
      </c>
      <c r="AO36" s="33">
        <v>1.4468675496688741</v>
      </c>
      <c r="AP36" s="33">
        <v>0.44610596026490068</v>
      </c>
      <c r="AQ36" s="33">
        <v>0.40618543046357608</v>
      </c>
      <c r="AR36" s="33">
        <v>1.608801324503311</v>
      </c>
      <c r="AS36" s="48"/>
      <c r="AT36" s="33">
        <v>0.95982119205298</v>
      </c>
      <c r="AU36" s="33">
        <v>0.30653642384105961</v>
      </c>
      <c r="AV36" s="8">
        <v>1.6568145695364238</v>
      </c>
      <c r="AX36" s="246"/>
      <c r="AZ36" s="11"/>
      <c r="BA36" s="11" t="s">
        <v>382</v>
      </c>
      <c r="BB36" s="7">
        <f t="shared" si="90"/>
        <v>62.676144759489681</v>
      </c>
      <c r="BC36" s="7">
        <f t="shared" si="90"/>
        <v>19.669668064372889</v>
      </c>
      <c r="BD36" s="7">
        <f t="shared" si="90"/>
        <v>4.4500789477493186</v>
      </c>
      <c r="BE36" s="7">
        <f t="shared" si="90"/>
        <v>4.2980252366765539</v>
      </c>
      <c r="BF36" s="7">
        <f t="shared" si="90"/>
        <v>10.917377466083716</v>
      </c>
      <c r="BG36" s="7">
        <f t="shared" si="90"/>
        <v>8.3087676956016026</v>
      </c>
      <c r="BH36" s="7">
        <f t="shared" si="90"/>
        <v>19.603870276672314</v>
      </c>
      <c r="BI36" s="7">
        <f t="shared" si="90"/>
        <v>3.4616113423651198</v>
      </c>
      <c r="BJ36" s="8">
        <f t="shared" si="90"/>
        <v>26.195181432089427</v>
      </c>
      <c r="BK36" s="136"/>
      <c r="BL36" s="136"/>
      <c r="BM36" s="144"/>
      <c r="BN36" s="58" t="s">
        <v>188</v>
      </c>
      <c r="BO36" s="32">
        <f t="shared" ref="BO36:BO39" si="101">P36/$Y36*1000</f>
        <v>34.649458917835666</v>
      </c>
      <c r="BP36" s="33">
        <f t="shared" si="93"/>
        <v>13.211663326653307</v>
      </c>
      <c r="BQ36" s="33">
        <f t="shared" ref="BQ36:BQ39" si="102">R36/$Y36*1000</f>
        <v>2.5953907815631267</v>
      </c>
      <c r="BR36" s="33">
        <f t="shared" si="94"/>
        <v>3.1484969939879761</v>
      </c>
      <c r="BS36" s="33">
        <f t="shared" si="95"/>
        <v>9.816192384769538</v>
      </c>
      <c r="BT36" s="33">
        <f t="shared" si="96"/>
        <v>7.8654108216432883</v>
      </c>
      <c r="BU36" s="33">
        <f t="shared" si="97"/>
        <v>11.264729458917836</v>
      </c>
      <c r="BV36" s="33">
        <f t="shared" si="98"/>
        <v>4.2794789579158312</v>
      </c>
      <c r="BW36" s="8">
        <f t="shared" si="99"/>
        <v>16.012905811623245</v>
      </c>
      <c r="BX36" s="136"/>
      <c r="BZ36" s="58" t="s">
        <v>161</v>
      </c>
      <c r="CA36" s="32">
        <f t="shared" si="100"/>
        <v>34.666449873790235</v>
      </c>
      <c r="CB36" s="33">
        <f t="shared" si="100"/>
        <v>13.689976672293477</v>
      </c>
      <c r="CC36" s="33">
        <f t="shared" si="100"/>
        <v>3.8547061470706105</v>
      </c>
      <c r="CD36" s="33">
        <f t="shared" si="100"/>
        <v>3.6959268109376979</v>
      </c>
      <c r="CE36" s="33">
        <f t="shared" si="100"/>
        <v>4.5493192615818074</v>
      </c>
      <c r="CF36" s="33">
        <f t="shared" si="100"/>
        <v>10.805299474931044</v>
      </c>
      <c r="CG36" s="33">
        <f t="shared" si="100"/>
        <v>11.933364063647387</v>
      </c>
      <c r="CH36" s="33">
        <f t="shared" si="100"/>
        <v>1.8780831390209942</v>
      </c>
      <c r="CI36" s="8">
        <f t="shared" si="100"/>
        <v>14.685663172805336</v>
      </c>
      <c r="CJ36" s="11"/>
      <c r="CK36" s="68"/>
      <c r="CL36" s="11" t="s">
        <v>66</v>
      </c>
      <c r="CM36" s="7">
        <f t="shared" ref="CM36:CQ39" si="103">AN36/$AW7*1000</f>
        <v>88.306759965013114</v>
      </c>
      <c r="CN36" s="7">
        <f t="shared" si="103"/>
        <v>27.299387729601399</v>
      </c>
      <c r="CO36" s="7">
        <f t="shared" si="103"/>
        <v>8.4170935899037858</v>
      </c>
      <c r="CP36" s="7">
        <f t="shared" si="103"/>
        <v>7.6638760464825681</v>
      </c>
      <c r="CQ36" s="7">
        <f t="shared" si="103"/>
        <v>30.354741971760586</v>
      </c>
      <c r="CR36" s="48"/>
      <c r="CS36" s="7">
        <f t="shared" ref="CS36:CU39" si="104">AT36/$AW7*1000</f>
        <v>18.109833812320378</v>
      </c>
      <c r="CT36" s="7">
        <f t="shared" si="104"/>
        <v>5.783706110208672</v>
      </c>
      <c r="CU36" s="8">
        <f t="shared" si="104"/>
        <v>31.260652255404224</v>
      </c>
      <c r="DB36" s="8" t="s">
        <v>229</v>
      </c>
      <c r="DC36" s="32"/>
      <c r="DD36" s="8"/>
      <c r="DE36" s="11"/>
      <c r="DI36" s="6"/>
    </row>
    <row r="37" spans="1:113" ht="15" customHeight="1" x14ac:dyDescent="0.25">
      <c r="A37" s="11"/>
      <c r="B37" s="1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136"/>
      <c r="M37" s="281">
        <v>80</v>
      </c>
      <c r="O37" s="6" t="s">
        <v>189</v>
      </c>
      <c r="P37" s="33">
        <v>2.5222346487724341</v>
      </c>
      <c r="Q37" s="33">
        <v>0.63026911704225064</v>
      </c>
      <c r="R37" s="33">
        <v>4.561590061704679E-2</v>
      </c>
      <c r="S37" s="33">
        <v>0.11677561123576252</v>
      </c>
      <c r="T37" s="33">
        <v>0.62412255226498359</v>
      </c>
      <c r="U37" s="33">
        <v>0.50061672618408304</v>
      </c>
      <c r="V37" s="33">
        <v>1.3013754997708538</v>
      </c>
      <c r="W37" s="33">
        <v>0.29200742458173495</v>
      </c>
      <c r="X37" s="8">
        <v>1.7368240480642101</v>
      </c>
      <c r="Y37" s="282">
        <v>47</v>
      </c>
      <c r="AA37" s="6" t="s">
        <v>164</v>
      </c>
      <c r="AB37" s="33">
        <v>3.3870383960250674</v>
      </c>
      <c r="AC37" s="33">
        <v>1.0338373846624487</v>
      </c>
      <c r="AD37" s="33">
        <v>0.62633691993483753</v>
      </c>
      <c r="AE37" s="33">
        <v>0.34442019199485219</v>
      </c>
      <c r="AF37" s="33">
        <v>0.89257277690986381</v>
      </c>
      <c r="AG37" s="33">
        <v>0.46563326508917319</v>
      </c>
      <c r="AH37" s="33">
        <v>1.1254191418605271</v>
      </c>
      <c r="AI37" s="33">
        <v>0.21005944893332451</v>
      </c>
      <c r="AJ37" s="8">
        <v>1.4300216956371903</v>
      </c>
      <c r="AK37" s="11">
        <v>68</v>
      </c>
      <c r="AL37" s="68"/>
      <c r="AM37" s="11" t="s">
        <v>69</v>
      </c>
      <c r="AN37" s="33">
        <v>3.0871122901175161</v>
      </c>
      <c r="AO37" s="33">
        <v>0.86919593675168516</v>
      </c>
      <c r="AP37" s="33">
        <v>0.37222477158565553</v>
      </c>
      <c r="AQ37" s="33">
        <v>0.31654753999250229</v>
      </c>
      <c r="AR37" s="33">
        <v>0.67350430055432109</v>
      </c>
      <c r="AS37" s="33">
        <v>0.36183284109264779</v>
      </c>
      <c r="AT37" s="33">
        <v>1.1971728711799248</v>
      </c>
      <c r="AU37" s="33">
        <v>8.546973781520395E-2</v>
      </c>
      <c r="AV37" s="8">
        <v>1.4676915942466586</v>
      </c>
      <c r="AX37" s="246"/>
      <c r="AZ37" s="11"/>
      <c r="BA37" s="11" t="s">
        <v>381</v>
      </c>
      <c r="BB37" s="7">
        <f t="shared" si="90"/>
        <v>49.25277329379913</v>
      </c>
      <c r="BC37" s="7">
        <f t="shared" si="90"/>
        <v>10.222855559779118</v>
      </c>
      <c r="BD37" s="7">
        <f t="shared" si="90"/>
        <v>4.9311636231257845</v>
      </c>
      <c r="BE37" s="7">
        <f t="shared" si="90"/>
        <v>5.0297662217761179</v>
      </c>
      <c r="BF37" s="7">
        <f t="shared" si="90"/>
        <v>18.241136186775638</v>
      </c>
      <c r="BG37" s="7">
        <f t="shared" si="90"/>
        <v>8.3382078704915834</v>
      </c>
      <c r="BH37" s="7">
        <f t="shared" si="90"/>
        <v>20.363590143396337</v>
      </c>
      <c r="BI37" s="7">
        <f t="shared" si="90"/>
        <v>4.9985832217370199</v>
      </c>
      <c r="BJ37" s="8">
        <f t="shared" si="90"/>
        <v>25.820787432006728</v>
      </c>
      <c r="BK37" s="136"/>
      <c r="BL37" s="136"/>
      <c r="BN37" s="58" t="s">
        <v>189</v>
      </c>
      <c r="BO37" s="32">
        <f t="shared" si="101"/>
        <v>53.664566995158175</v>
      </c>
      <c r="BP37" s="33">
        <f t="shared" si="93"/>
        <v>13.409981213664906</v>
      </c>
      <c r="BQ37" s="33">
        <f t="shared" si="102"/>
        <v>0.97055107695844234</v>
      </c>
      <c r="BR37" s="33">
        <f t="shared" si="94"/>
        <v>2.48458747310133</v>
      </c>
      <c r="BS37" s="33">
        <f t="shared" si="95"/>
        <v>13.279203239680502</v>
      </c>
      <c r="BT37" s="33">
        <f t="shared" si="96"/>
        <v>10.651419706044321</v>
      </c>
      <c r="BU37" s="33">
        <f t="shared" si="97"/>
        <v>27.688840420656465</v>
      </c>
      <c r="BV37" s="33">
        <f t="shared" si="98"/>
        <v>6.2129239272709569</v>
      </c>
      <c r="BW37" s="8">
        <f t="shared" si="99"/>
        <v>36.953703150302346</v>
      </c>
      <c r="BX37" s="136"/>
      <c r="BZ37" s="58" t="s">
        <v>164</v>
      </c>
      <c r="CA37" s="32">
        <f t="shared" si="100"/>
        <v>49.809388176839228</v>
      </c>
      <c r="CB37" s="33">
        <f t="shared" si="100"/>
        <v>15.203490950918363</v>
      </c>
      <c r="CC37" s="33">
        <f t="shared" si="100"/>
        <v>9.2108370578652572</v>
      </c>
      <c r="CD37" s="33">
        <f t="shared" si="100"/>
        <v>5.0650028234537086</v>
      </c>
      <c r="CE37" s="33">
        <f t="shared" si="100"/>
        <v>13.126070248674468</v>
      </c>
      <c r="CF37" s="33">
        <f t="shared" si="100"/>
        <v>6.847548016017253</v>
      </c>
      <c r="CG37" s="33">
        <f t="shared" si="100"/>
        <v>16.55028149794893</v>
      </c>
      <c r="CH37" s="33">
        <f t="shared" si="100"/>
        <v>3.0891095431371252</v>
      </c>
      <c r="CI37" s="8">
        <f t="shared" si="100"/>
        <v>21.029730818193975</v>
      </c>
      <c r="CJ37" s="11"/>
      <c r="CK37" s="68"/>
      <c r="CL37" s="11" t="s">
        <v>69</v>
      </c>
      <c r="CM37" s="7">
        <f t="shared" si="103"/>
        <v>49.679953172151855</v>
      </c>
      <c r="CN37" s="7">
        <f t="shared" si="103"/>
        <v>13.987704164011669</v>
      </c>
      <c r="CO37" s="7">
        <f t="shared" si="103"/>
        <v>5.9900993174389363</v>
      </c>
      <c r="CP37" s="7">
        <f t="shared" si="103"/>
        <v>5.0941026712665316</v>
      </c>
      <c r="CQ37" s="7">
        <f t="shared" si="103"/>
        <v>10.838498560578067</v>
      </c>
      <c r="CR37" s="7">
        <f>AS37/$AW8*1000</f>
        <v>5.8228651608086226</v>
      </c>
      <c r="CS37" s="7">
        <f t="shared" si="104"/>
        <v>19.265736581588747</v>
      </c>
      <c r="CT37" s="7">
        <f t="shared" si="104"/>
        <v>1.3754383298230439</v>
      </c>
      <c r="CU37" s="8">
        <f t="shared" si="104"/>
        <v>23.619111590709021</v>
      </c>
      <c r="DB37" s="11" t="s">
        <v>284</v>
      </c>
      <c r="DC37" s="32"/>
      <c r="DD37" s="8"/>
      <c r="DE37" s="11"/>
      <c r="DI37" s="6"/>
    </row>
    <row r="38" spans="1:113" x14ac:dyDescent="0.25">
      <c r="A38" s="11"/>
      <c r="B38" s="1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136"/>
      <c r="M38" s="281">
        <v>88</v>
      </c>
      <c r="O38" s="6" t="s">
        <v>191</v>
      </c>
      <c r="P38" s="33">
        <v>1.5360128226453302</v>
      </c>
      <c r="Q38" s="48"/>
      <c r="R38" s="33">
        <v>6.4977272528465774E-2</v>
      </c>
      <c r="S38" s="33">
        <v>1.5808460670234968E-2</v>
      </c>
      <c r="T38" s="33">
        <v>1.02601102161775</v>
      </c>
      <c r="U38" s="33">
        <v>0.40415873738100722</v>
      </c>
      <c r="V38" s="33">
        <v>0.85900987047526778</v>
      </c>
      <c r="W38" s="33">
        <v>0.2689943535714982</v>
      </c>
      <c r="X38" s="8">
        <v>1.2882924033716483</v>
      </c>
      <c r="Y38" s="282">
        <v>68</v>
      </c>
      <c r="Z38" s="136"/>
      <c r="AA38" s="6" t="s">
        <v>166</v>
      </c>
      <c r="AB38" s="33">
        <v>2.2937353841982002</v>
      </c>
      <c r="AC38" s="48"/>
      <c r="AD38" s="33">
        <v>0.31198525948804956</v>
      </c>
      <c r="AE38" s="48"/>
      <c r="AF38" s="33">
        <v>0.92195407984839273</v>
      </c>
      <c r="AG38" s="33">
        <v>0.50717075070930906</v>
      </c>
      <c r="AH38" s="33">
        <v>1.1389011107467293</v>
      </c>
      <c r="AI38" s="33">
        <v>0.35246104359330555</v>
      </c>
      <c r="AJ38" s="8">
        <v>1.5733445919470141</v>
      </c>
      <c r="AK38" s="11">
        <v>79</v>
      </c>
      <c r="AL38" s="68"/>
      <c r="AM38" s="6" t="s">
        <v>72</v>
      </c>
      <c r="AN38" s="7">
        <v>4.3059771428571434</v>
      </c>
      <c r="AO38" s="7">
        <v>2.3934085714285716</v>
      </c>
      <c r="AP38" s="7">
        <v>0.40558285714285713</v>
      </c>
      <c r="AQ38" s="7">
        <v>0.49288285714285712</v>
      </c>
      <c r="AR38" s="7">
        <v>0.60792857142857148</v>
      </c>
      <c r="AS38" s="7">
        <v>0.26400857142857137</v>
      </c>
      <c r="AT38" s="7">
        <v>0.79530857142857148</v>
      </c>
      <c r="AU38" s="7">
        <v>0.19571142857142856</v>
      </c>
      <c r="AV38" s="8">
        <v>1.216662857142857</v>
      </c>
      <c r="AW38" s="289"/>
      <c r="AX38" s="246"/>
      <c r="AZ38" s="11"/>
      <c r="BA38" s="11" t="s">
        <v>380</v>
      </c>
      <c r="BB38" s="7">
        <f t="shared" si="90"/>
        <v>53.537193653121065</v>
      </c>
      <c r="BC38" s="7">
        <f t="shared" si="90"/>
        <v>10.393537913699202</v>
      </c>
      <c r="BD38" s="7">
        <f t="shared" si="90"/>
        <v>5.7066925010473391</v>
      </c>
      <c r="BE38" s="7">
        <f t="shared" si="90"/>
        <v>5.0822816296606614</v>
      </c>
      <c r="BF38" s="7">
        <f t="shared" si="90"/>
        <v>11.283514872224547</v>
      </c>
      <c r="BG38" s="7">
        <f t="shared" si="90"/>
        <v>14.46572580645161</v>
      </c>
      <c r="BH38" s="7">
        <f t="shared" si="90"/>
        <v>13.337675429409297</v>
      </c>
      <c r="BI38" s="7">
        <f t="shared" si="90"/>
        <v>7.7196795140343504</v>
      </c>
      <c r="BJ38" s="8">
        <f t="shared" si="90"/>
        <v>22.823300691244235</v>
      </c>
      <c r="BK38" s="136"/>
      <c r="BL38" s="136"/>
      <c r="BN38" s="58" t="s">
        <v>191</v>
      </c>
      <c r="BO38" s="32">
        <f t="shared" si="101"/>
        <v>22.588423862431327</v>
      </c>
      <c r="BP38" s="48"/>
      <c r="BQ38" s="33">
        <f t="shared" si="102"/>
        <v>0.95554812541861434</v>
      </c>
      <c r="BR38" s="33">
        <f t="shared" si="94"/>
        <v>0.23247736279757306</v>
      </c>
      <c r="BS38" s="33">
        <f t="shared" si="95"/>
        <v>15.088397376731619</v>
      </c>
      <c r="BT38" s="33">
        <f t="shared" si="96"/>
        <v>5.9435108438383413</v>
      </c>
      <c r="BU38" s="33">
        <f t="shared" si="97"/>
        <v>12.632498095224527</v>
      </c>
      <c r="BV38" s="33">
        <f t="shared" si="98"/>
        <v>3.9557993172279144</v>
      </c>
      <c r="BW38" s="8">
        <f t="shared" si="99"/>
        <v>18.945476520171297</v>
      </c>
      <c r="BX38" s="136"/>
      <c r="BY38" s="136"/>
      <c r="BZ38" s="58" t="s">
        <v>166</v>
      </c>
      <c r="CA38" s="32">
        <f t="shared" ref="CA38:CA43" si="105">AB38/$AK38*1000</f>
        <v>29.034625116432913</v>
      </c>
      <c r="CB38" s="48"/>
      <c r="CC38" s="33">
        <f t="shared" ref="CC38:CC43" si="106">AD38/$AK38*1000</f>
        <v>3.9491804998487283</v>
      </c>
      <c r="CD38" s="48"/>
      <c r="CE38" s="33">
        <f t="shared" ref="CE38:CI41" si="107">AF38/$AK38*1000</f>
        <v>11.670304808207502</v>
      </c>
      <c r="CF38" s="33">
        <f t="shared" si="107"/>
        <v>6.4198829203710011</v>
      </c>
      <c r="CG38" s="33">
        <f t="shared" si="107"/>
        <v>14.416469756287713</v>
      </c>
      <c r="CH38" s="33">
        <f t="shared" si="107"/>
        <v>4.4615321973836144</v>
      </c>
      <c r="CI38" s="8">
        <f t="shared" si="107"/>
        <v>19.915754328443217</v>
      </c>
      <c r="CJ38" s="11"/>
      <c r="CK38" s="68"/>
      <c r="CL38" s="6" t="s">
        <v>72</v>
      </c>
      <c r="CM38" s="32">
        <f t="shared" si="103"/>
        <v>79.110364557360711</v>
      </c>
      <c r="CN38" s="33">
        <f t="shared" si="103"/>
        <v>43.972231699955387</v>
      </c>
      <c r="CO38" s="33">
        <f t="shared" si="103"/>
        <v>7.4514579669824936</v>
      </c>
      <c r="CP38" s="33">
        <f t="shared" si="103"/>
        <v>9.0553528778772208</v>
      </c>
      <c r="CQ38" s="33">
        <f t="shared" si="103"/>
        <v>11.168998189023911</v>
      </c>
      <c r="CR38" s="33">
        <f>AS38/$AW9*1000</f>
        <v>4.8504238733891487</v>
      </c>
      <c r="CS38" s="33">
        <f t="shared" si="104"/>
        <v>14.611584997769087</v>
      </c>
      <c r="CT38" s="33">
        <f t="shared" si="104"/>
        <v>3.5956536573843203</v>
      </c>
      <c r="CU38" s="8">
        <f t="shared" si="104"/>
        <v>22.352799139130205</v>
      </c>
      <c r="DB38" s="8" t="s">
        <v>232</v>
      </c>
      <c r="DC38" s="32">
        <v>4.9780698010965185</v>
      </c>
      <c r="DD38" s="8">
        <v>2.6352054949862391</v>
      </c>
      <c r="DE38" s="11">
        <f t="shared" si="89"/>
        <v>0.52936290576033762</v>
      </c>
      <c r="DI38" s="6">
        <f t="shared" ref="DI38:DI50" si="108">DD38/DD11</f>
        <v>0.2241646466086791</v>
      </c>
    </row>
    <row r="39" spans="1:113" ht="15.75" thickBot="1" x14ac:dyDescent="0.3">
      <c r="A39" s="11"/>
      <c r="B39" s="1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136"/>
      <c r="M39" s="281">
        <v>102</v>
      </c>
      <c r="O39" s="212" t="s">
        <v>199</v>
      </c>
      <c r="P39" s="15">
        <v>3.0143451216214068</v>
      </c>
      <c r="Q39" s="15">
        <v>1.4849793983359583</v>
      </c>
      <c r="R39" s="15">
        <v>0.59367409599261844</v>
      </c>
      <c r="S39" s="51"/>
      <c r="T39" s="15">
        <v>0.81000588618972624</v>
      </c>
      <c r="U39" s="15">
        <v>1.3714249351723697</v>
      </c>
      <c r="V39" s="15">
        <v>1.2645902734691929</v>
      </c>
      <c r="W39" s="15">
        <v>0.57719531013856407</v>
      </c>
      <c r="X39" s="16">
        <v>2.0477271353346378</v>
      </c>
      <c r="Y39" s="282">
        <v>95</v>
      </c>
      <c r="Z39" s="136"/>
      <c r="AA39" s="211" t="s">
        <v>169</v>
      </c>
      <c r="AB39" s="33">
        <v>5.2041646156252055</v>
      </c>
      <c r="AC39" s="33">
        <v>1.8736028232735278</v>
      </c>
      <c r="AD39" s="33">
        <v>0.47005481548118283</v>
      </c>
      <c r="AE39" s="33">
        <v>0.48360276129079088</v>
      </c>
      <c r="AF39" s="33">
        <v>0.93730826097443365</v>
      </c>
      <c r="AG39" s="33">
        <v>0.1265958960561098</v>
      </c>
      <c r="AH39" s="33">
        <v>1.2350206030171145</v>
      </c>
      <c r="AI39" s="33">
        <v>0.42817125196967976</v>
      </c>
      <c r="AJ39" s="8">
        <v>1.9395411823782274</v>
      </c>
      <c r="AK39" s="11">
        <v>86</v>
      </c>
      <c r="AL39" s="6"/>
      <c r="AM39" s="14" t="s">
        <v>450</v>
      </c>
      <c r="AN39" s="24">
        <v>3.9252946305515706</v>
      </c>
      <c r="AO39" s="15">
        <v>1.0910049784828284</v>
      </c>
      <c r="AP39" s="15">
        <v>0.42296008775630739</v>
      </c>
      <c r="AQ39" s="15">
        <v>0.51379630410935784</v>
      </c>
      <c r="AR39" s="15">
        <v>1.0988172587404719</v>
      </c>
      <c r="AS39" s="15"/>
      <c r="AT39" s="15">
        <v>0.8283407869940651</v>
      </c>
      <c r="AU39" s="15">
        <v>0.43357803842151155</v>
      </c>
      <c r="AV39" s="16">
        <v>1.429098810226985</v>
      </c>
      <c r="AW39" s="289"/>
      <c r="AX39" s="246"/>
      <c r="AZ39" s="11"/>
      <c r="BA39" s="11" t="s">
        <v>379</v>
      </c>
      <c r="BB39" s="7">
        <f t="shared" si="90"/>
        <v>53.35768500948766</v>
      </c>
      <c r="BC39" s="7">
        <f t="shared" si="90"/>
        <v>17.104703171591215</v>
      </c>
      <c r="BD39" s="7">
        <f t="shared" si="90"/>
        <v>4.0346977500677683</v>
      </c>
      <c r="BE39" s="7">
        <f t="shared" si="90"/>
        <v>3.3696801301165622</v>
      </c>
      <c r="BF39" s="7">
        <f t="shared" si="90"/>
        <v>15.96415017619951</v>
      </c>
      <c r="BG39" s="7">
        <f t="shared" si="90"/>
        <v>6.1089048522634863</v>
      </c>
      <c r="BH39" s="7">
        <f t="shared" si="90"/>
        <v>19.433992952019516</v>
      </c>
      <c r="BI39" s="7">
        <f t="shared" si="90"/>
        <v>5.7051368934670643</v>
      </c>
      <c r="BJ39" s="8">
        <f t="shared" si="90"/>
        <v>23.370222282461373</v>
      </c>
      <c r="BK39" s="136"/>
      <c r="BL39" s="136"/>
      <c r="BN39" s="110" t="s">
        <v>199</v>
      </c>
      <c r="BO39" s="24">
        <f t="shared" si="101"/>
        <v>31.729948648646388</v>
      </c>
      <c r="BP39" s="15">
        <f t="shared" si="93"/>
        <v>15.631362087746931</v>
      </c>
      <c r="BQ39" s="15">
        <f t="shared" si="102"/>
        <v>6.2492010104486155</v>
      </c>
      <c r="BR39" s="172"/>
      <c r="BS39" s="15">
        <f t="shared" si="95"/>
        <v>8.5263777493655404</v>
      </c>
      <c r="BT39" s="15">
        <f t="shared" si="96"/>
        <v>14.43605194918284</v>
      </c>
      <c r="BU39" s="15">
        <f t="shared" si="97"/>
        <v>13.31147656283361</v>
      </c>
      <c r="BV39" s="15">
        <f t="shared" si="98"/>
        <v>6.0757401067217272</v>
      </c>
      <c r="BW39" s="16">
        <f t="shared" si="99"/>
        <v>21.555022477206716</v>
      </c>
      <c r="BX39" s="136"/>
      <c r="BY39" s="136"/>
      <c r="BZ39" s="58" t="s">
        <v>169</v>
      </c>
      <c r="CA39" s="32">
        <f t="shared" si="105"/>
        <v>60.513542042153553</v>
      </c>
      <c r="CB39" s="33">
        <f>AC39/$AK39*1000</f>
        <v>21.786079340389858</v>
      </c>
      <c r="CC39" s="33">
        <f t="shared" si="106"/>
        <v>5.4657536683858465</v>
      </c>
      <c r="CD39" s="33">
        <f>AE39/$AK39*1000</f>
        <v>5.6232879219859404</v>
      </c>
      <c r="CE39" s="33">
        <f t="shared" si="107"/>
        <v>10.898933267144576</v>
      </c>
      <c r="CF39" s="33">
        <f t="shared" si="107"/>
        <v>1.4720453029780209</v>
      </c>
      <c r="CG39" s="33">
        <f t="shared" si="107"/>
        <v>14.360704686245517</v>
      </c>
      <c r="CH39" s="33">
        <f t="shared" si="107"/>
        <v>4.9787354880195318</v>
      </c>
      <c r="CI39" s="8">
        <f t="shared" si="107"/>
        <v>22.552804446258456</v>
      </c>
      <c r="CJ39" s="11"/>
      <c r="CK39" s="136"/>
      <c r="CL39" s="14" t="s">
        <v>449</v>
      </c>
      <c r="CM39" s="15">
        <f t="shared" si="103"/>
        <v>39.649440712642125</v>
      </c>
      <c r="CN39" s="15">
        <f t="shared" si="103"/>
        <v>11.020252307907358</v>
      </c>
      <c r="CO39" s="15">
        <f t="shared" si="103"/>
        <v>4.2723241187505794</v>
      </c>
      <c r="CP39" s="15">
        <f t="shared" si="103"/>
        <v>5.1898616576702814</v>
      </c>
      <c r="CQ39" s="15">
        <f t="shared" si="103"/>
        <v>11.099164229701737</v>
      </c>
      <c r="CR39" s="172"/>
      <c r="CS39" s="15">
        <f t="shared" si="104"/>
        <v>8.3670786565057078</v>
      </c>
      <c r="CT39" s="15">
        <f t="shared" si="104"/>
        <v>4.3795761456718338</v>
      </c>
      <c r="CU39" s="15">
        <f t="shared" si="104"/>
        <v>14.435341517444293</v>
      </c>
      <c r="CV39" s="58"/>
      <c r="DB39" s="8" t="s">
        <v>285</v>
      </c>
      <c r="DC39" s="32">
        <v>7.1089026846068366</v>
      </c>
      <c r="DD39" s="8">
        <v>2.8325707838970269</v>
      </c>
      <c r="DE39" s="11">
        <f t="shared" si="89"/>
        <v>0.39845401035387568</v>
      </c>
      <c r="DI39" s="6">
        <f t="shared" si="108"/>
        <v>0.17230054002999146</v>
      </c>
    </row>
    <row r="40" spans="1:113" ht="15.75" x14ac:dyDescent="0.25">
      <c r="A40" s="176"/>
      <c r="B40" s="11" t="s">
        <v>229</v>
      </c>
      <c r="C40" s="7">
        <v>3.8439000654835831</v>
      </c>
      <c r="D40" s="7">
        <v>0.72025715512723798</v>
      </c>
      <c r="E40" s="7">
        <v>0.29682857648525823</v>
      </c>
      <c r="F40" s="7">
        <v>0.21690714655231105</v>
      </c>
      <c r="G40" s="7">
        <v>0.40183572113127281</v>
      </c>
      <c r="H40" s="12">
        <v>0.48004286532073026</v>
      </c>
      <c r="I40" s="48"/>
      <c r="J40" s="48"/>
      <c r="K40" s="91"/>
      <c r="L40" s="136"/>
      <c r="M40" s="281">
        <v>93</v>
      </c>
      <c r="O40" t="s">
        <v>261</v>
      </c>
      <c r="P40" s="7">
        <f t="shared" ref="P40:X40" si="109">AVERAGE(P34:P39)</f>
        <v>2.2958621140588149</v>
      </c>
      <c r="Q40" s="7">
        <f t="shared" si="109"/>
        <v>1.1625049953697153</v>
      </c>
      <c r="R40" s="7">
        <f t="shared" si="109"/>
        <v>0.36351178623971742</v>
      </c>
      <c r="S40" s="7">
        <f t="shared" si="109"/>
        <v>0.19380039384883435</v>
      </c>
      <c r="T40" s="7">
        <f t="shared" si="109"/>
        <v>0.57814699149649129</v>
      </c>
      <c r="U40" s="7">
        <f t="shared" si="109"/>
        <v>0.53885872924796008</v>
      </c>
      <c r="V40" s="7">
        <f t="shared" si="109"/>
        <v>0.90166606679182582</v>
      </c>
      <c r="W40" s="7">
        <f t="shared" si="109"/>
        <v>0.2824591483369972</v>
      </c>
      <c r="X40" s="7">
        <f t="shared" si="109"/>
        <v>1.2501903727867756</v>
      </c>
      <c r="Y40" s="142"/>
      <c r="Z40" s="136"/>
      <c r="AA40" s="211" t="s">
        <v>171</v>
      </c>
      <c r="AB40" s="33">
        <v>3.7966363636363636</v>
      </c>
      <c r="AC40" s="33">
        <v>1.3650818181818181</v>
      </c>
      <c r="AD40" s="33">
        <v>0.26103636363636362</v>
      </c>
      <c r="AE40" s="33">
        <v>0.13195454545454544</v>
      </c>
      <c r="AF40" s="33">
        <v>0.5572818181818181</v>
      </c>
      <c r="AG40" s="33">
        <v>0.51330909090909083</v>
      </c>
      <c r="AH40" s="33">
        <v>0.62452727272727271</v>
      </c>
      <c r="AI40" s="33">
        <v>0.20800909090909089</v>
      </c>
      <c r="AJ40" s="8">
        <v>0.97598181818181806</v>
      </c>
      <c r="AK40" s="11">
        <v>81</v>
      </c>
      <c r="AM40" s="242" t="s">
        <v>261</v>
      </c>
      <c r="AN40" s="243">
        <f>AVERAGE(AN34:AN39)</f>
        <v>3.8221783919923085</v>
      </c>
      <c r="AO40" s="243">
        <f t="shared" ref="AO40:AV40" si="110">AVERAGE(AO34:AO39)</f>
        <v>1.2597240770145701</v>
      </c>
      <c r="AP40" s="243">
        <f t="shared" si="110"/>
        <v>0.35359363715946901</v>
      </c>
      <c r="AQ40" s="243">
        <f t="shared" si="110"/>
        <v>0.38714826106993111</v>
      </c>
      <c r="AR40" s="243">
        <f t="shared" si="110"/>
        <v>1.0022704025384113</v>
      </c>
      <c r="AS40" s="243">
        <f t="shared" si="110"/>
        <v>0.55577143376252569</v>
      </c>
      <c r="AT40" s="243">
        <f t="shared" si="110"/>
        <v>1.0409994833383887</v>
      </c>
      <c r="AU40" s="243">
        <f t="shared" si="110"/>
        <v>0.36008344129823611</v>
      </c>
      <c r="AV40" s="243">
        <f t="shared" si="110"/>
        <v>1.5798244345978212</v>
      </c>
      <c r="AX40" s="246"/>
      <c r="AZ40" s="11"/>
      <c r="BA40" s="11" t="s">
        <v>229</v>
      </c>
      <c r="BB40" s="7">
        <f t="shared" ref="BB40:BG45" si="111">C40/$M40*1000</f>
        <v>41.332258768640678</v>
      </c>
      <c r="BC40" s="7">
        <f t="shared" si="111"/>
        <v>7.7447005927659998</v>
      </c>
      <c r="BD40" s="7">
        <f t="shared" si="111"/>
        <v>3.1917051234974001</v>
      </c>
      <c r="BE40" s="7">
        <f t="shared" si="111"/>
        <v>2.3323349091646346</v>
      </c>
      <c r="BF40" s="7">
        <f t="shared" si="111"/>
        <v>4.3208142057126109</v>
      </c>
      <c r="BG40" s="7">
        <f t="shared" si="111"/>
        <v>5.1617512400078525</v>
      </c>
      <c r="BH40" s="48"/>
      <c r="BI40" s="48"/>
      <c r="BJ40" s="91"/>
      <c r="BK40" s="136"/>
      <c r="BL40" s="136"/>
      <c r="BN40" t="s">
        <v>261</v>
      </c>
      <c r="BO40" s="7">
        <f t="shared" ref="BO40:BW40" si="112">AVERAGE(BO34:BO39)</f>
        <v>35.29672027054373</v>
      </c>
      <c r="BP40" s="7">
        <f t="shared" si="112"/>
        <v>18.624671767185141</v>
      </c>
      <c r="BQ40" s="7">
        <f>AVERAGE(BQ34:BQ39)</f>
        <v>2.662403264388522</v>
      </c>
      <c r="BR40" s="31">
        <f t="shared" si="112"/>
        <v>3.8146179678785073</v>
      </c>
      <c r="BS40" s="7">
        <f t="shared" si="112"/>
        <v>9.367209403865715</v>
      </c>
      <c r="BT40" s="7">
        <f t="shared" si="112"/>
        <v>8.1675179890719782</v>
      </c>
      <c r="BU40" s="7">
        <f t="shared" si="112"/>
        <v>15.454148469045174</v>
      </c>
      <c r="BV40" s="7">
        <f t="shared" si="112"/>
        <v>4.4644526247159382</v>
      </c>
      <c r="BW40" s="7">
        <f t="shared" si="112"/>
        <v>20.783216958402267</v>
      </c>
      <c r="BX40" s="136"/>
      <c r="BY40" s="136"/>
      <c r="BZ40" s="58" t="s">
        <v>171</v>
      </c>
      <c r="CA40" s="32">
        <f t="shared" si="105"/>
        <v>46.872053872053868</v>
      </c>
      <c r="CB40" s="33">
        <f>AC40/$AK40*1000</f>
        <v>16.852861952861954</v>
      </c>
      <c r="CC40" s="33">
        <f t="shared" si="106"/>
        <v>3.2226711560044889</v>
      </c>
      <c r="CD40" s="33">
        <f>AE40/$AK40*1000</f>
        <v>1.6290684624017955</v>
      </c>
      <c r="CE40" s="33">
        <f t="shared" si="107"/>
        <v>6.8800224466891127</v>
      </c>
      <c r="CF40" s="33">
        <f t="shared" si="107"/>
        <v>6.3371492704826027</v>
      </c>
      <c r="CG40" s="33">
        <f t="shared" si="107"/>
        <v>7.7102132435465762</v>
      </c>
      <c r="CH40" s="33">
        <f t="shared" si="107"/>
        <v>2.5680134680134681</v>
      </c>
      <c r="CI40" s="8">
        <f t="shared" si="107"/>
        <v>12.049158249158246</v>
      </c>
      <c r="CJ40" s="11"/>
      <c r="CK40" s="136"/>
      <c r="CL40" s="140" t="s">
        <v>261</v>
      </c>
      <c r="CM40" s="141">
        <f t="shared" ref="CM40:CU40" si="113">AVERAGE(CM34:CM39)</f>
        <v>58.086144254461146</v>
      </c>
      <c r="CN40" s="141">
        <f t="shared" si="113"/>
        <v>20.460587076826023</v>
      </c>
      <c r="CO40" s="141">
        <f t="shared" si="113"/>
        <v>5.4074593657371972</v>
      </c>
      <c r="CP40" s="141">
        <f t="shared" si="113"/>
        <v>5.7854030926126327</v>
      </c>
      <c r="CQ40" s="141">
        <f t="shared" si="113"/>
        <v>14.858604948318508</v>
      </c>
      <c r="CR40" s="286">
        <f t="shared" si="113"/>
        <v>7.6007797601584652</v>
      </c>
      <c r="CS40" s="141">
        <f t="shared" si="113"/>
        <v>15.312418832164816</v>
      </c>
      <c r="CT40" s="141">
        <f t="shared" si="113"/>
        <v>5.0618288936158331</v>
      </c>
      <c r="CU40" s="141">
        <f t="shared" si="113"/>
        <v>23.306600088774236</v>
      </c>
      <c r="CV40" s="136"/>
      <c r="DB40" s="8" t="s">
        <v>234</v>
      </c>
      <c r="DC40" s="32">
        <v>12.219963568093792</v>
      </c>
      <c r="DD40" s="8">
        <v>13.647310892549516</v>
      </c>
      <c r="DE40" s="11">
        <f t="shared" si="89"/>
        <v>1.1168045482707096</v>
      </c>
      <c r="DI40" s="6">
        <f t="shared" si="108"/>
        <v>0.6213006954253314</v>
      </c>
    </row>
    <row r="41" spans="1:113" ht="15.75" x14ac:dyDescent="0.25">
      <c r="A41" s="11"/>
      <c r="B41" s="1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136"/>
      <c r="M41" s="281">
        <v>96</v>
      </c>
      <c r="O41" s="308" t="s">
        <v>263</v>
      </c>
      <c r="P41" s="309">
        <f>_xlfn.STDEV.S(P34:P39)</f>
        <v>0.63352472114474179</v>
      </c>
      <c r="Q41" s="309">
        <f t="shared" ref="Q41:X41" si="114">_xlfn.STDEV.S(Q34:Q39)</f>
        <v>0.48401510415515919</v>
      </c>
      <c r="R41" s="309">
        <f t="shared" si="114"/>
        <v>0.43289411466709193</v>
      </c>
      <c r="S41" s="309">
        <f t="shared" si="114"/>
        <v>0.18584104928852316</v>
      </c>
      <c r="T41" s="309">
        <f t="shared" si="114"/>
        <v>0.3085916643709023</v>
      </c>
      <c r="U41" s="309">
        <f t="shared" si="114"/>
        <v>0.41719184392543723</v>
      </c>
      <c r="V41" s="309">
        <f t="shared" si="114"/>
        <v>0.38905267024326146</v>
      </c>
      <c r="W41" s="309">
        <f t="shared" si="114"/>
        <v>0.15484364062535716</v>
      </c>
      <c r="X41" s="309">
        <f t="shared" si="114"/>
        <v>0.5850888944550432</v>
      </c>
      <c r="Y41" s="142"/>
      <c r="Z41" s="136"/>
      <c r="AA41" s="6" t="s">
        <v>173</v>
      </c>
      <c r="AB41" s="33">
        <v>3.940555719364482</v>
      </c>
      <c r="AC41" s="33">
        <v>0.90612652513696623</v>
      </c>
      <c r="AD41" s="33">
        <v>0.49657814967024816</v>
      </c>
      <c r="AE41" s="33">
        <v>0.50576425362775013</v>
      </c>
      <c r="AF41" s="33">
        <v>0.69459303238463499</v>
      </c>
      <c r="AG41" s="33">
        <v>0.8192977434835601</v>
      </c>
      <c r="AH41" s="33">
        <v>0.76276672771915943</v>
      </c>
      <c r="AI41" s="33">
        <v>0.83986598111287769</v>
      </c>
      <c r="AJ41" s="8">
        <v>1.666012359637687</v>
      </c>
      <c r="AK41" s="11">
        <v>54</v>
      </c>
      <c r="AM41" s="308" t="s">
        <v>263</v>
      </c>
      <c r="AN41" s="309">
        <f>_xlfn.STDEV.S(AN34:AN39)</f>
        <v>0.59935198423536407</v>
      </c>
      <c r="AO41" s="309">
        <f t="shared" ref="AO41:AV41" si="115">_xlfn.STDEV.S(AO34:AO39)</f>
        <v>0.70932556522613277</v>
      </c>
      <c r="AP41" s="309">
        <f t="shared" si="115"/>
        <v>9.3220822668802314E-2</v>
      </c>
      <c r="AQ41" s="309">
        <f t="shared" si="115"/>
        <v>0.10170165450502187</v>
      </c>
      <c r="AR41" s="309">
        <f t="shared" si="115"/>
        <v>0.39053830814392143</v>
      </c>
      <c r="AS41" s="309">
        <f t="shared" si="115"/>
        <v>0.37425942167680493</v>
      </c>
      <c r="AT41" s="309">
        <f t="shared" si="115"/>
        <v>0.26041844452570384</v>
      </c>
      <c r="AU41" s="309">
        <f t="shared" si="115"/>
        <v>0.19943698325727896</v>
      </c>
      <c r="AV41" s="309">
        <f t="shared" si="115"/>
        <v>0.29459382834256703</v>
      </c>
      <c r="AX41" s="246"/>
      <c r="AZ41" s="11"/>
      <c r="BA41" s="11" t="s">
        <v>232</v>
      </c>
      <c r="BB41" s="7">
        <f t="shared" si="111"/>
        <v>32.736492348572476</v>
      </c>
      <c r="BC41" s="7">
        <f t="shared" si="111"/>
        <v>9.8284569214079891</v>
      </c>
      <c r="BD41" s="7">
        <f t="shared" si="111"/>
        <v>2.5867069739641129</v>
      </c>
      <c r="BE41" s="7">
        <f t="shared" si="111"/>
        <v>3.5858468832637405</v>
      </c>
      <c r="BF41" s="7">
        <f t="shared" si="111"/>
        <v>4.0618036523331096</v>
      </c>
      <c r="BG41" s="7">
        <f t="shared" si="111"/>
        <v>6.020578947188775</v>
      </c>
      <c r="BH41" s="7">
        <f t="shared" ref="BH41:BJ47" si="116">I41/$M41*1000</f>
        <v>11.022265723206129</v>
      </c>
      <c r="BI41" s="7">
        <f t="shared" si="116"/>
        <v>4.9921743552858917</v>
      </c>
      <c r="BJ41" s="8">
        <f t="shared" si="116"/>
        <v>16.509645510688575</v>
      </c>
      <c r="BK41" s="136"/>
      <c r="BL41" s="136"/>
      <c r="BN41" s="308" t="s">
        <v>263</v>
      </c>
      <c r="BO41" s="309">
        <f>_xlfn.STDEV.S(BO34:BO39)</f>
        <v>11.336985030670395</v>
      </c>
      <c r="BP41" s="309">
        <f t="shared" ref="BP41:BW41" si="117">_xlfn.STDEV.S(BP34:BP39)</f>
        <v>6.993203723128361</v>
      </c>
      <c r="BQ41" s="309">
        <f t="shared" si="117"/>
        <v>2.1598603485135484</v>
      </c>
      <c r="BR41" s="309">
        <f t="shared" si="117"/>
        <v>4.1835214261504374</v>
      </c>
      <c r="BS41" s="309">
        <f t="shared" si="117"/>
        <v>4.5184576436962764</v>
      </c>
      <c r="BT41" s="309">
        <f t="shared" si="117"/>
        <v>3.9599444512820852</v>
      </c>
      <c r="BU41" s="309">
        <f t="shared" si="117"/>
        <v>8.5975069155164139</v>
      </c>
      <c r="BV41" s="309">
        <f t="shared" si="117"/>
        <v>1.6662040641716431</v>
      </c>
      <c r="BW41" s="309">
        <f t="shared" si="117"/>
        <v>10.342459043165377</v>
      </c>
      <c r="BX41" s="136"/>
      <c r="BY41" s="136"/>
      <c r="BZ41" s="58" t="s">
        <v>173</v>
      </c>
      <c r="CA41" s="32">
        <f t="shared" si="105"/>
        <v>72.973254062305216</v>
      </c>
      <c r="CB41" s="33">
        <f>AC41/$AK41*1000</f>
        <v>16.780120835869745</v>
      </c>
      <c r="CC41" s="33">
        <f t="shared" si="106"/>
        <v>9.1958916605601519</v>
      </c>
      <c r="CD41" s="33">
        <f>AE41/$AK41*1000</f>
        <v>9.3660046968101884</v>
      </c>
      <c r="CE41" s="33">
        <f t="shared" si="107"/>
        <v>12.862833933048798</v>
      </c>
      <c r="CF41" s="33">
        <f t="shared" si="107"/>
        <v>15.172180434880742</v>
      </c>
      <c r="CG41" s="33">
        <f t="shared" si="107"/>
        <v>14.125309772577026</v>
      </c>
      <c r="CH41" s="33">
        <f t="shared" si="107"/>
        <v>15.553073724312549</v>
      </c>
      <c r="CI41" s="8">
        <f t="shared" si="107"/>
        <v>30.852080734031244</v>
      </c>
      <c r="CJ41" s="11"/>
      <c r="CK41" s="136"/>
      <c r="CL41" s="308" t="s">
        <v>263</v>
      </c>
      <c r="CM41" s="309">
        <f>_xlfn.STDEV.S(CM34:CM39)</f>
        <v>20.855550685100834</v>
      </c>
      <c r="CN41" s="309">
        <f t="shared" ref="CN41:CU41" si="118">_xlfn.STDEV.S(CN34:CN39)</f>
        <v>14.459922136195379</v>
      </c>
      <c r="CO41" s="309">
        <f t="shared" si="118"/>
        <v>2.2670241878332895</v>
      </c>
      <c r="CP41" s="309">
        <f t="shared" si="118"/>
        <v>2.1282089337052863</v>
      </c>
      <c r="CQ41" s="309">
        <f t="shared" si="118"/>
        <v>7.6563917213322714</v>
      </c>
      <c r="CR41" s="309">
        <f t="shared" si="118"/>
        <v>3.0841368267611826</v>
      </c>
      <c r="CS41" s="309">
        <f t="shared" si="118"/>
        <v>3.8127675048545711</v>
      </c>
      <c r="CT41" s="309">
        <f t="shared" si="118"/>
        <v>2.6528053506624536</v>
      </c>
      <c r="CU41" s="309">
        <f t="shared" si="118"/>
        <v>5.4673828564946065</v>
      </c>
      <c r="DB41" s="8" t="s">
        <v>235</v>
      </c>
      <c r="DC41" s="32">
        <v>5.5647602280561124</v>
      </c>
      <c r="DD41" s="8">
        <v>4.3604270895342792</v>
      </c>
      <c r="DE41" s="11">
        <f t="shared" si="89"/>
        <v>0.78357861090763792</v>
      </c>
      <c r="DI41" s="6">
        <f t="shared" si="108"/>
        <v>0.14092721894199792</v>
      </c>
    </row>
    <row r="42" spans="1:113" ht="15.75" x14ac:dyDescent="0.25">
      <c r="A42" s="11"/>
      <c r="B42" s="1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1">
        <v>101</v>
      </c>
      <c r="N42" s="136"/>
      <c r="O42" s="140" t="s">
        <v>455</v>
      </c>
      <c r="P42" s="141">
        <f>MAX(P34:P39)</f>
        <v>3.0143451216214068</v>
      </c>
      <c r="Q42" s="141">
        <f t="shared" ref="Q42:X42" si="119">MAX(Q34:Q39)</f>
        <v>1.6677548603791863</v>
      </c>
      <c r="R42" s="141">
        <f t="shared" si="119"/>
        <v>1.1462692083452659</v>
      </c>
      <c r="S42" s="141">
        <f t="shared" si="119"/>
        <v>0.50795383621696666</v>
      </c>
      <c r="T42" s="141">
        <f t="shared" si="119"/>
        <v>1.02601102161775</v>
      </c>
      <c r="U42" s="141">
        <f t="shared" si="119"/>
        <v>1.3714249351723697</v>
      </c>
      <c r="V42" s="141">
        <f t="shared" si="119"/>
        <v>1.3013754997708538</v>
      </c>
      <c r="W42" s="141">
        <f t="shared" si="119"/>
        <v>0.57719531013856407</v>
      </c>
      <c r="X42" s="141">
        <f t="shared" si="119"/>
        <v>2.0477271353346378</v>
      </c>
      <c r="Y42" s="142"/>
      <c r="Z42" s="136"/>
      <c r="AA42" s="6" t="s">
        <v>174</v>
      </c>
      <c r="AB42" s="33">
        <v>3.2721565238404704</v>
      </c>
      <c r="AC42" s="33">
        <v>0.94030719941305219</v>
      </c>
      <c r="AD42" s="33">
        <v>0.46983131056001159</v>
      </c>
      <c r="AE42" s="33">
        <v>0.30985541196487792</v>
      </c>
      <c r="AF42" s="33">
        <v>1.0284818954417076</v>
      </c>
      <c r="AG42" s="48"/>
      <c r="AH42" s="33">
        <v>1.1615903250003035</v>
      </c>
      <c r="AI42" s="33">
        <v>0.13221686332150906</v>
      </c>
      <c r="AJ42" s="8">
        <v>1.2413614068347953</v>
      </c>
      <c r="AK42" s="11">
        <v>52</v>
      </c>
      <c r="AM42" s="140" t="s">
        <v>455</v>
      </c>
      <c r="AN42" s="141">
        <f>MAX(AN34:AN39)</f>
        <v>4.6802582781456952</v>
      </c>
      <c r="AO42" s="141">
        <f t="shared" ref="AO42:AV42" si="120">MAX(AO34:AO39)</f>
        <v>2.3934085714285716</v>
      </c>
      <c r="AP42" s="141">
        <f t="shared" si="120"/>
        <v>0.44610596026490068</v>
      </c>
      <c r="AQ42" s="141">
        <f t="shared" si="120"/>
        <v>0.51379630410935784</v>
      </c>
      <c r="AR42" s="141">
        <f t="shared" si="120"/>
        <v>1.608801324503311</v>
      </c>
      <c r="AS42" s="141">
        <f t="shared" si="120"/>
        <v>1.0982215995825695</v>
      </c>
      <c r="AT42" s="141">
        <f t="shared" si="120"/>
        <v>1.4866853050414397</v>
      </c>
      <c r="AU42" s="141">
        <f t="shared" si="120"/>
        <v>0.58337726766952447</v>
      </c>
      <c r="AV42" s="141">
        <f t="shared" si="120"/>
        <v>2.0889719722946736</v>
      </c>
      <c r="AX42" s="246"/>
      <c r="AZ42" s="11"/>
      <c r="BA42" s="11" t="s">
        <v>285</v>
      </c>
      <c r="BB42" s="7">
        <f t="shared" si="111"/>
        <v>34.296932442605595</v>
      </c>
      <c r="BC42" s="7">
        <f t="shared" si="111"/>
        <v>15.915439545572914</v>
      </c>
      <c r="BD42" s="7">
        <f t="shared" si="111"/>
        <v>4.1609579844093512</v>
      </c>
      <c r="BE42" s="7">
        <f t="shared" si="111"/>
        <v>3.7540602777345522</v>
      </c>
      <c r="BF42" s="7">
        <f t="shared" si="111"/>
        <v>5.1802030279107951</v>
      </c>
      <c r="BG42" s="7">
        <f t="shared" si="111"/>
        <v>4.4362429477558205</v>
      </c>
      <c r="BH42" s="7">
        <f t="shared" si="116"/>
        <v>12.381081006805434</v>
      </c>
      <c r="BI42" s="7">
        <f t="shared" si="116"/>
        <v>5.4087301111826829</v>
      </c>
      <c r="BJ42" s="8">
        <f t="shared" si="116"/>
        <v>20.904390236343954</v>
      </c>
      <c r="BK42" s="136"/>
      <c r="BL42" s="136"/>
      <c r="BN42" s="140" t="s">
        <v>455</v>
      </c>
      <c r="BO42" s="141">
        <f>MAX(BO34:BO39)</f>
        <v>53.664566995158175</v>
      </c>
      <c r="BP42" s="141">
        <f t="shared" ref="BP42:BW42" si="121">MAX(BP34:BP39)</f>
        <v>29.759531190402512</v>
      </c>
      <c r="BQ42" s="141">
        <f t="shared" si="121"/>
        <v>6.2492010104486155</v>
      </c>
      <c r="BR42" s="141">
        <f t="shared" si="121"/>
        <v>11.042474700368841</v>
      </c>
      <c r="BS42" s="141">
        <f t="shared" si="121"/>
        <v>15.088397376731619</v>
      </c>
      <c r="BT42" s="141">
        <f t="shared" si="121"/>
        <v>14.43605194918284</v>
      </c>
      <c r="BU42" s="141">
        <f t="shared" si="121"/>
        <v>27.688840420656465</v>
      </c>
      <c r="BV42" s="141">
        <f t="shared" si="121"/>
        <v>6.2129239272709569</v>
      </c>
      <c r="BW42" s="141">
        <f t="shared" si="121"/>
        <v>36.953703150302346</v>
      </c>
      <c r="BX42" s="136"/>
      <c r="BY42" s="136"/>
      <c r="BZ42" s="58" t="s">
        <v>174</v>
      </c>
      <c r="CA42" s="32">
        <f t="shared" si="105"/>
        <v>62.926086996932128</v>
      </c>
      <c r="CB42" s="33">
        <f>AC42/$AK42*1000</f>
        <v>18.082830757943309</v>
      </c>
      <c r="CC42" s="33">
        <f t="shared" si="106"/>
        <v>9.0352175107694546</v>
      </c>
      <c r="CD42" s="33">
        <f>AE42/$AK42*1000</f>
        <v>5.9587579224014986</v>
      </c>
      <c r="CE42" s="33">
        <f>AF42/$AK42*1000</f>
        <v>19.778497989263606</v>
      </c>
      <c r="CF42" s="48"/>
      <c r="CG42" s="33">
        <f t="shared" ref="CG42:CI43" si="122">AH42/$AK42*1000</f>
        <v>22.338275480775067</v>
      </c>
      <c r="CH42" s="33">
        <f t="shared" si="122"/>
        <v>2.5426319869520975</v>
      </c>
      <c r="CI42" s="8">
        <f t="shared" si="122"/>
        <v>23.872334746822986</v>
      </c>
      <c r="CJ42" s="11"/>
      <c r="CK42" s="136"/>
      <c r="CL42" s="140" t="s">
        <v>455</v>
      </c>
      <c r="CM42" s="141">
        <f>MAX(CM34:CM39)</f>
        <v>88.306759965013114</v>
      </c>
      <c r="CN42" s="141">
        <f t="shared" ref="CN42:CU42" si="123">MAX(CN34:CN39)</f>
        <v>43.972231699955387</v>
      </c>
      <c r="CO42" s="141">
        <f t="shared" si="123"/>
        <v>8.4170935899037858</v>
      </c>
      <c r="CP42" s="141">
        <f t="shared" si="123"/>
        <v>9.0553528778772208</v>
      </c>
      <c r="CQ42" s="141">
        <f t="shared" si="123"/>
        <v>30.354741971760586</v>
      </c>
      <c r="CR42" s="141">
        <f t="shared" si="123"/>
        <v>11.808834404113652</v>
      </c>
      <c r="CS42" s="141">
        <f t="shared" si="123"/>
        <v>19.265736581588747</v>
      </c>
      <c r="CT42" s="141">
        <f t="shared" si="123"/>
        <v>9.2599566296749902</v>
      </c>
      <c r="CU42" s="141">
        <f t="shared" si="123"/>
        <v>31.260652255404224</v>
      </c>
      <c r="DB42" s="8" t="s">
        <v>237</v>
      </c>
      <c r="DC42" s="32">
        <v>9.6107539285502472</v>
      </c>
      <c r="DD42" s="8">
        <v>7.2119320418678097</v>
      </c>
      <c r="DE42" s="11">
        <f t="shared" si="89"/>
        <v>0.75040231968104376</v>
      </c>
      <c r="DI42" s="6">
        <f t="shared" si="108"/>
        <v>0.42988488563312893</v>
      </c>
    </row>
    <row r="43" spans="1:113" ht="15" customHeight="1" x14ac:dyDescent="0.25">
      <c r="A43" s="11"/>
      <c r="B43" s="1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1">
        <v>49</v>
      </c>
      <c r="N43" s="136"/>
      <c r="O43" s="140" t="s">
        <v>456</v>
      </c>
      <c r="P43" s="141">
        <f>MIN(P34:P39)</f>
        <v>1.5360128226453302</v>
      </c>
      <c r="Q43" s="141">
        <f t="shared" ref="Q43:X43" si="124">MIN(Q34:Q39)</f>
        <v>0.63026911704225064</v>
      </c>
      <c r="R43" s="141">
        <f t="shared" si="124"/>
        <v>4.561590061704679E-2</v>
      </c>
      <c r="S43" s="141">
        <f t="shared" si="124"/>
        <v>1.5808460670234968E-2</v>
      </c>
      <c r="T43" s="141">
        <f t="shared" si="124"/>
        <v>0.19450979907191812</v>
      </c>
      <c r="U43" s="141">
        <f t="shared" si="124"/>
        <v>0.23623528822766829</v>
      </c>
      <c r="V43" s="141">
        <f t="shared" si="124"/>
        <v>0.33928430526622327</v>
      </c>
      <c r="W43" s="141">
        <f t="shared" si="124"/>
        <v>0.1304607810609886</v>
      </c>
      <c r="X43" s="141">
        <f t="shared" si="124"/>
        <v>0.45717645918960104</v>
      </c>
      <c r="Y43" s="142"/>
      <c r="Z43" s="136"/>
      <c r="AA43" s="6" t="s">
        <v>177</v>
      </c>
      <c r="AB43" s="33">
        <v>4.0821778515567813</v>
      </c>
      <c r="AC43" s="33">
        <v>1.6889639136405779</v>
      </c>
      <c r="AD43" s="33">
        <v>0.57993977902677363</v>
      </c>
      <c r="AE43" s="33">
        <v>0.5538162841503883</v>
      </c>
      <c r="AF43" s="33">
        <v>0.70019279522010958</v>
      </c>
      <c r="AG43" s="33">
        <v>0.13608434204024944</v>
      </c>
      <c r="AH43" s="33">
        <v>1.4990422203469551</v>
      </c>
      <c r="AI43" s="33">
        <v>0.4888644746825721</v>
      </c>
      <c r="AJ43" s="8">
        <v>2.197536220327784</v>
      </c>
      <c r="AK43" s="11">
        <v>101</v>
      </c>
      <c r="AL43" s="136"/>
      <c r="AM43" s="140" t="s">
        <v>456</v>
      </c>
      <c r="AN43" s="141">
        <f>MIN(AN34:AN39)</f>
        <v>3.0871122901175161</v>
      </c>
      <c r="AO43" s="141">
        <f t="shared" ref="AO43:AV43" si="125">MIN(AO34:AO39)</f>
        <v>0.27707425677541891</v>
      </c>
      <c r="AP43" s="141">
        <f t="shared" si="125"/>
        <v>0.23623636158824807</v>
      </c>
      <c r="AQ43" s="141">
        <f t="shared" si="125"/>
        <v>0.25930908866094005</v>
      </c>
      <c r="AR43" s="141">
        <f t="shared" si="125"/>
        <v>0.60792857142857148</v>
      </c>
      <c r="AS43" s="141">
        <f t="shared" si="125"/>
        <v>0.26400857142857137</v>
      </c>
      <c r="AT43" s="141">
        <f t="shared" si="125"/>
        <v>0.79530857142857148</v>
      </c>
      <c r="AU43" s="141">
        <f t="shared" si="125"/>
        <v>8.546973781520395E-2</v>
      </c>
      <c r="AV43" s="141">
        <f t="shared" si="125"/>
        <v>1.216662857142857</v>
      </c>
      <c r="AX43" s="246"/>
      <c r="AZ43" s="11"/>
      <c r="BA43" s="11" t="s">
        <v>234</v>
      </c>
      <c r="BB43" s="7">
        <f t="shared" si="111"/>
        <v>108.78441844820615</v>
      </c>
      <c r="BC43" s="7">
        <f t="shared" si="111"/>
        <v>18.018798715187049</v>
      </c>
      <c r="BD43" s="7">
        <f t="shared" si="111"/>
        <v>14.182212355902738</v>
      </c>
      <c r="BE43" s="7">
        <f t="shared" si="111"/>
        <v>12.309266715818548</v>
      </c>
      <c r="BF43" s="7">
        <f t="shared" si="111"/>
        <v>17.649063689996137</v>
      </c>
      <c r="BG43" s="7">
        <f t="shared" si="111"/>
        <v>25.959940618999603</v>
      </c>
      <c r="BH43" s="7">
        <f t="shared" si="116"/>
        <v>19.059024434812468</v>
      </c>
      <c r="BI43" s="7">
        <f t="shared" si="116"/>
        <v>2.7760642448019626</v>
      </c>
      <c r="BJ43" s="8">
        <f t="shared" si="116"/>
        <v>24.728957174285281</v>
      </c>
      <c r="BK43" s="136"/>
      <c r="BL43" s="136"/>
      <c r="BM43" s="136"/>
      <c r="BN43" s="140" t="s">
        <v>456</v>
      </c>
      <c r="BO43" s="141">
        <f>MIN(BO34:BO39)</f>
        <v>22.588423862431327</v>
      </c>
      <c r="BP43" s="141">
        <f t="shared" ref="BP43:BW43" si="126">MIN(BP34:BP39)</f>
        <v>13.211663326653307</v>
      </c>
      <c r="BQ43" s="141">
        <f t="shared" si="126"/>
        <v>0.95554812541861434</v>
      </c>
      <c r="BR43" s="141">
        <f t="shared" si="126"/>
        <v>0.23247736279757306</v>
      </c>
      <c r="BS43" s="141">
        <f t="shared" si="126"/>
        <v>2.4621493553407356</v>
      </c>
      <c r="BT43" s="141">
        <f t="shared" si="126"/>
        <v>2.9903201041476999</v>
      </c>
      <c r="BU43" s="141">
        <f t="shared" si="126"/>
        <v>4.2947380413445977</v>
      </c>
      <c r="BV43" s="141">
        <f t="shared" si="126"/>
        <v>1.6514022919112481</v>
      </c>
      <c r="BW43" s="141">
        <f t="shared" si="126"/>
        <v>5.7870437872101395</v>
      </c>
      <c r="BX43" s="136"/>
      <c r="BY43" s="136"/>
      <c r="BZ43" s="58" t="s">
        <v>177</v>
      </c>
      <c r="CA43" s="32">
        <f t="shared" si="105"/>
        <v>40.417602490661203</v>
      </c>
      <c r="CB43" s="33">
        <f>AC43/$AK43*1000</f>
        <v>16.722414986540375</v>
      </c>
      <c r="CC43" s="33">
        <f t="shared" si="106"/>
        <v>5.7419780101660756</v>
      </c>
      <c r="CD43" s="33">
        <f>AE43/$AK43*1000</f>
        <v>5.483329546043449</v>
      </c>
      <c r="CE43" s="33">
        <f>AF43/$AK43*1000</f>
        <v>6.9326019328723723</v>
      </c>
      <c r="CF43" s="33">
        <f>AG43/$AK43*1000</f>
        <v>1.3473697231707864</v>
      </c>
      <c r="CG43" s="33">
        <f t="shared" si="122"/>
        <v>14.842002181653021</v>
      </c>
      <c r="CH43" s="33">
        <f t="shared" si="122"/>
        <v>4.8402423235898233</v>
      </c>
      <c r="CI43" s="8">
        <f t="shared" si="122"/>
        <v>21.757784359681029</v>
      </c>
      <c r="CJ43" s="11"/>
      <c r="CK43" s="136"/>
      <c r="CL43" s="140" t="s">
        <v>456</v>
      </c>
      <c r="CM43" s="141">
        <f>MIN(CM34:CM39)</f>
        <v>38.429871391572711</v>
      </c>
      <c r="CN43" s="141">
        <f t="shared" ref="CN43:CU43" si="127">MIN(CN34:CN39)</f>
        <v>2.9792930836066551</v>
      </c>
      <c r="CO43" s="141">
        <f t="shared" si="127"/>
        <v>2.5639976840736063</v>
      </c>
      <c r="CP43" s="141">
        <f t="shared" si="127"/>
        <v>3.5932080220468139</v>
      </c>
      <c r="CQ43" s="141">
        <f t="shared" si="127"/>
        <v>10.838498560578067</v>
      </c>
      <c r="CR43" s="141">
        <f t="shared" si="127"/>
        <v>4.8504238733891487</v>
      </c>
      <c r="CS43" s="141">
        <f t="shared" si="127"/>
        <v>8.3670786565057078</v>
      </c>
      <c r="CT43" s="141">
        <f t="shared" si="127"/>
        <v>1.3754383298230439</v>
      </c>
      <c r="CU43" s="141">
        <f t="shared" si="127"/>
        <v>14.435341517444293</v>
      </c>
      <c r="DB43" s="8" t="s">
        <v>239</v>
      </c>
      <c r="DC43" s="32">
        <v>8.6261217420037326</v>
      </c>
      <c r="DD43" s="8">
        <v>5.3044676659442</v>
      </c>
      <c r="DE43" s="11">
        <f t="shared" si="89"/>
        <v>0.61493076779971845</v>
      </c>
      <c r="DI43" s="6">
        <f t="shared" si="108"/>
        <v>0.34571867214027169</v>
      </c>
    </row>
    <row r="44" spans="1:113" ht="15.75" x14ac:dyDescent="0.25">
      <c r="A44" s="11"/>
      <c r="B44" s="1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1">
        <v>50</v>
      </c>
      <c r="N44" s="136"/>
      <c r="O44" s="140" t="s">
        <v>265</v>
      </c>
      <c r="P44" s="142">
        <f>COUNT(P34:P39)</f>
        <v>5</v>
      </c>
      <c r="Q44" s="142">
        <f t="shared" ref="Q44:X44" si="128">COUNT(Q34:Q39)</f>
        <v>5</v>
      </c>
      <c r="R44" s="142">
        <f t="shared" si="128"/>
        <v>6</v>
      </c>
      <c r="S44" s="142">
        <f t="shared" si="128"/>
        <v>5</v>
      </c>
      <c r="T44" s="142">
        <f t="shared" si="128"/>
        <v>6</v>
      </c>
      <c r="U44" s="142">
        <f t="shared" si="128"/>
        <v>6</v>
      </c>
      <c r="V44" s="142">
        <f t="shared" si="128"/>
        <v>6</v>
      </c>
      <c r="W44" s="142">
        <f t="shared" si="128"/>
        <v>6</v>
      </c>
      <c r="X44" s="142">
        <f t="shared" si="128"/>
        <v>6</v>
      </c>
      <c r="Y44" s="142"/>
      <c r="Z44" s="136"/>
      <c r="AA44" s="109" t="s">
        <v>178</v>
      </c>
      <c r="AB44" s="7">
        <v>4.131327291459141</v>
      </c>
      <c r="AC44" s="7">
        <v>0.7292045263465694</v>
      </c>
      <c r="AD44" s="7">
        <v>0.5791785853992214</v>
      </c>
      <c r="AE44" s="7">
        <v>0.50942584723137385</v>
      </c>
      <c r="AF44" s="7">
        <v>1.144968657765765</v>
      </c>
      <c r="AG44" s="12">
        <v>8.1977312267329225E-2</v>
      </c>
      <c r="AH44" s="7">
        <v>1.5308497824304672</v>
      </c>
      <c r="AI44" s="7">
        <v>0.45637981264609007</v>
      </c>
      <c r="AJ44" s="8">
        <v>2.2092204012250094</v>
      </c>
      <c r="AK44" s="11">
        <v>83</v>
      </c>
      <c r="AL44" s="136"/>
      <c r="AM44" s="140" t="s">
        <v>265</v>
      </c>
      <c r="AN44" s="142">
        <f>COUNT(AN34:AN39)</f>
        <v>6</v>
      </c>
      <c r="AO44" s="142">
        <f t="shared" ref="AO44:AV44" si="129">COUNT(AO34:AO39)</f>
        <v>6</v>
      </c>
      <c r="AP44" s="142">
        <f t="shared" si="129"/>
        <v>6</v>
      </c>
      <c r="AQ44" s="142">
        <f t="shared" si="129"/>
        <v>6</v>
      </c>
      <c r="AR44" s="142">
        <f t="shared" si="129"/>
        <v>6</v>
      </c>
      <c r="AS44" s="142">
        <f t="shared" si="129"/>
        <v>4</v>
      </c>
      <c r="AT44" s="142">
        <f t="shared" si="129"/>
        <v>6</v>
      </c>
      <c r="AU44" s="142">
        <f t="shared" si="129"/>
        <v>6</v>
      </c>
      <c r="AV44" s="142">
        <f t="shared" si="129"/>
        <v>6</v>
      </c>
      <c r="AX44" s="246"/>
      <c r="AZ44" s="11"/>
      <c r="BA44" s="11" t="s">
        <v>235</v>
      </c>
      <c r="BB44" s="7">
        <f t="shared" si="111"/>
        <v>78.457034902796707</v>
      </c>
      <c r="BC44" s="7">
        <f t="shared" si="111"/>
        <v>17.344853832522411</v>
      </c>
      <c r="BD44" s="7">
        <f t="shared" si="111"/>
        <v>3.473851707929255</v>
      </c>
      <c r="BE44" s="7">
        <f t="shared" si="111"/>
        <v>5.6361832772934877</v>
      </c>
      <c r="BF44" s="7">
        <f t="shared" si="111"/>
        <v>13.974582408263913</v>
      </c>
      <c r="BG44" s="7">
        <f t="shared" si="111"/>
        <v>23.416409633086701</v>
      </c>
      <c r="BH44" s="7">
        <f t="shared" si="116"/>
        <v>14.217698002131437</v>
      </c>
      <c r="BI44" s="7">
        <f t="shared" si="116"/>
        <v>13.91385008366559</v>
      </c>
      <c r="BJ44" s="8">
        <f t="shared" si="116"/>
        <v>30.863012328927759</v>
      </c>
      <c r="BK44" s="136"/>
      <c r="BL44" s="136"/>
      <c r="BM44" s="136"/>
      <c r="BN44" s="140" t="s">
        <v>265</v>
      </c>
      <c r="BO44" s="142">
        <f>COUNT(BO34:BO39)</f>
        <v>5</v>
      </c>
      <c r="BP44" s="142">
        <f t="shared" ref="BP44:BW44" si="130">COUNT(BP34:BP39)</f>
        <v>5</v>
      </c>
      <c r="BQ44" s="142">
        <f t="shared" si="130"/>
        <v>5</v>
      </c>
      <c r="BR44" s="142">
        <f t="shared" si="130"/>
        <v>5</v>
      </c>
      <c r="BS44" s="142">
        <f t="shared" si="130"/>
        <v>6</v>
      </c>
      <c r="BT44" s="142">
        <f t="shared" si="130"/>
        <v>6</v>
      </c>
      <c r="BU44" s="142">
        <f t="shared" si="130"/>
        <v>6</v>
      </c>
      <c r="BV44" s="142">
        <f t="shared" si="130"/>
        <v>6</v>
      </c>
      <c r="BW44" s="142">
        <f t="shared" si="130"/>
        <v>6</v>
      </c>
      <c r="BX44" s="136"/>
      <c r="BY44" s="136"/>
      <c r="BZ44" s="248" t="s">
        <v>178</v>
      </c>
      <c r="CA44" s="32"/>
      <c r="CB44" s="33"/>
      <c r="CC44" s="33"/>
      <c r="CD44" s="33"/>
      <c r="CE44" s="33"/>
      <c r="CF44" s="33"/>
      <c r="CG44" s="33"/>
      <c r="CH44" s="33"/>
      <c r="CI44" s="8"/>
      <c r="CJ44" s="11"/>
      <c r="CK44" s="136"/>
      <c r="CL44" s="140" t="s">
        <v>265</v>
      </c>
      <c r="CM44" s="142">
        <f>COUNT(CM34:CM39)</f>
        <v>6</v>
      </c>
      <c r="CN44" s="142">
        <f t="shared" ref="CN44:CU44" si="131">COUNT(CN34:CN39)</f>
        <v>6</v>
      </c>
      <c r="CO44" s="142">
        <f t="shared" si="131"/>
        <v>6</v>
      </c>
      <c r="CP44" s="142">
        <f t="shared" si="131"/>
        <v>6</v>
      </c>
      <c r="CQ44" s="142">
        <f t="shared" si="131"/>
        <v>6</v>
      </c>
      <c r="CR44" s="142">
        <f t="shared" si="131"/>
        <v>4</v>
      </c>
      <c r="CS44" s="142">
        <f t="shared" si="131"/>
        <v>6</v>
      </c>
      <c r="CT44" s="142">
        <f t="shared" si="131"/>
        <v>6</v>
      </c>
      <c r="CU44" s="142">
        <f t="shared" si="131"/>
        <v>6</v>
      </c>
      <c r="CV44" s="136"/>
      <c r="DB44" s="8" t="s">
        <v>241</v>
      </c>
      <c r="DC44" s="32">
        <v>6.8006341806151811</v>
      </c>
      <c r="DD44" s="8">
        <v>3.3308011392686043</v>
      </c>
      <c r="DE44" s="11">
        <f t="shared" si="89"/>
        <v>0.48977801934455795</v>
      </c>
      <c r="DI44" s="6">
        <f t="shared" si="108"/>
        <v>0.20583410339206545</v>
      </c>
    </row>
    <row r="45" spans="1:113" x14ac:dyDescent="0.25">
      <c r="A45" s="11"/>
      <c r="B45" s="1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1">
        <v>48</v>
      </c>
      <c r="N45" s="136"/>
      <c r="Y45" s="142"/>
      <c r="Z45" s="136"/>
      <c r="AA45" s="6" t="s">
        <v>181</v>
      </c>
      <c r="AB45" s="33">
        <v>3.2998002428220246</v>
      </c>
      <c r="AC45" s="33">
        <v>0.68204591092290212</v>
      </c>
      <c r="AD45" s="33">
        <v>0.46455367214560223</v>
      </c>
      <c r="AE45" s="33">
        <v>0.43560870785006173</v>
      </c>
      <c r="AF45" s="33">
        <v>0.76856868866179218</v>
      </c>
      <c r="AG45" s="33">
        <v>0.21571615496044888</v>
      </c>
      <c r="AH45" s="33">
        <v>1.0376119460060147</v>
      </c>
      <c r="AI45" s="33">
        <v>0.26338802811985629</v>
      </c>
      <c r="AJ45" s="8">
        <v>1.362211699646376</v>
      </c>
      <c r="AK45" s="11">
        <v>74</v>
      </c>
      <c r="AL45" s="136"/>
      <c r="AX45" s="246"/>
      <c r="AZ45" s="11"/>
      <c r="BA45" s="11" t="s">
        <v>237</v>
      </c>
      <c r="BB45" s="7">
        <f t="shared" si="111"/>
        <v>79.758706898082835</v>
      </c>
      <c r="BC45" s="7">
        <f t="shared" si="111"/>
        <v>27.055831473859584</v>
      </c>
      <c r="BD45" s="7">
        <f t="shared" si="111"/>
        <v>5.5123843240790924</v>
      </c>
      <c r="BE45" s="7">
        <f t="shared" si="111"/>
        <v>6.9466641932382869</v>
      </c>
      <c r="BF45" s="7">
        <f t="shared" si="111"/>
        <v>14.665880630313675</v>
      </c>
      <c r="BG45" s="7">
        <f t="shared" si="111"/>
        <v>15.730253146874938</v>
      </c>
      <c r="BH45" s="7">
        <f t="shared" si="116"/>
        <v>17.492579253648184</v>
      </c>
      <c r="BI45" s="7">
        <f t="shared" si="116"/>
        <v>5.3939120018651003</v>
      </c>
      <c r="BJ45" s="8">
        <f t="shared" si="116"/>
        <v>28.641455374114347</v>
      </c>
      <c r="BK45" s="136"/>
      <c r="BL45" s="136"/>
      <c r="BM45" s="136"/>
      <c r="BX45" s="136"/>
      <c r="BY45" s="136"/>
      <c r="BZ45" s="58" t="s">
        <v>181</v>
      </c>
      <c r="CA45" s="32">
        <f t="shared" ref="CA45:CI45" si="132">AB45/$AK45*1000</f>
        <v>44.591895173270601</v>
      </c>
      <c r="CB45" s="33">
        <f t="shared" si="132"/>
        <v>9.216836634093271</v>
      </c>
      <c r="CC45" s="33">
        <f t="shared" si="132"/>
        <v>6.2777523262919219</v>
      </c>
      <c r="CD45" s="33">
        <f t="shared" si="132"/>
        <v>5.8866041601359687</v>
      </c>
      <c r="CE45" s="33">
        <f t="shared" si="132"/>
        <v>10.386063360294489</v>
      </c>
      <c r="CF45" s="33">
        <f t="shared" si="132"/>
        <v>2.9150831751412012</v>
      </c>
      <c r="CG45" s="33">
        <f t="shared" si="132"/>
        <v>14.021783054135335</v>
      </c>
      <c r="CH45" s="33">
        <f t="shared" si="132"/>
        <v>3.5592976772953553</v>
      </c>
      <c r="CI45" s="8">
        <f t="shared" si="132"/>
        <v>18.408266211437514</v>
      </c>
      <c r="CJ45" s="11"/>
      <c r="CK45" s="136"/>
      <c r="CV45" s="136"/>
      <c r="DB45" s="8" t="s">
        <v>243</v>
      </c>
      <c r="DC45" s="32">
        <v>2.2580594800318026</v>
      </c>
      <c r="DD45" s="8">
        <v>4.018864080978795</v>
      </c>
      <c r="DE45" s="11">
        <f t="shared" si="89"/>
        <v>1.7797866338411037</v>
      </c>
      <c r="DI45" s="6">
        <f t="shared" si="108"/>
        <v>0.50822373238817775</v>
      </c>
    </row>
    <row r="46" spans="1:113"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1">
        <v>90</v>
      </c>
      <c r="N46" s="136"/>
      <c r="O46" t="s">
        <v>278</v>
      </c>
      <c r="P46" s="7">
        <f t="shared" ref="P46:X46" si="133">_xlfn.T.TEST(P5:P10,P34:P39,2,1)</f>
        <v>0.46486444901728152</v>
      </c>
      <c r="Q46" s="7">
        <f t="shared" si="133"/>
        <v>0.63169856228689247</v>
      </c>
      <c r="R46" s="7">
        <f t="shared" si="133"/>
        <v>0.34356329147627235</v>
      </c>
      <c r="S46" s="7">
        <f t="shared" si="133"/>
        <v>0.10387710515370245</v>
      </c>
      <c r="T46" s="7">
        <f t="shared" si="133"/>
        <v>0.22254617133795196</v>
      </c>
      <c r="U46" s="7">
        <f t="shared" si="133"/>
        <v>0.24656284212468921</v>
      </c>
      <c r="V46" s="7">
        <f t="shared" si="133"/>
        <v>0.12018347773572476</v>
      </c>
      <c r="W46" s="7">
        <f t="shared" si="133"/>
        <v>0.28891600605680318</v>
      </c>
      <c r="X46" s="7">
        <f t="shared" si="133"/>
        <v>0.24282942347427902</v>
      </c>
      <c r="Y46" s="142"/>
      <c r="Z46" s="136"/>
      <c r="AA46" s="6" t="s">
        <v>194</v>
      </c>
      <c r="AB46" s="33">
        <v>2.732930960597427</v>
      </c>
      <c r="AC46" s="33">
        <v>1.3232864569299971</v>
      </c>
      <c r="AD46" s="33">
        <v>0.35351907531098353</v>
      </c>
      <c r="AE46" s="48"/>
      <c r="AF46" s="33">
        <v>0.61028267599149932</v>
      </c>
      <c r="AG46" s="33">
        <v>1.3433241867677961</v>
      </c>
      <c r="AH46" s="33">
        <v>0.8238835706728731</v>
      </c>
      <c r="AI46" s="33">
        <v>1.1506552137769184</v>
      </c>
      <c r="AJ46" s="8">
        <v>1.9981010661157377</v>
      </c>
      <c r="AK46" s="11">
        <v>96</v>
      </c>
      <c r="AL46" s="136"/>
      <c r="AX46" s="246"/>
      <c r="AZ46" s="11"/>
      <c r="BA46" s="6" t="s">
        <v>239</v>
      </c>
      <c r="BB46" s="7">
        <f t="shared" ref="BB46:BC52" si="134">C46/$M46*1000</f>
        <v>39.394524778434885</v>
      </c>
      <c r="BC46" s="7">
        <f t="shared" si="134"/>
        <v>7.3076401268263371</v>
      </c>
      <c r="BD46" s="48"/>
      <c r="BE46" s="7">
        <f t="shared" ref="BE46:BG52" si="135">F46/$M46*1000</f>
        <v>5.8165234259697076</v>
      </c>
      <c r="BF46" s="7">
        <f t="shared" si="135"/>
        <v>8.9786012525701118</v>
      </c>
      <c r="BG46" s="7">
        <f t="shared" si="135"/>
        <v>10.929649942754416</v>
      </c>
      <c r="BH46" s="7">
        <f t="shared" si="116"/>
        <v>10.994723236848555</v>
      </c>
      <c r="BI46" s="7">
        <f t="shared" si="116"/>
        <v>4.2849099495326337</v>
      </c>
      <c r="BJ46" s="8">
        <f t="shared" si="116"/>
        <v>15.642106567809739</v>
      </c>
      <c r="BK46" s="136"/>
      <c r="BL46" s="136"/>
      <c r="BM46" s="136"/>
      <c r="BN46" t="s">
        <v>278</v>
      </c>
      <c r="BO46" s="7">
        <f t="shared" ref="BO46:BW46" si="136">_xlfn.T.TEST(BO5:BO10,BO34:BO39,2,1)</f>
        <v>0.59177966033748197</v>
      </c>
      <c r="BP46" s="7">
        <f t="shared" si="136"/>
        <v>0.86782241045762154</v>
      </c>
      <c r="BQ46" s="7">
        <f t="shared" si="136"/>
        <v>9.6759962426232568E-2</v>
      </c>
      <c r="BR46" s="7">
        <f t="shared" si="136"/>
        <v>0.12158017371606901</v>
      </c>
      <c r="BS46" s="7">
        <f t="shared" si="136"/>
        <v>0.19300429132413549</v>
      </c>
      <c r="BT46" s="7">
        <f t="shared" si="136"/>
        <v>0.29034352937969943</v>
      </c>
      <c r="BU46" s="7">
        <f t="shared" si="136"/>
        <v>0.12026913601523373</v>
      </c>
      <c r="BV46" s="7">
        <f t="shared" si="136"/>
        <v>0.22088346493067534</v>
      </c>
      <c r="BW46" s="7">
        <f t="shared" si="136"/>
        <v>0.25521770547488343</v>
      </c>
      <c r="BX46" s="136"/>
      <c r="BY46" s="136"/>
      <c r="BZ46" s="58" t="s">
        <v>194</v>
      </c>
      <c r="CA46" s="32">
        <f t="shared" ref="CA46:CC48" si="137">AB46/$AK46*1000</f>
        <v>28.46803083955653</v>
      </c>
      <c r="CB46" s="33">
        <f t="shared" si="137"/>
        <v>13.784233926354137</v>
      </c>
      <c r="CC46" s="33">
        <f t="shared" si="137"/>
        <v>3.6824903678227452</v>
      </c>
      <c r="CD46" s="48"/>
      <c r="CE46" s="33">
        <f t="shared" ref="CE46:CI48" si="138">AF46/$AK46*1000</f>
        <v>6.3571112082447847</v>
      </c>
      <c r="CF46" s="33">
        <f t="shared" si="138"/>
        <v>13.992960278831209</v>
      </c>
      <c r="CG46" s="33">
        <f t="shared" si="138"/>
        <v>8.5821205278424273</v>
      </c>
      <c r="CH46" s="33">
        <f t="shared" si="138"/>
        <v>11.985991810176234</v>
      </c>
      <c r="CI46" s="8">
        <f t="shared" si="138"/>
        <v>20.813552772038936</v>
      </c>
      <c r="CJ46" s="11"/>
      <c r="CK46" s="136"/>
      <c r="CL46" t="s">
        <v>278</v>
      </c>
      <c r="CM46" s="147">
        <f t="shared" ref="CM46:CU46" si="139">_xlfn.T.TEST(CM5:CM9,CM34:CM38,2,1)</f>
        <v>3.4258017695601516E-2</v>
      </c>
      <c r="CN46" s="7">
        <f t="shared" si="139"/>
        <v>0.1602386546629489</v>
      </c>
      <c r="CO46" s="7">
        <f t="shared" si="139"/>
        <v>0.78846684513434173</v>
      </c>
      <c r="CP46" s="7">
        <f t="shared" si="139"/>
        <v>0.8412979336428803</v>
      </c>
      <c r="CQ46" s="147">
        <f t="shared" si="139"/>
        <v>3.3158429965982623E-2</v>
      </c>
      <c r="CR46" s="7">
        <f t="shared" si="139"/>
        <v>0.87426515478060018</v>
      </c>
      <c r="CS46" s="147">
        <f t="shared" si="139"/>
        <v>2.9596260711121768E-2</v>
      </c>
      <c r="CT46" s="7">
        <f t="shared" si="139"/>
        <v>0.5364315689674839</v>
      </c>
      <c r="CU46" s="147">
        <f t="shared" si="139"/>
        <v>3.1107494396957567E-2</v>
      </c>
      <c r="CV46" s="136"/>
      <c r="DB46" s="8" t="s">
        <v>245</v>
      </c>
      <c r="DC46" s="32">
        <v>6.707407567096543</v>
      </c>
      <c r="DD46" s="8">
        <v>5.535285961635779</v>
      </c>
      <c r="DE46" s="11">
        <f t="shared" si="89"/>
        <v>0.82524968197688575</v>
      </c>
      <c r="DI46" s="6">
        <f t="shared" si="108"/>
        <v>0.37426121752579211</v>
      </c>
    </row>
    <row r="47" spans="1:113" x14ac:dyDescent="0.25">
      <c r="A47" s="1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1">
        <v>71</v>
      </c>
      <c r="N47" s="136"/>
      <c r="O47" t="s">
        <v>280</v>
      </c>
      <c r="P47" s="7">
        <f t="shared" ref="P47:X47" si="140">(P40-P11)/AVERAGE(P12,P41)</f>
        <v>-0.16383970653837029</v>
      </c>
      <c r="Q47" s="7">
        <f t="shared" si="140"/>
        <v>-0.12735189994290538</v>
      </c>
      <c r="R47" s="7">
        <f t="shared" si="140"/>
        <v>-4.9339544730108313E-2</v>
      </c>
      <c r="S47" s="7">
        <f t="shared" si="140"/>
        <v>-0.48507402974990277</v>
      </c>
      <c r="T47" s="7">
        <f t="shared" si="140"/>
        <v>0.3414218354425177</v>
      </c>
      <c r="U47" s="7">
        <f t="shared" si="140"/>
        <v>7.1092963249022798E-2</v>
      </c>
      <c r="V47" s="7">
        <f t="shared" si="140"/>
        <v>0.69366748601335448</v>
      </c>
      <c r="W47" s="7">
        <f t="shared" si="140"/>
        <v>-0.27026886195386962</v>
      </c>
      <c r="X47" s="7">
        <f t="shared" si="140"/>
        <v>0.36248616354218094</v>
      </c>
      <c r="Y47" s="142"/>
      <c r="Z47" s="136"/>
      <c r="AA47" s="6" t="s">
        <v>196</v>
      </c>
      <c r="AB47" s="33">
        <v>3.9103099016259431</v>
      </c>
      <c r="AC47" s="33">
        <v>1.7232439665722805</v>
      </c>
      <c r="AD47" s="33">
        <v>0.34947806178686797</v>
      </c>
      <c r="AE47" s="33">
        <v>0.32184879246591797</v>
      </c>
      <c r="AF47" s="33">
        <v>0.98230979265577723</v>
      </c>
      <c r="AG47" s="33">
        <v>0.18049025061966983</v>
      </c>
      <c r="AH47" s="33">
        <v>0.96899999999999997</v>
      </c>
      <c r="AI47" s="33">
        <v>0.44599757757411668</v>
      </c>
      <c r="AJ47" s="8">
        <v>1.3863000515933543</v>
      </c>
      <c r="AK47" s="11">
        <v>57</v>
      </c>
      <c r="AL47" s="136"/>
      <c r="AM47" s="56" t="s">
        <v>278</v>
      </c>
      <c r="AN47" s="244">
        <f t="shared" ref="AN47:AV47" si="141">_xlfn.T.TEST(AN5:AN9,AN34:AN38,2,1)</f>
        <v>2.1831516103899599E-2</v>
      </c>
      <c r="AO47" s="33">
        <f t="shared" si="141"/>
        <v>0.15489339681687508</v>
      </c>
      <c r="AP47" s="33">
        <f t="shared" si="141"/>
        <v>0.68635426241494568</v>
      </c>
      <c r="AQ47" s="33">
        <f t="shared" si="141"/>
        <v>0.66013076697765838</v>
      </c>
      <c r="AR47" s="244">
        <f t="shared" si="141"/>
        <v>3.7015717431714612E-2</v>
      </c>
      <c r="AS47" s="33">
        <f t="shared" si="141"/>
        <v>0.91126141505539049</v>
      </c>
      <c r="AT47" s="244">
        <f t="shared" si="141"/>
        <v>4.5765450232125929E-2</v>
      </c>
      <c r="AU47" s="33">
        <f t="shared" si="141"/>
        <v>0.52638571639764009</v>
      </c>
      <c r="AV47" s="244">
        <f t="shared" si="141"/>
        <v>2.8427811617594504E-2</v>
      </c>
      <c r="AX47" s="246"/>
      <c r="AZ47" s="11"/>
      <c r="BA47" s="6" t="s">
        <v>241</v>
      </c>
      <c r="BB47" s="7">
        <f t="shared" si="134"/>
        <v>51.211769848676028</v>
      </c>
      <c r="BC47" s="7">
        <f t="shared" si="134"/>
        <v>6.8773813915852582</v>
      </c>
      <c r="BD47" s="7">
        <f t="shared" ref="BD47:BD53" si="142">E47/$M47*1000</f>
        <v>6.1915406150307071</v>
      </c>
      <c r="BE47" s="7">
        <f t="shared" si="135"/>
        <v>6.3808118355743071</v>
      </c>
      <c r="BF47" s="7">
        <f t="shared" si="135"/>
        <v>9.547547224797162</v>
      </c>
      <c r="BG47" s="7">
        <f t="shared" si="135"/>
        <v>11.429284489680764</v>
      </c>
      <c r="BH47" s="7">
        <f t="shared" si="116"/>
        <v>16.25584012549875</v>
      </c>
      <c r="BI47" s="7">
        <f t="shared" si="116"/>
        <v>6.351979364631549</v>
      </c>
      <c r="BJ47" s="8">
        <f t="shared" si="116"/>
        <v>22.804066308482632</v>
      </c>
      <c r="BK47" s="136"/>
      <c r="BL47" s="136"/>
      <c r="BM47" s="136"/>
      <c r="BN47" t="s">
        <v>280</v>
      </c>
      <c r="BO47" s="7">
        <f t="shared" ref="BO47:BW47" si="143">(BO40-BO11)/AVERAGE(BO12,BO41)</f>
        <v>-0.10685326852346982</v>
      </c>
      <c r="BP47" s="7">
        <f t="shared" si="143"/>
        <v>-7.9920836747770341E-2</v>
      </c>
      <c r="BQ47" s="7">
        <f t="shared" si="143"/>
        <v>-0.31561857573274388</v>
      </c>
      <c r="BR47" s="7">
        <f t="shared" si="143"/>
        <v>-0.41641099313583246</v>
      </c>
      <c r="BS47" s="7">
        <f t="shared" si="143"/>
        <v>0.46476792539671535</v>
      </c>
      <c r="BT47" s="7">
        <f t="shared" si="143"/>
        <v>0.10127102425665901</v>
      </c>
      <c r="BU47" s="7">
        <f t="shared" si="143"/>
        <v>0.77724531584987444</v>
      </c>
      <c r="BV47" s="7">
        <f t="shared" si="143"/>
        <v>-0.41706655311676905</v>
      </c>
      <c r="BW47" s="7">
        <f t="shared" si="143"/>
        <v>0.37880025111348359</v>
      </c>
      <c r="BX47" s="136"/>
      <c r="BY47" s="136"/>
      <c r="BZ47" s="58" t="s">
        <v>196</v>
      </c>
      <c r="CA47" s="32">
        <f t="shared" si="137"/>
        <v>68.601928098700753</v>
      </c>
      <c r="CB47" s="33">
        <f t="shared" si="137"/>
        <v>30.232350290741763</v>
      </c>
      <c r="CC47" s="33">
        <f t="shared" si="137"/>
        <v>6.1311940664362803</v>
      </c>
      <c r="CD47" s="33">
        <f>AE47/$AK47*1000</f>
        <v>5.6464700432617185</v>
      </c>
      <c r="CE47" s="33">
        <f t="shared" si="138"/>
        <v>17.23350513431188</v>
      </c>
      <c r="CF47" s="33">
        <f t="shared" si="138"/>
        <v>3.1664956249064882</v>
      </c>
      <c r="CG47" s="33">
        <f t="shared" si="138"/>
        <v>17</v>
      </c>
      <c r="CH47" s="33">
        <f t="shared" si="138"/>
        <v>7.8245189048090653</v>
      </c>
      <c r="CI47" s="8">
        <f t="shared" si="138"/>
        <v>24.321053536725515</v>
      </c>
      <c r="CJ47" s="11"/>
      <c r="CK47" s="136"/>
      <c r="CL47" t="s">
        <v>280</v>
      </c>
      <c r="CM47" s="7">
        <f t="shared" ref="CM47:CU47" si="144">(CM40-CM11)/AVERAGE(CM11,CM40)</f>
        <v>0.23497783026738275</v>
      </c>
      <c r="CN47" s="7">
        <f t="shared" si="144"/>
        <v>0.25697990819454747</v>
      </c>
      <c r="CO47" s="7">
        <f t="shared" si="144"/>
        <v>-4.6568341713531441E-2</v>
      </c>
      <c r="CP47" s="7">
        <f t="shared" si="144"/>
        <v>-2.5910182840879824E-2</v>
      </c>
      <c r="CQ47" s="7">
        <f t="shared" si="144"/>
        <v>0.63547605803690543</v>
      </c>
      <c r="CR47" s="7">
        <f t="shared" si="144"/>
        <v>2.2970464562221824E-2</v>
      </c>
      <c r="CS47" s="7">
        <f t="shared" si="144"/>
        <v>0.67488493945028438</v>
      </c>
      <c r="CT47" s="7">
        <f t="shared" si="144"/>
        <v>0.1411395326791344</v>
      </c>
      <c r="CU47" s="7">
        <f t="shared" si="144"/>
        <v>0.52418295475817578</v>
      </c>
      <c r="CV47" s="136"/>
      <c r="DB47" s="8" t="s">
        <v>247</v>
      </c>
      <c r="DC47" s="32">
        <v>10.190020197880358</v>
      </c>
      <c r="DD47" s="8">
        <v>13.135604126955709</v>
      </c>
      <c r="DE47" s="11">
        <f t="shared" si="89"/>
        <v>1.289065563352668</v>
      </c>
      <c r="DI47" s="6">
        <f t="shared" si="108"/>
        <v>1.2132912520043777</v>
      </c>
    </row>
    <row r="48" spans="1:113"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M48" s="281">
        <v>103</v>
      </c>
      <c r="Y48" s="142"/>
      <c r="Z48" s="136"/>
      <c r="AA48" s="14" t="s">
        <v>197</v>
      </c>
      <c r="AB48" s="15">
        <v>5.2352922024793953</v>
      </c>
      <c r="AC48" s="15">
        <v>1.3225992233358925</v>
      </c>
      <c r="AD48" s="15">
        <v>0.58357037300202996</v>
      </c>
      <c r="AE48" s="15">
        <v>0.75927072675389851</v>
      </c>
      <c r="AF48" s="15">
        <v>1.0361912929304089</v>
      </c>
      <c r="AG48" s="15">
        <v>0.3634981799281245</v>
      </c>
      <c r="AH48" s="15">
        <v>1.4704439825707294</v>
      </c>
      <c r="AI48" s="15">
        <v>0.32044764019048794</v>
      </c>
      <c r="AJ48" s="16">
        <v>1.4905234041238307</v>
      </c>
      <c r="AK48" s="11">
        <v>47</v>
      </c>
      <c r="AM48" s="56" t="s">
        <v>280</v>
      </c>
      <c r="AN48" s="33">
        <f t="shared" ref="AN48:AV48" si="145">(AN40-AN11)/AVERAGE(AN11,AN40)</f>
        <v>0.21183607981260164</v>
      </c>
      <c r="AO48" s="33">
        <f t="shared" si="145"/>
        <v>0.23648292675553151</v>
      </c>
      <c r="AP48" s="33">
        <f t="shared" si="145"/>
        <v>-7.2013498798544046E-2</v>
      </c>
      <c r="AQ48" s="33">
        <f t="shared" si="145"/>
        <v>-3.100920461021223E-2</v>
      </c>
      <c r="AR48" s="33">
        <f t="shared" si="145"/>
        <v>0.65784912108061222</v>
      </c>
      <c r="AS48" s="33">
        <f t="shared" si="145"/>
        <v>1.386210462050479E-2</v>
      </c>
      <c r="AT48" s="33">
        <f t="shared" si="145"/>
        <v>0.72573087181301743</v>
      </c>
      <c r="AU48" s="33">
        <f t="shared" si="145"/>
        <v>0.12467400722209326</v>
      </c>
      <c r="AV48" s="33">
        <f t="shared" si="145"/>
        <v>0.53843441187538565</v>
      </c>
      <c r="AX48" s="246"/>
      <c r="AZ48" s="11"/>
      <c r="BA48" s="6" t="s">
        <v>243</v>
      </c>
      <c r="BB48" s="7">
        <f t="shared" si="134"/>
        <v>37.05217685079522</v>
      </c>
      <c r="BC48" s="7">
        <f t="shared" si="134"/>
        <v>5.6747396216134929</v>
      </c>
      <c r="BD48" s="7">
        <f t="shared" si="142"/>
        <v>4.283271415076995</v>
      </c>
      <c r="BE48" s="7">
        <f t="shared" si="135"/>
        <v>5.4972520002795058</v>
      </c>
      <c r="BF48" s="7">
        <f t="shared" si="135"/>
        <v>6.6874903588109129</v>
      </c>
      <c r="BG48" s="7">
        <f t="shared" si="135"/>
        <v>6.7167917409952507</v>
      </c>
      <c r="BH48" s="7">
        <f t="shared" ref="BH48:BH53" si="146">I48/$M48*1000</f>
        <v>5.550700964224454</v>
      </c>
      <c r="BI48" s="48"/>
      <c r="BJ48" s="8">
        <f t="shared" ref="BJ48:BJ53" si="147">K48/$M48*1000</f>
        <v>10.724769142427297</v>
      </c>
      <c r="BL48" s="136"/>
      <c r="BM48" s="136"/>
      <c r="BX48" s="136"/>
      <c r="BY48" s="136"/>
      <c r="BZ48" s="110" t="s">
        <v>197</v>
      </c>
      <c r="CA48" s="24">
        <f t="shared" si="137"/>
        <v>111.38919579743394</v>
      </c>
      <c r="CB48" s="15">
        <f t="shared" si="137"/>
        <v>28.140409007146651</v>
      </c>
      <c r="CC48" s="15">
        <f t="shared" si="137"/>
        <v>12.416390914936809</v>
      </c>
      <c r="CD48" s="15">
        <f>AE48/$AK48*1000</f>
        <v>16.154696313912737</v>
      </c>
      <c r="CE48" s="15">
        <f t="shared" si="138"/>
        <v>22.046623253838487</v>
      </c>
      <c r="CF48" s="15">
        <f t="shared" si="138"/>
        <v>7.7340038282579684</v>
      </c>
      <c r="CG48" s="15">
        <f t="shared" si="138"/>
        <v>31.286042182355942</v>
      </c>
      <c r="CH48" s="15">
        <f t="shared" si="138"/>
        <v>6.8180348976699561</v>
      </c>
      <c r="CI48" s="16">
        <f t="shared" si="138"/>
        <v>31.713263917528309</v>
      </c>
      <c r="CJ48" s="11"/>
      <c r="CK48" s="136"/>
      <c r="CV48" s="136"/>
      <c r="DB48" s="8" t="s">
        <v>249</v>
      </c>
      <c r="DC48" s="32">
        <v>3.8125610673600114</v>
      </c>
      <c r="DD48" s="8">
        <v>4.7153360931987596</v>
      </c>
      <c r="DE48" s="11">
        <f t="shared" si="89"/>
        <v>1.2367896565821752</v>
      </c>
      <c r="DI48" s="6">
        <f t="shared" si="108"/>
        <v>0.36763912835430929</v>
      </c>
    </row>
    <row r="49" spans="1:113" ht="15.75" x14ac:dyDescent="0.25">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M49" s="281">
        <v>97</v>
      </c>
      <c r="Y49" s="149"/>
      <c r="AA49" s="140" t="s">
        <v>261</v>
      </c>
      <c r="AB49" s="141">
        <f>AVERAGE(AB34:AB48)</f>
        <v>3.7497962944982373</v>
      </c>
      <c r="AC49" s="141">
        <f t="shared" ref="AC49:AJ49" si="148">AVERAGE(AC34:AC48)</f>
        <v>1.2530121589064842</v>
      </c>
      <c r="AD49" s="141">
        <f t="shared" si="148"/>
        <v>0.42860124583426801</v>
      </c>
      <c r="AE49" s="141">
        <f t="shared" si="148"/>
        <v>0.40700727994924385</v>
      </c>
      <c r="AF49" s="141">
        <f t="shared" si="148"/>
        <v>0.83772874235729611</v>
      </c>
      <c r="AG49" s="141">
        <f t="shared" si="148"/>
        <v>0.4484297040411559</v>
      </c>
      <c r="AH49" s="141">
        <f t="shared" si="148"/>
        <v>1.13336609212876</v>
      </c>
      <c r="AI49" s="141">
        <f t="shared" si="148"/>
        <v>0.41395153873844226</v>
      </c>
      <c r="AJ49" s="141">
        <f t="shared" si="148"/>
        <v>1.6116441962293278</v>
      </c>
      <c r="AK49" s="11"/>
      <c r="AX49" s="246"/>
      <c r="AZ49" s="11"/>
      <c r="BA49" s="6" t="s">
        <v>245</v>
      </c>
      <c r="BB49" s="7">
        <f t="shared" si="134"/>
        <v>60.455570693376451</v>
      </c>
      <c r="BC49" s="7">
        <f t="shared" si="134"/>
        <v>26.315915056863151</v>
      </c>
      <c r="BD49" s="7">
        <f t="shared" si="142"/>
        <v>2.6764726020579803</v>
      </c>
      <c r="BE49" s="7">
        <f t="shared" si="135"/>
        <v>2.804282222432589</v>
      </c>
      <c r="BF49" s="7">
        <f t="shared" si="135"/>
        <v>5.4423452219469697</v>
      </c>
      <c r="BG49" s="7">
        <f t="shared" si="135"/>
        <v>3.759470899087566</v>
      </c>
      <c r="BH49" s="7">
        <f t="shared" si="146"/>
        <v>9.8171322352317567</v>
      </c>
      <c r="BI49" s="7">
        <f>J49/$M49*1000</f>
        <v>5.2725042499055439</v>
      </c>
      <c r="BJ49" s="8">
        <f t="shared" si="147"/>
        <v>17.55090094192618</v>
      </c>
      <c r="BZ49" s="140" t="s">
        <v>261</v>
      </c>
      <c r="CA49" s="141">
        <f>AVERAGE(CA34:CA48)</f>
        <v>54.248392791452275</v>
      </c>
      <c r="CB49" s="141">
        <f t="shared" ref="CB49:CI49" si="149">AVERAGE(CB34:CB48)</f>
        <v>18.204124632510947</v>
      </c>
      <c r="CC49" s="141">
        <f t="shared" si="149"/>
        <v>6.3032647435294624</v>
      </c>
      <c r="CD49" s="141">
        <f t="shared" si="149"/>
        <v>6.1641909549501754</v>
      </c>
      <c r="CE49" s="141">
        <f t="shared" si="149"/>
        <v>11.491868407910868</v>
      </c>
      <c r="CF49" s="141">
        <f t="shared" si="149"/>
        <v>7.1363912446743667</v>
      </c>
      <c r="CG49" s="141">
        <f t="shared" si="149"/>
        <v>15.510081628691776</v>
      </c>
      <c r="CH49" s="141">
        <f t="shared" si="149"/>
        <v>5.9470153691238545</v>
      </c>
      <c r="CI49" s="141">
        <f t="shared" si="149"/>
        <v>22.073495653634602</v>
      </c>
      <c r="CJ49" s="11"/>
      <c r="DB49" s="8" t="s">
        <v>286</v>
      </c>
      <c r="DC49" s="32">
        <v>5.5490979599806876</v>
      </c>
      <c r="DD49" s="8">
        <v>10.36661664645754</v>
      </c>
      <c r="DE49" s="11">
        <f t="shared" si="89"/>
        <v>1.8681624871682061</v>
      </c>
      <c r="DI49" s="6">
        <f t="shared" si="108"/>
        <v>0.95854025583145219</v>
      </c>
    </row>
    <row r="50" spans="1:113" ht="16.5" thickBot="1" x14ac:dyDescent="0.3">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M50" s="281">
        <v>61</v>
      </c>
      <c r="Y50" s="149"/>
      <c r="AA50" s="308" t="s">
        <v>263</v>
      </c>
      <c r="AB50" s="309">
        <f>_xlfn.STDEV.S(AB34:AB48)</f>
        <v>1.0512471843523834</v>
      </c>
      <c r="AC50" s="309">
        <f t="shared" ref="AC50:AJ50" si="150">_xlfn.STDEV.S(AC34:AC48)</f>
        <v>0.45159953436257749</v>
      </c>
      <c r="AD50" s="309">
        <f t="shared" si="150"/>
        <v>0.13535841979854377</v>
      </c>
      <c r="AE50" s="309">
        <f t="shared" si="150"/>
        <v>0.17450083467494434</v>
      </c>
      <c r="AF50" s="309">
        <f t="shared" si="150"/>
        <v>0.33227913696295081</v>
      </c>
      <c r="AG50" s="309">
        <f t="shared" si="150"/>
        <v>0.33622687045918043</v>
      </c>
      <c r="AH50" s="309">
        <f t="shared" si="150"/>
        <v>0.3878701615964274</v>
      </c>
      <c r="AI50" s="309">
        <f t="shared" si="150"/>
        <v>0.27068306065623987</v>
      </c>
      <c r="AJ50" s="309">
        <f t="shared" si="150"/>
        <v>0.45104437170481904</v>
      </c>
      <c r="AK50" s="11"/>
      <c r="AX50" s="246"/>
      <c r="BA50" s="6" t="s">
        <v>247</v>
      </c>
      <c r="BB50" s="7">
        <f t="shared" si="134"/>
        <v>79.112420697160076</v>
      </c>
      <c r="BC50" s="7">
        <f t="shared" si="134"/>
        <v>17.989237269697171</v>
      </c>
      <c r="BD50" s="7">
        <f t="shared" si="142"/>
        <v>2.186213078919101</v>
      </c>
      <c r="BE50" s="7">
        <f t="shared" si="135"/>
        <v>2.7199976518101283</v>
      </c>
      <c r="BF50" s="7">
        <f t="shared" si="135"/>
        <v>16.120385035648539</v>
      </c>
      <c r="BG50" s="7">
        <f t="shared" si="135"/>
        <v>25.171837632687392</v>
      </c>
      <c r="BH50" s="7">
        <f t="shared" si="146"/>
        <v>17.211900224166765</v>
      </c>
      <c r="BI50" s="48"/>
      <c r="BJ50" s="8">
        <f t="shared" si="147"/>
        <v>14.570106104330446</v>
      </c>
      <c r="BZ50" s="308" t="s">
        <v>263</v>
      </c>
      <c r="CA50" s="309">
        <f>_xlfn.STDEV.S(CA34:CA48)</f>
        <v>22.32198341689681</v>
      </c>
      <c r="CB50" s="309">
        <f t="shared" ref="CB50:CI50" si="151">_xlfn.STDEV.S(CB34:CB48)</f>
        <v>5.9700082047052074</v>
      </c>
      <c r="CC50" s="309">
        <f t="shared" si="151"/>
        <v>2.8442044241131978</v>
      </c>
      <c r="CD50" s="309">
        <f t="shared" si="151"/>
        <v>3.8378924923122608</v>
      </c>
      <c r="CE50" s="309">
        <f t="shared" si="151"/>
        <v>5.4699318755669015</v>
      </c>
      <c r="CF50" s="309">
        <f t="shared" si="151"/>
        <v>4.583196423769393</v>
      </c>
      <c r="CG50" s="309">
        <f t="shared" si="151"/>
        <v>5.9765081619385194</v>
      </c>
      <c r="CH50" s="309">
        <f t="shared" si="151"/>
        <v>4.0044869904230742</v>
      </c>
      <c r="CI50" s="309">
        <f t="shared" si="151"/>
        <v>5.4993220450428932</v>
      </c>
      <c r="CJ50" s="11"/>
      <c r="DB50" s="16" t="s">
        <v>252</v>
      </c>
      <c r="DC50" s="24">
        <v>2.9199318344944034</v>
      </c>
      <c r="DD50" s="16">
        <v>6.8825842982801291</v>
      </c>
      <c r="DE50" s="50">
        <f t="shared" si="89"/>
        <v>2.3571044422932128</v>
      </c>
      <c r="DI50" s="14">
        <f t="shared" si="108"/>
        <v>0.7023814429685391</v>
      </c>
    </row>
    <row r="51" spans="1:113" ht="15.75" x14ac:dyDescent="0.25">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M51" s="281">
        <v>73</v>
      </c>
      <c r="Y51" s="149"/>
      <c r="AA51" s="140" t="s">
        <v>455</v>
      </c>
      <c r="AB51" s="141">
        <f>MAX(AB34:AB48)</f>
        <v>5.7072267003870003</v>
      </c>
      <c r="AC51" s="141">
        <f t="shared" ref="AC51:AJ51" si="152">MAX(AC34:AC48)</f>
        <v>2.1003363054179998</v>
      </c>
      <c r="AD51" s="141">
        <f t="shared" si="152"/>
        <v>0.62633691993483753</v>
      </c>
      <c r="AE51" s="141">
        <f t="shared" si="152"/>
        <v>0.75927072675389851</v>
      </c>
      <c r="AF51" s="141">
        <f t="shared" si="152"/>
        <v>1.63369310616</v>
      </c>
      <c r="AG51" s="141">
        <f t="shared" si="152"/>
        <v>1.3433241867677961</v>
      </c>
      <c r="AH51" s="141">
        <f t="shared" si="152"/>
        <v>2.075894394309</v>
      </c>
      <c r="AI51" s="141">
        <f t="shared" si="152"/>
        <v>1.1506552137769184</v>
      </c>
      <c r="AJ51" s="141">
        <f t="shared" si="152"/>
        <v>2.378682805725</v>
      </c>
      <c r="AK51" s="11"/>
      <c r="AX51" s="246"/>
      <c r="BA51" s="6" t="s">
        <v>249</v>
      </c>
      <c r="BB51" s="7">
        <f t="shared" si="134"/>
        <v>44.210008224631522</v>
      </c>
      <c r="BC51" s="7">
        <f t="shared" si="134"/>
        <v>10.041935767075451</v>
      </c>
      <c r="BD51" s="7">
        <f t="shared" si="142"/>
        <v>2.4289253811681957</v>
      </c>
      <c r="BE51" s="7">
        <f t="shared" si="135"/>
        <v>2.5729952857323557</v>
      </c>
      <c r="BF51" s="7">
        <f t="shared" si="135"/>
        <v>7.4339868125142372</v>
      </c>
      <c r="BG51" s="7">
        <f t="shared" si="135"/>
        <v>12.084040546537624</v>
      </c>
      <c r="BH51" s="7">
        <f t="shared" si="146"/>
        <v>11.241606470271105</v>
      </c>
      <c r="BI51" s="7">
        <f>J51/$M51*1000</f>
        <v>7.2348015576808065</v>
      </c>
      <c r="BJ51" s="8">
        <f t="shared" si="147"/>
        <v>16.288004414319097</v>
      </c>
      <c r="BZ51" s="140" t="s">
        <v>455</v>
      </c>
      <c r="CA51" s="141">
        <f>MAX(CA34:CA48)</f>
        <v>111.38919579743394</v>
      </c>
      <c r="CB51" s="141">
        <f t="shared" ref="CB51:CI51" si="153">MAX(CB34:CB48)</f>
        <v>30.232350290741763</v>
      </c>
      <c r="CC51" s="141">
        <f t="shared" si="153"/>
        <v>12.416390914936809</v>
      </c>
      <c r="CD51" s="141">
        <f t="shared" si="153"/>
        <v>16.154696313912737</v>
      </c>
      <c r="CE51" s="141">
        <f t="shared" si="153"/>
        <v>22.046623253838487</v>
      </c>
      <c r="CF51" s="141">
        <f t="shared" si="153"/>
        <v>15.172180434880742</v>
      </c>
      <c r="CG51" s="141">
        <f t="shared" si="153"/>
        <v>31.286042182355942</v>
      </c>
      <c r="CH51" s="141">
        <f t="shared" si="153"/>
        <v>15.553073724312549</v>
      </c>
      <c r="CI51" s="141">
        <f t="shared" si="153"/>
        <v>31.713263917528309</v>
      </c>
      <c r="CJ51" s="11"/>
      <c r="DE51">
        <f>AVERAGE(DE30:DE50)</f>
        <v>1.0238273735595964</v>
      </c>
      <c r="DI51">
        <f>AVERAGE(DI30:DI50)</f>
        <v>0.49492811937139597</v>
      </c>
    </row>
    <row r="52" spans="1:113" ht="15.75" x14ac:dyDescent="0.25">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M52" s="281">
        <v>53</v>
      </c>
      <c r="Y52" s="149"/>
      <c r="AA52" s="140" t="s">
        <v>456</v>
      </c>
      <c r="AB52" s="141">
        <f>MIN(AB34:AB48)</f>
        <v>2.0106540926798337</v>
      </c>
      <c r="AC52" s="141">
        <f t="shared" ref="AC52:AJ52" si="154">MIN(AC34:AC48)</f>
        <v>0.68204591092290212</v>
      </c>
      <c r="AD52" s="141">
        <f t="shared" si="154"/>
        <v>0.22174431850375356</v>
      </c>
      <c r="AE52" s="141">
        <f t="shared" si="154"/>
        <v>0.13195454545454544</v>
      </c>
      <c r="AF52" s="141">
        <f t="shared" si="154"/>
        <v>0.26386051717174486</v>
      </c>
      <c r="AG52" s="141">
        <f t="shared" si="154"/>
        <v>8.1977312267329225E-2</v>
      </c>
      <c r="AH52" s="141">
        <f t="shared" si="154"/>
        <v>0.62452727272727271</v>
      </c>
      <c r="AI52" s="141">
        <f t="shared" si="154"/>
        <v>0.10892882206321766</v>
      </c>
      <c r="AJ52" s="141">
        <f t="shared" si="154"/>
        <v>0.85176846402270945</v>
      </c>
      <c r="AK52" s="11"/>
      <c r="AX52" s="246"/>
      <c r="BA52" s="6" t="s">
        <v>286</v>
      </c>
      <c r="BB52" s="7">
        <f t="shared" si="134"/>
        <v>66.839760378541484</v>
      </c>
      <c r="BC52" s="7">
        <f t="shared" si="134"/>
        <v>13.470979993494336</v>
      </c>
      <c r="BD52" s="7">
        <f t="shared" si="142"/>
        <v>10.313955794462542</v>
      </c>
      <c r="BE52" s="7">
        <f t="shared" si="135"/>
        <v>11.759695848224764</v>
      </c>
      <c r="BF52" s="7">
        <f t="shared" si="135"/>
        <v>19.652655060656361</v>
      </c>
      <c r="BG52" s="7">
        <f t="shared" si="135"/>
        <v>6.507799893299441</v>
      </c>
      <c r="BH52" s="7">
        <f t="shared" si="146"/>
        <v>14.321040058199534</v>
      </c>
      <c r="BI52" s="7">
        <f>J52/$M52*1000</f>
        <v>7.6577174496848448</v>
      </c>
      <c r="BJ52" s="8">
        <f t="shared" si="147"/>
        <v>19.327303741332042</v>
      </c>
      <c r="BZ52" s="140" t="s">
        <v>456</v>
      </c>
      <c r="CA52" s="141">
        <f>MIN(CA34:CA48)</f>
        <v>28.46803083955653</v>
      </c>
      <c r="CB52" s="141">
        <f t="shared" ref="CB52:CI52" si="155">MIN(CB34:CB48)</f>
        <v>9.216836634093271</v>
      </c>
      <c r="CC52" s="141">
        <f t="shared" si="155"/>
        <v>3.2226711560044889</v>
      </c>
      <c r="CD52" s="141">
        <f t="shared" si="155"/>
        <v>1.6290684624017955</v>
      </c>
      <c r="CE52" s="141">
        <f t="shared" si="155"/>
        <v>4.5493192615818074</v>
      </c>
      <c r="CF52" s="141">
        <f t="shared" si="155"/>
        <v>1.3473697231707864</v>
      </c>
      <c r="CG52" s="141">
        <f t="shared" si="155"/>
        <v>7.7102132435465762</v>
      </c>
      <c r="CH52" s="141">
        <f t="shared" si="155"/>
        <v>1.8780831390209942</v>
      </c>
      <c r="CI52" s="141">
        <f t="shared" si="155"/>
        <v>12.049158249158246</v>
      </c>
      <c r="CJ52" s="11"/>
      <c r="DE52">
        <f>_xlfn.STDEV.S(DE30:DE50)</f>
        <v>0.52305127990467482</v>
      </c>
    </row>
    <row r="53" spans="1:113" ht="16.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M53" s="281">
        <v>95</v>
      </c>
      <c r="Y53" s="149"/>
      <c r="AA53" s="140" t="s">
        <v>265</v>
      </c>
      <c r="AB53" s="142">
        <f>COUNT(AB34:AB48)</f>
        <v>15</v>
      </c>
      <c r="AC53" s="142">
        <f t="shared" ref="AC53:AJ53" si="156">COUNT(AC34:AC48)</f>
        <v>14</v>
      </c>
      <c r="AD53" s="142">
        <f t="shared" si="156"/>
        <v>15</v>
      </c>
      <c r="AE53" s="142">
        <f t="shared" si="156"/>
        <v>13</v>
      </c>
      <c r="AF53" s="142">
        <f t="shared" si="156"/>
        <v>15</v>
      </c>
      <c r="AG53" s="142">
        <f t="shared" si="156"/>
        <v>14</v>
      </c>
      <c r="AH53" s="142">
        <f t="shared" si="156"/>
        <v>15</v>
      </c>
      <c r="AI53" s="142">
        <f t="shared" si="156"/>
        <v>15</v>
      </c>
      <c r="AJ53" s="142">
        <f t="shared" si="156"/>
        <v>15</v>
      </c>
      <c r="AK53" s="11"/>
      <c r="AX53" s="246"/>
      <c r="BA53" s="60" t="s">
        <v>252</v>
      </c>
      <c r="BB53" s="24">
        <f>C53/$M53*1000</f>
        <v>32.626179925179642</v>
      </c>
      <c r="BC53" s="172"/>
      <c r="BD53" s="15">
        <f t="shared" si="142"/>
        <v>3.7730832822325531</v>
      </c>
      <c r="BE53" s="15">
        <f>F53/$M53*1000</f>
        <v>3.2382227901847926</v>
      </c>
      <c r="BF53" s="15">
        <f>G53/$M53*1000</f>
        <v>9.8920839967471306</v>
      </c>
      <c r="BG53" s="51"/>
      <c r="BH53" s="15">
        <f t="shared" si="146"/>
        <v>7.8151915576907172</v>
      </c>
      <c r="BI53" s="15">
        <f>J53/$M53*1000</f>
        <v>5.6843878035090656</v>
      </c>
      <c r="BJ53" s="16">
        <f t="shared" si="147"/>
        <v>13.823445938751645</v>
      </c>
      <c r="BZ53" s="140" t="s">
        <v>265</v>
      </c>
      <c r="CA53" s="142">
        <f>COUNT(CA34:CA48)</f>
        <v>13</v>
      </c>
      <c r="CB53" s="142">
        <f t="shared" ref="CB53:CI53" si="157">COUNT(CB34:CB48)</f>
        <v>12</v>
      </c>
      <c r="CC53" s="142">
        <f t="shared" si="157"/>
        <v>13</v>
      </c>
      <c r="CD53" s="142">
        <f t="shared" si="157"/>
        <v>11</v>
      </c>
      <c r="CE53" s="142">
        <f t="shared" si="157"/>
        <v>13</v>
      </c>
      <c r="CF53" s="142">
        <f t="shared" si="157"/>
        <v>12</v>
      </c>
      <c r="CG53" s="142">
        <f t="shared" si="157"/>
        <v>13</v>
      </c>
      <c r="CH53" s="142">
        <f t="shared" si="157"/>
        <v>13</v>
      </c>
      <c r="CI53" s="142">
        <f t="shared" si="157"/>
        <v>13</v>
      </c>
      <c r="CJ53" s="11"/>
    </row>
    <row r="54" spans="1:113" ht="15.75" x14ac:dyDescent="0.25">
      <c r="B54" s="140" t="s">
        <v>261</v>
      </c>
      <c r="C54" s="7">
        <f t="shared" ref="C54:K54" si="158">AVERAGE(C34:C53)</f>
        <v>4.151591771285263</v>
      </c>
      <c r="D54" s="7">
        <f t="shared" si="158"/>
        <v>1.0750931942540567</v>
      </c>
      <c r="E54" s="7">
        <f t="shared" si="158"/>
        <v>0.3657723214531064</v>
      </c>
      <c r="F54" s="7">
        <f t="shared" si="158"/>
        <v>0.38662299791435389</v>
      </c>
      <c r="G54" s="7">
        <f t="shared" si="158"/>
        <v>0.83044750889071961</v>
      </c>
      <c r="H54" s="7">
        <f t="shared" si="158"/>
        <v>0.78216239192128056</v>
      </c>
      <c r="I54" s="7">
        <f t="shared" si="158"/>
        <v>1.0934079745742233</v>
      </c>
      <c r="J54" s="7">
        <f t="shared" si="158"/>
        <v>0.44357423560330117</v>
      </c>
      <c r="K54" s="7">
        <f t="shared" si="158"/>
        <v>1.5872074114563808</v>
      </c>
      <c r="Y54" s="149"/>
      <c r="AK54" s="11"/>
      <c r="AX54" s="246"/>
      <c r="BA54" s="140" t="s">
        <v>261</v>
      </c>
      <c r="BB54" s="7">
        <f t="shared" ref="BB54:BJ54" si="159">AVERAGE(BB34:BB53)</f>
        <v>55.312872030943026</v>
      </c>
      <c r="BC54" s="31">
        <f t="shared" si="159"/>
        <v>13.984489043047446</v>
      </c>
      <c r="BD54" s="7">
        <f t="shared" si="159"/>
        <v>4.9350155217634217</v>
      </c>
      <c r="BE54" s="7">
        <f t="shared" si="159"/>
        <v>5.206431335003848</v>
      </c>
      <c r="BF54" s="7">
        <f t="shared" si="159"/>
        <v>11.089831816566385</v>
      </c>
      <c r="BG54" s="7">
        <f t="shared" si="159"/>
        <v>11.034206866714209</v>
      </c>
      <c r="BH54" s="7">
        <f t="shared" si="159"/>
        <v>14.202493670073592</v>
      </c>
      <c r="BI54" s="7">
        <f t="shared" si="159"/>
        <v>5.7973737427966503</v>
      </c>
      <c r="BJ54" s="7">
        <f t="shared" si="159"/>
        <v>20.587433883237573</v>
      </c>
      <c r="CJ54" s="11"/>
    </row>
    <row r="55" spans="1:113" ht="15.75" x14ac:dyDescent="0.25">
      <c r="B55" s="308" t="s">
        <v>263</v>
      </c>
      <c r="C55" s="35">
        <f t="shared" ref="C55:K55" si="160">_xlfn.STDEV.S(C34:C53)</f>
        <v>0.88339061896179283</v>
      </c>
      <c r="D55" s="35">
        <f t="shared" si="160"/>
        <v>0.51608001238327783</v>
      </c>
      <c r="E55" s="35">
        <f t="shared" si="160"/>
        <v>0.14004324859613024</v>
      </c>
      <c r="F55" s="35">
        <f t="shared" si="160"/>
        <v>0.13162446120242352</v>
      </c>
      <c r="G55" s="35">
        <f t="shared" si="160"/>
        <v>0.32952625615136144</v>
      </c>
      <c r="H55" s="35">
        <f t="shared" si="160"/>
        <v>0.33061994799152311</v>
      </c>
      <c r="I55" s="35">
        <f t="shared" si="160"/>
        <v>0.39148147975173031</v>
      </c>
      <c r="J55" s="35">
        <f t="shared" si="160"/>
        <v>0.14940105228151473</v>
      </c>
      <c r="K55" s="35">
        <f t="shared" si="160"/>
        <v>0.47179812630805462</v>
      </c>
      <c r="Y55" s="149"/>
      <c r="AA55" t="s">
        <v>278</v>
      </c>
      <c r="AB55" s="279">
        <f t="shared" ref="AB55:AJ55" si="161">_xlfn.T.TEST(AB5:AB19,AB34:AB48,2,1)</f>
        <v>2.0718161698997516E-3</v>
      </c>
      <c r="AC55" s="7">
        <f t="shared" si="161"/>
        <v>0.30032742401601686</v>
      </c>
      <c r="AD55" s="7">
        <f t="shared" si="161"/>
        <v>0.54830355238586415</v>
      </c>
      <c r="AE55" s="7">
        <f t="shared" si="161"/>
        <v>0.43885514140816362</v>
      </c>
      <c r="AF55" s="147">
        <f t="shared" si="161"/>
        <v>3.1562226791443048E-3</v>
      </c>
      <c r="AG55" s="7">
        <f t="shared" si="161"/>
        <v>0.96377233627715575</v>
      </c>
      <c r="AH55" s="279">
        <f t="shared" si="161"/>
        <v>1.2855280000101048E-5</v>
      </c>
      <c r="AI55" s="7">
        <f t="shared" si="161"/>
        <v>0.7716935423191067</v>
      </c>
      <c r="AJ55" s="279">
        <f t="shared" si="161"/>
        <v>7.9769268060729865E-5</v>
      </c>
      <c r="AK55" s="11"/>
      <c r="AX55" s="246"/>
      <c r="BA55" s="308" t="s">
        <v>263</v>
      </c>
      <c r="BB55" s="35">
        <f t="shared" ref="BB55:BJ55" si="162">_xlfn.STDEV.S(BB34:BB53)</f>
        <v>19.85754599360568</v>
      </c>
      <c r="BC55" s="35">
        <f t="shared" si="162"/>
        <v>6.1521286324650157</v>
      </c>
      <c r="BD55" s="35">
        <f t="shared" si="162"/>
        <v>2.9046662233841811</v>
      </c>
      <c r="BE55" s="35">
        <f t="shared" si="162"/>
        <v>2.7175404703474322</v>
      </c>
      <c r="BF55" s="35">
        <f t="shared" si="162"/>
        <v>4.9983338516431894</v>
      </c>
      <c r="BG55" s="35">
        <f t="shared" si="162"/>
        <v>6.9555120092483858</v>
      </c>
      <c r="BH55" s="35">
        <f t="shared" si="162"/>
        <v>4.5622164090728887</v>
      </c>
      <c r="BI55" s="35">
        <f t="shared" si="162"/>
        <v>2.5228219285817395</v>
      </c>
      <c r="BJ55" s="35">
        <f t="shared" si="162"/>
        <v>5.9138981189574711</v>
      </c>
      <c r="BZ55" t="s">
        <v>278</v>
      </c>
      <c r="CA55" s="280">
        <f t="shared" ref="CA55:CI55" si="163">_xlfn.T.TEST(CA5:CA19,CA34:CA48,2,1)</f>
        <v>4.8872421368752498E-3</v>
      </c>
      <c r="CB55" s="7">
        <f t="shared" si="163"/>
        <v>0.46774151971493949</v>
      </c>
      <c r="CC55" s="7">
        <f t="shared" si="163"/>
        <v>0.98008101672281778</v>
      </c>
      <c r="CD55" s="7">
        <f t="shared" si="163"/>
        <v>0.91322329446076655</v>
      </c>
      <c r="CE55" s="147">
        <f t="shared" si="163"/>
        <v>2.5737313416550668E-3</v>
      </c>
      <c r="CF55" s="7">
        <f t="shared" si="163"/>
        <v>0.53525525149259789</v>
      </c>
      <c r="CG55" s="279">
        <f t="shared" si="163"/>
        <v>3.0523803852315552E-6</v>
      </c>
      <c r="CH55" s="7">
        <f t="shared" si="163"/>
        <v>0.3668514869503533</v>
      </c>
      <c r="CI55" s="279">
        <f t="shared" si="163"/>
        <v>1.6010190598196169E-5</v>
      </c>
      <c r="CJ55" s="11"/>
    </row>
    <row r="56" spans="1:113" ht="15.75" x14ac:dyDescent="0.25">
      <c r="B56" s="140" t="s">
        <v>455</v>
      </c>
      <c r="C56" s="141">
        <f>MAX(C34:C53)</f>
        <v>5.8641903572575158</v>
      </c>
      <c r="D56" s="141">
        <f t="shared" ref="D56:K56" si="164">MAX(D34:D53)</f>
        <v>2.5526437605157257</v>
      </c>
      <c r="E56" s="141">
        <f t="shared" si="164"/>
        <v>0.69492840543923418</v>
      </c>
      <c r="F56" s="141">
        <f t="shared" si="164"/>
        <v>0.62326387995591248</v>
      </c>
      <c r="G56" s="141">
        <f t="shared" si="164"/>
        <v>1.6283433179723501</v>
      </c>
      <c r="H56" s="141">
        <f t="shared" si="164"/>
        <v>1.5354820955939308</v>
      </c>
      <c r="I56" s="141">
        <f t="shared" si="164"/>
        <v>1.9822672811059907</v>
      </c>
      <c r="J56" s="141">
        <f t="shared" si="164"/>
        <v>0.69569250418327955</v>
      </c>
      <c r="K56" s="141">
        <f t="shared" si="164"/>
        <v>2.3837626728110601</v>
      </c>
      <c r="Y56" s="149"/>
      <c r="AA56" t="s">
        <v>280</v>
      </c>
      <c r="AB56" s="147">
        <f t="shared" ref="AB56:AJ56" si="165">(AB49-AB20)/AVERAGE(AB21,AB50)</f>
        <v>0.96765564298223716</v>
      </c>
      <c r="AC56" s="7">
        <f t="shared" si="165"/>
        <v>0.35036198808102487</v>
      </c>
      <c r="AD56" s="7">
        <f t="shared" si="165"/>
        <v>0.14903882115423675</v>
      </c>
      <c r="AE56" s="7">
        <f t="shared" si="165"/>
        <v>0.13571833128666319</v>
      </c>
      <c r="AF56" s="147">
        <f t="shared" si="165"/>
        <v>1.2569973153133107</v>
      </c>
      <c r="AG56" s="7">
        <f t="shared" si="165"/>
        <v>-4.3713089060784154E-3</v>
      </c>
      <c r="AH56" s="147">
        <f t="shared" si="165"/>
        <v>2.3220710957496573</v>
      </c>
      <c r="AI56" s="7">
        <f t="shared" si="165"/>
        <v>-3.2837098558574675E-2</v>
      </c>
      <c r="AJ56" s="147">
        <f t="shared" si="165"/>
        <v>2.00155425338829</v>
      </c>
      <c r="AK56" s="11"/>
      <c r="AL56" s="289"/>
      <c r="AW56" s="289"/>
      <c r="AX56" s="246"/>
      <c r="BA56" s="140" t="s">
        <v>455</v>
      </c>
      <c r="BB56" s="141">
        <f>MAX(BB34:BB53)</f>
        <v>108.78441844820615</v>
      </c>
      <c r="BC56" s="141">
        <f t="shared" ref="BC56:BJ56" si="166">MAX(BC34:BC53)</f>
        <v>27.055831473859584</v>
      </c>
      <c r="BD56" s="141">
        <f t="shared" si="166"/>
        <v>14.182212355902738</v>
      </c>
      <c r="BE56" s="141">
        <f t="shared" si="166"/>
        <v>12.309266715818548</v>
      </c>
      <c r="BF56" s="141">
        <f t="shared" si="166"/>
        <v>19.652655060656361</v>
      </c>
      <c r="BG56" s="141">
        <f t="shared" si="166"/>
        <v>25.959940618999603</v>
      </c>
      <c r="BH56" s="141">
        <f t="shared" si="166"/>
        <v>20.496477660422755</v>
      </c>
      <c r="BI56" s="141">
        <f t="shared" si="166"/>
        <v>13.91385008366559</v>
      </c>
      <c r="BJ56" s="141">
        <f t="shared" si="166"/>
        <v>30.863012328927759</v>
      </c>
      <c r="BK56" s="289"/>
      <c r="BZ56" t="s">
        <v>280</v>
      </c>
      <c r="CA56" s="147">
        <f t="shared" ref="CA56:CI56" si="167">(CA49-CA20)/AVERAGE(CA21,CA50)</f>
        <v>0.506729809822828</v>
      </c>
      <c r="CB56" s="7">
        <f t="shared" si="167"/>
        <v>0.1795608590077114</v>
      </c>
      <c r="CC56" s="7">
        <f t="shared" si="167"/>
        <v>-3.6745970538544087E-3</v>
      </c>
      <c r="CD56" s="7">
        <f t="shared" si="167"/>
        <v>1.3871916820404393E-2</v>
      </c>
      <c r="CE56" s="147">
        <f t="shared" si="167"/>
        <v>0.7027711000531075</v>
      </c>
      <c r="CF56" s="7">
        <f t="shared" si="167"/>
        <v>8.8324713074064629E-2</v>
      </c>
      <c r="CG56" s="147">
        <f t="shared" si="167"/>
        <v>1.6646240273656949</v>
      </c>
      <c r="CH56" s="7">
        <f t="shared" si="167"/>
        <v>-0.10862134513356038</v>
      </c>
      <c r="CI56" s="147">
        <f t="shared" si="167"/>
        <v>1.6900052076390906</v>
      </c>
      <c r="CJ56" s="11"/>
    </row>
    <row r="57" spans="1:113" s="289" customFormat="1" ht="15.75" x14ac:dyDescent="0.25">
      <c r="B57" s="140" t="s">
        <v>456</v>
      </c>
      <c r="C57" s="141">
        <f>MIN(C34:C53)</f>
        <v>3.0994870928920659</v>
      </c>
      <c r="D57" s="141">
        <f t="shared" ref="D57:K57" si="168">MIN(D34:D53)</f>
        <v>0.48829407880255332</v>
      </c>
      <c r="E57" s="141">
        <f t="shared" si="168"/>
        <v>0.13335899781406516</v>
      </c>
      <c r="F57" s="141">
        <f t="shared" si="168"/>
        <v>0.16591985676041784</v>
      </c>
      <c r="G57" s="141">
        <f t="shared" si="168"/>
        <v>0.38993315062397849</v>
      </c>
      <c r="H57" s="141">
        <f t="shared" si="168"/>
        <v>0.34491339434487039</v>
      </c>
      <c r="I57" s="141">
        <f t="shared" si="168"/>
        <v>0.57172219931511881</v>
      </c>
      <c r="J57" s="141">
        <f t="shared" si="168"/>
        <v>0.13602714799529617</v>
      </c>
      <c r="K57" s="141">
        <f t="shared" si="168"/>
        <v>0.88877647236415724</v>
      </c>
      <c r="Y57" s="149"/>
      <c r="AA57"/>
      <c r="AB57"/>
      <c r="AC57"/>
      <c r="AD57"/>
      <c r="AE57"/>
      <c r="AF57"/>
      <c r="AG57"/>
      <c r="AH57"/>
      <c r="AI57"/>
      <c r="AJ57"/>
      <c r="AK57" s="11"/>
      <c r="AM57" s="56"/>
      <c r="AN57" s="56"/>
      <c r="AO57" s="56"/>
      <c r="AP57" s="56"/>
      <c r="AQ57" s="56"/>
      <c r="AR57" s="56"/>
      <c r="AS57" s="56"/>
      <c r="AT57" s="56"/>
      <c r="AU57" s="56"/>
      <c r="AV57" s="56"/>
      <c r="AX57" s="246"/>
      <c r="BA57" s="140" t="s">
        <v>456</v>
      </c>
      <c r="BB57" s="141">
        <f>MIN(BB34:BB53)</f>
        <v>32.626179925179642</v>
      </c>
      <c r="BC57" s="141">
        <f t="shared" ref="BC57:BJ57" si="169">MIN(BC34:BC53)</f>
        <v>5.6747396216134929</v>
      </c>
      <c r="BD57" s="141">
        <f t="shared" si="169"/>
        <v>2.186213078919101</v>
      </c>
      <c r="BE57" s="141">
        <f t="shared" si="169"/>
        <v>2.3323349091646346</v>
      </c>
      <c r="BF57" s="141">
        <f t="shared" si="169"/>
        <v>4.0618036523331096</v>
      </c>
      <c r="BG57" s="141">
        <f t="shared" si="169"/>
        <v>3.759470899087566</v>
      </c>
      <c r="BH57" s="141">
        <f t="shared" si="169"/>
        <v>5.550700964224454</v>
      </c>
      <c r="BI57" s="141">
        <f t="shared" si="169"/>
        <v>2.7760642448019626</v>
      </c>
      <c r="BJ57" s="141">
        <f t="shared" si="169"/>
        <v>10.724769142427297</v>
      </c>
      <c r="BZ57"/>
      <c r="CA57"/>
      <c r="CB57"/>
      <c r="CC57"/>
      <c r="CD57"/>
      <c r="CE57"/>
      <c r="CF57"/>
      <c r="CG57"/>
      <c r="CH57"/>
      <c r="CI57"/>
      <c r="CJ57" s="11"/>
    </row>
    <row r="58" spans="1:113" s="289" customFormat="1" ht="15.75" x14ac:dyDescent="0.25">
      <c r="B58" s="140" t="s">
        <v>265</v>
      </c>
      <c r="C58" s="142">
        <f t="shared" ref="C58:K58" si="170">COUNT(C34:C53)</f>
        <v>20</v>
      </c>
      <c r="D58" s="142">
        <f t="shared" si="170"/>
        <v>19</v>
      </c>
      <c r="E58" s="142">
        <f t="shared" si="170"/>
        <v>19</v>
      </c>
      <c r="F58" s="142">
        <f t="shared" si="170"/>
        <v>20</v>
      </c>
      <c r="G58" s="142">
        <f t="shared" si="170"/>
        <v>20</v>
      </c>
      <c r="H58" s="142">
        <f t="shared" si="170"/>
        <v>19</v>
      </c>
      <c r="I58" s="142">
        <f t="shared" si="170"/>
        <v>19</v>
      </c>
      <c r="J58" s="142">
        <f t="shared" si="170"/>
        <v>17</v>
      </c>
      <c r="K58" s="142">
        <f t="shared" si="170"/>
        <v>19</v>
      </c>
      <c r="Y58" s="149"/>
      <c r="AK58" s="301"/>
      <c r="AL58"/>
      <c r="AM58" s="56"/>
      <c r="AN58" s="56"/>
      <c r="AO58" s="56"/>
      <c r="AP58" s="56"/>
      <c r="AQ58" s="56"/>
      <c r="AR58" s="56"/>
      <c r="AS58" s="56"/>
      <c r="AT58" s="56"/>
      <c r="AU58" s="56"/>
      <c r="AV58" s="56"/>
      <c r="AW58"/>
      <c r="AX58" s="246"/>
      <c r="BA58" s="140" t="s">
        <v>265</v>
      </c>
      <c r="BB58" s="142">
        <f t="shared" ref="BB58:BJ58" si="171">COUNT(BB34:BB53)</f>
        <v>20</v>
      </c>
      <c r="BC58" s="142">
        <f t="shared" si="171"/>
        <v>19</v>
      </c>
      <c r="BD58" s="142">
        <f t="shared" si="171"/>
        <v>19</v>
      </c>
      <c r="BE58" s="142">
        <f t="shared" si="171"/>
        <v>20</v>
      </c>
      <c r="BF58" s="142">
        <f t="shared" si="171"/>
        <v>20</v>
      </c>
      <c r="BG58" s="142">
        <f t="shared" si="171"/>
        <v>19</v>
      </c>
      <c r="BH58" s="142">
        <f t="shared" si="171"/>
        <v>19</v>
      </c>
      <c r="BI58" s="142">
        <f t="shared" si="171"/>
        <v>17</v>
      </c>
      <c r="BJ58" s="142">
        <f t="shared" si="171"/>
        <v>19</v>
      </c>
      <c r="BK58"/>
      <c r="CJ58" s="301"/>
    </row>
    <row r="59" spans="1:113" ht="15.75" x14ac:dyDescent="0.25">
      <c r="B59" s="140"/>
      <c r="Y59" s="149"/>
      <c r="AA59" s="289"/>
      <c r="AB59" s="289"/>
      <c r="AC59" s="289"/>
      <c r="AD59" s="289"/>
      <c r="AE59" s="289"/>
      <c r="AF59" s="289"/>
      <c r="AG59" s="289"/>
      <c r="AH59" s="289"/>
      <c r="AI59" s="289"/>
      <c r="AJ59" s="289"/>
      <c r="AK59" s="301"/>
      <c r="AX59" s="246"/>
      <c r="BA59" s="140"/>
      <c r="BZ59" s="289"/>
      <c r="CA59" s="289"/>
      <c r="CB59" s="289"/>
      <c r="CC59" s="289"/>
      <c r="CD59" s="289"/>
      <c r="CE59" s="289"/>
      <c r="CF59" s="289"/>
      <c r="CG59" s="289"/>
      <c r="CH59" s="289"/>
      <c r="CI59" s="289"/>
      <c r="CJ59" s="301"/>
    </row>
    <row r="60" spans="1:113" ht="15.75" x14ac:dyDescent="0.25">
      <c r="B60" s="179" t="s">
        <v>278</v>
      </c>
      <c r="C60" s="180">
        <f t="shared" ref="C60:K60" si="172">_xlfn.T.TEST(C5:C24,C34:C53,2,1)</f>
        <v>8.3632207866604031E-5</v>
      </c>
      <c r="D60" s="181">
        <f t="shared" si="172"/>
        <v>0.16636374370318507</v>
      </c>
      <c r="E60" s="181">
        <f t="shared" si="172"/>
        <v>0.98074320155730299</v>
      </c>
      <c r="F60" s="182">
        <f t="shared" si="172"/>
        <v>7.733655342308661E-2</v>
      </c>
      <c r="G60" s="180">
        <f t="shared" si="172"/>
        <v>7.3790343101052338E-6</v>
      </c>
      <c r="H60" s="181">
        <f t="shared" si="172"/>
        <v>0.12955143155838533</v>
      </c>
      <c r="I60" s="180">
        <f t="shared" si="172"/>
        <v>1.241740517399676E-7</v>
      </c>
      <c r="J60" s="181">
        <f t="shared" si="172"/>
        <v>0.10260114669721922</v>
      </c>
      <c r="K60" s="183">
        <f t="shared" si="172"/>
        <v>1.4429678476437613E-5</v>
      </c>
      <c r="M60" s="7"/>
      <c r="Y60" s="149"/>
      <c r="AK60" s="11"/>
      <c r="AX60" s="246"/>
      <c r="BA60" s="179" t="s">
        <v>278</v>
      </c>
      <c r="BB60" s="180">
        <f t="shared" ref="BB60:BJ60" si="173">_xlfn.T.TEST(BB5:BB24,BB34:BB53,2,1)</f>
        <v>5.6153496763201954E-5</v>
      </c>
      <c r="BC60" s="181">
        <f t="shared" si="173"/>
        <v>0.17008857376300043</v>
      </c>
      <c r="BD60" s="181">
        <f t="shared" si="173"/>
        <v>0.71595021531788217</v>
      </c>
      <c r="BE60" s="182">
        <f t="shared" si="173"/>
        <v>0.10283133877965861</v>
      </c>
      <c r="BF60" s="180">
        <f t="shared" si="173"/>
        <v>5.1969403700642829E-6</v>
      </c>
      <c r="BG60" s="181">
        <f t="shared" si="173"/>
        <v>0.18653611126021608</v>
      </c>
      <c r="BH60" s="180">
        <f t="shared" si="173"/>
        <v>2.5131264907418895E-8</v>
      </c>
      <c r="BI60" s="181">
        <f t="shared" si="173"/>
        <v>0.12866339086090572</v>
      </c>
      <c r="BJ60" s="183">
        <f t="shared" si="173"/>
        <v>1.1732413725095116E-5</v>
      </c>
      <c r="CE60" s="7"/>
      <c r="CJ60" s="11"/>
      <c r="CM60" s="56"/>
    </row>
    <row r="61" spans="1:113" ht="15.75" x14ac:dyDescent="0.25">
      <c r="B61" s="184" t="s">
        <v>280</v>
      </c>
      <c r="C61" s="185">
        <f t="shared" ref="C61:K61" si="174">(C54-C25)/AVERAGE(C26,C55)</f>
        <v>0.69064025258138129</v>
      </c>
      <c r="D61" s="35">
        <f t="shared" si="174"/>
        <v>-0.13877839317655985</v>
      </c>
      <c r="E61" s="35">
        <f t="shared" si="174"/>
        <v>1.8782527927264376E-3</v>
      </c>
      <c r="F61" s="35">
        <f t="shared" si="174"/>
        <v>0.20919516095234322</v>
      </c>
      <c r="G61" s="185">
        <f t="shared" si="174"/>
        <v>1.5389483996202293</v>
      </c>
      <c r="H61" s="35">
        <f t="shared" si="174"/>
        <v>-0.16439693681087647</v>
      </c>
      <c r="I61" s="185">
        <f t="shared" si="174"/>
        <v>1.9759682144469142</v>
      </c>
      <c r="J61" s="35">
        <f t="shared" si="174"/>
        <v>-0.23251231712868742</v>
      </c>
      <c r="K61" s="186">
        <f t="shared" si="174"/>
        <v>1.2575673580686473</v>
      </c>
      <c r="M61" s="103"/>
      <c r="Y61" s="149"/>
      <c r="AK61" s="11"/>
      <c r="AX61" s="246"/>
      <c r="BA61" s="184" t="s">
        <v>280</v>
      </c>
      <c r="BB61" s="185">
        <f t="shared" ref="BB61:BJ61" si="175">(BB54-BB25)/AVERAGE(BB26,BB55)</f>
        <v>0.38082371055341763</v>
      </c>
      <c r="BC61" s="35">
        <f t="shared" si="175"/>
        <v>-0.21514068899629199</v>
      </c>
      <c r="BD61" s="35">
        <f t="shared" si="175"/>
        <v>-1.9222774386311734E-2</v>
      </c>
      <c r="BE61" s="35">
        <f t="shared" si="175"/>
        <v>0.13899814901536495</v>
      </c>
      <c r="BF61" s="185">
        <f t="shared" si="175"/>
        <v>1.2564618158432965</v>
      </c>
      <c r="BG61" s="35">
        <f t="shared" si="175"/>
        <v>-0.10714165429694361</v>
      </c>
      <c r="BH61" s="185">
        <f t="shared" si="175"/>
        <v>2.1013993151027797</v>
      </c>
      <c r="BI61" s="35">
        <f t="shared" si="175"/>
        <v>-0.21571323305192777</v>
      </c>
      <c r="BJ61" s="186">
        <f t="shared" si="175"/>
        <v>1.1370036363434586</v>
      </c>
      <c r="CJ61" s="11"/>
    </row>
    <row r="62" spans="1:113" x14ac:dyDescent="0.25">
      <c r="Y62" s="149"/>
      <c r="AK62" s="11"/>
      <c r="AX62" s="246"/>
      <c r="CJ62" s="11"/>
    </row>
    <row r="63" spans="1:113" x14ac:dyDescent="0.25">
      <c r="Y63" s="149"/>
      <c r="AK63" s="11"/>
      <c r="AX63" s="246"/>
      <c r="CJ63" s="11"/>
    </row>
    <row r="64" spans="1:113" x14ac:dyDescent="0.25">
      <c r="Y64" s="149"/>
      <c r="AK64" s="11"/>
      <c r="AX64" s="246"/>
      <c r="BA64" s="289"/>
      <c r="BB64" s="289"/>
      <c r="BC64" s="289"/>
      <c r="BD64" s="289"/>
      <c r="BE64" s="289"/>
      <c r="BF64" s="289"/>
      <c r="BG64" s="289"/>
      <c r="BH64" s="289"/>
      <c r="BI64" s="289"/>
      <c r="BJ64" s="289"/>
      <c r="BK64" s="289"/>
      <c r="CJ64" s="11"/>
      <c r="CL64" s="289"/>
      <c r="CM64" s="289"/>
      <c r="CN64" s="289"/>
      <c r="CO64" s="289"/>
      <c r="CP64" s="289"/>
      <c r="CQ64" s="289"/>
      <c r="CR64" s="289"/>
      <c r="CS64" s="289"/>
      <c r="CT64" s="289"/>
      <c r="CU64" s="289"/>
    </row>
    <row r="65" spans="1:99" ht="18.75" x14ac:dyDescent="0.3">
      <c r="B65" s="143" t="s">
        <v>282</v>
      </c>
      <c r="C65" s="136"/>
      <c r="D65" s="136"/>
      <c r="E65" s="136"/>
      <c r="F65" s="136"/>
      <c r="G65" s="136"/>
      <c r="H65" s="136"/>
      <c r="I65" s="136"/>
      <c r="J65" s="136"/>
      <c r="K65" s="136"/>
      <c r="O65" s="143" t="s">
        <v>282</v>
      </c>
      <c r="Y65" s="149"/>
      <c r="AA65" s="143" t="s">
        <v>282</v>
      </c>
      <c r="AK65" s="11"/>
      <c r="AM65" s="143" t="s">
        <v>282</v>
      </c>
      <c r="AN65" s="144"/>
      <c r="AO65" s="144"/>
      <c r="AP65" s="144"/>
      <c r="AQ65" s="144"/>
      <c r="AR65" s="144"/>
      <c r="AS65" s="144"/>
      <c r="AT65" s="144"/>
      <c r="AU65" s="144"/>
      <c r="AV65" s="144"/>
      <c r="AX65" s="246"/>
      <c r="BA65" s="143" t="s">
        <v>282</v>
      </c>
      <c r="BB65" s="136"/>
      <c r="BC65" s="136"/>
      <c r="BD65" s="136"/>
      <c r="BE65" s="136"/>
      <c r="BF65" s="136"/>
      <c r="BG65" s="136"/>
      <c r="BH65" s="136"/>
      <c r="BI65" s="136"/>
      <c r="BJ65" s="136"/>
      <c r="BN65" s="143" t="s">
        <v>282</v>
      </c>
      <c r="BZ65" s="143" t="s">
        <v>282</v>
      </c>
      <c r="CJ65" s="11"/>
      <c r="CL65" s="143" t="s">
        <v>282</v>
      </c>
      <c r="CM65" s="136"/>
      <c r="CN65" s="136"/>
      <c r="CO65" s="136"/>
      <c r="CP65" s="136"/>
      <c r="CQ65" s="136"/>
      <c r="CR65" s="136"/>
      <c r="CS65" s="136"/>
      <c r="CT65" s="136"/>
      <c r="CU65" s="136"/>
    </row>
    <row r="66" spans="1:99" ht="15.75" thickBot="1" x14ac:dyDescent="0.3">
      <c r="A66" s="11"/>
      <c r="B66" s="1" t="s">
        <v>73</v>
      </c>
      <c r="C66" s="110" t="s">
        <v>8</v>
      </c>
      <c r="D66" s="26" t="s">
        <v>9</v>
      </c>
      <c r="E66" s="26" t="s">
        <v>10</v>
      </c>
      <c r="F66" s="26" t="s">
        <v>11</v>
      </c>
      <c r="G66" s="26" t="s">
        <v>12</v>
      </c>
      <c r="H66" s="150" t="s">
        <v>13</v>
      </c>
      <c r="I66" s="26" t="s">
        <v>14</v>
      </c>
      <c r="J66" s="26" t="s">
        <v>15</v>
      </c>
      <c r="K66" s="50" t="s">
        <v>16</v>
      </c>
      <c r="M66" s="132" t="s">
        <v>135</v>
      </c>
      <c r="O66" s="133" t="s">
        <v>0</v>
      </c>
      <c r="P66" s="137" t="s">
        <v>8</v>
      </c>
      <c r="Q66" s="137" t="s">
        <v>9</v>
      </c>
      <c r="R66" s="137" t="s">
        <v>10</v>
      </c>
      <c r="S66" s="137" t="s">
        <v>11</v>
      </c>
      <c r="T66" s="137" t="s">
        <v>12</v>
      </c>
      <c r="U66" s="138" t="s">
        <v>13</v>
      </c>
      <c r="V66" s="137" t="s">
        <v>14</v>
      </c>
      <c r="W66" s="137" t="s">
        <v>15</v>
      </c>
      <c r="X66" s="139" t="s">
        <v>16</v>
      </c>
      <c r="Y66" s="287" t="s">
        <v>135</v>
      </c>
      <c r="AA66" s="11" t="s">
        <v>0</v>
      </c>
      <c r="AB66" t="s">
        <v>8</v>
      </c>
      <c r="AC66" t="s">
        <v>9</v>
      </c>
      <c r="AD66" t="s">
        <v>10</v>
      </c>
      <c r="AE66" t="s">
        <v>11</v>
      </c>
      <c r="AF66" t="s">
        <v>12</v>
      </c>
      <c r="AG66" t="s">
        <v>13</v>
      </c>
      <c r="AH66" t="s">
        <v>14</v>
      </c>
      <c r="AI66" t="s">
        <v>15</v>
      </c>
      <c r="AJ66" t="s">
        <v>16</v>
      </c>
      <c r="AK66" s="11" t="s">
        <v>135</v>
      </c>
      <c r="AM66" s="1" t="s">
        <v>0</v>
      </c>
      <c r="AN66" s="229" t="s">
        <v>8</v>
      </c>
      <c r="AO66" s="3" t="s">
        <v>9</v>
      </c>
      <c r="AP66" s="3" t="s">
        <v>10</v>
      </c>
      <c r="AQ66" s="3" t="s">
        <v>11</v>
      </c>
      <c r="AR66" s="3" t="s">
        <v>12</v>
      </c>
      <c r="AS66" s="3" t="s">
        <v>13</v>
      </c>
      <c r="AT66" s="3" t="s">
        <v>14</v>
      </c>
      <c r="AU66" s="3" t="s">
        <v>15</v>
      </c>
      <c r="AV66" s="4" t="s">
        <v>16</v>
      </c>
      <c r="AX66" s="246"/>
      <c r="BA66" s="1" t="s">
        <v>73</v>
      </c>
      <c r="BB66" s="110" t="s">
        <v>8</v>
      </c>
      <c r="BC66" s="26" t="s">
        <v>9</v>
      </c>
      <c r="BD66" s="26" t="s">
        <v>10</v>
      </c>
      <c r="BE66" s="26" t="s">
        <v>11</v>
      </c>
      <c r="BF66" s="26" t="s">
        <v>12</v>
      </c>
      <c r="BG66" s="150" t="s">
        <v>13</v>
      </c>
      <c r="BH66" s="26" t="s">
        <v>14</v>
      </c>
      <c r="BI66" s="26" t="s">
        <v>15</v>
      </c>
      <c r="BJ66" s="50" t="s">
        <v>16</v>
      </c>
      <c r="BN66" s="133" t="s">
        <v>0</v>
      </c>
      <c r="BO66" s="137" t="s">
        <v>8</v>
      </c>
      <c r="BP66" s="137" t="s">
        <v>9</v>
      </c>
      <c r="BQ66" s="137" t="s">
        <v>10</v>
      </c>
      <c r="BR66" s="137" t="s">
        <v>11</v>
      </c>
      <c r="BS66" s="137" t="s">
        <v>12</v>
      </c>
      <c r="BT66" s="138" t="s">
        <v>13</v>
      </c>
      <c r="BU66" s="137" t="s">
        <v>14</v>
      </c>
      <c r="BV66" s="137" t="s">
        <v>15</v>
      </c>
      <c r="BW66" s="139" t="s">
        <v>16</v>
      </c>
      <c r="BZ66" s="11" t="s">
        <v>0</v>
      </c>
      <c r="CA66" s="110" t="s">
        <v>8</v>
      </c>
      <c r="CB66" s="26" t="s">
        <v>9</v>
      </c>
      <c r="CC66" s="26" t="s">
        <v>10</v>
      </c>
      <c r="CD66" s="26" t="s">
        <v>11</v>
      </c>
      <c r="CE66" s="26" t="s">
        <v>12</v>
      </c>
      <c r="CF66" s="26" t="s">
        <v>13</v>
      </c>
      <c r="CG66" s="26" t="s">
        <v>14</v>
      </c>
      <c r="CH66" s="26" t="s">
        <v>15</v>
      </c>
      <c r="CI66" s="26" t="s">
        <v>16</v>
      </c>
      <c r="CJ66" s="11"/>
      <c r="CK66" s="6"/>
      <c r="CL66" s="1" t="s">
        <v>0</v>
      </c>
      <c r="CM66" s="229" t="s">
        <v>8</v>
      </c>
      <c r="CN66" s="3" t="s">
        <v>9</v>
      </c>
      <c r="CO66" s="3" t="s">
        <v>10</v>
      </c>
      <c r="CP66" s="3" t="s">
        <v>11</v>
      </c>
      <c r="CQ66" s="3" t="s">
        <v>12</v>
      </c>
      <c r="CR66" s="3" t="s">
        <v>13</v>
      </c>
      <c r="CS66" s="3" t="s">
        <v>14</v>
      </c>
      <c r="CT66" s="3" t="s">
        <v>15</v>
      </c>
      <c r="CU66" s="4" t="s">
        <v>16</v>
      </c>
    </row>
    <row r="67" spans="1:99" ht="15.75" thickTop="1" x14ac:dyDescent="0.25">
      <c r="A67" s="11"/>
      <c r="B67" s="11" t="s">
        <v>216</v>
      </c>
      <c r="C67" s="7">
        <f>(C34-C5)/C5*100</f>
        <v>48.341511737565909</v>
      </c>
      <c r="D67" s="7">
        <f t="shared" ref="D67:K67" si="176">(D34-D5)/D5*100</f>
        <v>12.281694722074178</v>
      </c>
      <c r="E67" s="7">
        <f t="shared" si="176"/>
        <v>-12.395596904327935</v>
      </c>
      <c r="F67" s="7">
        <f t="shared" si="176"/>
        <v>7.5997703860010883</v>
      </c>
      <c r="G67" s="7">
        <f t="shared" si="176"/>
        <v>139.926201058793</v>
      </c>
      <c r="H67" s="7">
        <f t="shared" si="176"/>
        <v>-2.217904780922582</v>
      </c>
      <c r="I67" s="7">
        <f t="shared" si="176"/>
        <v>151.41640758401391</v>
      </c>
      <c r="J67" s="7">
        <f t="shared" si="176"/>
        <v>3.4978684007616452</v>
      </c>
      <c r="K67" s="8">
        <f t="shared" si="176"/>
        <v>121.71694881107453</v>
      </c>
      <c r="M67" s="281">
        <v>78</v>
      </c>
      <c r="O67" s="211" t="s">
        <v>184</v>
      </c>
      <c r="P67" s="30">
        <f>(P34-P5)/P5*100</f>
        <v>-3.8082016442589177</v>
      </c>
      <c r="Q67" s="31">
        <f t="shared" ref="Q67:X67" si="177">(Q34-Q5)/Q5*100</f>
        <v>-16.135196869123263</v>
      </c>
      <c r="R67" s="31">
        <f t="shared" si="177"/>
        <v>-7.652872494747073</v>
      </c>
      <c r="S67" s="31">
        <f t="shared" si="177"/>
        <v>4.2053323298888685</v>
      </c>
      <c r="T67" s="31">
        <f t="shared" si="177"/>
        <v>12.248770186253388</v>
      </c>
      <c r="U67" s="31">
        <f t="shared" si="177"/>
        <v>10.367368944350886</v>
      </c>
      <c r="V67" s="31">
        <f t="shared" si="177"/>
        <v>-28.386440907578763</v>
      </c>
      <c r="W67" s="31">
        <f t="shared" si="177"/>
        <v>-4.3190204879532574</v>
      </c>
      <c r="X67" s="27">
        <f t="shared" si="177"/>
        <v>-31.215972812512</v>
      </c>
      <c r="Y67" s="282">
        <v>79</v>
      </c>
      <c r="AA67" s="271" t="s">
        <v>155</v>
      </c>
      <c r="AB67" s="31">
        <f>(AB34-AB5)/AB5*100</f>
        <v>114.61029388903523</v>
      </c>
      <c r="AC67" s="31">
        <f t="shared" ref="AC67:AJ67" si="178">(AC34-AC5)/AC5*100</f>
        <v>249.01336325418657</v>
      </c>
      <c r="AD67" s="31">
        <f t="shared" si="178"/>
        <v>-10.790761041932425</v>
      </c>
      <c r="AE67" s="31">
        <f t="shared" si="178"/>
        <v>18.25394700974277</v>
      </c>
      <c r="AF67" s="31">
        <f t="shared" si="178"/>
        <v>480.89309786489662</v>
      </c>
      <c r="AG67" s="31">
        <f t="shared" si="178"/>
        <v>-12.879834266631452</v>
      </c>
      <c r="AH67" s="31">
        <f t="shared" si="178"/>
        <v>430.12156075162187</v>
      </c>
      <c r="AI67" s="31">
        <f t="shared" si="178"/>
        <v>-23.49670832938277</v>
      </c>
      <c r="AJ67" s="27">
        <f t="shared" si="178"/>
        <v>213.35686482637857</v>
      </c>
      <c r="AK67" s="11">
        <v>65</v>
      </c>
      <c r="AL67" s="6"/>
      <c r="AM67" s="11" t="s">
        <v>59</v>
      </c>
      <c r="AN67" s="33">
        <f t="shared" ref="AN67:AV67" si="179">(AN34-AN5)/AN5*100</f>
        <v>88.13576217692308</v>
      </c>
      <c r="AO67" s="33">
        <f t="shared" si="179"/>
        <v>214.02212501637595</v>
      </c>
      <c r="AP67" s="33">
        <f t="shared" si="179"/>
        <v>9.3975372423686405</v>
      </c>
      <c r="AQ67" s="33">
        <f t="shared" si="179"/>
        <v>-7.5505186093686243</v>
      </c>
      <c r="AR67" s="33">
        <f t="shared" si="179"/>
        <v>144.76694921665208</v>
      </c>
      <c r="AS67" s="33">
        <f t="shared" si="179"/>
        <v>-16.652827731161125</v>
      </c>
      <c r="AT67" s="33">
        <f t="shared" si="179"/>
        <v>207.43299575631377</v>
      </c>
      <c r="AU67" s="33">
        <f t="shared" si="179"/>
        <v>126.82188590543359</v>
      </c>
      <c r="AV67" s="8">
        <f t="shared" si="179"/>
        <v>99.168563691732686</v>
      </c>
      <c r="AX67" s="246"/>
      <c r="AZ67" s="11"/>
      <c r="BA67" s="11" t="s">
        <v>216</v>
      </c>
      <c r="BB67" s="7">
        <f t="shared" ref="BB67:BJ67" si="180">(BB34-BB5)/BB5*100</f>
        <v>48.341511737565895</v>
      </c>
      <c r="BC67" s="7">
        <f t="shared" si="180"/>
        <v>12.281694722074175</v>
      </c>
      <c r="BD67" s="7">
        <f t="shared" si="180"/>
        <v>-12.395596904327943</v>
      </c>
      <c r="BE67" s="7">
        <f t="shared" si="180"/>
        <v>7.5997703860010883</v>
      </c>
      <c r="BF67" s="7">
        <f t="shared" si="180"/>
        <v>139.926201058793</v>
      </c>
      <c r="BG67" s="7">
        <f t="shared" si="180"/>
        <v>-2.217904780922602</v>
      </c>
      <c r="BH67" s="7">
        <f t="shared" si="180"/>
        <v>151.41640758401391</v>
      </c>
      <c r="BI67" s="7">
        <f t="shared" si="180"/>
        <v>3.4978684007616461</v>
      </c>
      <c r="BJ67" s="8">
        <f t="shared" si="180"/>
        <v>121.71694881107452</v>
      </c>
      <c r="BN67" s="6" t="s">
        <v>184</v>
      </c>
      <c r="BO67" s="30">
        <f t="shared" ref="BO67:BW67" si="181">(BO34-BO5)/BO5*100</f>
        <v>-3.8082016442589279</v>
      </c>
      <c r="BP67" s="31">
        <f t="shared" si="181"/>
        <v>-16.135196869123259</v>
      </c>
      <c r="BQ67" s="31">
        <f t="shared" si="181"/>
        <v>-7.6528724947470703</v>
      </c>
      <c r="BR67" s="31">
        <f t="shared" si="181"/>
        <v>4.2053323298888712</v>
      </c>
      <c r="BS67" s="31">
        <f t="shared" si="181"/>
        <v>12.248770186253379</v>
      </c>
      <c r="BT67" s="31">
        <f t="shared" si="181"/>
        <v>10.367368944350885</v>
      </c>
      <c r="BU67" s="31">
        <f t="shared" si="181"/>
        <v>-28.38644090757878</v>
      </c>
      <c r="BV67" s="31">
        <f t="shared" si="181"/>
        <v>-4.3190204879532601</v>
      </c>
      <c r="BW67" s="27">
        <f t="shared" si="181"/>
        <v>-31.215972812511993</v>
      </c>
      <c r="BZ67" s="271" t="s">
        <v>155</v>
      </c>
      <c r="CA67" s="7"/>
      <c r="CB67" s="7"/>
      <c r="CC67" s="7"/>
      <c r="CD67" s="7"/>
      <c r="CE67" s="7"/>
      <c r="CF67" s="7"/>
      <c r="CG67" s="7"/>
      <c r="CH67" s="7"/>
      <c r="CI67" s="27"/>
      <c r="CJ67" s="11"/>
      <c r="CK67" s="6"/>
      <c r="CL67" s="11" t="s">
        <v>202</v>
      </c>
      <c r="CM67" s="7">
        <f t="shared" ref="CM67:CU67" si="182">(CM34-CM5)/CM5*100</f>
        <v>88.13576217692308</v>
      </c>
      <c r="CN67" s="7">
        <f t="shared" si="182"/>
        <v>214.0221250163759</v>
      </c>
      <c r="CO67" s="7">
        <f t="shared" si="182"/>
        <v>9.3975372423686441</v>
      </c>
      <c r="CP67" s="7">
        <f t="shared" si="182"/>
        <v>-7.5505186093686287</v>
      </c>
      <c r="CQ67" s="7">
        <f t="shared" si="182"/>
        <v>144.76694921665205</v>
      </c>
      <c r="CR67" s="7">
        <f t="shared" si="182"/>
        <v>-16.652827731161128</v>
      </c>
      <c r="CS67" s="7">
        <f t="shared" si="182"/>
        <v>207.43299575631377</v>
      </c>
      <c r="CT67" s="7">
        <f t="shared" si="182"/>
        <v>126.82188590543358</v>
      </c>
      <c r="CU67" s="8">
        <f t="shared" si="182"/>
        <v>99.168563691732672</v>
      </c>
    </row>
    <row r="68" spans="1:99" x14ac:dyDescent="0.25">
      <c r="A68" s="11"/>
      <c r="B68" s="101" t="s">
        <v>283</v>
      </c>
      <c r="C68" s="7">
        <f>(C35-C6)/C6*100</f>
        <v>2.6069704449076836</v>
      </c>
      <c r="D68" s="7">
        <f>(D35-D6)/D6*100</f>
        <v>14.732860967345085</v>
      </c>
      <c r="E68" s="7">
        <f t="shared" ref="E68:K68" si="183">(E35-E6)/E6*100</f>
        <v>18.121383752053529</v>
      </c>
      <c r="F68" s="7">
        <f t="shared" si="183"/>
        <v>41.576490458249999</v>
      </c>
      <c r="G68" s="7">
        <f t="shared" si="183"/>
        <v>34.60977930621722</v>
      </c>
      <c r="H68" s="7">
        <f t="shared" si="183"/>
        <v>1.5833685588006172</v>
      </c>
      <c r="I68" s="7">
        <f t="shared" si="183"/>
        <v>158.41893270880419</v>
      </c>
      <c r="J68" s="7">
        <f t="shared" si="183"/>
        <v>61.422616072852151</v>
      </c>
      <c r="K68" s="7">
        <f t="shared" si="183"/>
        <v>157.69568717854474</v>
      </c>
      <c r="M68" s="281">
        <v>86</v>
      </c>
      <c r="O68" s="211" t="s">
        <v>187</v>
      </c>
      <c r="P68" s="48"/>
      <c r="Q68" s="33">
        <f t="shared" ref="Q68:X70" si="184">(Q35-Q6)/Q6*100</f>
        <v>44.853777186191465</v>
      </c>
      <c r="R68" s="33">
        <f t="shared" si="184"/>
        <v>5.7561091762919085</v>
      </c>
      <c r="S68" s="33">
        <f t="shared" si="184"/>
        <v>-36.092511326232554</v>
      </c>
      <c r="T68" s="33">
        <f t="shared" si="184"/>
        <v>18.238931781382995</v>
      </c>
      <c r="U68" s="33">
        <f t="shared" si="184"/>
        <v>9.1902163603766324E-2</v>
      </c>
      <c r="V68" s="33">
        <f t="shared" si="184"/>
        <v>101.69997115144582</v>
      </c>
      <c r="W68" s="33">
        <f t="shared" si="184"/>
        <v>-30.185546495134929</v>
      </c>
      <c r="X68" s="33">
        <f t="shared" si="184"/>
        <v>38.298746740533389</v>
      </c>
      <c r="Y68" s="282">
        <v>46</v>
      </c>
      <c r="AA68" s="6" t="s">
        <v>156</v>
      </c>
      <c r="AB68" s="33">
        <f t="shared" ref="AB68:AJ68" si="185">(AB35-AB6)/AB6*100</f>
        <v>-3.7929715364284022</v>
      </c>
      <c r="AC68" s="33">
        <f t="shared" si="185"/>
        <v>-33.505870033373917</v>
      </c>
      <c r="AD68" s="33">
        <f t="shared" si="185"/>
        <v>12.505878697658929</v>
      </c>
      <c r="AE68" s="33">
        <f t="shared" si="185"/>
        <v>1.4644275105750921</v>
      </c>
      <c r="AF68" s="33">
        <f t="shared" si="185"/>
        <v>-34.990520377574875</v>
      </c>
      <c r="AG68" s="33">
        <f t="shared" si="185"/>
        <v>4.9111634042665031</v>
      </c>
      <c r="AH68" s="33">
        <f t="shared" si="185"/>
        <v>34.535373414019404</v>
      </c>
      <c r="AI68" s="33">
        <f t="shared" si="185"/>
        <v>-15.639635776962468</v>
      </c>
      <c r="AJ68" s="8">
        <f t="shared" si="185"/>
        <v>14.876709857368816</v>
      </c>
      <c r="AK68" s="11">
        <v>59</v>
      </c>
      <c r="AL68" s="6"/>
      <c r="AM68" s="11" t="s">
        <v>64</v>
      </c>
      <c r="AN68" s="33">
        <f t="shared" ref="AN68:AV68" si="186">(AN35-AN6)/AN6*100</f>
        <v>31.059200689377892</v>
      </c>
      <c r="AO68" s="33">
        <f t="shared" si="186"/>
        <v>30.94968639271918</v>
      </c>
      <c r="AP68" s="33">
        <f t="shared" si="186"/>
        <v>2.8691616364865746</v>
      </c>
      <c r="AQ68" s="33">
        <f t="shared" si="186"/>
        <v>25.125866347907593</v>
      </c>
      <c r="AR68" s="33">
        <f t="shared" si="186"/>
        <v>439.08095909754979</v>
      </c>
      <c r="AS68" s="33">
        <f t="shared" si="186"/>
        <v>-3.599028355554494</v>
      </c>
      <c r="AT68" s="33">
        <f t="shared" si="186"/>
        <v>499.12387162109331</v>
      </c>
      <c r="AU68" s="33">
        <f t="shared" si="186"/>
        <v>1.4481629248232799</v>
      </c>
      <c r="AV68" s="8">
        <f t="shared" si="186"/>
        <v>121.80017616518886</v>
      </c>
      <c r="AX68" s="246"/>
      <c r="AZ68" s="11"/>
      <c r="BA68" s="11" t="s">
        <v>283</v>
      </c>
      <c r="BB68" s="7">
        <f t="shared" ref="BB68:BJ68" si="187">(BB35-BB6)/BB6*100</f>
        <v>2.6069704449076845</v>
      </c>
      <c r="BC68" s="7">
        <f t="shared" si="187"/>
        <v>14.732860967345083</v>
      </c>
      <c r="BD68" s="7">
        <f t="shared" si="187"/>
        <v>18.121383752053543</v>
      </c>
      <c r="BE68" s="7">
        <f t="shared" si="187"/>
        <v>41.576490458249999</v>
      </c>
      <c r="BF68" s="7">
        <f t="shared" si="187"/>
        <v>34.609779306217241</v>
      </c>
      <c r="BG68" s="7">
        <f t="shared" si="187"/>
        <v>1.5833685588006117</v>
      </c>
      <c r="BH68" s="7">
        <f t="shared" si="187"/>
        <v>158.41893270880419</v>
      </c>
      <c r="BI68" s="7">
        <f t="shared" si="187"/>
        <v>61.422616072852179</v>
      </c>
      <c r="BJ68" s="8">
        <f t="shared" si="187"/>
        <v>157.69568717854474</v>
      </c>
      <c r="BN68" s="6" t="s">
        <v>187</v>
      </c>
      <c r="BO68" s="48"/>
      <c r="BP68" s="33">
        <f t="shared" ref="BP68:BW68" si="188">(BP35-BP6)/BP6*100</f>
        <v>44.853777186191458</v>
      </c>
      <c r="BQ68" s="33"/>
      <c r="BR68" s="33">
        <f t="shared" si="188"/>
        <v>-36.092511326232554</v>
      </c>
      <c r="BS68" s="33">
        <f t="shared" si="188"/>
        <v>18.238931781382988</v>
      </c>
      <c r="BT68" s="33">
        <f t="shared" si="188"/>
        <v>9.1902163603768627E-2</v>
      </c>
      <c r="BU68" s="33">
        <f t="shared" si="188"/>
        <v>101.69997115144582</v>
      </c>
      <c r="BV68" s="33">
        <f t="shared" si="188"/>
        <v>-30.18554649513494</v>
      </c>
      <c r="BW68" s="8">
        <f t="shared" si="188"/>
        <v>38.298746740533367</v>
      </c>
      <c r="BZ68" s="6" t="s">
        <v>156</v>
      </c>
      <c r="CA68" s="32">
        <f t="shared" ref="CA68:CI68" si="189">(CA35-CA6)/CA6*100</f>
        <v>-3.792971536428412</v>
      </c>
      <c r="CB68" s="33">
        <f t="shared" si="189"/>
        <v>-33.505870033373924</v>
      </c>
      <c r="CC68" s="33">
        <f t="shared" si="189"/>
        <v>12.50587869765894</v>
      </c>
      <c r="CD68" s="33">
        <f t="shared" si="189"/>
        <v>1.4644275105750826</v>
      </c>
      <c r="CE68" s="33">
        <f t="shared" si="189"/>
        <v>-34.990520377574867</v>
      </c>
      <c r="CF68" s="33">
        <f t="shared" si="189"/>
        <v>4.9111634042665111</v>
      </c>
      <c r="CG68" s="33">
        <f t="shared" si="189"/>
        <v>34.535373414019389</v>
      </c>
      <c r="CH68" s="33">
        <f t="shared" si="189"/>
        <v>-15.639635776962479</v>
      </c>
      <c r="CI68" s="8">
        <f t="shared" si="189"/>
        <v>14.876709857368823</v>
      </c>
      <c r="CJ68" s="11"/>
      <c r="CK68" s="6"/>
      <c r="CL68" s="11" t="s">
        <v>205</v>
      </c>
      <c r="CM68" s="7">
        <f t="shared" ref="CM68:CU68" si="190">(CM35-CM6)/CM6*100</f>
        <v>31.059200689377885</v>
      </c>
      <c r="CN68" s="7">
        <f t="shared" si="190"/>
        <v>30.94968639271918</v>
      </c>
      <c r="CO68" s="7">
        <f t="shared" si="190"/>
        <v>2.8691616364865795</v>
      </c>
      <c r="CP68" s="7">
        <f t="shared" si="190"/>
        <v>25.125866347907582</v>
      </c>
      <c r="CQ68" s="7">
        <f t="shared" si="190"/>
        <v>439.08095909754979</v>
      </c>
      <c r="CR68" s="7">
        <f t="shared" si="190"/>
        <v>-3.5990283555544851</v>
      </c>
      <c r="CS68" s="7">
        <f t="shared" si="190"/>
        <v>499.12387162109343</v>
      </c>
      <c r="CT68" s="7">
        <f t="shared" si="190"/>
        <v>1.4481629248232726</v>
      </c>
      <c r="CU68" s="8">
        <f t="shared" si="190"/>
        <v>121.8001761651889</v>
      </c>
    </row>
    <row r="69" spans="1:99" x14ac:dyDescent="0.25">
      <c r="A69" s="11"/>
      <c r="B69" s="11" t="s">
        <v>219</v>
      </c>
      <c r="C69" s="7">
        <f t="shared" ref="C69:K69" si="191">(C36-C7)/C7*100</f>
        <v>38.075356723540104</v>
      </c>
      <c r="D69" s="7">
        <f t="shared" si="191"/>
        <v>14.971465543650666</v>
      </c>
      <c r="E69" s="7">
        <f t="shared" si="191"/>
        <v>-12.441690867807937</v>
      </c>
      <c r="F69" s="7">
        <f t="shared" si="191"/>
        <v>-2.7535126101730891</v>
      </c>
      <c r="G69" s="7">
        <f t="shared" si="191"/>
        <v>151.06064154113673</v>
      </c>
      <c r="H69" s="7">
        <f t="shared" si="191"/>
        <v>0.64518289596944933</v>
      </c>
      <c r="I69" s="7">
        <f t="shared" si="191"/>
        <v>183.78803240821244</v>
      </c>
      <c r="J69" s="7">
        <f t="shared" si="191"/>
        <v>-37.914468485769326</v>
      </c>
      <c r="K69" s="8">
        <f t="shared" si="191"/>
        <v>109.5904345301519</v>
      </c>
      <c r="M69" s="281">
        <v>90</v>
      </c>
      <c r="O69" s="6" t="s">
        <v>188</v>
      </c>
      <c r="P69" s="32">
        <f>(P36-P7)/P7*100</f>
        <v>-10.122797992748319</v>
      </c>
      <c r="Q69" s="33">
        <f t="shared" si="184"/>
        <v>-20.384808570039851</v>
      </c>
      <c r="R69" s="33">
        <f t="shared" si="184"/>
        <v>-11.777416326489073</v>
      </c>
      <c r="S69" s="33">
        <f t="shared" si="184"/>
        <v>-8.7603745801560251</v>
      </c>
      <c r="T69" s="33">
        <f t="shared" si="184"/>
        <v>-7.9167954299864354</v>
      </c>
      <c r="U69" s="33">
        <f t="shared" si="184"/>
        <v>-6.8917701874699731</v>
      </c>
      <c r="V69" s="33">
        <f t="shared" si="184"/>
        <v>-1.6490059115227047</v>
      </c>
      <c r="W69" s="33">
        <f t="shared" si="184"/>
        <v>-4.4104828174978801</v>
      </c>
      <c r="X69" s="8">
        <f t="shared" si="184"/>
        <v>-21.188055447307907</v>
      </c>
      <c r="Y69" s="282">
        <v>50</v>
      </c>
      <c r="AA69" s="6" t="s">
        <v>161</v>
      </c>
      <c r="AB69" s="33">
        <f t="shared" ref="AB69:AJ69" si="192">(AB36-AB7)/AB7*100</f>
        <v>36.210639415623497</v>
      </c>
      <c r="AC69" s="33">
        <f t="shared" si="192"/>
        <v>57.495167400133859</v>
      </c>
      <c r="AD69" s="33">
        <f t="shared" si="192"/>
        <v>10.754358792430102</v>
      </c>
      <c r="AE69" s="33">
        <f t="shared" si="192"/>
        <v>-20.047537638363806</v>
      </c>
      <c r="AF69" s="33">
        <f t="shared" si="192"/>
        <v>85.598200406892673</v>
      </c>
      <c r="AG69" s="33">
        <f t="shared" si="192"/>
        <v>14.704622017331742</v>
      </c>
      <c r="AH69" s="33">
        <f t="shared" si="192"/>
        <v>175.9403676399553</v>
      </c>
      <c r="AI69" s="33">
        <f t="shared" si="192"/>
        <v>-39.890938774450689</v>
      </c>
      <c r="AJ69" s="8">
        <f t="shared" si="192"/>
        <v>45.974313222017742</v>
      </c>
      <c r="AK69" s="11">
        <v>58</v>
      </c>
      <c r="AL69" s="6"/>
      <c r="AM69" s="11" t="s">
        <v>66</v>
      </c>
      <c r="AN69" s="33">
        <f t="shared" ref="AN69:AR72" si="193">(AN36-AN7)/AN7*100</f>
        <v>49.825777854716044</v>
      </c>
      <c r="AO69" s="33">
        <f t="shared" si="193"/>
        <v>83.21746479551156</v>
      </c>
      <c r="AP69" s="33">
        <f t="shared" si="193"/>
        <v>-10.1817809616473</v>
      </c>
      <c r="AQ69" s="33">
        <f t="shared" si="193"/>
        <v>-5.1040926442309675E-2</v>
      </c>
      <c r="AR69" s="33">
        <f t="shared" si="193"/>
        <v>103.76061136040316</v>
      </c>
      <c r="AS69" s="48"/>
      <c r="AT69" s="33">
        <f t="shared" ref="AT69:AV72" si="194">(AT36-AT7)/AT7*100</f>
        <v>235.56977092539682</v>
      </c>
      <c r="AU69" s="33">
        <f t="shared" si="194"/>
        <v>28.438556519439786</v>
      </c>
      <c r="AV69" s="8">
        <f t="shared" si="194"/>
        <v>172.72384873391977</v>
      </c>
      <c r="AX69" s="246"/>
      <c r="AZ69" s="11"/>
      <c r="BA69" s="11" t="s">
        <v>219</v>
      </c>
      <c r="BB69" s="7">
        <f t="shared" ref="BB69:BJ69" si="195">(BB36-BB7)/BB7*100</f>
        <v>38.075356723540118</v>
      </c>
      <c r="BC69" s="7">
        <f t="shared" si="195"/>
        <v>14.97146554365065</v>
      </c>
      <c r="BD69" s="7">
        <f t="shared" si="195"/>
        <v>-12.441690867807933</v>
      </c>
      <c r="BE69" s="7">
        <f t="shared" si="195"/>
        <v>-2.7535126101730754</v>
      </c>
      <c r="BF69" s="7">
        <f t="shared" si="195"/>
        <v>151.06064154113673</v>
      </c>
      <c r="BG69" s="7">
        <f t="shared" si="195"/>
        <v>0.64518289596945844</v>
      </c>
      <c r="BH69" s="7">
        <f t="shared" si="195"/>
        <v>183.78803240821242</v>
      </c>
      <c r="BI69" s="7">
        <f t="shared" si="195"/>
        <v>-37.914468485769326</v>
      </c>
      <c r="BJ69" s="8">
        <f t="shared" si="195"/>
        <v>109.5904345301519</v>
      </c>
      <c r="BN69" s="6" t="s">
        <v>188</v>
      </c>
      <c r="BO69" s="32">
        <f>(BO36-BO7)/BO7*100</f>
        <v>-10.122797992748323</v>
      </c>
      <c r="BP69" s="33">
        <f t="shared" ref="BP69:BW69" si="196">(BP36-BP7)/BP7*100</f>
        <v>-20.384808570039851</v>
      </c>
      <c r="BQ69" s="33">
        <f t="shared" si="196"/>
        <v>-11.777416326489067</v>
      </c>
      <c r="BR69" s="33">
        <f t="shared" si="196"/>
        <v>-8.7603745801560198</v>
      </c>
      <c r="BS69" s="33">
        <f t="shared" si="196"/>
        <v>-7.9167954299864407</v>
      </c>
      <c r="BT69" s="33">
        <f t="shared" si="196"/>
        <v>-6.8917701874699668</v>
      </c>
      <c r="BU69" s="33">
        <f t="shared" si="196"/>
        <v>-1.6490059115226967</v>
      </c>
      <c r="BV69" s="33">
        <f t="shared" si="196"/>
        <v>-4.4104828174978854</v>
      </c>
      <c r="BW69" s="8">
        <f t="shared" si="196"/>
        <v>-21.18805544730791</v>
      </c>
      <c r="BZ69" s="6" t="s">
        <v>161</v>
      </c>
      <c r="CA69" s="32">
        <f t="shared" ref="CA69:CI69" si="197">(CA36-CA7)/CA7*100</f>
        <v>36.210639415623469</v>
      </c>
      <c r="CB69" s="33">
        <f>(CB36-CB7)/CB7*100</f>
        <v>57.495167400133887</v>
      </c>
      <c r="CC69" s="33">
        <f t="shared" si="197"/>
        <v>10.754358792430098</v>
      </c>
      <c r="CD69" s="33">
        <f t="shared" si="197"/>
        <v>-20.047537638363817</v>
      </c>
      <c r="CE69" s="33">
        <f t="shared" si="197"/>
        <v>85.598200406892673</v>
      </c>
      <c r="CF69" s="33">
        <f t="shared" si="197"/>
        <v>14.704622017331737</v>
      </c>
      <c r="CG69" s="33">
        <f t="shared" si="197"/>
        <v>175.9403676399553</v>
      </c>
      <c r="CH69" s="33">
        <f t="shared" si="197"/>
        <v>-39.890938774450689</v>
      </c>
      <c r="CI69" s="8">
        <f t="shared" si="197"/>
        <v>45.974313222017756</v>
      </c>
      <c r="CJ69" s="11"/>
      <c r="CK69" s="6"/>
      <c r="CL69" s="11" t="s">
        <v>207</v>
      </c>
      <c r="CM69" s="7">
        <f t="shared" ref="CM69:CQ72" si="198">(CM36-CM7)/CM7*100</f>
        <v>49.82577785471603</v>
      </c>
      <c r="CN69" s="7">
        <f t="shared" si="198"/>
        <v>83.21746479551156</v>
      </c>
      <c r="CO69" s="7">
        <f t="shared" si="198"/>
        <v>-10.181780961647311</v>
      </c>
      <c r="CP69" s="7">
        <f t="shared" si="198"/>
        <v>-5.1040926442302688E-2</v>
      </c>
      <c r="CQ69" s="7">
        <f t="shared" si="198"/>
        <v>103.76061136040316</v>
      </c>
      <c r="CR69" s="48"/>
      <c r="CS69" s="7">
        <f t="shared" ref="CS69:CU72" si="199">(CS36-CS7)/CS7*100</f>
        <v>235.56977092539685</v>
      </c>
      <c r="CT69" s="7">
        <f t="shared" si="199"/>
        <v>28.438556519439789</v>
      </c>
      <c r="CU69" s="8">
        <f t="shared" si="199"/>
        <v>172.72384873391977</v>
      </c>
    </row>
    <row r="70" spans="1:99" x14ac:dyDescent="0.25">
      <c r="A70" s="11"/>
      <c r="B70" s="11" t="s">
        <v>221</v>
      </c>
      <c r="C70" s="7">
        <f t="shared" ref="C70:K70" si="200">(C37-C8)/C8*100</f>
        <v>50.454615212952362</v>
      </c>
      <c r="D70" s="7">
        <f t="shared" si="200"/>
        <v>3.7225097067579966</v>
      </c>
      <c r="E70" s="7">
        <f t="shared" si="200"/>
        <v>9.9771611037654964</v>
      </c>
      <c r="F70" s="7">
        <f t="shared" si="200"/>
        <v>20.502957120219701</v>
      </c>
      <c r="G70" s="7">
        <f t="shared" si="200"/>
        <v>342.92925896986998</v>
      </c>
      <c r="H70" s="7">
        <f t="shared" si="200"/>
        <v>-15.533781140161532</v>
      </c>
      <c r="I70" s="7">
        <f t="shared" si="200"/>
        <v>392.9633905018112</v>
      </c>
      <c r="J70" s="7">
        <f t="shared" si="200"/>
        <v>-5.1645413422406525</v>
      </c>
      <c r="K70" s="8">
        <f t="shared" si="200"/>
        <v>157.50265900506921</v>
      </c>
      <c r="M70" s="281">
        <v>80</v>
      </c>
      <c r="O70" s="6" t="s">
        <v>189</v>
      </c>
      <c r="P70" s="32">
        <f>(P37-P8)/P8*100</f>
        <v>8.4534132847623535</v>
      </c>
      <c r="Q70" s="33">
        <f t="shared" si="184"/>
        <v>-14.60607292744284</v>
      </c>
      <c r="R70" s="33">
        <f t="shared" si="184"/>
        <v>-65.127167540692881</v>
      </c>
      <c r="S70" s="33">
        <f t="shared" si="184"/>
        <v>-46.61861249423319</v>
      </c>
      <c r="T70" s="33">
        <f t="shared" si="184"/>
        <v>72.395616614207015</v>
      </c>
      <c r="U70" s="33">
        <f t="shared" si="184"/>
        <v>15.819321189076474</v>
      </c>
      <c r="V70" s="33">
        <f t="shared" si="184"/>
        <v>79.837767719374568</v>
      </c>
      <c r="W70" s="33">
        <f t="shared" si="184"/>
        <v>1.0459440242301583</v>
      </c>
      <c r="X70" s="8">
        <f t="shared" si="184"/>
        <v>42.937646653511536</v>
      </c>
      <c r="Y70" s="282">
        <v>47</v>
      </c>
      <c r="AA70" s="6" t="s">
        <v>164</v>
      </c>
      <c r="AB70" s="33">
        <f t="shared" ref="AB70:AJ70" si="201">(AB37-AB8)/AB8*100</f>
        <v>24.595971547205558</v>
      </c>
      <c r="AC70" s="33">
        <f t="shared" si="201"/>
        <v>-19.037983309407217</v>
      </c>
      <c r="AD70" s="33">
        <f t="shared" si="201"/>
        <v>26.157903550604715</v>
      </c>
      <c r="AE70" s="33">
        <f t="shared" si="201"/>
        <v>9.9107022294091802</v>
      </c>
      <c r="AF70" s="33">
        <f t="shared" si="201"/>
        <v>120.70305605460776</v>
      </c>
      <c r="AG70" s="33">
        <f t="shared" si="201"/>
        <v>24.65236401443816</v>
      </c>
      <c r="AH70" s="33">
        <f t="shared" si="201"/>
        <v>169.31826021467677</v>
      </c>
      <c r="AI70" s="33">
        <f t="shared" si="201"/>
        <v>-3.0909487992920828</v>
      </c>
      <c r="AJ70" s="8">
        <f t="shared" si="201"/>
        <v>126.91821745092007</v>
      </c>
      <c r="AK70" s="11">
        <v>68</v>
      </c>
      <c r="AL70" s="6"/>
      <c r="AM70" s="11" t="s">
        <v>69</v>
      </c>
      <c r="AN70" s="33">
        <f t="shared" si="193"/>
        <v>27.124071285552947</v>
      </c>
      <c r="AO70" s="33">
        <f t="shared" si="193"/>
        <v>27.156370231797123</v>
      </c>
      <c r="AP70" s="33">
        <f t="shared" si="193"/>
        <v>17.226900791509571</v>
      </c>
      <c r="AQ70" s="33">
        <f t="shared" si="193"/>
        <v>5.2880530271898589</v>
      </c>
      <c r="AR70" s="33">
        <f t="shared" si="193"/>
        <v>130.68552337543724</v>
      </c>
      <c r="AS70" s="33">
        <f>(AS37-AS8)/AS8*100</f>
        <v>110.73971548232902</v>
      </c>
      <c r="AT70" s="33">
        <f t="shared" si="194"/>
        <v>55.959050204285454</v>
      </c>
      <c r="AU70" s="33">
        <f t="shared" si="194"/>
        <v>-46.788500249341695</v>
      </c>
      <c r="AV70" s="8">
        <f t="shared" si="194"/>
        <v>43.607158427836247</v>
      </c>
      <c r="AX70" s="246"/>
      <c r="AZ70" s="11"/>
      <c r="BA70" s="11" t="s">
        <v>221</v>
      </c>
      <c r="BB70" s="7">
        <f t="shared" ref="BB70:BJ70" si="202">(BB37-BB8)/BB8*100</f>
        <v>50.454615212952348</v>
      </c>
      <c r="BC70" s="7">
        <f t="shared" si="202"/>
        <v>3.7225097067580029</v>
      </c>
      <c r="BD70" s="7">
        <f t="shared" si="202"/>
        <v>9.9771611037655106</v>
      </c>
      <c r="BE70" s="7">
        <f t="shared" si="202"/>
        <v>20.502957120219694</v>
      </c>
      <c r="BF70" s="7">
        <f t="shared" si="202"/>
        <v>342.92925896987003</v>
      </c>
      <c r="BG70" s="7">
        <f t="shared" si="202"/>
        <v>-15.533781140161526</v>
      </c>
      <c r="BH70" s="7">
        <f t="shared" si="202"/>
        <v>392.96339050181109</v>
      </c>
      <c r="BI70" s="7">
        <f t="shared" si="202"/>
        <v>-5.1645413422406534</v>
      </c>
      <c r="BJ70" s="8">
        <f t="shared" si="202"/>
        <v>157.50265900506923</v>
      </c>
      <c r="BN70" s="6" t="s">
        <v>189</v>
      </c>
      <c r="BO70" s="32">
        <f>(BO37-BO8)/BO8*100</f>
        <v>8.4534132847623678</v>
      </c>
      <c r="BP70" s="33">
        <f t="shared" ref="BP70:BW70" si="203">(BP37-BP8)/BP8*100</f>
        <v>-14.606072927442849</v>
      </c>
      <c r="BQ70" s="33">
        <f t="shared" si="203"/>
        <v>-65.127167540692895</v>
      </c>
      <c r="BR70" s="33">
        <f t="shared" si="203"/>
        <v>-46.618612494233204</v>
      </c>
      <c r="BS70" s="33">
        <f t="shared" si="203"/>
        <v>72.395616614207015</v>
      </c>
      <c r="BT70" s="33">
        <f t="shared" si="203"/>
        <v>15.819321189076465</v>
      </c>
      <c r="BU70" s="33">
        <f t="shared" si="203"/>
        <v>79.837767719374568</v>
      </c>
      <c r="BV70" s="33">
        <f t="shared" si="203"/>
        <v>1.0459440242301659</v>
      </c>
      <c r="BW70" s="8">
        <f t="shared" si="203"/>
        <v>42.937646653511557</v>
      </c>
      <c r="BZ70" s="6" t="s">
        <v>164</v>
      </c>
      <c r="CA70" s="32">
        <f t="shared" ref="CA70:CI70" si="204">(CA37-CA8)/CA8*100</f>
        <v>24.595971547205576</v>
      </c>
      <c r="CB70" s="33">
        <f t="shared" si="204"/>
        <v>-19.037983309407213</v>
      </c>
      <c r="CC70" s="33">
        <f t="shared" si="204"/>
        <v>26.157903550604711</v>
      </c>
      <c r="CD70" s="33">
        <f t="shared" si="204"/>
        <v>9.9107022294091927</v>
      </c>
      <c r="CE70" s="33">
        <f t="shared" si="204"/>
        <v>120.70305605460779</v>
      </c>
      <c r="CF70" s="33">
        <f t="shared" si="204"/>
        <v>24.65236401443816</v>
      </c>
      <c r="CG70" s="33">
        <f t="shared" si="204"/>
        <v>169.3182602146768</v>
      </c>
      <c r="CH70" s="33">
        <f t="shared" si="204"/>
        <v>-3.0909487992920819</v>
      </c>
      <c r="CI70" s="8">
        <f t="shared" si="204"/>
        <v>126.9182174509201</v>
      </c>
      <c r="CJ70" s="11"/>
      <c r="CK70" s="6"/>
      <c r="CL70" s="11" t="s">
        <v>209</v>
      </c>
      <c r="CM70" s="7">
        <f t="shared" si="198"/>
        <v>27.124071285552954</v>
      </c>
      <c r="CN70" s="7">
        <f t="shared" si="198"/>
        <v>27.156370231797112</v>
      </c>
      <c r="CO70" s="7">
        <f t="shared" si="198"/>
        <v>17.226900791509554</v>
      </c>
      <c r="CP70" s="7">
        <f t="shared" si="198"/>
        <v>5.2880530271898429</v>
      </c>
      <c r="CQ70" s="7">
        <f t="shared" si="198"/>
        <v>130.68552337543724</v>
      </c>
      <c r="CR70" s="7">
        <f>(CR37-CR8)/CR8*100</f>
        <v>110.73971548232903</v>
      </c>
      <c r="CS70" s="7">
        <f t="shared" si="199"/>
        <v>55.959050204285468</v>
      </c>
      <c r="CT70" s="7">
        <f t="shared" si="199"/>
        <v>-46.788500249341695</v>
      </c>
      <c r="CU70" s="8">
        <f t="shared" si="199"/>
        <v>43.607158427836218</v>
      </c>
    </row>
    <row r="71" spans="1:99" x14ac:dyDescent="0.25">
      <c r="A71" s="11"/>
      <c r="B71" s="11" t="s">
        <v>223</v>
      </c>
      <c r="C71" s="7">
        <f t="shared" ref="C71:K71" si="205">(C38-C9)/C9*100</f>
        <v>17.105624700452125</v>
      </c>
      <c r="D71" s="7">
        <f t="shared" si="205"/>
        <v>6.4541119298438216</v>
      </c>
      <c r="E71" s="7">
        <f t="shared" si="205"/>
        <v>-5.4221640535809534</v>
      </c>
      <c r="F71" s="7">
        <f t="shared" si="205"/>
        <v>-2.5911799710137369</v>
      </c>
      <c r="G71" s="7">
        <f t="shared" si="205"/>
        <v>71.524226082575964</v>
      </c>
      <c r="H71" s="7">
        <f t="shared" si="205"/>
        <v>5.9670006686913446</v>
      </c>
      <c r="I71" s="7">
        <f t="shared" si="205"/>
        <v>78.463680777956171</v>
      </c>
      <c r="J71" s="7">
        <f t="shared" si="205"/>
        <v>27.285581737872761</v>
      </c>
      <c r="K71" s="8">
        <f t="shared" si="205"/>
        <v>44.335697415581699</v>
      </c>
      <c r="M71" s="281">
        <v>88</v>
      </c>
      <c r="O71" s="6" t="s">
        <v>191</v>
      </c>
      <c r="P71" s="32">
        <f>(P38-P9)/P9*100</f>
        <v>10.480523268778759</v>
      </c>
      <c r="Q71" s="48"/>
      <c r="R71" s="33">
        <f t="shared" ref="R71:X71" si="206">(R38-R9)/R9*100</f>
        <v>-35.793586296930748</v>
      </c>
      <c r="S71" s="33">
        <f t="shared" si="206"/>
        <v>-91.061830665317473</v>
      </c>
      <c r="T71" s="33">
        <f t="shared" si="206"/>
        <v>53.064534841256084</v>
      </c>
      <c r="U71" s="33">
        <f t="shared" si="206"/>
        <v>-1.1712514199635218</v>
      </c>
      <c r="V71" s="33">
        <f t="shared" si="206"/>
        <v>87.596674556337035</v>
      </c>
      <c r="W71" s="33">
        <f t="shared" si="206"/>
        <v>-40.856747769622558</v>
      </c>
      <c r="X71" s="8">
        <f t="shared" si="206"/>
        <v>18.749051870102907</v>
      </c>
      <c r="Y71" s="282">
        <v>68</v>
      </c>
      <c r="AA71" s="6" t="s">
        <v>166</v>
      </c>
      <c r="AB71" s="33">
        <f t="shared" ref="AB71:AJ78" si="207">(AB38-AB9)/AB9*100</f>
        <v>11.697840373751047</v>
      </c>
      <c r="AC71" s="48"/>
      <c r="AD71" s="33">
        <f t="shared" si="207"/>
        <v>-3.5892353247123836</v>
      </c>
      <c r="AE71" s="48"/>
      <c r="AF71" s="33">
        <f t="shared" si="207"/>
        <v>94.062058014166624</v>
      </c>
      <c r="AG71" s="33">
        <f t="shared" si="207"/>
        <v>-29.863846659594568</v>
      </c>
      <c r="AH71" s="33">
        <f t="shared" si="207"/>
        <v>95.5633916277297</v>
      </c>
      <c r="AI71" s="33">
        <f t="shared" si="207"/>
        <v>-6.2578111875790796</v>
      </c>
      <c r="AJ71" s="8">
        <f t="shared" si="207"/>
        <v>61.550500416594367</v>
      </c>
      <c r="AK71" s="11">
        <v>79</v>
      </c>
      <c r="AL71" s="6"/>
      <c r="AM71" s="6" t="s">
        <v>72</v>
      </c>
      <c r="AN71" s="289">
        <f t="shared" si="193"/>
        <v>4.9555210610484339</v>
      </c>
      <c r="AO71" s="289">
        <f t="shared" si="193"/>
        <v>-4.4939447771360763</v>
      </c>
      <c r="AP71" s="289">
        <f t="shared" si="193"/>
        <v>1.4548487832494652</v>
      </c>
      <c r="AQ71" s="289">
        <f t="shared" si="193"/>
        <v>-4.3879395905289833</v>
      </c>
      <c r="AR71" s="289">
        <f t="shared" si="193"/>
        <v>3.5643531867942548</v>
      </c>
      <c r="AS71" s="289">
        <f>(AS38-AS9)/AS9*100</f>
        <v>-6.656088124252495</v>
      </c>
      <c r="AT71" s="289">
        <f t="shared" si="194"/>
        <v>-4.8440556731055944</v>
      </c>
      <c r="AU71" s="289">
        <f t="shared" si="194"/>
        <v>-26.70446614548111</v>
      </c>
      <c r="AV71" s="290">
        <f t="shared" si="194"/>
        <v>1.9146053819120559</v>
      </c>
      <c r="AX71" s="246"/>
      <c r="AZ71" s="11"/>
      <c r="BA71" s="11" t="s">
        <v>223</v>
      </c>
      <c r="BB71" s="7">
        <f t="shared" ref="BB71:BJ71" si="208">(BB38-BB9)/BB9*100</f>
        <v>17.105624700452111</v>
      </c>
      <c r="BC71" s="7">
        <f t="shared" si="208"/>
        <v>6.454111929843795</v>
      </c>
      <c r="BD71" s="7">
        <f t="shared" si="208"/>
        <v>-5.4221640535809534</v>
      </c>
      <c r="BE71" s="7">
        <f t="shared" si="208"/>
        <v>-2.5911799710137369</v>
      </c>
      <c r="BF71" s="7">
        <f t="shared" si="208"/>
        <v>71.524226082575964</v>
      </c>
      <c r="BG71" s="7">
        <f t="shared" si="208"/>
        <v>5.9670006686913446</v>
      </c>
      <c r="BH71" s="7">
        <f t="shared" si="208"/>
        <v>78.463680777956156</v>
      </c>
      <c r="BI71" s="7">
        <f t="shared" si="208"/>
        <v>27.285581737872739</v>
      </c>
      <c r="BJ71" s="8">
        <f t="shared" si="208"/>
        <v>44.335697415581684</v>
      </c>
      <c r="BN71" s="6" t="s">
        <v>191</v>
      </c>
      <c r="BO71" s="32">
        <f>(BO38-BO9)/BO9*100</f>
        <v>10.480523268778748</v>
      </c>
      <c r="BP71" s="48"/>
      <c r="BQ71" s="33">
        <f t="shared" ref="BQ71:BW71" si="209">(BQ38-BQ9)/BQ9*100</f>
        <v>-35.793586296930755</v>
      </c>
      <c r="BR71" s="33">
        <f t="shared" si="209"/>
        <v>-91.061830665317473</v>
      </c>
      <c r="BS71" s="33">
        <f t="shared" si="209"/>
        <v>53.064534841256105</v>
      </c>
      <c r="BT71" s="33">
        <f t="shared" si="209"/>
        <v>-1.1712514199635258</v>
      </c>
      <c r="BU71" s="33">
        <f t="shared" si="209"/>
        <v>87.596674556337035</v>
      </c>
      <c r="BV71" s="33">
        <f t="shared" si="209"/>
        <v>-40.856747769622551</v>
      </c>
      <c r="BW71" s="8">
        <f t="shared" si="209"/>
        <v>18.749051870102907</v>
      </c>
      <c r="BZ71" s="6" t="s">
        <v>166</v>
      </c>
      <c r="CA71" s="32">
        <f t="shared" ref="CA71:CA76" si="210">(CA38-CA9)/CA9*100</f>
        <v>11.69784037375104</v>
      </c>
      <c r="CB71" s="48"/>
      <c r="CC71" s="33">
        <f t="shared" ref="CC71:CC76" si="211">(CC38-CC9)/CC9*100</f>
        <v>-3.5892353247123818</v>
      </c>
      <c r="CD71" s="48"/>
      <c r="CE71" s="33">
        <f t="shared" ref="CE71:CI74" si="212">(CE38-CE9)/CE9*100</f>
        <v>94.06205801416661</v>
      </c>
      <c r="CF71" s="33">
        <f t="shared" si="212"/>
        <v>-29.863846659594561</v>
      </c>
      <c r="CG71" s="33">
        <f t="shared" si="212"/>
        <v>95.5633916277297</v>
      </c>
      <c r="CH71" s="33">
        <f t="shared" si="212"/>
        <v>-6.2578111875790903</v>
      </c>
      <c r="CI71" s="8">
        <f t="shared" si="212"/>
        <v>61.550500416594353</v>
      </c>
      <c r="CJ71" s="11"/>
      <c r="CK71" s="6"/>
      <c r="CL71" s="6" t="s">
        <v>210</v>
      </c>
      <c r="CM71" s="7">
        <f t="shared" si="198"/>
        <v>4.9555210610484437</v>
      </c>
      <c r="CN71" s="7">
        <f t="shared" si="198"/>
        <v>-4.4939447771360754</v>
      </c>
      <c r="CO71" s="7">
        <f t="shared" si="198"/>
        <v>1.4548487832494661</v>
      </c>
      <c r="CP71" s="7">
        <f t="shared" si="198"/>
        <v>-4.3879395905289842</v>
      </c>
      <c r="CQ71" s="7">
        <f t="shared" si="198"/>
        <v>3.5643531867942566</v>
      </c>
      <c r="CR71" s="7">
        <f>(CR38-CR9)/CR9*100</f>
        <v>-6.6560881242524976</v>
      </c>
      <c r="CS71" s="7">
        <f t="shared" si="199"/>
        <v>-4.8440556731055979</v>
      </c>
      <c r="CT71" s="7">
        <f t="shared" si="199"/>
        <v>-26.704466145481113</v>
      </c>
      <c r="CU71" s="8">
        <f t="shared" si="199"/>
        <v>1.9146053819120565</v>
      </c>
    </row>
    <row r="72" spans="1:99" ht="15.75" thickBot="1" x14ac:dyDescent="0.3">
      <c r="A72" s="11"/>
      <c r="B72" s="11" t="s">
        <v>228</v>
      </c>
      <c r="C72" s="7">
        <f t="shared" ref="C72:K72" si="213">(C39-C10)/C10*100</f>
        <v>25.200310148230702</v>
      </c>
      <c r="D72" s="7">
        <f t="shared" si="213"/>
        <v>2.1846540139830726</v>
      </c>
      <c r="E72" s="7">
        <f t="shared" si="213"/>
        <v>10.987251900418476</v>
      </c>
      <c r="F72" s="7">
        <f t="shared" si="213"/>
        <v>-11.06886724407881</v>
      </c>
      <c r="G72" s="7">
        <f t="shared" si="213"/>
        <v>141.54528541152294</v>
      </c>
      <c r="H72" s="7">
        <f t="shared" si="213"/>
        <v>-10.191910560421583</v>
      </c>
      <c r="I72" s="7">
        <f t="shared" si="213"/>
        <v>114.56535204944625</v>
      </c>
      <c r="J72" s="7">
        <f t="shared" si="213"/>
        <v>5.2977083897213868</v>
      </c>
      <c r="K72" s="8">
        <f t="shared" si="213"/>
        <v>57.126199253834152</v>
      </c>
      <c r="M72" s="281">
        <v>102</v>
      </c>
      <c r="O72" s="212" t="s">
        <v>199</v>
      </c>
      <c r="P72" s="24">
        <f>(P39-P10)/P10*100</f>
        <v>-17.867686277717223</v>
      </c>
      <c r="Q72" s="15">
        <f>(Q39-Q10)/Q10*100</f>
        <v>-9.5402323823367432</v>
      </c>
      <c r="R72" s="15">
        <f>(R39-R10)/R10*100</f>
        <v>-4.7128856003377937</v>
      </c>
      <c r="S72" s="51"/>
      <c r="T72" s="15">
        <f>(T39-T10)/T10*100</f>
        <v>-7.1292246905321512</v>
      </c>
      <c r="U72" s="15">
        <f>(U39-U10)/U10*100</f>
        <v>8.9077279817981374</v>
      </c>
      <c r="V72" s="15">
        <f>(V39-V10)/V10*100</f>
        <v>2.9289279275077811</v>
      </c>
      <c r="W72" s="15">
        <f>(W39-W10)/W10*100</f>
        <v>8.7039665962100905</v>
      </c>
      <c r="X72" s="16">
        <f>(X39-X10)/X10*100</f>
        <v>23.044613371995379</v>
      </c>
      <c r="Y72" s="282">
        <v>95</v>
      </c>
      <c r="AA72" s="211" t="s">
        <v>169</v>
      </c>
      <c r="AB72" s="33">
        <f t="shared" si="207"/>
        <v>46.272523195097001</v>
      </c>
      <c r="AC72" s="33">
        <f t="shared" si="207"/>
        <v>30.76180802421154</v>
      </c>
      <c r="AD72" s="33">
        <f t="shared" si="207"/>
        <v>-2.311268106565096</v>
      </c>
      <c r="AE72" s="33">
        <f t="shared" si="207"/>
        <v>-8.5175349022032432</v>
      </c>
      <c r="AF72" s="33">
        <f t="shared" si="207"/>
        <v>19.459755822811761</v>
      </c>
      <c r="AG72" s="33">
        <f t="shared" si="207"/>
        <v>-37.250613715708333</v>
      </c>
      <c r="AH72" s="33">
        <f t="shared" si="207"/>
        <v>64.810389022157452</v>
      </c>
      <c r="AI72" s="33">
        <f t="shared" si="207"/>
        <v>97.778256037527427</v>
      </c>
      <c r="AJ72" s="8">
        <f t="shared" si="207"/>
        <v>93.934609158773469</v>
      </c>
      <c r="AK72" s="11">
        <v>86</v>
      </c>
      <c r="AL72" s="6"/>
      <c r="AM72" s="14" t="s">
        <v>449</v>
      </c>
      <c r="AN72" s="26">
        <f t="shared" si="193"/>
        <v>-10.221947159232318</v>
      </c>
      <c r="AO72" s="26">
        <f t="shared" si="193"/>
        <v>-15.913994962704187</v>
      </c>
      <c r="AP72" s="26">
        <f t="shared" si="193"/>
        <v>-31.597167582576546</v>
      </c>
      <c r="AQ72" s="26">
        <f t="shared" si="193"/>
        <v>-17.918288280053652</v>
      </c>
      <c r="AR72" s="26">
        <f t="shared" si="193"/>
        <v>33.697444450220949</v>
      </c>
      <c r="AS72" s="300"/>
      <c r="AT72" s="26">
        <f t="shared" si="194"/>
        <v>78.498798955203299</v>
      </c>
      <c r="AU72" s="26">
        <f t="shared" si="194"/>
        <v>-0.45392207798201012</v>
      </c>
      <c r="AV72" s="291">
        <f t="shared" si="194"/>
        <v>62.518784642365475</v>
      </c>
      <c r="AW72" s="289"/>
      <c r="AX72" s="246"/>
      <c r="AZ72" s="11"/>
      <c r="BA72" s="11" t="s">
        <v>228</v>
      </c>
      <c r="BB72" s="7">
        <f t="shared" ref="BB72:BJ72" si="214">(BB39-BB10)/BB10*100</f>
        <v>25.200310148230692</v>
      </c>
      <c r="BC72" s="7">
        <f t="shared" si="214"/>
        <v>2.1846540139830859</v>
      </c>
      <c r="BD72" s="7">
        <f t="shared" si="214"/>
        <v>10.987251900418471</v>
      </c>
      <c r="BE72" s="7">
        <f t="shared" si="214"/>
        <v>-11.068867244078815</v>
      </c>
      <c r="BF72" s="7">
        <f t="shared" si="214"/>
        <v>141.54528541152294</v>
      </c>
      <c r="BG72" s="7">
        <f t="shared" si="214"/>
        <v>-10.191910560421581</v>
      </c>
      <c r="BH72" s="7">
        <f t="shared" si="214"/>
        <v>114.56535204944622</v>
      </c>
      <c r="BI72" s="7">
        <f t="shared" si="214"/>
        <v>5.2977083897213912</v>
      </c>
      <c r="BJ72" s="8">
        <f t="shared" si="214"/>
        <v>57.126199253834166</v>
      </c>
      <c r="BN72" s="14" t="s">
        <v>199</v>
      </c>
      <c r="BO72" s="24">
        <f>(BO39-BO10)/BO10*100</f>
        <v>-17.867686277717219</v>
      </c>
      <c r="BP72" s="15">
        <f>(BP39-BP10)/BP10*100</f>
        <v>-9.5402323823367201</v>
      </c>
      <c r="BQ72" s="15">
        <f>(BQ39-BQ10)/BQ10*100</f>
        <v>-4.7128856003377901</v>
      </c>
      <c r="BR72" s="172"/>
      <c r="BS72" s="15">
        <f>(BS39-BS10)/BS10*100</f>
        <v>-7.1292246905321486</v>
      </c>
      <c r="BT72" s="15">
        <f>(BT39-BT10)/BT10*100</f>
        <v>8.9077279817981463</v>
      </c>
      <c r="BU72" s="15">
        <f>(BU39-BU10)/BU10*100</f>
        <v>2.928927927507782</v>
      </c>
      <c r="BV72" s="15">
        <f>(BV39-BV10)/BV10*100</f>
        <v>8.7039665962100923</v>
      </c>
      <c r="BW72" s="16">
        <f>(BW39-BW10)/BW10*100</f>
        <v>23.044613371995379</v>
      </c>
      <c r="BZ72" s="6" t="s">
        <v>169</v>
      </c>
      <c r="CA72" s="32">
        <f t="shared" si="210"/>
        <v>46.272523195097001</v>
      </c>
      <c r="CB72" s="33">
        <f>(CB39-CB10)/CB10*100</f>
        <v>30.76180802421154</v>
      </c>
      <c r="CC72" s="33">
        <f t="shared" si="211"/>
        <v>-2.3112681065650995</v>
      </c>
      <c r="CD72" s="33">
        <f>(CD39-CD10)/CD10*100</f>
        <v>-8.5175349022032396</v>
      </c>
      <c r="CE72" s="33">
        <f t="shared" si="212"/>
        <v>19.459755822811744</v>
      </c>
      <c r="CF72" s="33">
        <f t="shared" si="212"/>
        <v>-37.250613715708333</v>
      </c>
      <c r="CG72" s="33">
        <f t="shared" si="212"/>
        <v>64.810389022157466</v>
      </c>
      <c r="CH72" s="33">
        <f t="shared" si="212"/>
        <v>97.778256037527413</v>
      </c>
      <c r="CI72" s="8">
        <f t="shared" si="212"/>
        <v>93.934609158773455</v>
      </c>
      <c r="CJ72" s="11"/>
      <c r="CL72" s="14" t="s">
        <v>454</v>
      </c>
      <c r="CM72" s="24">
        <f t="shared" si="198"/>
        <v>-10.221947159232329</v>
      </c>
      <c r="CN72" s="15">
        <f t="shared" si="198"/>
        <v>-15.913994962704194</v>
      </c>
      <c r="CO72" s="15">
        <f t="shared" si="198"/>
        <v>-31.597167582576553</v>
      </c>
      <c r="CP72" s="15">
        <f t="shared" si="198"/>
        <v>-17.918288280053645</v>
      </c>
      <c r="CQ72" s="15">
        <f t="shared" si="198"/>
        <v>33.697444450220942</v>
      </c>
      <c r="CR72" s="172"/>
      <c r="CS72" s="15">
        <f t="shared" si="199"/>
        <v>78.498798955203299</v>
      </c>
      <c r="CT72" s="15">
        <f t="shared" si="199"/>
        <v>-0.45392207798200118</v>
      </c>
      <c r="CU72" s="16">
        <f t="shared" si="199"/>
        <v>62.518784642365468</v>
      </c>
    </row>
    <row r="73" spans="1:99" ht="15.75" x14ac:dyDescent="0.25">
      <c r="A73" s="176"/>
      <c r="B73" s="11" t="s">
        <v>229</v>
      </c>
      <c r="C73" s="7">
        <f t="shared" ref="C73:H74" si="215">(C40-C11)/C11*100</f>
        <v>-3.7604423991685012</v>
      </c>
      <c r="D73" s="7">
        <f t="shared" si="215"/>
        <v>-40.687421434258063</v>
      </c>
      <c r="E73" s="7">
        <f t="shared" si="215"/>
        <v>38.44896914781522</v>
      </c>
      <c r="F73" s="7">
        <f t="shared" si="215"/>
        <v>5.7791969826489478</v>
      </c>
      <c r="G73" s="7">
        <f t="shared" si="215"/>
        <v>69.639628028672035</v>
      </c>
      <c r="H73" s="7">
        <f t="shared" si="215"/>
        <v>-44.651303392981468</v>
      </c>
      <c r="I73" s="48"/>
      <c r="J73" s="48"/>
      <c r="K73" s="91"/>
      <c r="M73" s="281">
        <v>93</v>
      </c>
      <c r="O73" t="s">
        <v>261</v>
      </c>
      <c r="P73" s="7">
        <f t="shared" ref="P73:X73" si="216">AVERAGE(P67:P72)</f>
        <v>-2.572949872236669</v>
      </c>
      <c r="Q73" s="7">
        <f t="shared" si="216"/>
        <v>-3.1625067125502464</v>
      </c>
      <c r="R73" s="7">
        <f t="shared" si="216"/>
        <v>-19.884636513817608</v>
      </c>
      <c r="S73" s="7">
        <f t="shared" si="216"/>
        <v>-35.665599347210076</v>
      </c>
      <c r="T73" s="7">
        <f t="shared" si="216"/>
        <v>23.483638883763486</v>
      </c>
      <c r="U73" s="7">
        <f t="shared" si="216"/>
        <v>4.520549778565961</v>
      </c>
      <c r="V73" s="7">
        <f t="shared" si="216"/>
        <v>40.33798242259396</v>
      </c>
      <c r="W73" s="7">
        <f t="shared" si="216"/>
        <v>-11.670314491628062</v>
      </c>
      <c r="X73" s="7">
        <f t="shared" si="216"/>
        <v>11.771005062720549</v>
      </c>
      <c r="AA73" s="211" t="s">
        <v>171</v>
      </c>
      <c r="AB73" s="33">
        <f t="shared" si="207"/>
        <v>-10.043327310565525</v>
      </c>
      <c r="AC73" s="33">
        <f t="shared" si="207"/>
        <v>-22.644375203380132</v>
      </c>
      <c r="AD73" s="33">
        <f t="shared" si="207"/>
        <v>-27.692427145348354</v>
      </c>
      <c r="AE73" s="33">
        <f t="shared" si="207"/>
        <v>-18.525621535654981</v>
      </c>
      <c r="AF73" s="33">
        <f t="shared" si="207"/>
        <v>-14.362050760263067</v>
      </c>
      <c r="AG73" s="33">
        <f t="shared" si="207"/>
        <v>-7.8494840088999664</v>
      </c>
      <c r="AH73" s="33">
        <f t="shared" si="207"/>
        <v>160.13840371853493</v>
      </c>
      <c r="AI73" s="33">
        <f t="shared" si="207"/>
        <v>1.600011840975694</v>
      </c>
      <c r="AJ73" s="8">
        <f t="shared" si="207"/>
        <v>54.120643473329942</v>
      </c>
      <c r="AK73" s="11">
        <v>81</v>
      </c>
      <c r="AL73" s="6"/>
      <c r="AM73" s="242" t="s">
        <v>261</v>
      </c>
      <c r="AN73" s="243">
        <f>AVERAGE(AN67:AN72)</f>
        <v>31.813064318064349</v>
      </c>
      <c r="AO73" s="243">
        <f t="shared" ref="AO73:AU73" si="217">AVERAGE(AO67:AO72)</f>
        <v>55.822951116093925</v>
      </c>
      <c r="AP73" s="243">
        <f t="shared" si="217"/>
        <v>-1.8050833484349322</v>
      </c>
      <c r="AQ73" s="243">
        <f t="shared" si="217"/>
        <v>8.4355328117314457E-2</v>
      </c>
      <c r="AR73" s="243">
        <f t="shared" si="217"/>
        <v>142.59264011450958</v>
      </c>
      <c r="AS73" s="243">
        <f t="shared" si="217"/>
        <v>20.957942817840227</v>
      </c>
      <c r="AT73" s="243">
        <f t="shared" si="217"/>
        <v>178.62340529819787</v>
      </c>
      <c r="AU73" s="243">
        <f t="shared" si="217"/>
        <v>13.793619479481974</v>
      </c>
      <c r="AV73" s="243">
        <f>AVERAGE(AV67:AV72)</f>
        <v>83.622189507159177</v>
      </c>
      <c r="AW73" s="289"/>
      <c r="AX73" s="246"/>
      <c r="AZ73" s="11"/>
      <c r="BA73" s="11" t="s">
        <v>229</v>
      </c>
      <c r="BB73" s="7">
        <f t="shared" ref="BB73:BG74" si="218">(BB40-BB11)/BB11*100</f>
        <v>-3.7604423991685163</v>
      </c>
      <c r="BC73" s="7">
        <f t="shared" si="218"/>
        <v>-40.687421434258056</v>
      </c>
      <c r="BD73" s="7">
        <f t="shared" si="218"/>
        <v>38.448969147815212</v>
      </c>
      <c r="BE73" s="7">
        <f t="shared" si="218"/>
        <v>5.7791969826489318</v>
      </c>
      <c r="BF73" s="7">
        <f t="shared" si="218"/>
        <v>69.639628028672035</v>
      </c>
      <c r="BG73" s="7">
        <f t="shared" si="218"/>
        <v>-44.651303392981461</v>
      </c>
      <c r="BH73" s="48"/>
      <c r="BI73" s="48"/>
      <c r="BJ73" s="288"/>
      <c r="BN73" t="s">
        <v>261</v>
      </c>
      <c r="BO73" s="7">
        <f t="shared" ref="BO73:BW73" si="219">AVERAGE(BO67:BO72)</f>
        <v>-2.5729498722366708</v>
      </c>
      <c r="BP73" s="7">
        <f t="shared" si="219"/>
        <v>-3.1625067125502442</v>
      </c>
      <c r="BQ73" s="7">
        <f t="shared" si="219"/>
        <v>-25.012785651839515</v>
      </c>
      <c r="BR73" s="31">
        <f t="shared" si="219"/>
        <v>-35.665599347210076</v>
      </c>
      <c r="BS73" s="7">
        <f t="shared" si="219"/>
        <v>23.483638883763486</v>
      </c>
      <c r="BT73" s="7">
        <f t="shared" si="219"/>
        <v>4.5205497785659619</v>
      </c>
      <c r="BU73" s="7">
        <f t="shared" si="219"/>
        <v>40.337982422593953</v>
      </c>
      <c r="BV73" s="7">
        <f t="shared" si="219"/>
        <v>-11.670314491628062</v>
      </c>
      <c r="BW73" s="7">
        <f t="shared" si="219"/>
        <v>11.771005062720553</v>
      </c>
      <c r="BZ73" s="6" t="s">
        <v>171</v>
      </c>
      <c r="CA73" s="32">
        <f t="shared" si="210"/>
        <v>-10.043327310565523</v>
      </c>
      <c r="CB73" s="33">
        <f>(CB40-CB11)/CB11*100</f>
        <v>-22.644375203380118</v>
      </c>
      <c r="CC73" s="33">
        <f t="shared" si="211"/>
        <v>-27.692427145348358</v>
      </c>
      <c r="CD73" s="33">
        <f>(CD40-CD11)/CD11*100</f>
        <v>-18.525621535654981</v>
      </c>
      <c r="CE73" s="33">
        <f t="shared" si="212"/>
        <v>-14.362050760263061</v>
      </c>
      <c r="CF73" s="33">
        <f t="shared" si="212"/>
        <v>-7.8494840088999593</v>
      </c>
      <c r="CG73" s="33">
        <f t="shared" si="212"/>
        <v>160.13840371853493</v>
      </c>
      <c r="CH73" s="33">
        <f t="shared" si="212"/>
        <v>1.6000118409757038</v>
      </c>
      <c r="CI73" s="8">
        <f t="shared" si="212"/>
        <v>54.120643473329942</v>
      </c>
      <c r="CJ73" s="11"/>
      <c r="CL73" s="140" t="s">
        <v>261</v>
      </c>
      <c r="CM73" s="141">
        <f t="shared" ref="CM73:CU73" si="220">AVERAGE(CM67:CM72)</f>
        <v>31.813064318064345</v>
      </c>
      <c r="CN73" s="141">
        <f t="shared" si="220"/>
        <v>55.822951116093918</v>
      </c>
      <c r="CO73" s="141">
        <f t="shared" si="220"/>
        <v>-1.8050833484349365</v>
      </c>
      <c r="CP73" s="141">
        <f t="shared" si="220"/>
        <v>8.4355328117310904E-2</v>
      </c>
      <c r="CQ73" s="141">
        <f t="shared" si="220"/>
        <v>142.59264011450958</v>
      </c>
      <c r="CR73" s="286">
        <f t="shared" si="220"/>
        <v>20.95794281784023</v>
      </c>
      <c r="CS73" s="141">
        <f t="shared" si="220"/>
        <v>178.62340529819789</v>
      </c>
      <c r="CT73" s="141">
        <f t="shared" si="220"/>
        <v>13.793619479481974</v>
      </c>
      <c r="CU73" s="141">
        <f t="shared" si="220"/>
        <v>83.622189507159177</v>
      </c>
    </row>
    <row r="74" spans="1:99" ht="15.75" x14ac:dyDescent="0.25">
      <c r="A74" s="11"/>
      <c r="B74" s="11" t="s">
        <v>232</v>
      </c>
      <c r="C74" s="7">
        <f t="shared" si="215"/>
        <v>4.7678307309736478</v>
      </c>
      <c r="D74" s="7">
        <f t="shared" si="215"/>
        <v>-10.133713980633193</v>
      </c>
      <c r="E74" s="7">
        <f t="shared" si="215"/>
        <v>-19.643771174143957</v>
      </c>
      <c r="F74" s="7">
        <f t="shared" si="215"/>
        <v>-4.1755800414818696</v>
      </c>
      <c r="G74" s="7">
        <f t="shared" si="215"/>
        <v>54.136125628954765</v>
      </c>
      <c r="H74" s="7">
        <f t="shared" si="215"/>
        <v>-7.0714898033476112</v>
      </c>
      <c r="I74" s="7">
        <f t="shared" ref="I74:K80" si="221">(I41-I12)/I12*100</f>
        <v>121.41645584757077</v>
      </c>
      <c r="J74" s="7">
        <f t="shared" si="221"/>
        <v>2.6003993414169155</v>
      </c>
      <c r="K74" s="8">
        <f t="shared" si="221"/>
        <v>40.439857862295284</v>
      </c>
      <c r="M74" s="281">
        <v>96</v>
      </c>
      <c r="O74" s="308" t="s">
        <v>263</v>
      </c>
      <c r="P74" s="309">
        <f>_xlfn.STDEV.S(P67:P72)</f>
        <v>12.087481756030142</v>
      </c>
      <c r="Q74" s="309">
        <f t="shared" ref="Q74:X74" si="222">_xlfn.STDEV.S(Q67:Q72)</f>
        <v>27.120529507400772</v>
      </c>
      <c r="R74" s="309">
        <f t="shared" si="222"/>
        <v>26.088136125177623</v>
      </c>
      <c r="S74" s="309">
        <f t="shared" si="222"/>
        <v>37.089336431282867</v>
      </c>
      <c r="T74" s="309">
        <f t="shared" si="222"/>
        <v>32.693347609879346</v>
      </c>
      <c r="U74" s="309">
        <f t="shared" si="222"/>
        <v>8.5246164713674908</v>
      </c>
      <c r="V74" s="309">
        <f t="shared" si="222"/>
        <v>55.57751630127742</v>
      </c>
      <c r="W74" s="309">
        <f t="shared" si="222"/>
        <v>19.381552794283817</v>
      </c>
      <c r="X74" s="309">
        <f t="shared" si="222"/>
        <v>30.935571579267808</v>
      </c>
      <c r="AA74" s="6" t="s">
        <v>173</v>
      </c>
      <c r="AB74" s="33">
        <f t="shared" si="207"/>
        <v>25.114770517165617</v>
      </c>
      <c r="AC74" s="33">
        <f t="shared" si="207"/>
        <v>-14.732933341616592</v>
      </c>
      <c r="AD74" s="33">
        <f t="shared" si="207"/>
        <v>-14.870326158711162</v>
      </c>
      <c r="AE74" s="33">
        <f t="shared" si="207"/>
        <v>-3.5659245081998949</v>
      </c>
      <c r="AF74" s="33">
        <f t="shared" si="207"/>
        <v>154.92127153363887</v>
      </c>
      <c r="AG74" s="33">
        <f t="shared" si="207"/>
        <v>38.236042177470104</v>
      </c>
      <c r="AH74" s="33">
        <f t="shared" si="207"/>
        <v>479.49990936166864</v>
      </c>
      <c r="AI74" s="33">
        <f t="shared" si="207"/>
        <v>15.74610936356788</v>
      </c>
      <c r="AJ74" s="8">
        <f t="shared" si="207"/>
        <v>97.884610912851997</v>
      </c>
      <c r="AK74" s="11">
        <v>54</v>
      </c>
      <c r="AM74" s="308" t="s">
        <v>263</v>
      </c>
      <c r="AN74" s="309">
        <f>_xlfn.STDEV.S(AN67:AN72)</f>
        <v>34.662743482829811</v>
      </c>
      <c r="AO74" s="309">
        <f t="shared" ref="AO74:AV74" si="223">_xlfn.STDEV.S(AO67:AO72)</f>
        <v>84.855415293268848</v>
      </c>
      <c r="AP74" s="309">
        <f t="shared" si="223"/>
        <v>17.192604212301489</v>
      </c>
      <c r="AQ74" s="309">
        <f t="shared" si="223"/>
        <v>14.536588147201737</v>
      </c>
      <c r="AR74" s="309">
        <f t="shared" si="223"/>
        <v>155.40063384972223</v>
      </c>
      <c r="AS74" s="309">
        <f t="shared" si="223"/>
        <v>60.113548950158673</v>
      </c>
      <c r="AT74" s="309">
        <f t="shared" si="223"/>
        <v>181.94791563241733</v>
      </c>
      <c r="AU74" s="309">
        <f t="shared" si="223"/>
        <v>61.08281935251388</v>
      </c>
      <c r="AV74" s="309">
        <f t="shared" si="223"/>
        <v>60.598745540250519</v>
      </c>
      <c r="AX74" s="246"/>
      <c r="AZ74" s="11"/>
      <c r="BA74" s="11" t="s">
        <v>232</v>
      </c>
      <c r="BB74" s="7">
        <f t="shared" si="218"/>
        <v>4.7678307309736594</v>
      </c>
      <c r="BC74" s="7">
        <f t="shared" si="218"/>
        <v>-10.133713980633177</v>
      </c>
      <c r="BD74" s="7">
        <f t="shared" si="218"/>
        <v>-19.64377117414395</v>
      </c>
      <c r="BE74" s="7">
        <f t="shared" si="218"/>
        <v>-4.1755800414818838</v>
      </c>
      <c r="BF74" s="7">
        <f t="shared" si="218"/>
        <v>54.136125628954787</v>
      </c>
      <c r="BG74" s="7">
        <f t="shared" si="218"/>
        <v>-7.0714898033476095</v>
      </c>
      <c r="BH74" s="7">
        <f t="shared" ref="BH74:BJ80" si="224">(BH41-BH12)/BH12*100</f>
        <v>121.41645584757082</v>
      </c>
      <c r="BI74" s="7">
        <f t="shared" si="224"/>
        <v>2.600399341416904</v>
      </c>
      <c r="BJ74" s="8">
        <f t="shared" si="224"/>
        <v>40.439857862295305</v>
      </c>
      <c r="BK74" s="58"/>
      <c r="BN74" s="308" t="s">
        <v>263</v>
      </c>
      <c r="BO74" s="309">
        <f>_xlfn.STDEV.S(BO67:BO72)</f>
        <v>12.087481756030144</v>
      </c>
      <c r="BP74" s="309">
        <f t="shared" ref="BP74:BW74" si="225">_xlfn.STDEV.S(BP67:BP72)</f>
        <v>27.120529507400768</v>
      </c>
      <c r="BQ74" s="309">
        <f t="shared" si="225"/>
        <v>25.563728332224674</v>
      </c>
      <c r="BR74" s="309">
        <f t="shared" si="225"/>
        <v>37.089336431282874</v>
      </c>
      <c r="BS74" s="309">
        <f t="shared" si="225"/>
        <v>32.693347609879353</v>
      </c>
      <c r="BT74" s="309">
        <f t="shared" si="225"/>
        <v>8.5246164713674872</v>
      </c>
      <c r="BU74" s="309">
        <f t="shared" si="225"/>
        <v>55.57751630127742</v>
      </c>
      <c r="BV74" s="309">
        <f t="shared" si="225"/>
        <v>19.38155279428382</v>
      </c>
      <c r="BW74" s="309">
        <f t="shared" si="225"/>
        <v>30.935571579267805</v>
      </c>
      <c r="BZ74" s="6" t="s">
        <v>173</v>
      </c>
      <c r="CA74" s="32">
        <f t="shared" si="210"/>
        <v>25.114770517165603</v>
      </c>
      <c r="CB74" s="33">
        <f>(CB41-CB12)/CB12*100</f>
        <v>-14.732933341616603</v>
      </c>
      <c r="CC74" s="33">
        <f t="shared" si="211"/>
        <v>-14.870326158711144</v>
      </c>
      <c r="CD74" s="33">
        <f>(CD41-CD12)/CD12*100</f>
        <v>-3.5659245081998927</v>
      </c>
      <c r="CE74" s="33">
        <f t="shared" si="212"/>
        <v>154.9212715336389</v>
      </c>
      <c r="CF74" s="33">
        <f t="shared" si="212"/>
        <v>38.236042177470104</v>
      </c>
      <c r="CG74" s="33">
        <f t="shared" si="212"/>
        <v>479.49990936166864</v>
      </c>
      <c r="CH74" s="33">
        <f t="shared" si="212"/>
        <v>15.746109363567873</v>
      </c>
      <c r="CI74" s="8">
        <f t="shared" si="212"/>
        <v>97.884610912852011</v>
      </c>
      <c r="CJ74" s="11"/>
      <c r="CL74" s="308" t="s">
        <v>263</v>
      </c>
      <c r="CM74" s="309">
        <f>_xlfn.STDEV.S(CM67:CM72)</f>
        <v>34.662743482829818</v>
      </c>
      <c r="CN74" s="309">
        <f t="shared" ref="CN74:CU74" si="226">_xlfn.STDEV.S(CN67:CN72)</f>
        <v>84.85541529326882</v>
      </c>
      <c r="CO74" s="309">
        <f t="shared" si="226"/>
        <v>17.192604212301489</v>
      </c>
      <c r="CP74" s="309">
        <f t="shared" si="226"/>
        <v>14.53658814720173</v>
      </c>
      <c r="CQ74" s="309">
        <f t="shared" si="226"/>
        <v>155.40063384972223</v>
      </c>
      <c r="CR74" s="309">
        <f t="shared" si="226"/>
        <v>60.11354895015868</v>
      </c>
      <c r="CS74" s="309">
        <f t="shared" si="226"/>
        <v>181.94791563241733</v>
      </c>
      <c r="CT74" s="309">
        <f t="shared" si="226"/>
        <v>61.08281935251388</v>
      </c>
      <c r="CU74" s="309">
        <f t="shared" si="226"/>
        <v>60.598745540250519</v>
      </c>
    </row>
    <row r="75" spans="1:99" ht="15.75" x14ac:dyDescent="0.25">
      <c r="A75" s="176"/>
      <c r="B75" s="11" t="s">
        <v>285</v>
      </c>
      <c r="C75" s="7">
        <f t="shared" ref="C75:C86" si="227">(C42-C13)/C13*100</f>
        <v>3.3369589416358139</v>
      </c>
      <c r="D75" s="48"/>
      <c r="E75" s="7">
        <f t="shared" ref="E75:H78" si="228">(E42-E13)/E13*100</f>
        <v>8.1113901708484857</v>
      </c>
      <c r="F75" s="7">
        <f t="shared" si="228"/>
        <v>39.274270093631351</v>
      </c>
      <c r="G75" s="7">
        <f t="shared" si="228"/>
        <v>82.879914505928625</v>
      </c>
      <c r="H75" s="7">
        <f t="shared" si="228"/>
        <v>-1.689294605897123</v>
      </c>
      <c r="I75" s="7">
        <f t="shared" si="221"/>
        <v>74.163039727842033</v>
      </c>
      <c r="J75" s="7">
        <f t="shared" si="221"/>
        <v>-25.177907865634968</v>
      </c>
      <c r="K75" s="8">
        <f t="shared" si="221"/>
        <v>27.157907127897641</v>
      </c>
      <c r="M75" s="281">
        <v>101</v>
      </c>
      <c r="O75" s="140" t="s">
        <v>455</v>
      </c>
      <c r="P75" s="141">
        <f>MAX(P67:P72)</f>
        <v>10.480523268778759</v>
      </c>
      <c r="Q75" s="141">
        <f t="shared" ref="Q75:X75" si="229">MAX(Q67:Q72)</f>
        <v>44.853777186191465</v>
      </c>
      <c r="R75" s="141">
        <f t="shared" si="229"/>
        <v>5.7561091762919085</v>
      </c>
      <c r="S75" s="141">
        <f t="shared" si="229"/>
        <v>4.2053323298888685</v>
      </c>
      <c r="T75" s="141">
        <f t="shared" si="229"/>
        <v>72.395616614207015</v>
      </c>
      <c r="U75" s="141">
        <f t="shared" si="229"/>
        <v>15.819321189076474</v>
      </c>
      <c r="V75" s="141">
        <f t="shared" si="229"/>
        <v>101.69997115144582</v>
      </c>
      <c r="W75" s="141">
        <f t="shared" si="229"/>
        <v>8.7039665962100905</v>
      </c>
      <c r="X75" s="141">
        <f t="shared" si="229"/>
        <v>42.937646653511536</v>
      </c>
      <c r="AA75" s="6" t="s">
        <v>174</v>
      </c>
      <c r="AB75" s="33">
        <f t="shared" si="207"/>
        <v>21.690055952143311</v>
      </c>
      <c r="AC75" s="33">
        <f t="shared" si="207"/>
        <v>59.54564997882629</v>
      </c>
      <c r="AD75" s="33">
        <f t="shared" si="207"/>
        <v>11.906978884421539</v>
      </c>
      <c r="AE75" s="33">
        <f t="shared" si="207"/>
        <v>24.253825086893688</v>
      </c>
      <c r="AF75" s="33">
        <f t="shared" si="207"/>
        <v>31.561563940779646</v>
      </c>
      <c r="AG75" s="48"/>
      <c r="AH75" s="33">
        <f t="shared" si="207"/>
        <v>53.870538900516507</v>
      </c>
      <c r="AI75" s="33">
        <f t="shared" si="207"/>
        <v>-48.964705419654123</v>
      </c>
      <c r="AJ75" s="8">
        <f t="shared" si="207"/>
        <v>20.921877147648448</v>
      </c>
      <c r="AK75" s="11">
        <v>52</v>
      </c>
      <c r="AM75" s="140" t="s">
        <v>455</v>
      </c>
      <c r="AN75" s="141">
        <f>MAX(AN67:AN72)</f>
        <v>88.13576217692308</v>
      </c>
      <c r="AO75" s="141">
        <f t="shared" ref="AO75:AV75" si="230">MAX(AO67:AO72)</f>
        <v>214.02212501637595</v>
      </c>
      <c r="AP75" s="141">
        <f t="shared" si="230"/>
        <v>17.226900791509571</v>
      </c>
      <c r="AQ75" s="141">
        <f t="shared" si="230"/>
        <v>25.125866347907593</v>
      </c>
      <c r="AR75" s="141">
        <f t="shared" si="230"/>
        <v>439.08095909754979</v>
      </c>
      <c r="AS75" s="141">
        <f t="shared" si="230"/>
        <v>110.73971548232902</v>
      </c>
      <c r="AT75" s="141">
        <f t="shared" si="230"/>
        <v>499.12387162109331</v>
      </c>
      <c r="AU75" s="141">
        <f t="shared" si="230"/>
        <v>126.82188590543359</v>
      </c>
      <c r="AV75" s="141">
        <f t="shared" si="230"/>
        <v>172.72384873391977</v>
      </c>
      <c r="AX75" s="246"/>
      <c r="AZ75" s="11"/>
      <c r="BA75" s="11" t="s">
        <v>285</v>
      </c>
      <c r="BB75" s="7">
        <f t="shared" ref="BB75:BB86" si="231">(BB42-BB13)/BB13*100</f>
        <v>3.3369589416358161</v>
      </c>
      <c r="BC75" s="48"/>
      <c r="BD75" s="7">
        <f t="shared" ref="BD75:BG78" si="232">(BD42-BD13)/BD13*100</f>
        <v>8.111390170848491</v>
      </c>
      <c r="BE75" s="7">
        <f t="shared" si="232"/>
        <v>39.274270093631344</v>
      </c>
      <c r="BF75" s="7">
        <f t="shared" si="232"/>
        <v>82.879914505928625</v>
      </c>
      <c r="BG75" s="7">
        <f t="shared" si="232"/>
        <v>-1.6892946058971305</v>
      </c>
      <c r="BH75" s="7">
        <f t="shared" si="224"/>
        <v>74.163039727842033</v>
      </c>
      <c r="BI75" s="7">
        <f t="shared" si="224"/>
        <v>-25.177907865634968</v>
      </c>
      <c r="BJ75" s="8">
        <f t="shared" si="224"/>
        <v>27.157907127897644</v>
      </c>
      <c r="BN75" s="140" t="s">
        <v>455</v>
      </c>
      <c r="BO75" s="141">
        <f>MAX(BO67:BO72)</f>
        <v>10.480523268778748</v>
      </c>
      <c r="BP75" s="141">
        <f t="shared" ref="BP75:BW75" si="233">MAX(BP67:BP72)</f>
        <v>44.853777186191458</v>
      </c>
      <c r="BQ75" s="141">
        <f t="shared" si="233"/>
        <v>-4.7128856003377901</v>
      </c>
      <c r="BR75" s="141">
        <f t="shared" si="233"/>
        <v>4.2053323298888712</v>
      </c>
      <c r="BS75" s="141">
        <f t="shared" si="233"/>
        <v>72.395616614207015</v>
      </c>
      <c r="BT75" s="141">
        <f t="shared" si="233"/>
        <v>15.819321189076465</v>
      </c>
      <c r="BU75" s="141">
        <f t="shared" si="233"/>
        <v>101.69997115144582</v>
      </c>
      <c r="BV75" s="141">
        <f t="shared" si="233"/>
        <v>8.7039665962100923</v>
      </c>
      <c r="BW75" s="141">
        <f t="shared" si="233"/>
        <v>42.937646653511557</v>
      </c>
      <c r="BZ75" s="6" t="s">
        <v>174</v>
      </c>
      <c r="CA75" s="32">
        <f t="shared" si="210"/>
        <v>21.690055952143318</v>
      </c>
      <c r="CB75" s="33">
        <f>(CB42-CB13)/CB13*100</f>
        <v>59.54564997882629</v>
      </c>
      <c r="CC75" s="33">
        <f t="shared" si="211"/>
        <v>11.90697888442155</v>
      </c>
      <c r="CD75" s="33">
        <f>(CD42-CD13)/CD13*100</f>
        <v>24.253825086893702</v>
      </c>
      <c r="CE75" s="33">
        <f>(CE42-CE13)/CE13*100</f>
        <v>31.561563940779624</v>
      </c>
      <c r="CF75" s="48"/>
      <c r="CG75" s="33">
        <f t="shared" ref="CG75:CI76" si="234">(CG42-CG13)/CG13*100</f>
        <v>53.870538900516507</v>
      </c>
      <c r="CH75" s="33">
        <f t="shared" si="234"/>
        <v>-48.964705419654123</v>
      </c>
      <c r="CI75" s="8">
        <f t="shared" si="234"/>
        <v>20.921877147648456</v>
      </c>
      <c r="CJ75" s="11"/>
      <c r="CL75" s="140" t="s">
        <v>455</v>
      </c>
      <c r="CM75" s="141">
        <f>MAX(CM67:CM72)</f>
        <v>88.13576217692308</v>
      </c>
      <c r="CN75" s="141">
        <f t="shared" ref="CN75:CU75" si="235">MAX(CN67:CN72)</f>
        <v>214.0221250163759</v>
      </c>
      <c r="CO75" s="141">
        <f t="shared" si="235"/>
        <v>17.226900791509554</v>
      </c>
      <c r="CP75" s="141">
        <f t="shared" si="235"/>
        <v>25.125866347907582</v>
      </c>
      <c r="CQ75" s="141">
        <f t="shared" si="235"/>
        <v>439.08095909754979</v>
      </c>
      <c r="CR75" s="141">
        <f t="shared" si="235"/>
        <v>110.73971548232903</v>
      </c>
      <c r="CS75" s="141">
        <f t="shared" si="235"/>
        <v>499.12387162109343</v>
      </c>
      <c r="CT75" s="141">
        <f t="shared" si="235"/>
        <v>126.82188590543358</v>
      </c>
      <c r="CU75" s="141">
        <f t="shared" si="235"/>
        <v>172.72384873391977</v>
      </c>
    </row>
    <row r="76" spans="1:99" ht="15.75" x14ac:dyDescent="0.25">
      <c r="A76" s="11"/>
      <c r="B76" s="11" t="s">
        <v>234</v>
      </c>
      <c r="C76" s="7">
        <f t="shared" si="227"/>
        <v>18.091879757294276</v>
      </c>
      <c r="D76" s="7">
        <f t="shared" ref="D76:D85" si="236">(D43-D14)/D14*100</f>
        <v>6.1483105068573192</v>
      </c>
      <c r="E76" s="7">
        <f t="shared" si="228"/>
        <v>-6.6126668433064948</v>
      </c>
      <c r="F76" s="7">
        <f t="shared" si="228"/>
        <v>-4.3504783653918055</v>
      </c>
      <c r="G76" s="7">
        <f t="shared" si="228"/>
        <v>29.322646995836347</v>
      </c>
      <c r="H76" s="7">
        <f t="shared" si="228"/>
        <v>-4.4794867322348972</v>
      </c>
      <c r="I76" s="7">
        <f t="shared" si="221"/>
        <v>55.966295059793772</v>
      </c>
      <c r="J76" s="7">
        <f t="shared" si="221"/>
        <v>-42.039659681649397</v>
      </c>
      <c r="K76" s="8">
        <f t="shared" si="221"/>
        <v>12.579821845448119</v>
      </c>
      <c r="M76" s="281">
        <v>49</v>
      </c>
      <c r="O76" s="140" t="s">
        <v>456</v>
      </c>
      <c r="P76" s="141">
        <f>MIN(P67:P72)</f>
        <v>-17.867686277717223</v>
      </c>
      <c r="Q76" s="141">
        <f t="shared" ref="Q76:X76" si="237">MIN(Q67:Q72)</f>
        <v>-20.384808570039851</v>
      </c>
      <c r="R76" s="141">
        <f t="shared" si="237"/>
        <v>-65.127167540692881</v>
      </c>
      <c r="S76" s="141">
        <f t="shared" si="237"/>
        <v>-91.061830665317473</v>
      </c>
      <c r="T76" s="141">
        <f t="shared" si="237"/>
        <v>-7.9167954299864354</v>
      </c>
      <c r="U76" s="141">
        <f t="shared" si="237"/>
        <v>-6.8917701874699731</v>
      </c>
      <c r="V76" s="141">
        <f t="shared" si="237"/>
        <v>-28.386440907578763</v>
      </c>
      <c r="W76" s="141">
        <f t="shared" si="237"/>
        <v>-40.856747769622558</v>
      </c>
      <c r="X76" s="141">
        <f t="shared" si="237"/>
        <v>-31.215972812512</v>
      </c>
      <c r="AA76" s="6" t="s">
        <v>177</v>
      </c>
      <c r="AB76" s="33">
        <f t="shared" si="207"/>
        <v>26.071950910029017</v>
      </c>
      <c r="AC76" s="33">
        <f t="shared" si="207"/>
        <v>37.94005009910564</v>
      </c>
      <c r="AD76" s="33">
        <f t="shared" si="207"/>
        <v>41.943425776325988</v>
      </c>
      <c r="AE76" s="33">
        <f t="shared" si="207"/>
        <v>-9.7407211812241403</v>
      </c>
      <c r="AF76" s="33">
        <f t="shared" si="207"/>
        <v>33.200052132966526</v>
      </c>
      <c r="AG76" s="33">
        <f t="shared" si="207"/>
        <v>-45.186745051405261</v>
      </c>
      <c r="AH76" s="33">
        <f t="shared" si="207"/>
        <v>457.85953300643945</v>
      </c>
      <c r="AI76" s="33">
        <f t="shared" si="207"/>
        <v>9.6532992298531308</v>
      </c>
      <c r="AJ76" s="8">
        <f t="shared" si="207"/>
        <v>199.55240053946119</v>
      </c>
      <c r="AK76" s="11">
        <v>101</v>
      </c>
      <c r="AM76" s="140" t="s">
        <v>456</v>
      </c>
      <c r="AN76" s="141">
        <f>MIN(AN67:AN72)</f>
        <v>-10.221947159232318</v>
      </c>
      <c r="AO76" s="141">
        <f t="shared" ref="AO76:AV76" si="238">MIN(AO67:AO72)</f>
        <v>-15.913994962704187</v>
      </c>
      <c r="AP76" s="141">
        <f t="shared" si="238"/>
        <v>-31.597167582576546</v>
      </c>
      <c r="AQ76" s="141">
        <f t="shared" si="238"/>
        <v>-17.918288280053652</v>
      </c>
      <c r="AR76" s="141">
        <f t="shared" si="238"/>
        <v>3.5643531867942548</v>
      </c>
      <c r="AS76" s="141">
        <f t="shared" si="238"/>
        <v>-16.652827731161125</v>
      </c>
      <c r="AT76" s="141">
        <f t="shared" si="238"/>
        <v>-4.8440556731055944</v>
      </c>
      <c r="AU76" s="141">
        <f t="shared" si="238"/>
        <v>-46.788500249341695</v>
      </c>
      <c r="AV76" s="141">
        <f t="shared" si="238"/>
        <v>1.9146053819120559</v>
      </c>
      <c r="AX76" s="246"/>
      <c r="AZ76" s="11"/>
      <c r="BA76" s="11" t="s">
        <v>234</v>
      </c>
      <c r="BB76" s="7">
        <f t="shared" si="231"/>
        <v>18.091879757294276</v>
      </c>
      <c r="BC76" s="7">
        <f t="shared" ref="BC76:BC85" si="239">(BC43-BC14)/BC14*100</f>
        <v>6.148310506857305</v>
      </c>
      <c r="BD76" s="7">
        <f t="shared" si="232"/>
        <v>-6.6126668433064903</v>
      </c>
      <c r="BE76" s="7">
        <f t="shared" si="232"/>
        <v>-4.3504783653917922</v>
      </c>
      <c r="BF76" s="7">
        <f t="shared" si="232"/>
        <v>29.322646995836372</v>
      </c>
      <c r="BG76" s="7">
        <f t="shared" si="232"/>
        <v>-4.4794867322349008</v>
      </c>
      <c r="BH76" s="7">
        <f t="shared" si="224"/>
        <v>55.966295059793779</v>
      </c>
      <c r="BI76" s="7">
        <f t="shared" si="224"/>
        <v>-42.039659681649397</v>
      </c>
      <c r="BJ76" s="8">
        <f t="shared" si="224"/>
        <v>12.579821845448125</v>
      </c>
      <c r="BN76" s="140" t="s">
        <v>456</v>
      </c>
      <c r="BO76" s="141">
        <f>MIN(BO67:BO72)</f>
        <v>-17.867686277717219</v>
      </c>
      <c r="BP76" s="141">
        <f t="shared" ref="BP76:BW76" si="240">MIN(BP67:BP72)</f>
        <v>-20.384808570039851</v>
      </c>
      <c r="BQ76" s="141">
        <f t="shared" si="240"/>
        <v>-65.127167540692895</v>
      </c>
      <c r="BR76" s="141">
        <f t="shared" si="240"/>
        <v>-91.061830665317473</v>
      </c>
      <c r="BS76" s="141">
        <f t="shared" si="240"/>
        <v>-7.9167954299864407</v>
      </c>
      <c r="BT76" s="141">
        <f t="shared" si="240"/>
        <v>-6.8917701874699668</v>
      </c>
      <c r="BU76" s="141">
        <f t="shared" si="240"/>
        <v>-28.38644090757878</v>
      </c>
      <c r="BV76" s="141">
        <f t="shared" si="240"/>
        <v>-40.856747769622551</v>
      </c>
      <c r="BW76" s="141">
        <f t="shared" si="240"/>
        <v>-31.215972812511993</v>
      </c>
      <c r="BZ76" s="6" t="s">
        <v>177</v>
      </c>
      <c r="CA76" s="32">
        <f t="shared" si="210"/>
        <v>26.071950910029024</v>
      </c>
      <c r="CB76" s="33">
        <f>(CB43-CB14)/CB14*100</f>
        <v>37.940050099105655</v>
      </c>
      <c r="CC76" s="33">
        <f t="shared" si="211"/>
        <v>41.943425776325988</v>
      </c>
      <c r="CD76" s="33">
        <f>(CD43-CD14)/CD14*100</f>
        <v>-9.7407211812241279</v>
      </c>
      <c r="CE76" s="33">
        <f>(CE43-CE14)/CE14*100</f>
        <v>33.200052132966547</v>
      </c>
      <c r="CF76" s="33">
        <f>(CF43-CF14)/CF14*100</f>
        <v>-45.186745051405261</v>
      </c>
      <c r="CG76" s="33">
        <f t="shared" si="234"/>
        <v>457.85953300643951</v>
      </c>
      <c r="CH76" s="33">
        <f t="shared" si="234"/>
        <v>9.6532992298531326</v>
      </c>
      <c r="CI76" s="8">
        <f t="shared" si="234"/>
        <v>199.55240053946125</v>
      </c>
      <c r="CJ76" s="11"/>
      <c r="CL76" s="140" t="s">
        <v>456</v>
      </c>
      <c r="CM76" s="141">
        <f>MIN(CM67:CM72)</f>
        <v>-10.221947159232329</v>
      </c>
      <c r="CN76" s="141">
        <f t="shared" ref="CN76:CU76" si="241">MIN(CN67:CN72)</f>
        <v>-15.913994962704194</v>
      </c>
      <c r="CO76" s="141">
        <f t="shared" si="241"/>
        <v>-31.597167582576553</v>
      </c>
      <c r="CP76" s="141">
        <f t="shared" si="241"/>
        <v>-17.918288280053645</v>
      </c>
      <c r="CQ76" s="141">
        <f t="shared" si="241"/>
        <v>3.5643531867942566</v>
      </c>
      <c r="CR76" s="141">
        <f t="shared" si="241"/>
        <v>-16.652827731161128</v>
      </c>
      <c r="CS76" s="141">
        <f t="shared" si="241"/>
        <v>-4.8440556731055979</v>
      </c>
      <c r="CT76" s="141">
        <f t="shared" si="241"/>
        <v>-46.788500249341695</v>
      </c>
      <c r="CU76" s="141">
        <f t="shared" si="241"/>
        <v>1.9146053819120565</v>
      </c>
    </row>
    <row r="77" spans="1:99" ht="15.75" x14ac:dyDescent="0.25">
      <c r="A77" s="11"/>
      <c r="B77" s="11" t="s">
        <v>235</v>
      </c>
      <c r="C77" s="7">
        <f t="shared" si="227"/>
        <v>9.6489139587493735</v>
      </c>
      <c r="D77" s="7">
        <f t="shared" si="236"/>
        <v>17.243733372006826</v>
      </c>
      <c r="E77" s="7">
        <f t="shared" si="228"/>
        <v>22.167166811470278</v>
      </c>
      <c r="F77" s="7">
        <f t="shared" si="228"/>
        <v>-3.1812505456407467</v>
      </c>
      <c r="G77" s="7">
        <f t="shared" si="228"/>
        <v>220.4865514620148</v>
      </c>
      <c r="H77" s="7">
        <f t="shared" si="228"/>
        <v>-26.581973678147659</v>
      </c>
      <c r="I77" s="7">
        <f t="shared" si="221"/>
        <v>155.49524902168113</v>
      </c>
      <c r="J77" s="7">
        <f t="shared" si="221"/>
        <v>-34.625075633119756</v>
      </c>
      <c r="K77" s="8">
        <f t="shared" si="221"/>
        <v>-0.25200728323770077</v>
      </c>
      <c r="M77" s="281">
        <v>50</v>
      </c>
      <c r="O77" s="140" t="s">
        <v>265</v>
      </c>
      <c r="P77" s="142">
        <f>COUNT(P67:P72)</f>
        <v>5</v>
      </c>
      <c r="Q77" s="142">
        <f t="shared" ref="Q77:X77" si="242">COUNT(Q67:Q72)</f>
        <v>5</v>
      </c>
      <c r="R77" s="142">
        <f t="shared" si="242"/>
        <v>6</v>
      </c>
      <c r="S77" s="142">
        <f t="shared" si="242"/>
        <v>5</v>
      </c>
      <c r="T77" s="142">
        <f t="shared" si="242"/>
        <v>6</v>
      </c>
      <c r="U77" s="142">
        <f t="shared" si="242"/>
        <v>6</v>
      </c>
      <c r="V77" s="142">
        <f t="shared" si="242"/>
        <v>6</v>
      </c>
      <c r="W77" s="142">
        <f t="shared" si="242"/>
        <v>6</v>
      </c>
      <c r="X77" s="142">
        <f t="shared" si="242"/>
        <v>6</v>
      </c>
      <c r="AA77" s="109" t="s">
        <v>178</v>
      </c>
      <c r="AB77" s="33">
        <f t="shared" si="207"/>
        <v>63.749175754756017</v>
      </c>
      <c r="AC77" s="33">
        <f t="shared" si="207"/>
        <v>-33.994133710514497</v>
      </c>
      <c r="AD77" s="33">
        <f t="shared" si="207"/>
        <v>111.39728016352815</v>
      </c>
      <c r="AE77" s="33">
        <f t="shared" si="207"/>
        <v>92.459108503381344</v>
      </c>
      <c r="AF77" s="33">
        <f t="shared" si="207"/>
        <v>334.43504186804233</v>
      </c>
      <c r="AG77" s="33">
        <f t="shared" si="207"/>
        <v>-36.143909859926133</v>
      </c>
      <c r="AH77" s="33">
        <f t="shared" si="207"/>
        <v>1053.0628502560794</v>
      </c>
      <c r="AI77" s="33">
        <f t="shared" si="207"/>
        <v>64.261010177088039</v>
      </c>
      <c r="AJ77" s="8">
        <f t="shared" si="207"/>
        <v>619.45296494031231</v>
      </c>
      <c r="AK77" s="11">
        <v>83</v>
      </c>
      <c r="AM77" s="140" t="s">
        <v>265</v>
      </c>
      <c r="AN77" s="142">
        <f>COUNT(AN67:AN72)</f>
        <v>6</v>
      </c>
      <c r="AO77" s="142">
        <f t="shared" ref="AO77:AV77" si="243">COUNT(AO67:AO72)</f>
        <v>6</v>
      </c>
      <c r="AP77" s="142">
        <f t="shared" si="243"/>
        <v>6</v>
      </c>
      <c r="AQ77" s="142">
        <f t="shared" si="243"/>
        <v>6</v>
      </c>
      <c r="AR77" s="142">
        <f t="shared" si="243"/>
        <v>6</v>
      </c>
      <c r="AS77" s="142">
        <f t="shared" si="243"/>
        <v>4</v>
      </c>
      <c r="AT77" s="142">
        <f t="shared" si="243"/>
        <v>6</v>
      </c>
      <c r="AU77" s="142">
        <f t="shared" si="243"/>
        <v>6</v>
      </c>
      <c r="AV77" s="142">
        <f t="shared" si="243"/>
        <v>6</v>
      </c>
      <c r="AX77" s="246"/>
      <c r="AZ77" s="11"/>
      <c r="BA77" s="11" t="s">
        <v>235</v>
      </c>
      <c r="BB77" s="7">
        <f t="shared" si="231"/>
        <v>9.6489139587493504</v>
      </c>
      <c r="BC77" s="7">
        <f t="shared" si="239"/>
        <v>17.24373337200684</v>
      </c>
      <c r="BD77" s="7">
        <f t="shared" si="232"/>
        <v>22.16716681147027</v>
      </c>
      <c r="BE77" s="7">
        <f t="shared" si="232"/>
        <v>-3.1812505456407543</v>
      </c>
      <c r="BF77" s="7">
        <f t="shared" si="232"/>
        <v>220.4865514620148</v>
      </c>
      <c r="BG77" s="7">
        <f t="shared" si="232"/>
        <v>-26.581973678147662</v>
      </c>
      <c r="BH77" s="7">
        <f t="shared" si="224"/>
        <v>155.49524902168116</v>
      </c>
      <c r="BI77" s="7">
        <f t="shared" si="224"/>
        <v>-34.625075633119764</v>
      </c>
      <c r="BJ77" s="8">
        <f>(BJ44-BJ15)/BJ15*100</f>
        <v>-0.25200728323770077</v>
      </c>
      <c r="BN77" s="140" t="s">
        <v>265</v>
      </c>
      <c r="BO77" s="142">
        <f>COUNT(BO67:BO72)</f>
        <v>5</v>
      </c>
      <c r="BP77" s="142">
        <f t="shared" ref="BP77:BW77" si="244">COUNT(BP67:BP72)</f>
        <v>5</v>
      </c>
      <c r="BQ77" s="142">
        <f t="shared" si="244"/>
        <v>5</v>
      </c>
      <c r="BR77" s="142">
        <f t="shared" si="244"/>
        <v>5</v>
      </c>
      <c r="BS77" s="142">
        <f t="shared" si="244"/>
        <v>6</v>
      </c>
      <c r="BT77" s="142">
        <f t="shared" si="244"/>
        <v>6</v>
      </c>
      <c r="BU77" s="142">
        <f t="shared" si="244"/>
        <v>6</v>
      </c>
      <c r="BV77" s="142">
        <f t="shared" si="244"/>
        <v>6</v>
      </c>
      <c r="BW77" s="142">
        <f t="shared" si="244"/>
        <v>6</v>
      </c>
      <c r="BZ77" s="109" t="s">
        <v>178</v>
      </c>
      <c r="CA77" s="32"/>
      <c r="CB77" s="33"/>
      <c r="CC77" s="33"/>
      <c r="CD77" s="33"/>
      <c r="CE77" s="33"/>
      <c r="CF77" s="33"/>
      <c r="CG77" s="33"/>
      <c r="CH77" s="33"/>
      <c r="CI77" s="8"/>
      <c r="CJ77" s="11"/>
      <c r="CL77" s="140" t="s">
        <v>265</v>
      </c>
      <c r="CM77" s="142">
        <f>COUNT(CM67:CM72)</f>
        <v>6</v>
      </c>
      <c r="CN77" s="142">
        <f t="shared" ref="CN77:CU77" si="245">COUNT(CN67:CN72)</f>
        <v>6</v>
      </c>
      <c r="CO77" s="142">
        <f t="shared" si="245"/>
        <v>6</v>
      </c>
      <c r="CP77" s="142">
        <f t="shared" si="245"/>
        <v>6</v>
      </c>
      <c r="CQ77" s="142">
        <f t="shared" si="245"/>
        <v>6</v>
      </c>
      <c r="CR77" s="142">
        <f t="shared" si="245"/>
        <v>4</v>
      </c>
      <c r="CS77" s="142">
        <f t="shared" si="245"/>
        <v>6</v>
      </c>
      <c r="CT77" s="142">
        <f t="shared" si="245"/>
        <v>6</v>
      </c>
      <c r="CU77" s="142">
        <f t="shared" si="245"/>
        <v>6</v>
      </c>
    </row>
    <row r="78" spans="1:99" x14ac:dyDescent="0.25">
      <c r="A78" s="11"/>
      <c r="B78" s="11" t="s">
        <v>237</v>
      </c>
      <c r="C78" s="7">
        <f t="shared" si="227"/>
        <v>7.9152047912537382</v>
      </c>
      <c r="D78" s="7">
        <f t="shared" si="236"/>
        <v>-28.935021646736971</v>
      </c>
      <c r="E78" s="7">
        <f t="shared" si="228"/>
        <v>6.2541031697501523</v>
      </c>
      <c r="F78" s="7">
        <f t="shared" si="228"/>
        <v>9.0136460893882209</v>
      </c>
      <c r="G78" s="7">
        <f t="shared" si="228"/>
        <v>103.35577963260143</v>
      </c>
      <c r="H78" s="7">
        <f t="shared" si="228"/>
        <v>18.698103873801262</v>
      </c>
      <c r="I78" s="7">
        <f t="shared" si="221"/>
        <v>82.010478924902486</v>
      </c>
      <c r="J78" s="7">
        <f t="shared" si="221"/>
        <v>-3.4220707041512601</v>
      </c>
      <c r="K78" s="8">
        <f t="shared" si="221"/>
        <v>70.72441471146621</v>
      </c>
      <c r="M78" s="281">
        <v>48</v>
      </c>
      <c r="P78" s="7"/>
      <c r="Q78" s="7"/>
      <c r="R78" s="7"/>
      <c r="S78" s="7"/>
      <c r="T78" s="7"/>
      <c r="U78" s="7"/>
      <c r="V78" s="7"/>
      <c r="W78" s="7"/>
      <c r="X78" s="7"/>
      <c r="AA78" s="6" t="s">
        <v>181</v>
      </c>
      <c r="AB78" s="33">
        <f t="shared" si="207"/>
        <v>18.313347068805193</v>
      </c>
      <c r="AC78" s="33">
        <f t="shared" si="207"/>
        <v>0.39438359762485886</v>
      </c>
      <c r="AD78" s="33">
        <f t="shared" si="207"/>
        <v>-1.5482364490619982</v>
      </c>
      <c r="AE78" s="33">
        <f t="shared" si="207"/>
        <v>21.327623036637661</v>
      </c>
      <c r="AF78" s="33">
        <f t="shared" si="207"/>
        <v>38.51970470587387</v>
      </c>
      <c r="AG78" s="33">
        <f t="shared" si="207"/>
        <v>-5.5162488679852446</v>
      </c>
      <c r="AH78" s="33">
        <f t="shared" si="207"/>
        <v>142.38440123933606</v>
      </c>
      <c r="AI78" s="33">
        <f t="shared" si="207"/>
        <v>-12.554577035121998</v>
      </c>
      <c r="AJ78" s="8">
        <f t="shared" si="207"/>
        <v>37.402410925299087</v>
      </c>
      <c r="AK78" s="11">
        <v>74</v>
      </c>
      <c r="AX78" s="246"/>
      <c r="AZ78" s="11"/>
      <c r="BA78" s="11" t="s">
        <v>237</v>
      </c>
      <c r="BB78" s="7">
        <f t="shared" si="231"/>
        <v>7.9152047912537382</v>
      </c>
      <c r="BC78" s="7">
        <f t="shared" si="239"/>
        <v>-28.935021646736956</v>
      </c>
      <c r="BD78" s="7">
        <f t="shared" si="232"/>
        <v>6.254103169750155</v>
      </c>
      <c r="BE78" s="7">
        <f t="shared" si="232"/>
        <v>9.0136460893882209</v>
      </c>
      <c r="BF78" s="7">
        <f t="shared" si="232"/>
        <v>103.35577963260141</v>
      </c>
      <c r="BG78" s="7">
        <f t="shared" si="232"/>
        <v>18.698103873801273</v>
      </c>
      <c r="BH78" s="7">
        <f t="shared" si="224"/>
        <v>82.010478924902472</v>
      </c>
      <c r="BI78" s="7">
        <f t="shared" si="224"/>
        <v>-3.4220707041512455</v>
      </c>
      <c r="BJ78" s="8">
        <f t="shared" si="224"/>
        <v>70.724414711466196</v>
      </c>
      <c r="BO78" s="254"/>
      <c r="BP78" s="254"/>
      <c r="BQ78" s="254"/>
      <c r="BR78" s="254"/>
      <c r="BS78" s="254"/>
      <c r="BT78" s="253"/>
      <c r="BU78" s="254"/>
      <c r="BV78" s="254"/>
      <c r="BW78" s="254"/>
      <c r="BZ78" s="6" t="s">
        <v>181</v>
      </c>
      <c r="CA78" s="32">
        <f t="shared" ref="CA78:CI78" si="246">(CA45-CA16)/CA16*100</f>
        <v>18.313347068805189</v>
      </c>
      <c r="CB78" s="33">
        <f t="shared" si="246"/>
        <v>0.39438359762484188</v>
      </c>
      <c r="CC78" s="33">
        <f t="shared" si="246"/>
        <v>-1.5482364490619889</v>
      </c>
      <c r="CD78" s="33">
        <f t="shared" si="246"/>
        <v>21.327623036637636</v>
      </c>
      <c r="CE78" s="33">
        <f t="shared" si="246"/>
        <v>38.519704705873878</v>
      </c>
      <c r="CF78" s="33">
        <f t="shared" si="246"/>
        <v>-5.5162488679852419</v>
      </c>
      <c r="CG78" s="33">
        <f t="shared" si="246"/>
        <v>142.38440123933611</v>
      </c>
      <c r="CH78" s="33">
        <f t="shared" si="246"/>
        <v>-12.554577035121991</v>
      </c>
      <c r="CI78" s="8">
        <f t="shared" si="246"/>
        <v>37.402410925299087</v>
      </c>
      <c r="CJ78" s="11"/>
    </row>
    <row r="79" spans="1:99" x14ac:dyDescent="0.25">
      <c r="A79" s="176"/>
      <c r="B79" s="6" t="s">
        <v>239</v>
      </c>
      <c r="C79" s="7">
        <f t="shared" si="227"/>
        <v>15.44507592773326</v>
      </c>
      <c r="D79" s="7">
        <f t="shared" si="236"/>
        <v>-30.679529920787367</v>
      </c>
      <c r="E79" s="48"/>
      <c r="F79" s="7">
        <f t="shared" ref="F79:H85" si="247">(F46-F17)/F17*100</f>
        <v>8.415125615300461</v>
      </c>
      <c r="G79" s="7">
        <f t="shared" si="247"/>
        <v>69.264887977631062</v>
      </c>
      <c r="H79" s="7">
        <f t="shared" si="247"/>
        <v>10.211990555390072</v>
      </c>
      <c r="I79" s="7">
        <f t="shared" si="221"/>
        <v>27.458475148933232</v>
      </c>
      <c r="J79" s="7">
        <f t="shared" si="221"/>
        <v>-23.564772635870181</v>
      </c>
      <c r="K79" s="8">
        <f t="shared" si="221"/>
        <v>1.9474272002602231</v>
      </c>
      <c r="M79" s="281">
        <v>90</v>
      </c>
      <c r="P79" s="149"/>
      <c r="Q79" s="149"/>
      <c r="R79" s="149"/>
      <c r="S79" s="149"/>
      <c r="T79" s="149"/>
      <c r="U79" s="149"/>
      <c r="V79" s="149"/>
      <c r="W79" s="149"/>
      <c r="X79" s="149"/>
      <c r="AA79" s="6" t="s">
        <v>194</v>
      </c>
      <c r="AB79" s="33">
        <f t="shared" ref="AB79:AB80" si="248">(AB46-AB18)/AB18*100</f>
        <v>-14.200849461487541</v>
      </c>
      <c r="AC79" s="33">
        <f t="shared" ref="AC79:AJ79" si="249">(AC46-AC17)/AC17*100</f>
        <v>17.262260892947683</v>
      </c>
      <c r="AD79" s="33">
        <f t="shared" si="249"/>
        <v>-2.4631992951359689</v>
      </c>
      <c r="AE79" s="48"/>
      <c r="AF79" s="33">
        <f t="shared" si="249"/>
        <v>200.72705671940378</v>
      </c>
      <c r="AG79" s="33">
        <f t="shared" si="249"/>
        <v>1.3342527060990452</v>
      </c>
      <c r="AH79" s="33">
        <f t="shared" si="249"/>
        <v>72.224912769894814</v>
      </c>
      <c r="AI79" s="33">
        <f t="shared" si="249"/>
        <v>4.728328826042441</v>
      </c>
      <c r="AJ79" s="8">
        <f t="shared" si="249"/>
        <v>29.648161304447402</v>
      </c>
      <c r="AK79" s="11">
        <v>96</v>
      </c>
      <c r="AX79" s="246"/>
      <c r="AZ79" s="11"/>
      <c r="BA79" s="6" t="s">
        <v>239</v>
      </c>
      <c r="BB79" s="7">
        <f t="shared" si="231"/>
        <v>15.445075927733253</v>
      </c>
      <c r="BC79" s="7">
        <f t="shared" si="239"/>
        <v>-30.679529920787381</v>
      </c>
      <c r="BD79" s="48"/>
      <c r="BE79" s="7">
        <f t="shared" ref="BE79:BG85" si="250">(BE46-BE17)/BE17*100</f>
        <v>8.4151256153004361</v>
      </c>
      <c r="BF79" s="7">
        <f t="shared" si="250"/>
        <v>69.264887977631076</v>
      </c>
      <c r="BG79" s="7">
        <f t="shared" si="250"/>
        <v>10.211990555390067</v>
      </c>
      <c r="BH79" s="7">
        <f t="shared" si="224"/>
        <v>27.458475148933246</v>
      </c>
      <c r="BI79" s="7">
        <f t="shared" si="224"/>
        <v>-23.564772635870181</v>
      </c>
      <c r="BJ79" s="8">
        <f t="shared" si="224"/>
        <v>1.9474272002602142</v>
      </c>
      <c r="BO79" s="149"/>
      <c r="BP79" s="149"/>
      <c r="BQ79" s="149"/>
      <c r="BR79" s="149"/>
      <c r="BS79" s="149"/>
      <c r="BT79" s="149"/>
      <c r="BU79" s="149"/>
      <c r="BV79" s="149"/>
      <c r="BW79" s="149"/>
      <c r="BZ79" s="6" t="s">
        <v>194</v>
      </c>
      <c r="CA79" s="32">
        <f t="shared" ref="CA79:CC81" si="251">(CA46-CA17)/CA17*100</f>
        <v>9.8165820526489735</v>
      </c>
      <c r="CB79" s="33">
        <f t="shared" si="251"/>
        <v>17.26226089294769</v>
      </c>
      <c r="CC79" s="33">
        <f t="shared" si="251"/>
        <v>-2.46319929513596</v>
      </c>
      <c r="CD79" s="48"/>
      <c r="CE79" s="33">
        <f t="shared" ref="CE79:CI81" si="252">(CE46-CE17)/CE17*100</f>
        <v>200.72705671940381</v>
      </c>
      <c r="CF79" s="33">
        <f>(CF46-CF17)/CF17*100</f>
        <v>1.3342527060990479</v>
      </c>
      <c r="CG79" s="33">
        <f t="shared" si="252"/>
        <v>72.224912769894786</v>
      </c>
      <c r="CH79" s="33">
        <f t="shared" si="252"/>
        <v>4.7283288260424596</v>
      </c>
      <c r="CI79" s="8">
        <f t="shared" si="252"/>
        <v>29.648161304447424</v>
      </c>
      <c r="CJ79" s="11"/>
      <c r="CM79" s="74"/>
      <c r="CN79" s="74"/>
      <c r="CO79" s="74"/>
    </row>
    <row r="80" spans="1:99" x14ac:dyDescent="0.25">
      <c r="A80" s="11"/>
      <c r="B80" s="6" t="s">
        <v>241</v>
      </c>
      <c r="C80" s="7">
        <f t="shared" si="227"/>
        <v>3.0646145522685586</v>
      </c>
      <c r="D80" s="7">
        <f t="shared" si="236"/>
        <v>-45.939459795842183</v>
      </c>
      <c r="E80" s="7">
        <f t="shared" ref="E80:E86" si="253">(E47-E18)/E18*100</f>
        <v>-8.1428450212618451</v>
      </c>
      <c r="F80" s="7">
        <f t="shared" si="247"/>
        <v>10.272274670439643</v>
      </c>
      <c r="G80" s="7">
        <f t="shared" si="247"/>
        <v>186.64416834244463</v>
      </c>
      <c r="H80" s="7">
        <f t="shared" si="247"/>
        <v>-22.37308349203056</v>
      </c>
      <c r="I80" s="7">
        <f t="shared" si="221"/>
        <v>139.03417966275987</v>
      </c>
      <c r="J80" s="7">
        <f t="shared" si="221"/>
        <v>-33.212916710567129</v>
      </c>
      <c r="K80" s="8">
        <f t="shared" si="221"/>
        <v>40.922689348257904</v>
      </c>
      <c r="M80" s="281">
        <v>71</v>
      </c>
      <c r="AA80" s="6" t="s">
        <v>196</v>
      </c>
      <c r="AB80" s="33">
        <f t="shared" si="248"/>
        <v>8.3729906613172691</v>
      </c>
      <c r="AC80" s="33">
        <f t="shared" ref="AC80:AJ80" si="254">(AC47-AC18)/AC18*100</f>
        <v>21.132830049986374</v>
      </c>
      <c r="AD80" s="33">
        <f t="shared" si="254"/>
        <v>-36.411750783092046</v>
      </c>
      <c r="AE80" s="33">
        <f t="shared" si="254"/>
        <v>-31.015878841196109</v>
      </c>
      <c r="AF80" s="33">
        <f t="shared" si="254"/>
        <v>50.165772677686071</v>
      </c>
      <c r="AG80" s="33">
        <f t="shared" si="254"/>
        <v>-27.341908704513795</v>
      </c>
      <c r="AH80" s="33">
        <f t="shared" si="254"/>
        <v>300.41322314049586</v>
      </c>
      <c r="AI80" s="33">
        <f t="shared" si="254"/>
        <v>-25.112989825475481</v>
      </c>
      <c r="AJ80" s="8">
        <f t="shared" si="254"/>
        <v>82.660756068095409</v>
      </c>
      <c r="AK80" s="11">
        <v>57</v>
      </c>
      <c r="AN80" s="245"/>
      <c r="AO80" s="245"/>
      <c r="AP80" s="245"/>
      <c r="AX80" s="246"/>
      <c r="AZ80" s="11"/>
      <c r="BA80" s="6" t="s">
        <v>241</v>
      </c>
      <c r="BB80" s="7">
        <f t="shared" si="231"/>
        <v>3.0646145522685697</v>
      </c>
      <c r="BC80" s="7">
        <f t="shared" si="239"/>
        <v>-45.939459795842183</v>
      </c>
      <c r="BD80" s="7">
        <f t="shared" ref="BD80:BD86" si="255">(BD47-BD18)/BD18*100</f>
        <v>-8.1428450212618291</v>
      </c>
      <c r="BE80" s="7">
        <f t="shared" si="250"/>
        <v>10.272274670439643</v>
      </c>
      <c r="BF80" s="7">
        <f t="shared" si="250"/>
        <v>186.64416834244463</v>
      </c>
      <c r="BG80" s="7">
        <f t="shared" si="250"/>
        <v>-22.373083492030567</v>
      </c>
      <c r="BH80" s="7">
        <f t="shared" si="224"/>
        <v>139.03417966275987</v>
      </c>
      <c r="BI80" s="7">
        <f t="shared" si="224"/>
        <v>-33.212916710567129</v>
      </c>
      <c r="BJ80" s="8">
        <f t="shared" si="224"/>
        <v>40.922689348257911</v>
      </c>
      <c r="BO80" s="251"/>
      <c r="BP80" s="251"/>
      <c r="BQ80" s="251"/>
      <c r="BR80" s="251"/>
      <c r="BS80" s="251"/>
      <c r="BT80" s="251"/>
      <c r="BU80" s="251"/>
      <c r="BV80" s="251"/>
      <c r="BW80" s="251"/>
      <c r="BZ80" s="6" t="s">
        <v>196</v>
      </c>
      <c r="CA80" s="32">
        <f t="shared" si="251"/>
        <v>22.762438107290681</v>
      </c>
      <c r="CB80" s="33">
        <f t="shared" si="251"/>
        <v>21.132830049986381</v>
      </c>
      <c r="CC80" s="33">
        <f t="shared" si="251"/>
        <v>-36.411750783092039</v>
      </c>
      <c r="CD80" s="33">
        <f>(CD47-CD18)/CD18*100</f>
        <v>-31.015878841196091</v>
      </c>
      <c r="CE80" s="33">
        <f t="shared" si="252"/>
        <v>50.165772677686057</v>
      </c>
      <c r="CF80" s="33">
        <f t="shared" si="252"/>
        <v>-27.341908704513802</v>
      </c>
      <c r="CG80" s="33">
        <f t="shared" si="252"/>
        <v>300.41322314049592</v>
      </c>
      <c r="CH80" s="33">
        <f t="shared" si="252"/>
        <v>-25.112989825475481</v>
      </c>
      <c r="CI80" s="8">
        <f t="shared" si="252"/>
        <v>82.660756068095409</v>
      </c>
      <c r="CJ80" s="11"/>
      <c r="CM80" s="25"/>
      <c r="CN80" s="25"/>
      <c r="CO80" s="25"/>
    </row>
    <row r="81" spans="1:101" ht="15" customHeight="1" thickBot="1" x14ac:dyDescent="0.3">
      <c r="A81" s="176"/>
      <c r="B81" s="6" t="s">
        <v>243</v>
      </c>
      <c r="C81" s="7">
        <f t="shared" si="227"/>
        <v>12.968135368187625</v>
      </c>
      <c r="D81" s="7">
        <f t="shared" si="236"/>
        <v>-30.973177053983996</v>
      </c>
      <c r="E81" s="7">
        <f t="shared" si="253"/>
        <v>9.8655774229483892</v>
      </c>
      <c r="F81" s="7">
        <f t="shared" si="247"/>
        <v>18.026407400039773</v>
      </c>
      <c r="G81" s="7">
        <f t="shared" si="247"/>
        <v>66.402501404878905</v>
      </c>
      <c r="H81" s="7">
        <f t="shared" si="247"/>
        <v>8.2965314411091882</v>
      </c>
      <c r="I81" s="7">
        <f t="shared" ref="I81:I86" si="256">(I48-I19)/I19*100</f>
        <v>145.81730522644506</v>
      </c>
      <c r="J81" s="48"/>
      <c r="K81" s="8">
        <f t="shared" ref="K81:K86" si="257">(K48-K19)/K19*100</f>
        <v>35.624945077477385</v>
      </c>
      <c r="M81" s="281">
        <v>103</v>
      </c>
      <c r="AA81" s="14" t="s">
        <v>197</v>
      </c>
      <c r="AB81" s="15">
        <f>(AB48-AB17)/AB17*100</f>
        <v>110.36824713548279</v>
      </c>
      <c r="AC81" s="15">
        <f t="shared" ref="AC81:AJ81" si="258">(AC48-AC19)/AC19*100</f>
        <v>21.381959982191269</v>
      </c>
      <c r="AD81" s="15">
        <f t="shared" si="258"/>
        <v>11.938053878261483</v>
      </c>
      <c r="AE81" s="15">
        <f t="shared" si="258"/>
        <v>24.002267328195263</v>
      </c>
      <c r="AF81" s="15">
        <f t="shared" si="258"/>
        <v>35.133528749162409</v>
      </c>
      <c r="AG81" s="15">
        <f t="shared" si="258"/>
        <v>80.334704655121769</v>
      </c>
      <c r="AH81" s="15">
        <f t="shared" si="258"/>
        <v>102.13378520740895</v>
      </c>
      <c r="AI81" s="15">
        <f t="shared" si="258"/>
        <v>-26.936560903140993</v>
      </c>
      <c r="AJ81" s="16">
        <f t="shared" si="258"/>
        <v>72.223105691437723</v>
      </c>
      <c r="AK81" s="11">
        <v>47</v>
      </c>
      <c r="AN81" s="105"/>
      <c r="AO81" s="105"/>
      <c r="AP81" s="105"/>
      <c r="AX81" s="246"/>
      <c r="AZ81" s="11"/>
      <c r="BA81" s="6" t="s">
        <v>243</v>
      </c>
      <c r="BB81" s="7">
        <f t="shared" si="231"/>
        <v>12.96813536818766</v>
      </c>
      <c r="BC81" s="7">
        <f t="shared" si="239"/>
        <v>-30.973177053983992</v>
      </c>
      <c r="BD81" s="7">
        <f t="shared" si="255"/>
        <v>9.8655774229483892</v>
      </c>
      <c r="BE81" s="7">
        <f t="shared" si="250"/>
        <v>18.02640740003978</v>
      </c>
      <c r="BF81" s="7">
        <f t="shared" si="250"/>
        <v>66.402501404878905</v>
      </c>
      <c r="BG81" s="7">
        <f t="shared" si="250"/>
        <v>8.2965314411091882</v>
      </c>
      <c r="BH81" s="7">
        <f t="shared" ref="BH81:BH86" si="259">(BH48-BH19)/BH19*100</f>
        <v>145.81730522644506</v>
      </c>
      <c r="BI81" s="48"/>
      <c r="BJ81" s="8">
        <f t="shared" ref="BJ81:BJ86" si="260">(BJ48-BJ19)/BJ19*100</f>
        <v>35.624945077477385</v>
      </c>
      <c r="BZ81" s="14" t="s">
        <v>197</v>
      </c>
      <c r="CA81" s="24">
        <f t="shared" si="251"/>
        <v>45.094452164175344</v>
      </c>
      <c r="CB81" s="15">
        <f t="shared" si="251"/>
        <v>21.381959982191269</v>
      </c>
      <c r="CC81" s="15">
        <f t="shared" si="251"/>
        <v>11.938053878261492</v>
      </c>
      <c r="CD81" s="15">
        <f>(CD48-CD19)/CD19*100</f>
        <v>24.002267328195288</v>
      </c>
      <c r="CE81" s="15">
        <f t="shared" si="252"/>
        <v>35.133528749162409</v>
      </c>
      <c r="CF81" s="15">
        <f t="shared" si="252"/>
        <v>80.334704655121769</v>
      </c>
      <c r="CG81" s="15">
        <f t="shared" si="252"/>
        <v>102.13378520740895</v>
      </c>
      <c r="CH81" s="15">
        <f t="shared" si="252"/>
        <v>-26.936560903140993</v>
      </c>
      <c r="CI81" s="16">
        <f t="shared" si="252"/>
        <v>72.223105691437723</v>
      </c>
      <c r="CJ81" s="11"/>
      <c r="CM81" s="25"/>
      <c r="CN81" s="25"/>
      <c r="CO81" s="25"/>
    </row>
    <row r="82" spans="1:101" x14ac:dyDescent="0.25">
      <c r="B82" s="211" t="s">
        <v>245</v>
      </c>
      <c r="C82" s="7">
        <f t="shared" si="227"/>
        <v>8.1845857184777806</v>
      </c>
      <c r="D82" s="7">
        <f t="shared" si="236"/>
        <v>5.3276688636498637</v>
      </c>
      <c r="E82" s="7">
        <f t="shared" si="253"/>
        <v>13.416787639577288</v>
      </c>
      <c r="F82" s="7">
        <f t="shared" si="247"/>
        <v>-12.834279600937332</v>
      </c>
      <c r="G82" s="7">
        <f t="shared" si="247"/>
        <v>-1.6790594078240344</v>
      </c>
      <c r="H82" s="7">
        <f t="shared" si="247"/>
        <v>-12.809471150066495</v>
      </c>
      <c r="I82" s="7">
        <f t="shared" si="256"/>
        <v>46.362542264318229</v>
      </c>
      <c r="J82" s="7">
        <f>(J49-J20)/J20*100</f>
        <v>-11.036584868355797</v>
      </c>
      <c r="K82" s="8">
        <f t="shared" si="257"/>
        <v>18.668151938779225</v>
      </c>
      <c r="M82" s="281">
        <v>97</v>
      </c>
      <c r="AA82" t="s">
        <v>261</v>
      </c>
      <c r="AB82" s="7">
        <f>AVERAGE(AB67:AB81)</f>
        <v>31.935377207462004</v>
      </c>
      <c r="AC82" s="7">
        <f t="shared" ref="AC82:AJ82" si="261">AVERAGE(AC67:AC81)</f>
        <v>26.500869834351551</v>
      </c>
      <c r="AD82" s="7">
        <f t="shared" si="261"/>
        <v>8.461778362578098</v>
      </c>
      <c r="AE82" s="7">
        <f t="shared" si="261"/>
        <v>7.7122063152302172</v>
      </c>
      <c r="AF82" s="7">
        <f t="shared" si="261"/>
        <v>108.66850595687274</v>
      </c>
      <c r="AG82" s="7">
        <f t="shared" si="261"/>
        <v>-2.7042458685669581</v>
      </c>
      <c r="AH82" s="7">
        <f t="shared" si="261"/>
        <v>252.79179335136899</v>
      </c>
      <c r="AI82" s="7">
        <f t="shared" si="261"/>
        <v>-0.5451907050670044</v>
      </c>
      <c r="AJ82" s="7">
        <f t="shared" si="261"/>
        <v>118.03187639566245</v>
      </c>
      <c r="AK82" s="11"/>
      <c r="AN82" s="105"/>
      <c r="AO82" s="105"/>
      <c r="AP82" s="105"/>
      <c r="AX82" s="246"/>
      <c r="AZ82" s="11"/>
      <c r="BA82" s="6" t="s">
        <v>245</v>
      </c>
      <c r="BB82" s="7">
        <f t="shared" si="231"/>
        <v>8.1845857184777859</v>
      </c>
      <c r="BC82" s="7">
        <f t="shared" si="239"/>
        <v>5.3276688636498619</v>
      </c>
      <c r="BD82" s="7">
        <f t="shared" si="255"/>
        <v>13.416787639577294</v>
      </c>
      <c r="BE82" s="7">
        <f t="shared" si="250"/>
        <v>-12.834279600937329</v>
      </c>
      <c r="BF82" s="7">
        <f t="shared" si="250"/>
        <v>-1.6790594078240473</v>
      </c>
      <c r="BG82" s="7">
        <f t="shared" si="250"/>
        <v>-12.809471150066503</v>
      </c>
      <c r="BH82" s="7">
        <f t="shared" si="259"/>
        <v>46.362542264318229</v>
      </c>
      <c r="BI82" s="7">
        <f>(BI49-BI20)/BI20*100</f>
        <v>-11.036584868355794</v>
      </c>
      <c r="BJ82" s="8">
        <f t="shared" si="260"/>
        <v>18.668151938779236</v>
      </c>
      <c r="BZ82" t="s">
        <v>261</v>
      </c>
      <c r="CA82" s="7">
        <f>AVERAGE(CA67:CA81)</f>
        <v>21.061867112072402</v>
      </c>
      <c r="CB82" s="7">
        <f t="shared" ref="CB82:CI82" si="262">AVERAGE(CB67:CB81)</f>
        <v>12.999412344770805</v>
      </c>
      <c r="CC82" s="7">
        <f t="shared" si="262"/>
        <v>2.0246274090058316</v>
      </c>
      <c r="CD82" s="7">
        <f t="shared" si="262"/>
        <v>-0.95039758319374945</v>
      </c>
      <c r="CE82" s="7">
        <f t="shared" si="262"/>
        <v>62.669188432319395</v>
      </c>
      <c r="CF82" s="7">
        <f t="shared" si="262"/>
        <v>0.93035849721834774</v>
      </c>
      <c r="CG82" s="7">
        <f t="shared" si="262"/>
        <v>177.59172994329492</v>
      </c>
      <c r="CH82" s="7">
        <f t="shared" si="262"/>
        <v>-3.7647817249007955</v>
      </c>
      <c r="CI82" s="7">
        <f t="shared" si="262"/>
        <v>72.128332012941982</v>
      </c>
      <c r="CJ82" s="11"/>
    </row>
    <row r="83" spans="1:101" ht="15.75" x14ac:dyDescent="0.25">
      <c r="A83" s="176"/>
      <c r="B83" s="211" t="s">
        <v>247</v>
      </c>
      <c r="C83" s="7">
        <f t="shared" si="227"/>
        <v>12.471799816721649</v>
      </c>
      <c r="D83" s="7">
        <f t="shared" si="236"/>
        <v>3.0062640512575349</v>
      </c>
      <c r="E83" s="7">
        <f t="shared" si="253"/>
        <v>-2.8024576754162314</v>
      </c>
      <c r="F83" s="7">
        <f t="shared" si="247"/>
        <v>-3.5720290738551377</v>
      </c>
      <c r="G83" s="7">
        <f t="shared" si="247"/>
        <v>22.722829341116714</v>
      </c>
      <c r="H83" s="7">
        <f t="shared" si="247"/>
        <v>5.6753252189145753</v>
      </c>
      <c r="I83" s="7">
        <f t="shared" si="256"/>
        <v>68.909382807180691</v>
      </c>
      <c r="J83" s="48"/>
      <c r="K83" s="8">
        <f t="shared" si="257"/>
        <v>34.579133980468804</v>
      </c>
      <c r="M83" s="281">
        <v>61</v>
      </c>
      <c r="AA83" s="308" t="s">
        <v>263</v>
      </c>
      <c r="AB83" s="309">
        <f>_xlfn.STDEV.S(AB67:AB81)</f>
        <v>38.526541751190805</v>
      </c>
      <c r="AC83" s="309">
        <f t="shared" ref="AC83:AJ83" si="263">_xlfn.STDEV.S(AC67:AC81)</f>
        <v>71.244469051160138</v>
      </c>
      <c r="AD83" s="309">
        <f t="shared" si="263"/>
        <v>34.632874788008337</v>
      </c>
      <c r="AE83" s="309">
        <f t="shared" si="263"/>
        <v>31.245668568036038</v>
      </c>
      <c r="AF83" s="309">
        <f t="shared" si="263"/>
        <v>138.91174182109563</v>
      </c>
      <c r="AG83" s="309">
        <f t="shared" si="263"/>
        <v>34.302207128747</v>
      </c>
      <c r="AH83" s="309">
        <f t="shared" si="263"/>
        <v>267.76998620934444</v>
      </c>
      <c r="AI83" s="309">
        <f t="shared" si="263"/>
        <v>38.172301654529363</v>
      </c>
      <c r="AJ83" s="309">
        <f t="shared" si="263"/>
        <v>150.8125351605068</v>
      </c>
      <c r="AK83" s="11"/>
      <c r="AX83" s="246"/>
      <c r="BA83" s="6" t="s">
        <v>247</v>
      </c>
      <c r="BB83" s="7">
        <f t="shared" si="231"/>
        <v>12.471799816721672</v>
      </c>
      <c r="BC83" s="7">
        <f t="shared" si="239"/>
        <v>3.0062640512575447</v>
      </c>
      <c r="BD83" s="7">
        <f t="shared" si="255"/>
        <v>-2.8024576754162234</v>
      </c>
      <c r="BE83" s="7">
        <f t="shared" si="250"/>
        <v>-3.5720290738551381</v>
      </c>
      <c r="BF83" s="7">
        <f t="shared" si="250"/>
        <v>22.722829341116714</v>
      </c>
      <c r="BG83" s="7">
        <f t="shared" si="250"/>
        <v>5.6753252189145869</v>
      </c>
      <c r="BH83" s="7">
        <f t="shared" si="259"/>
        <v>68.909382807180691</v>
      </c>
      <c r="BI83" s="48"/>
      <c r="BJ83" s="8">
        <f t="shared" si="260"/>
        <v>34.579133980468796</v>
      </c>
      <c r="BZ83" s="308" t="s">
        <v>263</v>
      </c>
      <c r="CA83" s="309">
        <f>_xlfn.STDEV.S(CA67:CA81)</f>
        <v>16.600509452658244</v>
      </c>
      <c r="CB83" s="309">
        <f t="shared" ref="CB83:CI83" si="264">_xlfn.STDEV.S(CB67:CB81)</f>
        <v>31.080744376603306</v>
      </c>
      <c r="CC83" s="309">
        <f t="shared" si="264"/>
        <v>20.990169443937479</v>
      </c>
      <c r="CD83" s="309">
        <f t="shared" si="264"/>
        <v>18.965463755187674</v>
      </c>
      <c r="CE83" s="309">
        <f t="shared" si="264"/>
        <v>66.534294976942135</v>
      </c>
      <c r="CF83" s="309">
        <f t="shared" si="264"/>
        <v>35.568193742179957</v>
      </c>
      <c r="CG83" s="309">
        <f t="shared" si="264"/>
        <v>146.74679505376105</v>
      </c>
      <c r="CH83" s="309">
        <f t="shared" si="264"/>
        <v>35.984225472268811</v>
      </c>
      <c r="CI83" s="309">
        <f t="shared" si="264"/>
        <v>50.430785220336531</v>
      </c>
      <c r="CJ83" s="11"/>
    </row>
    <row r="84" spans="1:101" ht="15.75" x14ac:dyDescent="0.25">
      <c r="B84" s="6" t="s">
        <v>249</v>
      </c>
      <c r="C84" s="7">
        <f t="shared" si="227"/>
        <v>19.652718491788608</v>
      </c>
      <c r="D84" s="7">
        <f t="shared" si="236"/>
        <v>26.335139507764527</v>
      </c>
      <c r="E84" s="7">
        <f t="shared" si="253"/>
        <v>-8.4457912356851157</v>
      </c>
      <c r="F84" s="7">
        <f t="shared" si="247"/>
        <v>-14.177619708370775</v>
      </c>
      <c r="G84" s="7">
        <f t="shared" si="247"/>
        <v>57.655502504620358</v>
      </c>
      <c r="H84" s="7">
        <f t="shared" si="247"/>
        <v>-18.681210430133504</v>
      </c>
      <c r="I84" s="7">
        <f t="shared" si="256"/>
        <v>194.85708613331926</v>
      </c>
      <c r="J84" s="7">
        <f>(J51-J22)/J22*100</f>
        <v>-32.167228639920552</v>
      </c>
      <c r="K84" s="8">
        <f t="shared" si="257"/>
        <v>26.99217250173232</v>
      </c>
      <c r="M84" s="281">
        <v>73</v>
      </c>
      <c r="AA84" s="140" t="s">
        <v>455</v>
      </c>
      <c r="AB84" s="141">
        <f>MAX(AB67:AB81)</f>
        <v>114.61029388903523</v>
      </c>
      <c r="AC84" s="141">
        <f t="shared" ref="AC84:AJ84" si="265">MAX(AC67:AC81)</f>
        <v>249.01336325418657</v>
      </c>
      <c r="AD84" s="141">
        <f t="shared" si="265"/>
        <v>111.39728016352815</v>
      </c>
      <c r="AE84" s="141">
        <f t="shared" si="265"/>
        <v>92.459108503381344</v>
      </c>
      <c r="AF84" s="141">
        <f t="shared" si="265"/>
        <v>480.89309786489662</v>
      </c>
      <c r="AG84" s="141">
        <f t="shared" si="265"/>
        <v>80.334704655121769</v>
      </c>
      <c r="AH84" s="141">
        <f t="shared" si="265"/>
        <v>1053.0628502560794</v>
      </c>
      <c r="AI84" s="141">
        <f t="shared" si="265"/>
        <v>97.778256037527427</v>
      </c>
      <c r="AJ84" s="141">
        <f t="shared" si="265"/>
        <v>619.45296494031231</v>
      </c>
      <c r="AK84" s="11"/>
      <c r="AX84" s="246"/>
      <c r="BA84" s="6" t="s">
        <v>249</v>
      </c>
      <c r="BB84" s="7">
        <f t="shared" si="231"/>
        <v>19.652718491788594</v>
      </c>
      <c r="BC84" s="7">
        <f t="shared" si="239"/>
        <v>26.335139507764538</v>
      </c>
      <c r="BD84" s="7">
        <f t="shared" si="255"/>
        <v>-8.4457912356851068</v>
      </c>
      <c r="BE84" s="7">
        <f t="shared" si="250"/>
        <v>-14.17761970837077</v>
      </c>
      <c r="BF84" s="7">
        <f t="shared" si="250"/>
        <v>57.655502504620337</v>
      </c>
      <c r="BG84" s="7">
        <f t="shared" si="250"/>
        <v>-18.681210430133493</v>
      </c>
      <c r="BH84" s="7">
        <f t="shared" si="259"/>
        <v>194.85708613331926</v>
      </c>
      <c r="BI84" s="7">
        <f>(BI51-BI22)/BI22*100</f>
        <v>-32.167228639920559</v>
      </c>
      <c r="BJ84" s="8">
        <f t="shared" si="260"/>
        <v>26.992172501732327</v>
      </c>
      <c r="BZ84" s="140" t="s">
        <v>455</v>
      </c>
      <c r="CA84" s="141">
        <f>MAX(CA67:CA81)</f>
        <v>46.272523195097001</v>
      </c>
      <c r="CB84" s="141">
        <f t="shared" ref="CB84:CI84" si="266">MAX(CB67:CB81)</f>
        <v>59.54564997882629</v>
      </c>
      <c r="CC84" s="141">
        <f t="shared" si="266"/>
        <v>41.943425776325988</v>
      </c>
      <c r="CD84" s="141">
        <f t="shared" si="266"/>
        <v>24.253825086893702</v>
      </c>
      <c r="CE84" s="141">
        <f t="shared" si="266"/>
        <v>200.72705671940381</v>
      </c>
      <c r="CF84" s="141">
        <f t="shared" si="266"/>
        <v>80.334704655121769</v>
      </c>
      <c r="CG84" s="141">
        <f t="shared" si="266"/>
        <v>479.49990936166864</v>
      </c>
      <c r="CH84" s="141">
        <f t="shared" si="266"/>
        <v>97.778256037527413</v>
      </c>
      <c r="CI84" s="141">
        <f t="shared" si="266"/>
        <v>199.55240053946125</v>
      </c>
      <c r="CJ84" s="11"/>
    </row>
    <row r="85" spans="1:101" ht="16.5" customHeight="1" x14ac:dyDescent="0.25">
      <c r="B85" s="211" t="s">
        <v>286</v>
      </c>
      <c r="C85" s="7">
        <f t="shared" si="227"/>
        <v>3.6664068306770075</v>
      </c>
      <c r="D85" s="7">
        <f t="shared" si="236"/>
        <v>-51.543259035324297</v>
      </c>
      <c r="E85" s="7">
        <f t="shared" si="253"/>
        <v>-15.386288819662974</v>
      </c>
      <c r="F85" s="7">
        <f t="shared" si="247"/>
        <v>43.148916400367405</v>
      </c>
      <c r="G85" s="7">
        <f t="shared" si="247"/>
        <v>89.576365470908229</v>
      </c>
      <c r="H85" s="7">
        <f t="shared" si="247"/>
        <v>44.39091267530052</v>
      </c>
      <c r="I85" s="7">
        <f t="shared" si="256"/>
        <v>158.07870326818627</v>
      </c>
      <c r="J85" s="7">
        <f>(J52-J23)/J23*100</f>
        <v>67.739280379641457</v>
      </c>
      <c r="K85" s="8">
        <f t="shared" si="257"/>
        <v>78.708244980576822</v>
      </c>
      <c r="M85" s="281">
        <v>53</v>
      </c>
      <c r="AA85" s="140" t="s">
        <v>456</v>
      </c>
      <c r="AB85" s="141">
        <f>MIN(AB67:AB81)</f>
        <v>-14.200849461487541</v>
      </c>
      <c r="AC85" s="141">
        <f t="shared" ref="AC85:AJ85" si="267">MIN(AC67:AC81)</f>
        <v>-33.994133710514497</v>
      </c>
      <c r="AD85" s="141">
        <f t="shared" si="267"/>
        <v>-36.411750783092046</v>
      </c>
      <c r="AE85" s="141">
        <f t="shared" si="267"/>
        <v>-31.015878841196109</v>
      </c>
      <c r="AF85" s="141">
        <f t="shared" si="267"/>
        <v>-34.990520377574875</v>
      </c>
      <c r="AG85" s="141">
        <f t="shared" si="267"/>
        <v>-45.186745051405261</v>
      </c>
      <c r="AH85" s="141">
        <f t="shared" si="267"/>
        <v>34.535373414019404</v>
      </c>
      <c r="AI85" s="141">
        <f t="shared" si="267"/>
        <v>-48.964705419654123</v>
      </c>
      <c r="AJ85" s="141">
        <f t="shared" si="267"/>
        <v>14.876709857368816</v>
      </c>
      <c r="AK85" s="11"/>
      <c r="AX85" s="246"/>
      <c r="BA85" s="6" t="s">
        <v>286</v>
      </c>
      <c r="BB85" s="7">
        <f t="shared" si="231"/>
        <v>3.6664068306770008</v>
      </c>
      <c r="BC85" s="7">
        <f t="shared" si="239"/>
        <v>-51.543259035324283</v>
      </c>
      <c r="BD85" s="7">
        <f t="shared" si="255"/>
        <v>-15.386288819662978</v>
      </c>
      <c r="BE85" s="7">
        <f t="shared" si="250"/>
        <v>43.148916400367405</v>
      </c>
      <c r="BF85" s="7">
        <f t="shared" si="250"/>
        <v>89.576365470908272</v>
      </c>
      <c r="BG85" s="7">
        <f t="shared" si="250"/>
        <v>44.390912675300491</v>
      </c>
      <c r="BH85" s="7">
        <f t="shared" si="259"/>
        <v>158.07870326818625</v>
      </c>
      <c r="BI85" s="7">
        <f>(BI52-BI23)/BI23*100</f>
        <v>67.739280379641443</v>
      </c>
      <c r="BJ85" s="8">
        <f t="shared" si="260"/>
        <v>78.708244980576822</v>
      </c>
      <c r="BZ85" s="140" t="s">
        <v>456</v>
      </c>
      <c r="CA85" s="141">
        <f>MIN(CA67:CA81)</f>
        <v>-10.043327310565523</v>
      </c>
      <c r="CB85" s="141">
        <f t="shared" ref="CB85:CI85" si="268">MIN(CB67:CB81)</f>
        <v>-33.505870033373924</v>
      </c>
      <c r="CC85" s="141">
        <f t="shared" si="268"/>
        <v>-36.411750783092039</v>
      </c>
      <c r="CD85" s="141">
        <f t="shared" si="268"/>
        <v>-31.015878841196091</v>
      </c>
      <c r="CE85" s="141">
        <f t="shared" si="268"/>
        <v>-34.990520377574867</v>
      </c>
      <c r="CF85" s="141">
        <f t="shared" si="268"/>
        <v>-45.186745051405261</v>
      </c>
      <c r="CG85" s="141">
        <f t="shared" si="268"/>
        <v>34.535373414019389</v>
      </c>
      <c r="CH85" s="141">
        <f t="shared" si="268"/>
        <v>-48.964705419654123</v>
      </c>
      <c r="CI85" s="141">
        <f t="shared" si="268"/>
        <v>14.876709857368823</v>
      </c>
      <c r="CJ85" s="11"/>
    </row>
    <row r="86" spans="1:101" ht="18.75" customHeight="1" thickBot="1" x14ac:dyDescent="0.3">
      <c r="A86" s="176"/>
      <c r="B86" s="60" t="s">
        <v>252</v>
      </c>
      <c r="C86" s="24">
        <f t="shared" si="227"/>
        <v>17.336347606513723</v>
      </c>
      <c r="D86" s="15"/>
      <c r="E86" s="15">
        <f t="shared" si="253"/>
        <v>21.991920815042278</v>
      </c>
      <c r="F86" s="15">
        <f>(F53-F24)/F24*100</f>
        <v>-5.5759524061146326</v>
      </c>
      <c r="G86" s="15">
        <f>(G53-G24)/G24*100</f>
        <v>43.726303493573454</v>
      </c>
      <c r="H86" s="172"/>
      <c r="I86" s="15">
        <f t="shared" si="256"/>
        <v>167.64979460706985</v>
      </c>
      <c r="J86" s="15">
        <f>(J53-J24)/J24*100</f>
        <v>-0.35645841998492817</v>
      </c>
      <c r="K86" s="16">
        <f t="shared" si="257"/>
        <v>41.071020484038392</v>
      </c>
      <c r="M86" s="281">
        <v>95</v>
      </c>
      <c r="AA86" s="140" t="s">
        <v>265</v>
      </c>
      <c r="AB86" s="142">
        <f>COUNT(AB67:AB81)</f>
        <v>15</v>
      </c>
      <c r="AC86" s="142">
        <f t="shared" ref="AC86:AJ86" si="269">COUNT(AC67:AC81)</f>
        <v>14</v>
      </c>
      <c r="AD86" s="142">
        <f t="shared" si="269"/>
        <v>15</v>
      </c>
      <c r="AE86" s="142">
        <f t="shared" si="269"/>
        <v>13</v>
      </c>
      <c r="AF86" s="142">
        <f t="shared" si="269"/>
        <v>15</v>
      </c>
      <c r="AG86" s="142">
        <f t="shared" si="269"/>
        <v>14</v>
      </c>
      <c r="AH86" s="142">
        <f t="shared" si="269"/>
        <v>15</v>
      </c>
      <c r="AI86" s="142">
        <f t="shared" si="269"/>
        <v>15</v>
      </c>
      <c r="AJ86" s="142">
        <f t="shared" si="269"/>
        <v>15</v>
      </c>
      <c r="AK86" s="11"/>
      <c r="AX86" s="246"/>
      <c r="BA86" s="60" t="s">
        <v>252</v>
      </c>
      <c r="BB86" s="24">
        <f t="shared" si="231"/>
        <v>17.336347606513726</v>
      </c>
      <c r="BC86" s="51"/>
      <c r="BD86" s="15">
        <f t="shared" si="255"/>
        <v>21.991920815042274</v>
      </c>
      <c r="BE86" s="15">
        <f>(BE53-BE24)/BE24*100</f>
        <v>-5.5759524061146424</v>
      </c>
      <c r="BF86" s="15">
        <f>(BF53-BF24)/BF24*100</f>
        <v>43.72630349357344</v>
      </c>
      <c r="BG86" s="172"/>
      <c r="BH86" s="15">
        <f t="shared" si="259"/>
        <v>167.64979460706982</v>
      </c>
      <c r="BI86" s="15">
        <f>(BI53-BI24)/BI24*100</f>
        <v>-0.35645841998493144</v>
      </c>
      <c r="BJ86" s="16">
        <f t="shared" si="260"/>
        <v>41.071020484038399</v>
      </c>
      <c r="BZ86" s="140" t="s">
        <v>265</v>
      </c>
      <c r="CA86" s="142">
        <f>COUNT(CA67:CA81)</f>
        <v>13</v>
      </c>
      <c r="CB86" s="142">
        <f t="shared" ref="CB86:CI86" si="270">COUNT(CB67:CB81)</f>
        <v>12</v>
      </c>
      <c r="CC86" s="142">
        <f t="shared" si="270"/>
        <v>13</v>
      </c>
      <c r="CD86" s="142">
        <f t="shared" si="270"/>
        <v>11</v>
      </c>
      <c r="CE86" s="142">
        <f t="shared" si="270"/>
        <v>13</v>
      </c>
      <c r="CF86" s="142">
        <f t="shared" si="270"/>
        <v>12</v>
      </c>
      <c r="CG86" s="142">
        <f t="shared" si="270"/>
        <v>13</v>
      </c>
      <c r="CH86" s="142">
        <f t="shared" si="270"/>
        <v>13</v>
      </c>
      <c r="CI86" s="142">
        <f t="shared" si="270"/>
        <v>13</v>
      </c>
      <c r="CJ86" s="11"/>
    </row>
    <row r="87" spans="1:101" ht="18" customHeight="1" x14ac:dyDescent="0.25">
      <c r="B87" s="140" t="s">
        <v>261</v>
      </c>
      <c r="C87" s="7">
        <f t="shared" ref="C87:K87" si="271">AVERAGE(C67:C86)</f>
        <v>15.728720953037771</v>
      </c>
      <c r="D87" s="7">
        <f t="shared" si="271"/>
        <v>-7.0268427601319541</v>
      </c>
      <c r="E87" s="7">
        <f t="shared" si="271"/>
        <v>3.581496807289271</v>
      </c>
      <c r="F87" s="7">
        <f t="shared" si="271"/>
        <v>6.9664152824614352</v>
      </c>
      <c r="G87" s="7">
        <f t="shared" si="271"/>
        <v>98.78647688757367</v>
      </c>
      <c r="H87" s="31">
        <f t="shared" si="271"/>
        <v>-3.7269733620193684</v>
      </c>
      <c r="I87" s="7">
        <f t="shared" si="271"/>
        <v>132.46498861738144</v>
      </c>
      <c r="J87" s="7">
        <f t="shared" si="271"/>
        <v>-4.7551900391175081</v>
      </c>
      <c r="K87" s="7">
        <f t="shared" si="271"/>
        <v>56.691126629985092</v>
      </c>
      <c r="AK87" s="11"/>
      <c r="AX87" s="246"/>
      <c r="BA87" s="140" t="s">
        <v>261</v>
      </c>
      <c r="BB87" s="7">
        <f t="shared" ref="BB87:BJ87" si="272">AVERAGE(BB67:BB86)</f>
        <v>15.728720953037771</v>
      </c>
      <c r="BC87" s="7">
        <f t="shared" si="272"/>
        <v>-7.0268427601319523</v>
      </c>
      <c r="BD87" s="7">
        <f t="shared" si="272"/>
        <v>3.5814968072892741</v>
      </c>
      <c r="BE87" s="7">
        <f t="shared" si="272"/>
        <v>6.9664152824614307</v>
      </c>
      <c r="BF87" s="7">
        <f t="shared" si="272"/>
        <v>98.78647688757367</v>
      </c>
      <c r="BG87" s="31">
        <f t="shared" si="272"/>
        <v>-3.7269733620193701</v>
      </c>
      <c r="BH87" s="7">
        <f t="shared" si="272"/>
        <v>132.46498861738141</v>
      </c>
      <c r="BI87" s="7">
        <f t="shared" si="272"/>
        <v>-4.7551900391175073</v>
      </c>
      <c r="BJ87" s="7">
        <f t="shared" si="272"/>
        <v>56.691126629985106</v>
      </c>
      <c r="CA87" s="252"/>
      <c r="CB87" s="252"/>
      <c r="CC87" s="252"/>
      <c r="CD87" s="252"/>
      <c r="CE87" s="252"/>
      <c r="CF87" s="252"/>
      <c r="CG87" s="252"/>
      <c r="CH87" s="252"/>
      <c r="CI87" s="252"/>
      <c r="CJ87" s="11"/>
    </row>
    <row r="88" spans="1:101" ht="15.75" x14ac:dyDescent="0.25">
      <c r="B88" s="308" t="s">
        <v>263</v>
      </c>
      <c r="C88" s="35">
        <f>_xlfn.STDEV.S(C67:C86)</f>
        <v>14.848089005587163</v>
      </c>
      <c r="D88" s="35">
        <f t="shared" ref="D88:K88" si="273">_xlfn.STDEV.S(D67:D86)</f>
        <v>24.365798101423675</v>
      </c>
      <c r="E88" s="35">
        <f t="shared" si="273"/>
        <v>15.438430622802706</v>
      </c>
      <c r="F88" s="35">
        <f t="shared" si="273"/>
        <v>17.545750192422997</v>
      </c>
      <c r="G88" s="35">
        <f t="shared" si="273"/>
        <v>80.720638429129252</v>
      </c>
      <c r="H88" s="35">
        <f t="shared" si="273"/>
        <v>18.910746646057532</v>
      </c>
      <c r="I88" s="35">
        <f t="shared" si="273"/>
        <v>80.173291965198459</v>
      </c>
      <c r="J88" s="35">
        <f t="shared" si="273"/>
        <v>32.26803628273445</v>
      </c>
      <c r="K88" s="35">
        <f t="shared" si="273"/>
        <v>47.900799340885122</v>
      </c>
      <c r="AK88" s="11"/>
      <c r="AX88" s="246"/>
      <c r="BA88" s="308" t="s">
        <v>263</v>
      </c>
      <c r="BB88" s="35">
        <f t="shared" ref="BB88:BJ88" si="274">_xlfn.STDEV.S(BB67:BB86)</f>
        <v>14.848089005587161</v>
      </c>
      <c r="BC88" s="35">
        <f t="shared" si="274"/>
        <v>24.365798101423671</v>
      </c>
      <c r="BD88" s="35">
        <f t="shared" si="274"/>
        <v>15.438430622802706</v>
      </c>
      <c r="BE88" s="35">
        <f t="shared" si="274"/>
        <v>17.545750192422997</v>
      </c>
      <c r="BF88" s="35">
        <f t="shared" si="274"/>
        <v>80.720638429129266</v>
      </c>
      <c r="BG88" s="35">
        <f t="shared" si="274"/>
        <v>18.910746646057525</v>
      </c>
      <c r="BH88" s="35">
        <f t="shared" si="274"/>
        <v>80.173291965198445</v>
      </c>
      <c r="BI88" s="35">
        <f t="shared" si="274"/>
        <v>32.26803628273445</v>
      </c>
      <c r="BJ88" s="35">
        <f t="shared" si="274"/>
        <v>47.900799340885122</v>
      </c>
      <c r="CD88" s="289"/>
      <c r="CJ88" s="11"/>
    </row>
    <row r="89" spans="1:101" ht="15.75" x14ac:dyDescent="0.25">
      <c r="B89" s="140" t="s">
        <v>455</v>
      </c>
      <c r="C89" s="141">
        <f>MAX(C67:C86)</f>
        <v>50.454615212952362</v>
      </c>
      <c r="D89" s="141">
        <f t="shared" ref="D89:K89" si="275">MAX(D67:D86)</f>
        <v>26.335139507764527</v>
      </c>
      <c r="E89" s="141">
        <f t="shared" si="275"/>
        <v>38.44896914781522</v>
      </c>
      <c r="F89" s="141">
        <f t="shared" si="275"/>
        <v>43.148916400367405</v>
      </c>
      <c r="G89" s="141">
        <f t="shared" si="275"/>
        <v>342.92925896986998</v>
      </c>
      <c r="H89" s="141">
        <f t="shared" si="275"/>
        <v>44.39091267530052</v>
      </c>
      <c r="I89" s="141">
        <f t="shared" si="275"/>
        <v>392.9633905018112</v>
      </c>
      <c r="J89" s="141">
        <f t="shared" si="275"/>
        <v>67.739280379641457</v>
      </c>
      <c r="K89" s="141">
        <f t="shared" si="275"/>
        <v>157.69568717854474</v>
      </c>
      <c r="AK89" s="11"/>
      <c r="AL89" s="289"/>
      <c r="AW89" s="289"/>
      <c r="AX89" s="246"/>
      <c r="BA89" s="140" t="s">
        <v>455</v>
      </c>
      <c r="BB89" s="141">
        <f>MAX(BB67:BB86)</f>
        <v>50.454615212952348</v>
      </c>
      <c r="BC89" s="141">
        <f t="shared" ref="BC89:BJ89" si="276">MAX(BC67:BC86)</f>
        <v>26.335139507764538</v>
      </c>
      <c r="BD89" s="141">
        <f t="shared" si="276"/>
        <v>38.448969147815212</v>
      </c>
      <c r="BE89" s="141">
        <f t="shared" si="276"/>
        <v>43.148916400367405</v>
      </c>
      <c r="BF89" s="141">
        <f t="shared" si="276"/>
        <v>342.92925896987003</v>
      </c>
      <c r="BG89" s="141">
        <f t="shared" si="276"/>
        <v>44.390912675300491</v>
      </c>
      <c r="BH89" s="141">
        <f t="shared" si="276"/>
        <v>392.96339050181109</v>
      </c>
      <c r="BI89" s="141">
        <f t="shared" si="276"/>
        <v>67.739280379641443</v>
      </c>
      <c r="BJ89" s="141">
        <f t="shared" si="276"/>
        <v>157.69568717854474</v>
      </c>
      <c r="CD89" s="289"/>
      <c r="CJ89" s="11"/>
    </row>
    <row r="90" spans="1:101" s="289" customFormat="1" ht="15.75" x14ac:dyDescent="0.25">
      <c r="B90" s="140" t="s">
        <v>456</v>
      </c>
      <c r="C90" s="141">
        <f>MIN(C67:C86)</f>
        <v>-3.7604423991685012</v>
      </c>
      <c r="D90" s="141">
        <f t="shared" ref="D90:K90" si="277">MIN(D67:D86)</f>
        <v>-51.543259035324297</v>
      </c>
      <c r="E90" s="141">
        <f t="shared" si="277"/>
        <v>-19.643771174143957</v>
      </c>
      <c r="F90" s="141">
        <f t="shared" si="277"/>
        <v>-14.177619708370775</v>
      </c>
      <c r="G90" s="141">
        <f t="shared" si="277"/>
        <v>-1.6790594078240344</v>
      </c>
      <c r="H90" s="141">
        <f t="shared" si="277"/>
        <v>-44.651303392981468</v>
      </c>
      <c r="I90" s="141">
        <f t="shared" si="277"/>
        <v>27.458475148933232</v>
      </c>
      <c r="J90" s="141">
        <f t="shared" si="277"/>
        <v>-42.039659681649397</v>
      </c>
      <c r="K90" s="141">
        <f t="shared" si="277"/>
        <v>-0.25200728323770077</v>
      </c>
      <c r="AK90" s="301"/>
      <c r="AM90" s="56"/>
      <c r="AN90" s="56"/>
      <c r="AO90" s="56"/>
      <c r="AP90" s="56"/>
      <c r="AQ90" s="56"/>
      <c r="AR90" s="56"/>
      <c r="AS90" s="56"/>
      <c r="AT90" s="56"/>
      <c r="AU90" s="56"/>
      <c r="AV90" s="56"/>
      <c r="AX90" s="246"/>
      <c r="BA90" s="140" t="s">
        <v>456</v>
      </c>
      <c r="BB90" s="141">
        <f>MIN(BB67:BB86)</f>
        <v>-3.7604423991685163</v>
      </c>
      <c r="BC90" s="141">
        <f t="shared" ref="BC90:BJ90" si="278">MIN(BC67:BC86)</f>
        <v>-51.543259035324283</v>
      </c>
      <c r="BD90" s="141">
        <f t="shared" si="278"/>
        <v>-19.64377117414395</v>
      </c>
      <c r="BE90" s="141">
        <f t="shared" si="278"/>
        <v>-14.17761970837077</v>
      </c>
      <c r="BF90" s="141">
        <f t="shared" si="278"/>
        <v>-1.6790594078240473</v>
      </c>
      <c r="BG90" s="141">
        <f t="shared" si="278"/>
        <v>-44.651303392981461</v>
      </c>
      <c r="BH90" s="141">
        <f t="shared" si="278"/>
        <v>27.458475148933246</v>
      </c>
      <c r="BI90" s="141">
        <f t="shared" si="278"/>
        <v>-42.039659681649397</v>
      </c>
      <c r="BJ90" s="141">
        <f t="shared" si="278"/>
        <v>-0.25200728323770077</v>
      </c>
      <c r="CJ90" s="11"/>
    </row>
    <row r="91" spans="1:101" s="289" customFormat="1" ht="15.75" x14ac:dyDescent="0.25">
      <c r="B91" s="140" t="s">
        <v>265</v>
      </c>
      <c r="C91" s="142">
        <f t="shared" ref="C91:K91" si="279">COUNT(C67:C86)</f>
        <v>20</v>
      </c>
      <c r="D91" s="142">
        <f t="shared" si="279"/>
        <v>18</v>
      </c>
      <c r="E91" s="142">
        <f t="shared" si="279"/>
        <v>19</v>
      </c>
      <c r="F91" s="142">
        <f t="shared" si="279"/>
        <v>20</v>
      </c>
      <c r="G91" s="142">
        <f t="shared" si="279"/>
        <v>20</v>
      </c>
      <c r="H91" s="142">
        <f t="shared" si="279"/>
        <v>19</v>
      </c>
      <c r="I91" s="142">
        <f t="shared" si="279"/>
        <v>19</v>
      </c>
      <c r="J91" s="142">
        <f t="shared" si="279"/>
        <v>17</v>
      </c>
      <c r="K91" s="142">
        <f t="shared" si="279"/>
        <v>19</v>
      </c>
      <c r="AK91" s="301"/>
      <c r="AL91"/>
      <c r="AW91"/>
      <c r="AX91" s="246"/>
      <c r="BA91" s="140" t="s">
        <v>265</v>
      </c>
      <c r="BB91" s="142">
        <f t="shared" ref="BB91:BJ91" si="280">COUNT(BB67:BB86)</f>
        <v>20</v>
      </c>
      <c r="BC91" s="142">
        <f t="shared" si="280"/>
        <v>18</v>
      </c>
      <c r="BD91" s="142">
        <f t="shared" si="280"/>
        <v>19</v>
      </c>
      <c r="BE91" s="142">
        <f t="shared" si="280"/>
        <v>20</v>
      </c>
      <c r="BF91" s="142">
        <f t="shared" si="280"/>
        <v>20</v>
      </c>
      <c r="BG91" s="142">
        <f t="shared" si="280"/>
        <v>19</v>
      </c>
      <c r="BH91" s="142">
        <f t="shared" si="280"/>
        <v>19</v>
      </c>
      <c r="BI91" s="142">
        <f t="shared" si="280"/>
        <v>17</v>
      </c>
      <c r="BJ91" s="142">
        <f t="shared" si="280"/>
        <v>19</v>
      </c>
      <c r="CJ91" s="301"/>
    </row>
    <row r="92" spans="1:101" ht="15.75" x14ac:dyDescent="0.25">
      <c r="B92" s="140"/>
      <c r="C92" s="149"/>
      <c r="D92" s="149"/>
      <c r="E92" s="149"/>
      <c r="F92" s="149"/>
      <c r="G92" s="149"/>
      <c r="H92" s="149"/>
      <c r="I92" s="149"/>
      <c r="J92" s="149"/>
      <c r="K92" s="149"/>
      <c r="AA92" s="289"/>
      <c r="AB92" s="289"/>
      <c r="AC92" s="289"/>
      <c r="AD92" s="289"/>
      <c r="AE92" s="289"/>
      <c r="AF92" s="289"/>
      <c r="AG92" s="289"/>
      <c r="AH92" s="289"/>
      <c r="AI92" s="289"/>
      <c r="AJ92" s="289"/>
      <c r="AK92" s="301"/>
      <c r="AL92" s="289"/>
      <c r="AM92" s="289"/>
      <c r="AN92" s="289"/>
      <c r="AO92" s="289"/>
      <c r="AP92" s="289"/>
      <c r="AQ92" s="289"/>
      <c r="AR92" s="289"/>
      <c r="AS92" s="289"/>
      <c r="AT92" s="289"/>
      <c r="AU92" s="289"/>
      <c r="AV92" s="289"/>
      <c r="AW92" s="289"/>
      <c r="AX92" s="246"/>
      <c r="BA92" s="140"/>
      <c r="BB92" s="142"/>
      <c r="BC92" s="142"/>
      <c r="BD92" s="142"/>
      <c r="BE92" s="142"/>
      <c r="BF92" s="142"/>
      <c r="BG92" s="142"/>
      <c r="BH92" s="142"/>
      <c r="BI92" s="142"/>
      <c r="BJ92" s="142"/>
      <c r="BZ92" s="289"/>
      <c r="CA92" s="289"/>
      <c r="CB92" s="289"/>
      <c r="CC92" s="289"/>
      <c r="CD92" s="289"/>
      <c r="CE92" s="289"/>
      <c r="CF92" s="289"/>
      <c r="CG92" s="289"/>
      <c r="CH92" s="289"/>
      <c r="CI92" s="289"/>
      <c r="CJ92" s="301"/>
      <c r="CL92" s="289"/>
      <c r="CM92" s="289"/>
      <c r="CN92" s="289"/>
      <c r="CO92" s="289"/>
      <c r="CP92" s="289"/>
      <c r="CQ92" s="289"/>
      <c r="CR92" s="289"/>
      <c r="CS92" s="289"/>
      <c r="CT92" s="289"/>
      <c r="CU92" s="289"/>
    </row>
    <row r="93" spans="1:101" ht="15.75" thickBot="1" x14ac:dyDescent="0.3">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B93" s="151"/>
      <c r="AC93" s="151"/>
      <c r="AD93" s="151"/>
      <c r="AE93" s="151"/>
      <c r="AF93" s="151"/>
      <c r="AG93" s="151"/>
      <c r="AH93" s="151"/>
      <c r="AI93" s="151"/>
      <c r="AJ93" s="151"/>
      <c r="AK93" s="207"/>
      <c r="AL93" s="310"/>
      <c r="AM93" s="151"/>
      <c r="AN93" s="151"/>
      <c r="AO93" s="151"/>
      <c r="AP93" s="151"/>
      <c r="AQ93" s="151"/>
      <c r="AR93" s="151"/>
      <c r="AS93" s="151"/>
      <c r="AT93" s="151"/>
      <c r="AU93" s="151"/>
      <c r="AV93" s="151"/>
      <c r="AW93" s="151"/>
      <c r="AX93" s="311"/>
      <c r="AY93" s="312"/>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c r="CF93" s="151"/>
      <c r="CG93" s="151"/>
      <c r="CH93" s="151"/>
      <c r="CI93" s="151"/>
      <c r="CJ93" s="207"/>
      <c r="CK93" s="151"/>
      <c r="CL93" s="151"/>
      <c r="CM93" s="151"/>
      <c r="CN93" s="151"/>
      <c r="CO93" s="151"/>
      <c r="CP93" s="151"/>
      <c r="CQ93" s="151"/>
      <c r="CR93" s="151"/>
      <c r="CS93" s="151"/>
      <c r="CT93" s="151"/>
      <c r="CU93" s="151"/>
      <c r="CV93" s="151"/>
      <c r="CW93" s="151"/>
    </row>
    <row r="94" spans="1:101" ht="15.75" thickTop="1" x14ac:dyDescent="0.25">
      <c r="AA94" s="203"/>
      <c r="AK94" s="11"/>
      <c r="AM94" s="289"/>
      <c r="AN94" s="289"/>
      <c r="AO94" s="289"/>
      <c r="AP94" s="289"/>
      <c r="AQ94" s="289"/>
      <c r="AR94" s="289"/>
      <c r="AS94" s="289"/>
      <c r="AT94" s="289"/>
      <c r="AU94" s="289"/>
      <c r="AV94" s="289"/>
      <c r="AW94" s="289"/>
      <c r="AX94" s="246"/>
      <c r="BZ94" s="203"/>
      <c r="CJ94" s="11"/>
    </row>
    <row r="95" spans="1:101" ht="18.75" customHeight="1" x14ac:dyDescent="0.3">
      <c r="J95" s="358" t="s">
        <v>386</v>
      </c>
      <c r="K95" s="358"/>
      <c r="L95" s="358"/>
      <c r="M95" s="358"/>
      <c r="N95" s="359"/>
      <c r="O95" s="191" t="s">
        <v>256</v>
      </c>
      <c r="P95" s="189" t="s">
        <v>8</v>
      </c>
      <c r="Q95" s="189" t="s">
        <v>9</v>
      </c>
      <c r="R95" s="189" t="s">
        <v>10</v>
      </c>
      <c r="S95" s="189" t="s">
        <v>11</v>
      </c>
      <c r="T95" s="189" t="s">
        <v>12</v>
      </c>
      <c r="U95" s="190" t="s">
        <v>13</v>
      </c>
      <c r="V95" s="189" t="s">
        <v>14</v>
      </c>
      <c r="W95" s="189" t="s">
        <v>15</v>
      </c>
      <c r="X95" s="190" t="s">
        <v>16</v>
      </c>
      <c r="Z95" s="62"/>
      <c r="AA95" s="131" t="s">
        <v>256</v>
      </c>
      <c r="AB95" s="189" t="s">
        <v>8</v>
      </c>
      <c r="AC95" s="189" t="s">
        <v>9</v>
      </c>
      <c r="AD95" s="189" t="s">
        <v>10</v>
      </c>
      <c r="AE95" s="189" t="s">
        <v>11</v>
      </c>
      <c r="AF95" s="189" t="s">
        <v>12</v>
      </c>
      <c r="AG95" s="190" t="s">
        <v>13</v>
      </c>
      <c r="AH95" s="189" t="s">
        <v>14</v>
      </c>
      <c r="AI95" s="189" t="s">
        <v>15</v>
      </c>
      <c r="AJ95" s="190" t="s">
        <v>16</v>
      </c>
      <c r="AK95" s="11"/>
      <c r="AX95" s="246"/>
      <c r="BI95" s="358" t="s">
        <v>386</v>
      </c>
      <c r="BJ95" s="358"/>
      <c r="BK95" s="358"/>
      <c r="BL95" s="358"/>
      <c r="BM95" s="359"/>
      <c r="BN95" s="191" t="s">
        <v>256</v>
      </c>
      <c r="BO95" s="189" t="s">
        <v>8</v>
      </c>
      <c r="BP95" s="189" t="s">
        <v>9</v>
      </c>
      <c r="BQ95" s="189" t="s">
        <v>10</v>
      </c>
      <c r="BR95" s="189" t="s">
        <v>11</v>
      </c>
      <c r="BS95" s="189" t="s">
        <v>12</v>
      </c>
      <c r="BT95" s="190" t="s">
        <v>13</v>
      </c>
      <c r="BU95" s="189" t="s">
        <v>14</v>
      </c>
      <c r="BV95" s="189" t="s">
        <v>15</v>
      </c>
      <c r="BW95" s="190" t="s">
        <v>16</v>
      </c>
      <c r="BY95" s="62"/>
      <c r="BZ95" s="131" t="s">
        <v>256</v>
      </c>
      <c r="CA95" s="189" t="s">
        <v>8</v>
      </c>
      <c r="CB95" s="189" t="s">
        <v>9</v>
      </c>
      <c r="CC95" s="189" t="s">
        <v>10</v>
      </c>
      <c r="CD95" s="189" t="s">
        <v>11</v>
      </c>
      <c r="CE95" s="189" t="s">
        <v>12</v>
      </c>
      <c r="CF95" s="190" t="s">
        <v>13</v>
      </c>
      <c r="CG95" s="189" t="s">
        <v>14</v>
      </c>
      <c r="CH95" s="189" t="s">
        <v>15</v>
      </c>
      <c r="CI95" s="190" t="s">
        <v>16</v>
      </c>
      <c r="CJ95" s="11"/>
    </row>
    <row r="96" spans="1:101" ht="15.75" x14ac:dyDescent="0.25">
      <c r="J96" s="358"/>
      <c r="K96" s="358"/>
      <c r="L96" s="358"/>
      <c r="M96" s="358"/>
      <c r="N96" s="359"/>
      <c r="O96" s="184" t="s">
        <v>278</v>
      </c>
      <c r="P96" s="195">
        <f t="shared" ref="P96:X96" si="281">_xlfn.T.TEST(P5:P10,C5:C24,2,3)</f>
        <v>3.3614785899123374E-2</v>
      </c>
      <c r="Q96" s="35">
        <f t="shared" si="281"/>
        <v>0.76594998583853569</v>
      </c>
      <c r="R96" s="35">
        <f t="shared" si="281"/>
        <v>0.91512207773648857</v>
      </c>
      <c r="S96" s="35">
        <f t="shared" si="281"/>
        <v>0.67789035003772213</v>
      </c>
      <c r="T96" s="35">
        <f t="shared" si="281"/>
        <v>0.76868732820013919</v>
      </c>
      <c r="U96" s="37">
        <f t="shared" si="281"/>
        <v>9.584573135311894E-2</v>
      </c>
      <c r="V96" s="35">
        <f t="shared" si="281"/>
        <v>0.25603362650693512</v>
      </c>
      <c r="W96" s="187">
        <f t="shared" si="281"/>
        <v>6.1069525446984178E-2</v>
      </c>
      <c r="X96" s="37">
        <f t="shared" si="281"/>
        <v>0.94514387658704213</v>
      </c>
      <c r="Z96" s="62"/>
      <c r="AA96" s="204" t="s">
        <v>278</v>
      </c>
      <c r="AB96" s="185">
        <f t="shared" ref="AB96:AJ96" si="282">_xlfn.T.TEST(AB5:AB19,C5:C24,2,3)</f>
        <v>6.3258997997314194E-3</v>
      </c>
      <c r="AC96" s="35">
        <f t="shared" si="282"/>
        <v>0.80348740834982046</v>
      </c>
      <c r="AD96" s="35">
        <f t="shared" si="282"/>
        <v>0.3780797095538676</v>
      </c>
      <c r="AE96" s="35">
        <f t="shared" si="282"/>
        <v>0.64520464289870305</v>
      </c>
      <c r="AF96" s="35">
        <f t="shared" si="282"/>
        <v>0.5134982356946054</v>
      </c>
      <c r="AG96" s="201">
        <f t="shared" si="282"/>
        <v>2.4254880937971479E-3</v>
      </c>
      <c r="AH96" s="35">
        <f t="shared" si="282"/>
        <v>0.29611270060088496</v>
      </c>
      <c r="AI96" s="35">
        <f t="shared" si="282"/>
        <v>0.44083861612500974</v>
      </c>
      <c r="AJ96" s="200">
        <f t="shared" si="282"/>
        <v>7.019524744953054E-2</v>
      </c>
      <c r="AK96" s="11"/>
      <c r="AX96" s="246"/>
      <c r="BI96" s="358"/>
      <c r="BJ96" s="358"/>
      <c r="BK96" s="358"/>
      <c r="BL96" s="358"/>
      <c r="BM96" s="359"/>
      <c r="BN96" s="184" t="s">
        <v>278</v>
      </c>
      <c r="BO96" s="216">
        <f t="shared" ref="BO96:BW96" si="283">_xlfn.T.TEST(BO5:BO10,BB5:BB24,2,3)</f>
        <v>8.2547296159297581E-2</v>
      </c>
      <c r="BP96" s="35">
        <f t="shared" si="283"/>
        <v>0.17973580459786603</v>
      </c>
      <c r="BQ96" s="35">
        <f t="shared" si="283"/>
        <v>0.17042898632041475</v>
      </c>
      <c r="BR96" s="35">
        <f t="shared" si="283"/>
        <v>0.70766958956622561</v>
      </c>
      <c r="BS96" s="35">
        <f t="shared" si="283"/>
        <v>0.29861187783256266</v>
      </c>
      <c r="BT96" s="200">
        <f>_xlfn.T.TEST(BT5:BT10,BG5:BG24,2,3)</f>
        <v>9.5606265525462419E-2</v>
      </c>
      <c r="BU96" s="185">
        <f t="shared" si="283"/>
        <v>3.975312863756536E-2</v>
      </c>
      <c r="BV96" s="7">
        <f t="shared" si="283"/>
        <v>0.30627452777531511</v>
      </c>
      <c r="BW96" s="37">
        <f t="shared" si="283"/>
        <v>0.20207971077375864</v>
      </c>
      <c r="BY96" s="62"/>
      <c r="BZ96" s="260" t="s">
        <v>278</v>
      </c>
      <c r="CA96" s="7">
        <f t="shared" ref="CA96:CI96" si="284">_xlfn.T.TEST(CA5:CA19,BB5:BB24,2,3)</f>
        <v>0.55042245197687845</v>
      </c>
      <c r="CB96" s="33">
        <f t="shared" si="284"/>
        <v>0.54239314646064218</v>
      </c>
      <c r="CC96" s="33">
        <f t="shared" si="284"/>
        <v>0.24287585263555422</v>
      </c>
      <c r="CD96" s="33">
        <f t="shared" si="284"/>
        <v>0.26069528062742581</v>
      </c>
      <c r="CE96" s="33">
        <f t="shared" si="284"/>
        <v>0.15470000230045033</v>
      </c>
      <c r="CF96" s="228">
        <f t="shared" si="284"/>
        <v>2.2992910624188564E-2</v>
      </c>
      <c r="CG96" s="33">
        <f t="shared" si="284"/>
        <v>0.80301785523034452</v>
      </c>
      <c r="CH96" s="33">
        <f t="shared" si="284"/>
        <v>0.91662319849611751</v>
      </c>
      <c r="CI96" s="7">
        <f t="shared" si="284"/>
        <v>0.79529654194504262</v>
      </c>
      <c r="CJ96" s="225"/>
    </row>
    <row r="97" spans="10:88" x14ac:dyDescent="0.25">
      <c r="O97" s="56"/>
      <c r="AA97" s="56"/>
      <c r="AK97" s="11"/>
      <c r="AX97" s="246"/>
      <c r="BI97" s="304"/>
      <c r="BJ97" s="304"/>
      <c r="BK97" s="304"/>
      <c r="BL97" s="304"/>
      <c r="BM97" s="305"/>
      <c r="BN97" s="261" t="s">
        <v>280</v>
      </c>
      <c r="BO97" s="223">
        <f t="shared" ref="BO97:BW97" si="285">(BO11-BB25)/SQRT(BB26^2 + BO12^2)</f>
        <v>-0.57229242605142783</v>
      </c>
      <c r="BP97" s="224">
        <f t="shared" si="285"/>
        <v>0.40954610367715005</v>
      </c>
      <c r="BQ97" s="224">
        <f t="shared" si="285"/>
        <v>-0.43318126434259641</v>
      </c>
      <c r="BR97" s="224">
        <f t="shared" si="285"/>
        <v>0.17062217724355416</v>
      </c>
      <c r="BS97" s="224">
        <f t="shared" si="285"/>
        <v>0.36442258953096601</v>
      </c>
      <c r="BT97" s="224">
        <f t="shared" si="285"/>
        <v>-0.46814394607611026</v>
      </c>
      <c r="BU97" s="223">
        <f t="shared" si="285"/>
        <v>0.90510088681455769</v>
      </c>
      <c r="BV97" s="224">
        <f t="shared" si="285"/>
        <v>-0.28657765484565756</v>
      </c>
      <c r="BW97" s="206">
        <f t="shared" si="285"/>
        <v>0.46183504850640006</v>
      </c>
      <c r="BZ97" s="261" t="s">
        <v>280</v>
      </c>
      <c r="CA97" s="223">
        <f t="shared" ref="CA97:CI97" si="286">(CA20-BB25)/SQRT(BB26^2 + CA21^2)</f>
        <v>-0.15028635609032842</v>
      </c>
      <c r="CB97" s="224">
        <f t="shared" si="286"/>
        <v>0.15934874464620566</v>
      </c>
      <c r="CC97" s="224">
        <f t="shared" si="286"/>
        <v>0.29812529818055283</v>
      </c>
      <c r="CD97" s="224">
        <f t="shared" si="286"/>
        <v>0.32019566719133313</v>
      </c>
      <c r="CE97" s="224">
        <f t="shared" si="286"/>
        <v>0.38475705403213284</v>
      </c>
      <c r="CF97" s="224">
        <f t="shared" si="286"/>
        <v>-0.58104512027629984</v>
      </c>
      <c r="CG97" s="223">
        <f t="shared" si="286"/>
        <v>6.7063394706592755E-2</v>
      </c>
      <c r="CH97" s="224">
        <f t="shared" si="286"/>
        <v>-2.6960290495186411E-2</v>
      </c>
      <c r="CI97" s="206">
        <f t="shared" si="286"/>
        <v>-6.5372132364311733E-2</v>
      </c>
      <c r="CJ97" s="11"/>
    </row>
    <row r="98" spans="10:88" ht="18.75" x14ac:dyDescent="0.3">
      <c r="O98" s="143"/>
      <c r="AA98" s="122"/>
      <c r="AK98" s="11"/>
      <c r="AX98" s="246"/>
      <c r="BN98" s="143"/>
      <c r="BO98" s="7"/>
      <c r="BP98" s="7"/>
      <c r="BQ98" s="7"/>
      <c r="BR98" s="7"/>
      <c r="BS98" s="7"/>
      <c r="BT98" s="7"/>
      <c r="BU98" s="7"/>
      <c r="BV98" s="7"/>
      <c r="BW98" s="7"/>
      <c r="BZ98" s="122"/>
      <c r="CJ98" s="11"/>
    </row>
    <row r="99" spans="10:88" ht="18.75" x14ac:dyDescent="0.3">
      <c r="O99" s="188" t="s">
        <v>270</v>
      </c>
      <c r="P99" s="193" t="s">
        <v>8</v>
      </c>
      <c r="Q99" s="189" t="s">
        <v>9</v>
      </c>
      <c r="R99" s="189" t="s">
        <v>10</v>
      </c>
      <c r="S99" s="189" t="s">
        <v>11</v>
      </c>
      <c r="T99" s="189" t="s">
        <v>12</v>
      </c>
      <c r="U99" s="190" t="s">
        <v>13</v>
      </c>
      <c r="V99" s="189" t="s">
        <v>14</v>
      </c>
      <c r="W99" s="189" t="s">
        <v>15</v>
      </c>
      <c r="X99" s="190" t="s">
        <v>16</v>
      </c>
      <c r="Z99" s="62"/>
      <c r="AA99" s="205" t="s">
        <v>270</v>
      </c>
      <c r="AB99" s="189" t="s">
        <v>8</v>
      </c>
      <c r="AC99" s="189" t="s">
        <v>9</v>
      </c>
      <c r="AD99" s="189" t="s">
        <v>10</v>
      </c>
      <c r="AE99" s="189" t="s">
        <v>11</v>
      </c>
      <c r="AF99" s="189" t="s">
        <v>12</v>
      </c>
      <c r="AG99" s="190" t="s">
        <v>13</v>
      </c>
      <c r="AH99" s="189" t="s">
        <v>14</v>
      </c>
      <c r="AI99" s="189" t="s">
        <v>15</v>
      </c>
      <c r="AJ99" s="190" t="s">
        <v>16</v>
      </c>
      <c r="AK99" s="11"/>
      <c r="AX99" s="246"/>
      <c r="BB99" s="252"/>
      <c r="BC99" s="252"/>
      <c r="BD99" s="252"/>
      <c r="BE99" s="252"/>
      <c r="BF99" s="252"/>
      <c r="BG99" s="252"/>
      <c r="BH99" s="252"/>
      <c r="BI99" s="252"/>
      <c r="BJ99" s="252"/>
      <c r="BN99" s="188" t="s">
        <v>270</v>
      </c>
      <c r="BO99" s="217" t="s">
        <v>8</v>
      </c>
      <c r="BP99" s="218" t="s">
        <v>9</v>
      </c>
      <c r="BQ99" s="218" t="s">
        <v>10</v>
      </c>
      <c r="BR99" s="218" t="s">
        <v>11</v>
      </c>
      <c r="BS99" s="218" t="s">
        <v>12</v>
      </c>
      <c r="BT99" s="219" t="s">
        <v>13</v>
      </c>
      <c r="BU99" s="218" t="s">
        <v>14</v>
      </c>
      <c r="BV99" s="218" t="s">
        <v>15</v>
      </c>
      <c r="BW99" s="219" t="s">
        <v>16</v>
      </c>
      <c r="BY99" s="62"/>
      <c r="BZ99" s="205" t="s">
        <v>270</v>
      </c>
      <c r="CA99" s="189" t="s">
        <v>8</v>
      </c>
      <c r="CB99" s="189" t="s">
        <v>9</v>
      </c>
      <c r="CC99" s="189" t="s">
        <v>10</v>
      </c>
      <c r="CD99" s="189" t="s">
        <v>11</v>
      </c>
      <c r="CE99" s="189" t="s">
        <v>12</v>
      </c>
      <c r="CF99" s="190" t="s">
        <v>13</v>
      </c>
      <c r="CG99" s="189" t="s">
        <v>14</v>
      </c>
      <c r="CH99" s="189" t="s">
        <v>15</v>
      </c>
      <c r="CI99" s="190" t="s">
        <v>16</v>
      </c>
      <c r="CJ99" s="11"/>
    </row>
    <row r="100" spans="10:88" ht="15.75" x14ac:dyDescent="0.25">
      <c r="O100" s="184" t="s">
        <v>278</v>
      </c>
      <c r="P100" s="194">
        <f t="shared" ref="P100:X100" si="287">_xlfn.T.TEST(P34:P39,C34:C53,2,3)</f>
        <v>5.6300691345250635E-4</v>
      </c>
      <c r="Q100" s="35">
        <f t="shared" si="287"/>
        <v>0.73413542870157733</v>
      </c>
      <c r="R100" s="35">
        <f t="shared" si="287"/>
        <v>0.99041632436739468</v>
      </c>
      <c r="S100" s="187">
        <f t="shared" si="287"/>
        <v>7.9869292425003721E-2</v>
      </c>
      <c r="T100" s="35">
        <f t="shared" si="287"/>
        <v>0.11893818143696792</v>
      </c>
      <c r="U100" s="37">
        <f t="shared" si="287"/>
        <v>0.23259042055079632</v>
      </c>
      <c r="V100" s="35">
        <f t="shared" si="287"/>
        <v>0.32239083561874543</v>
      </c>
      <c r="W100" s="187">
        <f t="shared" si="287"/>
        <v>5.5910469315985915E-2</v>
      </c>
      <c r="X100" s="37">
        <f t="shared" si="287"/>
        <v>0.2386423020672116</v>
      </c>
      <c r="AA100" s="204" t="s">
        <v>278</v>
      </c>
      <c r="AB100" s="35">
        <f t="shared" ref="AB100:AJ100" si="288">_xlfn.T.TEST(AB34:AB48,C34:C53,2,3)</f>
        <v>0.24169688640136711</v>
      </c>
      <c r="AC100" s="35">
        <f t="shared" si="288"/>
        <v>0.30105157288960327</v>
      </c>
      <c r="AD100" s="35">
        <f t="shared" si="288"/>
        <v>0.19547012804510677</v>
      </c>
      <c r="AE100" s="35">
        <f t="shared" si="288"/>
        <v>0.72259012049631899</v>
      </c>
      <c r="AF100" s="35">
        <f t="shared" si="288"/>
        <v>0.94909011094773232</v>
      </c>
      <c r="AG100" s="201">
        <f t="shared" si="288"/>
        <v>8.3674972174390769E-3</v>
      </c>
      <c r="AH100" s="35">
        <f t="shared" si="288"/>
        <v>0.76846052502567685</v>
      </c>
      <c r="AI100" s="35">
        <f t="shared" si="288"/>
        <v>0.71044754383749165</v>
      </c>
      <c r="AJ100" s="37">
        <f t="shared" si="288"/>
        <v>0.87885054456705236</v>
      </c>
      <c r="AK100" s="11"/>
      <c r="AX100" s="246"/>
      <c r="BA100" s="251"/>
      <c r="BB100" s="251"/>
      <c r="BC100" s="251"/>
      <c r="BD100" s="251"/>
      <c r="BE100" s="251"/>
      <c r="BF100" s="251"/>
      <c r="BG100" s="251"/>
      <c r="BH100" s="251"/>
      <c r="BI100" s="251"/>
      <c r="BN100" s="262" t="s">
        <v>278</v>
      </c>
      <c r="BO100" s="263">
        <f t="shared" ref="BO100:BW100" si="289">_xlfn.T.TEST(BO34:BO39,BB34:BB53,2,3)</f>
        <v>1.2617227551957761E-2</v>
      </c>
      <c r="BP100" s="33">
        <f t="shared" si="289"/>
        <v>0.22708527908289988</v>
      </c>
      <c r="BQ100" s="33">
        <f t="shared" si="289"/>
        <v>8.7507691019811054E-2</v>
      </c>
      <c r="BR100" s="7">
        <f t="shared" si="289"/>
        <v>0.5116001893161517</v>
      </c>
      <c r="BS100" s="33">
        <f t="shared" si="289"/>
        <v>0.44498324793974831</v>
      </c>
      <c r="BT100" s="12">
        <f t="shared" si="289"/>
        <v>0.22569620847868865</v>
      </c>
      <c r="BU100" s="33">
        <f t="shared" si="289"/>
        <v>0.74436225331016148</v>
      </c>
      <c r="BV100" s="7">
        <f t="shared" si="289"/>
        <v>0.16787905137620329</v>
      </c>
      <c r="BW100" s="12">
        <f t="shared" si="289"/>
        <v>0.9662051343021012</v>
      </c>
      <c r="BZ100" s="204" t="s">
        <v>278</v>
      </c>
      <c r="CA100" s="35">
        <f t="shared" ref="CA100:CI100" si="290">_xlfn.T.TEST(CA34:CA48,BB34:BB53,2,3)</f>
        <v>0.89006840185319713</v>
      </c>
      <c r="CB100" s="146">
        <f t="shared" si="290"/>
        <v>7.0260236237875986E-2</v>
      </c>
      <c r="CC100" s="35">
        <f t="shared" si="290"/>
        <v>0.19656139631227648</v>
      </c>
      <c r="CD100" s="35">
        <f t="shared" si="290"/>
        <v>0.47452425598396897</v>
      </c>
      <c r="CE100" s="35">
        <f t="shared" si="290"/>
        <v>0.83284432251046536</v>
      </c>
      <c r="CF100" s="249">
        <f t="shared" si="290"/>
        <v>7.0164903785862681E-2</v>
      </c>
      <c r="CG100" s="223">
        <f t="shared" si="290"/>
        <v>0.5119515262701444</v>
      </c>
      <c r="CH100" s="35">
        <f t="shared" si="290"/>
        <v>0.90729350787130358</v>
      </c>
      <c r="CI100" s="37">
        <f t="shared" si="290"/>
        <v>0.47285399358952063</v>
      </c>
      <c r="CJ100" s="11"/>
    </row>
    <row r="101" spans="10:88" x14ac:dyDescent="0.25">
      <c r="O101" s="56"/>
      <c r="P101" s="33"/>
      <c r="Q101" s="7"/>
      <c r="R101" s="7"/>
      <c r="S101" s="7"/>
      <c r="T101" s="7"/>
      <c r="U101" s="7"/>
      <c r="V101" s="7"/>
      <c r="W101" s="7"/>
      <c r="X101" s="7"/>
      <c r="AA101" s="56"/>
      <c r="AB101" s="33"/>
      <c r="AC101" s="7"/>
      <c r="AD101" s="7"/>
      <c r="AE101" s="7"/>
      <c r="AF101" s="7"/>
      <c r="AG101" s="7"/>
      <c r="AH101" s="7"/>
      <c r="AI101" s="7"/>
      <c r="AJ101" s="7"/>
      <c r="AK101" s="11"/>
      <c r="AX101" s="246"/>
      <c r="BN101" s="261" t="s">
        <v>280</v>
      </c>
      <c r="BO101" s="223">
        <f t="shared" ref="BO101:BW101" si="291">(BO40-BB54)/SQRT(BO41^2 + BB55^2)</f>
        <v>-0.8753712799261224</v>
      </c>
      <c r="BP101" s="224">
        <f t="shared" si="291"/>
        <v>0.49818582634801278</v>
      </c>
      <c r="BQ101" s="224">
        <f t="shared" si="291"/>
        <v>-0.62784895868752211</v>
      </c>
      <c r="BR101" s="224">
        <f t="shared" si="291"/>
        <v>-0.2789945991258837</v>
      </c>
      <c r="BS101" s="224">
        <f t="shared" si="291"/>
        <v>-0.25566019740613771</v>
      </c>
      <c r="BT101" s="224">
        <f t="shared" si="291"/>
        <v>-0.35816739840023876</v>
      </c>
      <c r="BU101" s="223">
        <f t="shared" si="291"/>
        <v>0.12859930956325868</v>
      </c>
      <c r="BV101" s="224">
        <f t="shared" si="291"/>
        <v>-0.44087022245585855</v>
      </c>
      <c r="BW101" s="206">
        <f t="shared" si="291"/>
        <v>1.6433185241054769E-2</v>
      </c>
      <c r="BZ101" s="261" t="s">
        <v>280</v>
      </c>
      <c r="CA101" s="223">
        <f t="shared" ref="CA101:CI101" si="292">(CA49-BB54)/SQRT(BB55^2 + CA50^2)</f>
        <v>-3.5629558336770832E-2</v>
      </c>
      <c r="CB101" s="224">
        <f t="shared" si="292"/>
        <v>0.49222283183356746</v>
      </c>
      <c r="CC101" s="224">
        <f t="shared" si="292"/>
        <v>0.33656864417405286</v>
      </c>
      <c r="CD101" s="224">
        <f t="shared" si="292"/>
        <v>0.20366598440515291</v>
      </c>
      <c r="CE101" s="224">
        <f t="shared" si="292"/>
        <v>5.4258225043038913E-2</v>
      </c>
      <c r="CF101" s="224">
        <f t="shared" si="292"/>
        <v>-0.46793874549049708</v>
      </c>
      <c r="CG101" s="223">
        <f t="shared" si="292"/>
        <v>0.17390895215011987</v>
      </c>
      <c r="CH101" s="224">
        <f t="shared" si="292"/>
        <v>3.1617178580762503E-2</v>
      </c>
      <c r="CI101" s="206">
        <f t="shared" si="292"/>
        <v>0.1840167428219634</v>
      </c>
      <c r="CJ101" s="11"/>
    </row>
    <row r="102" spans="10:88" x14ac:dyDescent="0.25">
      <c r="P102" s="56"/>
      <c r="AA102" s="122"/>
      <c r="AK102" s="11"/>
      <c r="AX102" s="246"/>
      <c r="BO102" s="33"/>
      <c r="BP102" s="7"/>
      <c r="BQ102" s="7"/>
      <c r="BR102" s="7"/>
      <c r="BS102" s="7"/>
      <c r="BT102" s="7"/>
      <c r="BU102" s="7"/>
      <c r="BV102" s="7"/>
      <c r="BW102" s="7"/>
      <c r="BZ102" s="122"/>
      <c r="CJ102" s="11"/>
    </row>
    <row r="103" spans="10:88" ht="18.75" x14ac:dyDescent="0.3">
      <c r="L103" s="56"/>
      <c r="M103" s="56"/>
      <c r="O103" s="191" t="s">
        <v>282</v>
      </c>
      <c r="P103" s="189" t="s">
        <v>8</v>
      </c>
      <c r="Q103" s="189" t="s">
        <v>9</v>
      </c>
      <c r="R103" s="189" t="s">
        <v>10</v>
      </c>
      <c r="S103" s="189" t="s">
        <v>11</v>
      </c>
      <c r="T103" s="189" t="s">
        <v>12</v>
      </c>
      <c r="U103" s="190" t="s">
        <v>13</v>
      </c>
      <c r="V103" s="189" t="s">
        <v>14</v>
      </c>
      <c r="W103" s="189" t="s">
        <v>15</v>
      </c>
      <c r="X103" s="190" t="s">
        <v>16</v>
      </c>
      <c r="Z103" s="62"/>
      <c r="AA103" s="143" t="s">
        <v>282</v>
      </c>
      <c r="AB103" s="193" t="s">
        <v>8</v>
      </c>
      <c r="AC103" s="189" t="s">
        <v>9</v>
      </c>
      <c r="AD103" s="189" t="s">
        <v>10</v>
      </c>
      <c r="AE103" s="189" t="s">
        <v>11</v>
      </c>
      <c r="AF103" s="189" t="s">
        <v>12</v>
      </c>
      <c r="AG103" s="190" t="s">
        <v>13</v>
      </c>
      <c r="AH103" s="189" t="s">
        <v>14</v>
      </c>
      <c r="AI103" s="189" t="s">
        <v>15</v>
      </c>
      <c r="AJ103" s="190" t="s">
        <v>16</v>
      </c>
      <c r="AK103" s="11"/>
      <c r="AX103" s="246"/>
      <c r="BK103" s="56"/>
      <c r="BL103" s="56"/>
      <c r="BN103" s="191" t="s">
        <v>282</v>
      </c>
      <c r="BO103" s="218" t="s">
        <v>8</v>
      </c>
      <c r="BP103" s="218" t="s">
        <v>9</v>
      </c>
      <c r="BQ103" s="218" t="s">
        <v>10</v>
      </c>
      <c r="BR103" s="218" t="s">
        <v>11</v>
      </c>
      <c r="BS103" s="218" t="s">
        <v>12</v>
      </c>
      <c r="BT103" s="219" t="s">
        <v>13</v>
      </c>
      <c r="BU103" s="218" t="s">
        <v>14</v>
      </c>
      <c r="BV103" s="218" t="s">
        <v>15</v>
      </c>
      <c r="BW103" s="219" t="s">
        <v>16</v>
      </c>
      <c r="BY103" s="62"/>
      <c r="BZ103" s="143" t="s">
        <v>282</v>
      </c>
      <c r="CA103" s="193" t="s">
        <v>8</v>
      </c>
      <c r="CB103" s="189" t="s">
        <v>9</v>
      </c>
      <c r="CC103" s="189" t="s">
        <v>10</v>
      </c>
      <c r="CD103" s="189" t="s">
        <v>11</v>
      </c>
      <c r="CE103" s="189" t="s">
        <v>12</v>
      </c>
      <c r="CF103" s="190" t="s">
        <v>13</v>
      </c>
      <c r="CG103" s="189" t="s">
        <v>14</v>
      </c>
      <c r="CH103" s="189" t="s">
        <v>15</v>
      </c>
      <c r="CI103" s="190" t="s">
        <v>16</v>
      </c>
      <c r="CJ103" s="11"/>
    </row>
    <row r="104" spans="10:88" ht="15.75" x14ac:dyDescent="0.25">
      <c r="O104" s="192" t="s">
        <v>278</v>
      </c>
      <c r="P104" s="185">
        <f t="shared" ref="P104:X104" si="293">_xlfn.T.TEST(P67:P72,C67:C86,2,3)</f>
        <v>2.2222469966970328E-2</v>
      </c>
      <c r="Q104" s="35">
        <f t="shared" si="293"/>
        <v>0.78318432555598694</v>
      </c>
      <c r="R104" s="187">
        <f t="shared" si="293"/>
        <v>8.0411707500984156E-2</v>
      </c>
      <c r="S104" s="187">
        <f t="shared" si="293"/>
        <v>6.0346200274817845E-2</v>
      </c>
      <c r="T104" s="185">
        <f t="shared" si="293"/>
        <v>2.962161116206727E-3</v>
      </c>
      <c r="U104" s="37">
        <f t="shared" si="293"/>
        <v>0.15406893936360447</v>
      </c>
      <c r="V104" s="185">
        <f t="shared" si="293"/>
        <v>8.1146946141718163E-3</v>
      </c>
      <c r="W104" s="35">
        <f t="shared" si="293"/>
        <v>0.54365405890641016</v>
      </c>
      <c r="X104" s="186">
        <f t="shared" si="293"/>
        <v>1.8465807529411231E-2</v>
      </c>
      <c r="AA104" s="204" t="s">
        <v>278</v>
      </c>
      <c r="AB104" s="202">
        <f t="shared" ref="AB104:AJ104" si="294">_xlfn.T.TEST(AB67:AB81,C67:C86,2,3)</f>
        <v>0.14051393660470851</v>
      </c>
      <c r="AC104" s="187">
        <f t="shared" si="294"/>
        <v>0.11201305865288956</v>
      </c>
      <c r="AD104" s="35">
        <f t="shared" si="294"/>
        <v>0.61790068979000645</v>
      </c>
      <c r="AE104" s="35">
        <f t="shared" si="294"/>
        <v>0.93842732842095933</v>
      </c>
      <c r="AF104" s="35">
        <f t="shared" si="294"/>
        <v>0.80798513124881433</v>
      </c>
      <c r="AG104" s="206">
        <f t="shared" si="294"/>
        <v>0.92074775154117272</v>
      </c>
      <c r="AH104" s="35">
        <f t="shared" si="294"/>
        <v>0.11201401666162281</v>
      </c>
      <c r="AI104" s="35">
        <f t="shared" si="294"/>
        <v>0.74051722699888367</v>
      </c>
      <c r="AJ104" s="37">
        <f t="shared" si="294"/>
        <v>0.14872728769503157</v>
      </c>
      <c r="AK104" s="11"/>
      <c r="AX104" s="246"/>
      <c r="BN104" s="192" t="s">
        <v>278</v>
      </c>
      <c r="BO104" s="185">
        <f t="shared" ref="BO104:BW104" si="295">_xlfn.T.TEST(BO67:BO72,BB67:BB86,2,3)</f>
        <v>2.2222469966970339E-2</v>
      </c>
      <c r="BP104" s="35">
        <f t="shared" si="295"/>
        <v>0.78318432555598694</v>
      </c>
      <c r="BQ104" s="187">
        <f t="shared" si="295"/>
        <v>6.4626266453439773E-2</v>
      </c>
      <c r="BR104" s="187">
        <f t="shared" si="295"/>
        <v>6.0346200274817845E-2</v>
      </c>
      <c r="BS104" s="185">
        <f t="shared" si="295"/>
        <v>2.9621611162067279E-3</v>
      </c>
      <c r="BT104" s="37">
        <f t="shared" si="295"/>
        <v>0.15406893936360413</v>
      </c>
      <c r="BU104" s="185">
        <f t="shared" si="295"/>
        <v>8.1146946141718163E-3</v>
      </c>
      <c r="BV104" s="35">
        <f t="shared" si="295"/>
        <v>0.5436540589064085</v>
      </c>
      <c r="BW104" s="186">
        <f t="shared" si="295"/>
        <v>1.8465807529411203E-2</v>
      </c>
      <c r="BZ104" s="204" t="s">
        <v>278</v>
      </c>
      <c r="CA104" s="202">
        <f t="shared" ref="CA104:CI104" si="296">_xlfn.T.TEST(CA67:CA81,BB67:BB86,2,3)</f>
        <v>0.35694413777018552</v>
      </c>
      <c r="CB104" s="146">
        <f t="shared" si="296"/>
        <v>7.4981120887466834E-2</v>
      </c>
      <c r="CC104" s="35">
        <f t="shared" si="296"/>
        <v>0.82153044693129573</v>
      </c>
      <c r="CD104" s="35">
        <f t="shared" si="296"/>
        <v>0.26753470186633332</v>
      </c>
      <c r="CE104" s="35">
        <f t="shared" si="296"/>
        <v>0.17232155169931232</v>
      </c>
      <c r="CF104" s="206">
        <f t="shared" si="296"/>
        <v>0.68199970549493405</v>
      </c>
      <c r="CG104" s="35">
        <f t="shared" si="296"/>
        <v>0.32653760311434499</v>
      </c>
      <c r="CH104" s="35">
        <f t="shared" si="296"/>
        <v>0.93839332128279485</v>
      </c>
      <c r="CI104" s="37">
        <f t="shared" si="296"/>
        <v>0.39371389341372998</v>
      </c>
      <c r="CJ104" s="11"/>
    </row>
    <row r="105" spans="10:88" ht="15.75" thickBot="1" x14ac:dyDescent="0.3">
      <c r="O105" s="199"/>
      <c r="P105" s="199"/>
      <c r="Q105" s="199"/>
      <c r="R105" s="199"/>
      <c r="S105" s="199"/>
      <c r="T105" s="199"/>
      <c r="U105" s="199"/>
      <c r="V105" s="199"/>
      <c r="W105" s="199"/>
      <c r="X105" s="199"/>
      <c r="AK105" s="11"/>
      <c r="AX105" s="246"/>
      <c r="BN105" s="264" t="s">
        <v>280</v>
      </c>
      <c r="BO105" s="7">
        <f t="shared" ref="BO105:BW105" si="297">(BO73-BB87)/SQRT(BO74^2 + BB88^2)</f>
        <v>-0.95589573807663963</v>
      </c>
      <c r="BP105" s="7">
        <f t="shared" si="297"/>
        <v>0.10599301123622758</v>
      </c>
      <c r="BQ105" s="7">
        <f t="shared" si="297"/>
        <v>-0.95748825127206072</v>
      </c>
      <c r="BR105" s="7">
        <f t="shared" si="297"/>
        <v>-1.0390414626175224</v>
      </c>
      <c r="BS105" s="7">
        <f t="shared" si="297"/>
        <v>-0.86465491527546268</v>
      </c>
      <c r="BT105" s="7">
        <f t="shared" si="297"/>
        <v>0.39759894662515877</v>
      </c>
      <c r="BU105" s="223">
        <f t="shared" si="297"/>
        <v>-0.94437756498563763</v>
      </c>
      <c r="BV105" s="7">
        <f t="shared" si="297"/>
        <v>-0.1837108821286377</v>
      </c>
      <c r="BW105" s="7">
        <f t="shared" si="297"/>
        <v>-0.78776974943208666</v>
      </c>
      <c r="BX105" s="250"/>
      <c r="BZ105" s="261" t="s">
        <v>280</v>
      </c>
      <c r="CA105" s="223">
        <f t="shared" ref="CA105:CI105" si="298">(CA82-BB87)/SQRT(BB88^2 + CA83^2)</f>
        <v>0.23945503405997567</v>
      </c>
      <c r="CB105" s="224">
        <f t="shared" si="298"/>
        <v>0.50708240499708856</v>
      </c>
      <c r="CC105" s="224">
        <f t="shared" si="298"/>
        <v>-5.9750140368780402E-2</v>
      </c>
      <c r="CD105" s="224">
        <f t="shared" si="298"/>
        <v>-0.30641570995696843</v>
      </c>
      <c r="CE105" s="224">
        <f t="shared" si="298"/>
        <v>-0.3452663100658569</v>
      </c>
      <c r="CF105" s="224">
        <f t="shared" si="298"/>
        <v>0.11561557973572976</v>
      </c>
      <c r="CG105" s="223">
        <f t="shared" si="298"/>
        <v>0.26986522066562302</v>
      </c>
      <c r="CH105" s="224">
        <f t="shared" si="298"/>
        <v>2.0491296246069598E-2</v>
      </c>
      <c r="CI105" s="206">
        <f t="shared" si="298"/>
        <v>0.22194580514022838</v>
      </c>
      <c r="CJ105" s="11"/>
    </row>
    <row r="106" spans="10:88" ht="19.5" customHeight="1" thickTop="1" thickBot="1" x14ac:dyDescent="0.35">
      <c r="J106" s="360" t="s">
        <v>387</v>
      </c>
      <c r="K106" s="360"/>
      <c r="L106" s="360"/>
      <c r="M106" s="360"/>
      <c r="N106" s="361"/>
      <c r="O106" s="196" t="s">
        <v>256</v>
      </c>
      <c r="P106" s="197" t="s">
        <v>8</v>
      </c>
      <c r="Q106" s="197" t="s">
        <v>9</v>
      </c>
      <c r="R106" s="197" t="s">
        <v>10</v>
      </c>
      <c r="S106" s="197" t="s">
        <v>11</v>
      </c>
      <c r="T106" s="197" t="s">
        <v>12</v>
      </c>
      <c r="U106" s="198" t="s">
        <v>13</v>
      </c>
      <c r="V106" s="197" t="s">
        <v>14</v>
      </c>
      <c r="W106" s="197" t="s">
        <v>15</v>
      </c>
      <c r="X106" s="198" t="s">
        <v>16</v>
      </c>
      <c r="Y106" s="56"/>
      <c r="AX106" s="246"/>
      <c r="BN106" s="56"/>
      <c r="BO106" s="220"/>
      <c r="BP106" s="220"/>
      <c r="BQ106" s="220"/>
      <c r="BR106" s="220"/>
      <c r="BS106" s="220"/>
      <c r="BT106" s="220"/>
      <c r="BU106" s="220"/>
      <c r="BV106" s="220"/>
      <c r="BW106" s="220"/>
      <c r="BX106" s="56"/>
    </row>
    <row r="107" spans="10:88" ht="19.5" customHeight="1" thickTop="1" x14ac:dyDescent="0.3">
      <c r="J107" s="362"/>
      <c r="K107" s="362"/>
      <c r="L107" s="362"/>
      <c r="M107" s="362"/>
      <c r="N107" s="359"/>
      <c r="O107" s="192" t="s">
        <v>278</v>
      </c>
      <c r="P107" s="35">
        <f>_xlfn.T.TEST(P5:P10,AB5:AB19,2,3)</f>
        <v>0.28909430778526413</v>
      </c>
      <c r="Q107" s="35">
        <f t="shared" ref="Q107:X107" si="299">_xlfn.T.TEST(Q5:Q10,AC5:AC19,2,3)</f>
        <v>0.66435702845995903</v>
      </c>
      <c r="R107" s="35">
        <f t="shared" si="299"/>
        <v>0.88138644489166762</v>
      </c>
      <c r="S107" s="35">
        <f t="shared" si="299"/>
        <v>0.5696213234373928</v>
      </c>
      <c r="T107" s="35">
        <f t="shared" si="299"/>
        <v>0.93402918032728732</v>
      </c>
      <c r="U107" s="37">
        <f t="shared" si="299"/>
        <v>0.7362753689925734</v>
      </c>
      <c r="V107" s="35">
        <f t="shared" si="299"/>
        <v>0.11331259038311689</v>
      </c>
      <c r="W107" s="35">
        <f t="shared" si="299"/>
        <v>0.2716712521145439</v>
      </c>
      <c r="X107" s="37">
        <f t="shared" si="299"/>
        <v>0.20587821015164531</v>
      </c>
      <c r="AX107" s="246"/>
      <c r="BI107" s="360" t="s">
        <v>387</v>
      </c>
      <c r="BJ107" s="360"/>
      <c r="BK107" s="360"/>
      <c r="BL107" s="360"/>
      <c r="BM107" s="361"/>
      <c r="BN107" s="265" t="s">
        <v>256</v>
      </c>
      <c r="BO107" s="221" t="s">
        <v>8</v>
      </c>
      <c r="BP107" s="221" t="s">
        <v>9</v>
      </c>
      <c r="BQ107" s="221" t="s">
        <v>10</v>
      </c>
      <c r="BR107" s="221" t="s">
        <v>11</v>
      </c>
      <c r="BS107" s="221" t="s">
        <v>12</v>
      </c>
      <c r="BT107" s="222" t="s">
        <v>13</v>
      </c>
      <c r="BU107" s="221" t="s">
        <v>14</v>
      </c>
      <c r="BV107" s="221" t="s">
        <v>15</v>
      </c>
      <c r="BW107" s="222" t="s">
        <v>16</v>
      </c>
      <c r="BX107" s="250"/>
    </row>
    <row r="108" spans="10:88" ht="15.75" x14ac:dyDescent="0.25">
      <c r="O108" s="56"/>
      <c r="AX108" s="246"/>
      <c r="BI108" s="362"/>
      <c r="BJ108" s="362"/>
      <c r="BK108" s="362"/>
      <c r="BL108" s="362"/>
      <c r="BM108" s="359"/>
      <c r="BN108" s="204" t="s">
        <v>278</v>
      </c>
      <c r="BO108" s="223">
        <f>_xlfn.T.TEST(BO5:BO10,CA5:CA19,2,3)</f>
        <v>0.22472014322763295</v>
      </c>
      <c r="BP108" s="224">
        <f t="shared" ref="BP108" si="300">_xlfn.T.TEST(BP5:BP10,CB5:CB19,2,3)</f>
        <v>0.4521339095481306</v>
      </c>
      <c r="BQ108" s="224">
        <f>_xlfn.T.TEST(BQ5:BQ10,CC5:CC19,2,3)</f>
        <v>2.4869967585007216E-2</v>
      </c>
      <c r="BR108" s="224">
        <f t="shared" ref="BR108" si="301">_xlfn.T.TEST(BR5:BR10,CD5:CD19,2,3)</f>
        <v>0.97390396007031299</v>
      </c>
      <c r="BS108" s="224">
        <f>_xlfn.T.TEST(BS5:BS10,CE5:CE19,2,3)</f>
        <v>0.80187525875796417</v>
      </c>
      <c r="BT108" s="206">
        <f t="shared" ref="BT108" si="302">_xlfn.T.TEST(BT5:BT10,CF5:CF19,2,3)</f>
        <v>0.58074943140563917</v>
      </c>
      <c r="BU108" s="249">
        <f t="shared" ref="BU108" si="303">_xlfn.T.TEST(BU5:BU10,CG5:CG19,2,3)</f>
        <v>7.4235993568743594E-2</v>
      </c>
      <c r="BV108" s="224">
        <f t="shared" ref="BV108" si="304">_xlfn.T.TEST(BV5:BV10,CH5:CH19,2,3)</f>
        <v>0.38266087010661276</v>
      </c>
      <c r="BW108" s="206">
        <f t="shared" ref="BW108" si="305">_xlfn.T.TEST(BW5:BW10,CI5:CI19,2,3)</f>
        <v>0.15527014429199743</v>
      </c>
    </row>
    <row r="109" spans="10:88" x14ac:dyDescent="0.25">
      <c r="AX109" s="246"/>
      <c r="BI109" s="303"/>
      <c r="BJ109" s="303"/>
      <c r="BK109" s="303"/>
      <c r="BL109" s="303"/>
      <c r="BM109" s="305"/>
      <c r="BN109" s="227" t="s">
        <v>280</v>
      </c>
      <c r="BO109" s="223">
        <f>(BO11-CA20)/SQRT(BO12^2 + CA21^2)</f>
        <v>-0.4362793153968591</v>
      </c>
      <c r="BP109" s="35">
        <f t="shared" ref="BP109:BW109" si="306">(BP11-CB20)/SQRT(BP12^2 + CB21^2)</f>
        <v>0.26295451501510841</v>
      </c>
      <c r="BQ109" s="35">
        <f t="shared" si="306"/>
        <v>-0.88329110428274149</v>
      </c>
      <c r="BR109" s="35">
        <f t="shared" si="306"/>
        <v>-1.4551811843562534E-2</v>
      </c>
      <c r="BS109" s="35">
        <f t="shared" si="306"/>
        <v>-8.3906131776083401E-2</v>
      </c>
      <c r="BT109" s="35">
        <f t="shared" si="306"/>
        <v>0.19972510191308029</v>
      </c>
      <c r="BU109" s="223">
        <f t="shared" si="306"/>
        <v>0.66387476041316762</v>
      </c>
      <c r="BV109" s="35">
        <f t="shared" si="306"/>
        <v>-0.27634217469736228</v>
      </c>
      <c r="BW109" s="37">
        <f t="shared" si="306"/>
        <v>0.56936881243280468</v>
      </c>
    </row>
    <row r="110" spans="10:88" ht="18.75" x14ac:dyDescent="0.3">
      <c r="O110" s="191" t="s">
        <v>270</v>
      </c>
      <c r="P110" s="189" t="s">
        <v>8</v>
      </c>
      <c r="Q110" s="189" t="s">
        <v>9</v>
      </c>
      <c r="R110" s="189" t="s">
        <v>10</v>
      </c>
      <c r="S110" s="189" t="s">
        <v>11</v>
      </c>
      <c r="T110" s="189" t="s">
        <v>12</v>
      </c>
      <c r="U110" s="190" t="s">
        <v>13</v>
      </c>
      <c r="V110" s="189" t="s">
        <v>14</v>
      </c>
      <c r="W110" s="189" t="s">
        <v>15</v>
      </c>
      <c r="X110" s="190" t="s">
        <v>16</v>
      </c>
      <c r="Y110" s="56"/>
      <c r="AX110" s="246"/>
      <c r="BO110" s="7"/>
      <c r="BP110" s="7"/>
      <c r="BQ110" s="7"/>
      <c r="BR110" s="7"/>
      <c r="BS110" s="7"/>
      <c r="BT110" s="7"/>
      <c r="BU110" s="7"/>
      <c r="BV110" s="7"/>
      <c r="BW110" s="7"/>
    </row>
    <row r="111" spans="10:88" ht="18.75" x14ac:dyDescent="0.3">
      <c r="O111" s="192" t="s">
        <v>278</v>
      </c>
      <c r="P111" s="185">
        <f t="shared" ref="P111:X111" si="307">_xlfn.T.TEST(P34:P39,AB34:AB48,2,3)</f>
        <v>3.0635509886406814E-3</v>
      </c>
      <c r="Q111" s="35">
        <f t="shared" si="307"/>
        <v>0.72626205256383669</v>
      </c>
      <c r="R111" s="35">
        <f t="shared" si="307"/>
        <v>0.73159157473149217</v>
      </c>
      <c r="S111" s="187">
        <f t="shared" si="307"/>
        <v>6.2668529941093148E-2</v>
      </c>
      <c r="T111" s="35">
        <f t="shared" si="307"/>
        <v>0.11953783386152585</v>
      </c>
      <c r="U111" s="37">
        <f t="shared" si="307"/>
        <v>0.65128128081035996</v>
      </c>
      <c r="V111" s="35">
        <f t="shared" si="307"/>
        <v>0.24766298267945358</v>
      </c>
      <c r="W111" s="35">
        <f t="shared" si="307"/>
        <v>0.18186439539434432</v>
      </c>
      <c r="X111" s="37">
        <f t="shared" si="307"/>
        <v>0.21320069132312566</v>
      </c>
      <c r="AX111" s="246"/>
      <c r="BN111" s="191" t="s">
        <v>270</v>
      </c>
      <c r="BO111" s="218" t="s">
        <v>8</v>
      </c>
      <c r="BP111" s="218" t="s">
        <v>9</v>
      </c>
      <c r="BQ111" s="218" t="s">
        <v>10</v>
      </c>
      <c r="BR111" s="218" t="s">
        <v>11</v>
      </c>
      <c r="BS111" s="218" t="s">
        <v>12</v>
      </c>
      <c r="BT111" s="219" t="s">
        <v>13</v>
      </c>
      <c r="BU111" s="218" t="s">
        <v>14</v>
      </c>
      <c r="BV111" s="218" t="s">
        <v>15</v>
      </c>
      <c r="BW111" s="219" t="s">
        <v>16</v>
      </c>
    </row>
    <row r="112" spans="10:88" ht="15.75" x14ac:dyDescent="0.25">
      <c r="O112" s="56"/>
      <c r="P112" s="33"/>
      <c r="Q112" s="7"/>
      <c r="R112" s="7"/>
      <c r="S112" s="7"/>
      <c r="T112" s="7"/>
      <c r="U112" s="7"/>
      <c r="V112" s="7"/>
      <c r="W112" s="7"/>
      <c r="X112" s="7"/>
      <c r="AX112" s="246"/>
      <c r="BN112" s="192" t="s">
        <v>278</v>
      </c>
      <c r="BO112" s="185">
        <f t="shared" ref="BO112:BW112" si="308">_xlfn.T.TEST(BO34:BO39,CA34:CA48,2,3)</f>
        <v>3.2506729591124606E-2</v>
      </c>
      <c r="BP112" s="35">
        <f t="shared" si="308"/>
        <v>0.90976351379188347</v>
      </c>
      <c r="BQ112" s="35">
        <f>_xlfn.T.TEST(BQ34:BQ39,CC34:CC48,2,3)</f>
        <v>1.5823320111012677E-2</v>
      </c>
      <c r="BR112" s="224">
        <f t="shared" si="308"/>
        <v>0.31988776079596198</v>
      </c>
      <c r="BS112" s="35">
        <f t="shared" si="308"/>
        <v>0.39146086489272447</v>
      </c>
      <c r="BT112" s="37">
        <f t="shared" si="308"/>
        <v>0.63082172135741499</v>
      </c>
      <c r="BU112" s="35">
        <f t="shared" si="308"/>
        <v>0.98888769015742572</v>
      </c>
      <c r="BV112" s="35">
        <f t="shared" si="308"/>
        <v>0.27080375077379454</v>
      </c>
      <c r="BW112" s="37">
        <f t="shared" si="308"/>
        <v>0.78295582065226277</v>
      </c>
    </row>
    <row r="113" spans="9:75" x14ac:dyDescent="0.25">
      <c r="P113" s="56"/>
      <c r="AX113" s="246"/>
      <c r="BN113" s="261" t="s">
        <v>280</v>
      </c>
      <c r="BO113" s="223">
        <f t="shared" ref="BO113:BW113" si="309">(BO40-CA49)/SQRT(BO41^2 + CA50^2)</f>
        <v>-0.75697873981848141</v>
      </c>
      <c r="BP113" s="224">
        <f t="shared" si="309"/>
        <v>4.5737077648005581E-2</v>
      </c>
      <c r="BQ113" s="224">
        <f t="shared" si="309"/>
        <v>-1.0194654524180917</v>
      </c>
      <c r="BR113" s="224">
        <f t="shared" si="309"/>
        <v>-0.4138569276005995</v>
      </c>
      <c r="BS113" s="224">
        <f t="shared" si="309"/>
        <v>-0.29946580439172743</v>
      </c>
      <c r="BT113" s="224">
        <f t="shared" si="309"/>
        <v>0.17023813081776087</v>
      </c>
      <c r="BU113" s="223">
        <f t="shared" si="309"/>
        <v>-5.3418686835619688E-3</v>
      </c>
      <c r="BV113" s="224">
        <f t="shared" si="309"/>
        <v>-0.34181714498535826</v>
      </c>
      <c r="BW113" s="206">
        <f t="shared" si="309"/>
        <v>-0.11015195857734776</v>
      </c>
    </row>
    <row r="114" spans="9:75" ht="18.75" x14ac:dyDescent="0.3">
      <c r="O114" s="191" t="s">
        <v>282</v>
      </c>
      <c r="P114" s="189" t="s">
        <v>8</v>
      </c>
      <c r="Q114" s="189" t="s">
        <v>9</v>
      </c>
      <c r="R114" s="189" t="s">
        <v>10</v>
      </c>
      <c r="S114" s="189" t="s">
        <v>11</v>
      </c>
      <c r="T114" s="189" t="s">
        <v>12</v>
      </c>
      <c r="U114" s="190" t="s">
        <v>13</v>
      </c>
      <c r="V114" s="189" t="s">
        <v>14</v>
      </c>
      <c r="W114" s="189" t="s">
        <v>15</v>
      </c>
      <c r="X114" s="190" t="s">
        <v>16</v>
      </c>
      <c r="Y114" s="56"/>
      <c r="AX114" s="246"/>
      <c r="BO114" s="33"/>
      <c r="BP114" s="7"/>
      <c r="BQ114" s="7"/>
      <c r="BR114" s="7"/>
      <c r="BS114" s="7"/>
      <c r="BT114" s="7"/>
      <c r="BU114" s="7"/>
      <c r="BV114" s="7"/>
      <c r="BW114" s="7"/>
    </row>
    <row r="115" spans="9:75" ht="18.75" x14ac:dyDescent="0.3">
      <c r="O115" s="192" t="s">
        <v>278</v>
      </c>
      <c r="P115" s="185">
        <f t="shared" ref="P115:X115" si="310">_xlfn.T.TEST(P67:P72,AB67:AB81,2,3)</f>
        <v>6.9228221456115865E-3</v>
      </c>
      <c r="Q115" s="35">
        <f t="shared" si="310"/>
        <v>0.20658857855208182</v>
      </c>
      <c r="R115" s="187">
        <f t="shared" si="310"/>
        <v>6.353254231047667E-2</v>
      </c>
      <c r="S115" s="187">
        <f t="shared" si="310"/>
        <v>5.7432016693773541E-2</v>
      </c>
      <c r="T115" s="187">
        <f t="shared" si="310"/>
        <v>3.9651963050965057E-2</v>
      </c>
      <c r="U115" s="37">
        <f t="shared" si="310"/>
        <v>0.47183123046145703</v>
      </c>
      <c r="V115" s="185">
        <f t="shared" si="310"/>
        <v>9.7169267615173707E-3</v>
      </c>
      <c r="W115" s="35">
        <f t="shared" si="310"/>
        <v>0.39067172540752837</v>
      </c>
      <c r="X115" s="186">
        <f t="shared" si="310"/>
        <v>1.9108768949624537E-2</v>
      </c>
      <c r="AX115" s="246"/>
      <c r="BN115" s="191" t="s">
        <v>282</v>
      </c>
      <c r="BO115" s="218" t="s">
        <v>8</v>
      </c>
      <c r="BP115" s="218" t="s">
        <v>9</v>
      </c>
      <c r="BQ115" s="218" t="s">
        <v>10</v>
      </c>
      <c r="BR115" s="218" t="s">
        <v>11</v>
      </c>
      <c r="BS115" s="218" t="s">
        <v>12</v>
      </c>
      <c r="BT115" s="219" t="s">
        <v>13</v>
      </c>
      <c r="BU115" s="218" t="s">
        <v>14</v>
      </c>
      <c r="BV115" s="218" t="s">
        <v>15</v>
      </c>
      <c r="BW115" s="219" t="s">
        <v>16</v>
      </c>
    </row>
    <row r="116" spans="9:75" ht="15.75" x14ac:dyDescent="0.25">
      <c r="AX116" s="246"/>
      <c r="BN116" s="192" t="s">
        <v>278</v>
      </c>
      <c r="BO116" s="185">
        <f t="shared" ref="BO116:BW116" si="311">_xlfn.T.TEST(BO67:BO72,CA67:CA81,2,3)</f>
        <v>7.5040380148537972E-3</v>
      </c>
      <c r="BP116" s="35">
        <f t="shared" si="311"/>
        <v>0.31307088838899788</v>
      </c>
      <c r="BQ116" s="224">
        <f t="shared" si="311"/>
        <v>7.8129765909999718E-2</v>
      </c>
      <c r="BR116" s="7">
        <f t="shared" si="311"/>
        <v>0.10499766425253211</v>
      </c>
      <c r="BS116" s="7">
        <f t="shared" si="311"/>
        <v>0.10368237725293318</v>
      </c>
      <c r="BT116" s="37">
        <f t="shared" si="311"/>
        <v>0.74569189118358847</v>
      </c>
      <c r="BU116" s="185">
        <f t="shared" si="311"/>
        <v>9.1578192379792329E-3</v>
      </c>
      <c r="BV116" s="35">
        <f t="shared" si="311"/>
        <v>0.54335368075044133</v>
      </c>
      <c r="BW116" s="186">
        <f t="shared" si="311"/>
        <v>5.8327933645755392E-3</v>
      </c>
    </row>
    <row r="117" spans="9:75" x14ac:dyDescent="0.25">
      <c r="AX117" s="246"/>
      <c r="BN117" s="261" t="s">
        <v>280</v>
      </c>
      <c r="BO117" s="223">
        <f t="shared" ref="BO117:BW117" si="312">(BO73-CA82)/SQRT(BO74^2 + CA83^2)</f>
        <v>-1.1509557202370102</v>
      </c>
      <c r="BP117" s="224">
        <f t="shared" si="312"/>
        <v>-0.39180717333271436</v>
      </c>
      <c r="BQ117" s="224">
        <f t="shared" si="312"/>
        <v>-0.81740695744699821</v>
      </c>
      <c r="BR117" s="224">
        <f t="shared" si="312"/>
        <v>-0.83335769078572641</v>
      </c>
      <c r="BS117" s="224">
        <f t="shared" si="312"/>
        <v>-0.52858607965399085</v>
      </c>
      <c r="BT117" s="206">
        <f t="shared" si="312"/>
        <v>9.8158427731511066E-2</v>
      </c>
      <c r="BU117" s="224">
        <f t="shared" si="312"/>
        <v>-0.8746805640224049</v>
      </c>
      <c r="BV117" s="224">
        <f t="shared" si="312"/>
        <v>-0.1934223804618872</v>
      </c>
      <c r="BW117" s="206">
        <f t="shared" si="312"/>
        <v>-1.0201851469736216</v>
      </c>
    </row>
    <row r="118" spans="9:75" x14ac:dyDescent="0.25">
      <c r="AX118" s="246"/>
    </row>
    <row r="119" spans="9:75" x14ac:dyDescent="0.25">
      <c r="AX119" s="246"/>
    </row>
    <row r="120" spans="9:75" x14ac:dyDescent="0.25">
      <c r="O120" s="7"/>
      <c r="P120" s="7"/>
      <c r="Q120" s="7"/>
      <c r="AX120" s="246"/>
    </row>
    <row r="121" spans="9:75" x14ac:dyDescent="0.25">
      <c r="O121" s="7"/>
      <c r="P121" s="7"/>
      <c r="Q121" s="7"/>
      <c r="AX121" s="246"/>
    </row>
    <row r="122" spans="9:75" x14ac:dyDescent="0.25">
      <c r="O122" s="7"/>
      <c r="P122" s="7"/>
      <c r="Q122" s="7"/>
      <c r="AX122" s="246"/>
    </row>
    <row r="123" spans="9:75" x14ac:dyDescent="0.25">
      <c r="O123" s="7"/>
      <c r="P123" s="7"/>
      <c r="Q123" s="7"/>
      <c r="AX123" s="246"/>
      <c r="AZ123" s="289"/>
      <c r="BA123" s="289"/>
      <c r="BB123" s="289"/>
      <c r="BC123" s="289"/>
      <c r="BD123" s="289"/>
      <c r="BE123" s="289"/>
      <c r="BF123" s="289"/>
      <c r="BG123" s="289"/>
      <c r="BH123" s="289"/>
      <c r="BI123" s="289"/>
      <c r="BJ123" s="289"/>
      <c r="BK123" s="289"/>
    </row>
    <row r="124" spans="9:75" x14ac:dyDescent="0.25">
      <c r="O124" s="7"/>
      <c r="P124" s="7"/>
      <c r="Q124" s="7"/>
      <c r="AX124" s="246"/>
      <c r="AZ124" s="289"/>
      <c r="BA124" s="289"/>
      <c r="BB124" s="289"/>
      <c r="BC124" s="289"/>
      <c r="BD124" s="289"/>
      <c r="BE124" s="289"/>
      <c r="BF124" s="289"/>
      <c r="BG124" s="289"/>
      <c r="BH124" s="289"/>
      <c r="BI124" s="289"/>
      <c r="BJ124" s="289"/>
      <c r="BK124" s="289"/>
    </row>
    <row r="125" spans="9:75" x14ac:dyDescent="0.25">
      <c r="O125" s="7"/>
      <c r="P125" s="7"/>
      <c r="Q125" s="7"/>
      <c r="AX125" s="246"/>
      <c r="AZ125" s="289"/>
      <c r="BA125" s="289"/>
      <c r="BB125" s="289"/>
      <c r="BC125" s="289"/>
      <c r="BD125" s="289"/>
      <c r="BE125" s="289"/>
      <c r="BF125" s="289"/>
      <c r="BG125" s="289"/>
      <c r="BH125" s="289"/>
      <c r="BI125" s="289"/>
      <c r="BJ125" s="289"/>
      <c r="BK125" s="289"/>
    </row>
    <row r="126" spans="9:75" x14ac:dyDescent="0.25">
      <c r="O126" s="7"/>
      <c r="Q126" s="7"/>
      <c r="AX126" s="246"/>
      <c r="AZ126" s="289"/>
      <c r="BA126" s="289"/>
      <c r="BB126" s="289"/>
      <c r="BC126" s="289"/>
      <c r="BD126" s="289"/>
      <c r="BE126" s="289"/>
      <c r="BF126" s="289"/>
      <c r="BG126" s="289"/>
      <c r="BH126" s="289"/>
      <c r="BI126" s="289"/>
      <c r="BJ126" s="289"/>
      <c r="BK126" s="289"/>
    </row>
    <row r="127" spans="9:75" x14ac:dyDescent="0.25">
      <c r="J127" s="7"/>
      <c r="K127" s="7"/>
      <c r="O127" s="7"/>
      <c r="Q127" s="7"/>
      <c r="AX127" s="246"/>
      <c r="AZ127" s="289"/>
      <c r="BA127" s="289"/>
      <c r="BB127" s="289"/>
      <c r="BC127" s="289"/>
      <c r="BD127" s="289"/>
      <c r="BE127" s="289"/>
      <c r="BF127" s="289"/>
      <c r="BG127" s="289"/>
      <c r="BH127" s="289"/>
      <c r="BI127" s="289"/>
      <c r="BJ127" s="289"/>
      <c r="BK127" s="289"/>
    </row>
    <row r="128" spans="9:75" x14ac:dyDescent="0.25">
      <c r="I128" s="7"/>
      <c r="J128" s="7"/>
      <c r="K128" s="7"/>
      <c r="O128" s="7"/>
      <c r="Q128" s="7"/>
      <c r="AX128" s="246"/>
      <c r="AZ128" s="289"/>
      <c r="BA128" s="289"/>
      <c r="BB128" s="289"/>
      <c r="BC128" s="289"/>
      <c r="BD128" s="289"/>
      <c r="BE128" s="289"/>
      <c r="BF128" s="289"/>
      <c r="BG128" s="289"/>
      <c r="BH128" s="289"/>
      <c r="BI128" s="289"/>
      <c r="BJ128" s="289"/>
      <c r="BK128" s="289"/>
    </row>
    <row r="129" spans="3:63" x14ac:dyDescent="0.25">
      <c r="I129" s="7"/>
      <c r="J129" s="7"/>
      <c r="K129" s="7"/>
      <c r="O129" s="7"/>
      <c r="Q129" s="7"/>
      <c r="AX129" s="246"/>
      <c r="AZ129" s="289"/>
      <c r="BA129" s="289"/>
      <c r="BB129" s="289"/>
      <c r="BC129" s="289"/>
      <c r="BD129" s="289"/>
      <c r="BE129" s="289"/>
      <c r="BF129" s="289"/>
      <c r="BG129" s="289"/>
      <c r="BH129" s="289"/>
      <c r="BI129" s="289"/>
      <c r="BJ129" s="289"/>
      <c r="BK129" s="289"/>
    </row>
    <row r="130" spans="3:63" x14ac:dyDescent="0.25">
      <c r="I130" s="7"/>
      <c r="J130" s="7"/>
      <c r="K130" s="7"/>
      <c r="O130" s="7"/>
      <c r="Q130" s="7"/>
      <c r="AX130" s="246"/>
      <c r="AZ130" s="289"/>
      <c r="BA130" s="289"/>
      <c r="BB130" s="289"/>
      <c r="BC130" s="289"/>
      <c r="BD130" s="289"/>
      <c r="BE130" s="289"/>
      <c r="BF130" s="289"/>
      <c r="BG130" s="289"/>
      <c r="BH130" s="289"/>
      <c r="BI130" s="289"/>
      <c r="BJ130" s="289"/>
      <c r="BK130" s="289"/>
    </row>
    <row r="131" spans="3:63" x14ac:dyDescent="0.25">
      <c r="C131" s="149">
        <f t="shared" ref="C131:K131" si="313">C29+P13+AB22</f>
        <v>27.89062528166798</v>
      </c>
      <c r="D131" s="149">
        <f t="shared" si="313"/>
        <v>21.753306448296762</v>
      </c>
      <c r="E131" s="149">
        <f t="shared" si="313"/>
        <v>20.667199588214746</v>
      </c>
      <c r="F131" s="149">
        <f t="shared" si="313"/>
        <v>21.408410551062559</v>
      </c>
      <c r="G131" s="149">
        <f t="shared" si="313"/>
        <v>21.656808600570496</v>
      </c>
      <c r="H131" s="149">
        <f t="shared" si="313"/>
        <v>21.584890854425911</v>
      </c>
      <c r="I131" s="149">
        <f t="shared" si="313"/>
        <v>20.983519364660506</v>
      </c>
      <c r="J131" s="149">
        <f t="shared" si="313"/>
        <v>19.629683905602235</v>
      </c>
      <c r="K131" s="149">
        <f t="shared" si="313"/>
        <v>22.205387108328214</v>
      </c>
      <c r="O131" s="7"/>
      <c r="Q131" s="7"/>
      <c r="AX131" s="246"/>
      <c r="AZ131" s="289"/>
      <c r="BA131" s="289"/>
      <c r="BB131" s="289"/>
      <c r="BC131" s="289"/>
      <c r="BD131" s="289"/>
      <c r="BE131" s="289"/>
      <c r="BF131" s="289"/>
      <c r="BG131" s="289"/>
      <c r="BH131" s="289"/>
      <c r="BI131" s="289"/>
      <c r="BJ131" s="289"/>
      <c r="BK131" s="289"/>
    </row>
    <row r="132" spans="3:63" x14ac:dyDescent="0.25">
      <c r="I132" s="7"/>
      <c r="J132" s="7"/>
      <c r="K132" s="7"/>
      <c r="O132" s="7"/>
      <c r="Q132" s="7"/>
      <c r="AX132" s="246"/>
      <c r="AZ132" s="289"/>
      <c r="BA132" s="289"/>
      <c r="BB132" s="289"/>
      <c r="BC132" s="289"/>
      <c r="BD132" s="289"/>
      <c r="BE132" s="289"/>
      <c r="BF132" s="289"/>
      <c r="BG132" s="289"/>
      <c r="BH132" s="289"/>
      <c r="BI132" s="289"/>
      <c r="BJ132" s="289"/>
      <c r="BK132" s="289"/>
    </row>
    <row r="133" spans="3:63" x14ac:dyDescent="0.25">
      <c r="I133" s="7"/>
      <c r="J133" s="7"/>
      <c r="K133" s="7"/>
      <c r="O133" s="7"/>
      <c r="Q133" s="7"/>
      <c r="AX133" s="246"/>
      <c r="AZ133" s="289"/>
      <c r="BA133" s="289"/>
      <c r="BB133" s="289"/>
      <c r="BC133" s="289"/>
      <c r="BD133" s="289"/>
      <c r="BE133" s="289"/>
      <c r="BF133" s="289"/>
      <c r="BG133" s="289"/>
      <c r="BH133" s="289"/>
      <c r="BI133" s="289"/>
      <c r="BJ133" s="289"/>
      <c r="BK133" s="289"/>
    </row>
    <row r="134" spans="3:63" x14ac:dyDescent="0.25">
      <c r="I134" s="7"/>
      <c r="J134" s="7"/>
      <c r="K134" s="7"/>
      <c r="O134" s="7"/>
      <c r="Q134" s="7"/>
      <c r="AX134" s="246"/>
      <c r="AZ134" s="289"/>
      <c r="BA134" s="289"/>
      <c r="BB134" s="289"/>
      <c r="BC134" s="289"/>
      <c r="BD134" s="289"/>
      <c r="BE134" s="289"/>
      <c r="BF134" s="289"/>
      <c r="BG134" s="289"/>
      <c r="BH134" s="289"/>
      <c r="BI134" s="289"/>
      <c r="BJ134" s="289"/>
      <c r="BK134" s="289"/>
    </row>
    <row r="135" spans="3:63" x14ac:dyDescent="0.25">
      <c r="I135" s="7"/>
      <c r="J135" s="7"/>
      <c r="K135" s="7"/>
      <c r="O135" s="7"/>
      <c r="Q135" s="7"/>
      <c r="AX135" s="246"/>
      <c r="AZ135" s="289"/>
      <c r="BA135" s="289"/>
      <c r="BB135" s="289"/>
      <c r="BC135" s="289"/>
      <c r="BD135" s="289"/>
      <c r="BE135" s="289"/>
      <c r="BF135" s="289"/>
      <c r="BG135" s="289"/>
      <c r="BH135" s="289"/>
      <c r="BI135" s="289"/>
      <c r="BJ135" s="289"/>
      <c r="BK135" s="289"/>
    </row>
    <row r="136" spans="3:63" x14ac:dyDescent="0.25">
      <c r="I136" s="7"/>
      <c r="K136" s="7"/>
      <c r="O136" s="7"/>
      <c r="Q136" s="7"/>
      <c r="AX136" s="246"/>
      <c r="AZ136" s="289"/>
      <c r="BA136" s="289"/>
      <c r="BB136" s="289"/>
      <c r="BC136" s="289"/>
      <c r="BD136" s="289"/>
      <c r="BE136" s="289"/>
      <c r="BF136" s="289"/>
      <c r="BG136" s="289"/>
      <c r="BH136" s="289"/>
      <c r="BI136" s="289"/>
      <c r="BJ136" s="289"/>
      <c r="BK136" s="289"/>
    </row>
    <row r="137" spans="3:63" x14ac:dyDescent="0.25">
      <c r="I137" s="7"/>
      <c r="K137" s="7"/>
      <c r="O137" s="7"/>
      <c r="Q137" s="7"/>
      <c r="AX137" s="246"/>
      <c r="AZ137" s="289"/>
      <c r="BA137" s="289"/>
      <c r="BB137" s="289"/>
      <c r="BC137" s="289"/>
      <c r="BD137" s="289"/>
      <c r="BE137" s="289"/>
      <c r="BF137" s="289"/>
      <c r="BG137" s="289"/>
      <c r="BH137" s="289"/>
      <c r="BI137" s="289"/>
      <c r="BJ137" s="289"/>
      <c r="BK137" s="289"/>
    </row>
    <row r="138" spans="3:63" x14ac:dyDescent="0.25">
      <c r="I138" s="7"/>
      <c r="K138" s="7"/>
      <c r="O138" s="7"/>
      <c r="AX138" s="246"/>
      <c r="AZ138" s="289"/>
      <c r="BA138" s="289"/>
      <c r="BB138" s="289"/>
      <c r="BC138" s="289"/>
      <c r="BD138" s="289"/>
      <c r="BE138" s="289"/>
      <c r="BF138" s="289"/>
      <c r="BG138" s="289"/>
      <c r="BH138" s="289"/>
      <c r="BI138" s="289"/>
      <c r="BJ138" s="289"/>
      <c r="BK138" s="289"/>
    </row>
    <row r="139" spans="3:63" x14ac:dyDescent="0.25">
      <c r="I139" s="7"/>
      <c r="K139" s="7"/>
      <c r="O139" s="7"/>
      <c r="AX139" s="246"/>
      <c r="AZ139" s="289"/>
      <c r="BA139" s="289"/>
      <c r="BB139" s="289"/>
      <c r="BC139" s="289"/>
      <c r="BD139" s="289"/>
      <c r="BE139" s="289"/>
      <c r="BF139" s="289"/>
      <c r="BG139" s="289"/>
      <c r="BH139" s="289"/>
      <c r="BI139" s="289"/>
      <c r="BJ139" s="289"/>
      <c r="BK139" s="289"/>
    </row>
    <row r="140" spans="3:63" x14ac:dyDescent="0.25">
      <c r="I140" s="7"/>
      <c r="K140" s="7"/>
      <c r="O140" s="7"/>
      <c r="AX140" s="246"/>
      <c r="AZ140" s="289"/>
      <c r="BA140" s="289"/>
      <c r="BB140" s="289"/>
      <c r="BC140" s="289"/>
      <c r="BD140" s="289"/>
      <c r="BE140" s="289"/>
      <c r="BF140" s="289"/>
      <c r="BG140" s="289"/>
      <c r="BH140" s="289"/>
      <c r="BI140" s="289"/>
      <c r="BJ140" s="289"/>
      <c r="BK140" s="289"/>
    </row>
    <row r="141" spans="3:63" x14ac:dyDescent="0.25">
      <c r="I141" s="7"/>
      <c r="K141" s="7"/>
      <c r="O141" s="7"/>
      <c r="AX141" s="246"/>
      <c r="AZ141" s="289"/>
      <c r="BA141" s="289"/>
      <c r="BB141" s="289"/>
      <c r="BC141" s="289"/>
      <c r="BD141" s="289"/>
      <c r="BE141" s="289"/>
      <c r="BF141" s="289"/>
      <c r="BG141" s="289"/>
      <c r="BH141" s="289"/>
      <c r="BI141" s="289"/>
      <c r="BJ141" s="289"/>
      <c r="BK141" s="289"/>
    </row>
    <row r="142" spans="3:63" x14ac:dyDescent="0.25">
      <c r="I142" s="7"/>
      <c r="K142" s="7"/>
      <c r="O142" s="7"/>
      <c r="AX142" s="246"/>
      <c r="AZ142" s="289"/>
      <c r="BA142" s="289"/>
      <c r="BB142" s="289"/>
      <c r="BC142" s="289"/>
      <c r="BD142" s="289"/>
      <c r="BE142" s="289"/>
      <c r="BF142" s="289"/>
      <c r="BG142" s="289"/>
      <c r="BH142" s="289"/>
      <c r="BI142" s="289"/>
      <c r="BJ142" s="289"/>
      <c r="BK142" s="289"/>
    </row>
    <row r="143" spans="3:63" x14ac:dyDescent="0.25">
      <c r="I143" s="7"/>
      <c r="K143" s="7"/>
      <c r="O143" s="7"/>
      <c r="AX143" s="246"/>
      <c r="AZ143" s="289"/>
      <c r="BA143" s="289"/>
      <c r="BB143" s="289"/>
      <c r="BC143" s="289"/>
      <c r="BD143" s="289"/>
      <c r="BE143" s="289"/>
      <c r="BF143" s="289"/>
      <c r="BG143" s="289"/>
      <c r="BH143" s="289"/>
      <c r="BI143" s="289"/>
      <c r="BJ143" s="289"/>
      <c r="BK143" s="289"/>
    </row>
    <row r="144" spans="3:63" x14ac:dyDescent="0.25">
      <c r="I144" s="7"/>
      <c r="K144" s="7"/>
      <c r="AX144" s="246"/>
      <c r="AZ144" s="289"/>
      <c r="BA144" s="289"/>
      <c r="BB144" s="289"/>
      <c r="BC144" s="289"/>
      <c r="BD144" s="289"/>
      <c r="BE144" s="289"/>
      <c r="BF144" s="289"/>
      <c r="BG144" s="289"/>
      <c r="BH144" s="289"/>
      <c r="BI144" s="289"/>
      <c r="BJ144" s="289"/>
      <c r="BK144" s="289"/>
    </row>
    <row r="145" spans="9:75" x14ac:dyDescent="0.25">
      <c r="I145" s="7"/>
      <c r="AX145" s="246"/>
      <c r="AZ145" s="289"/>
      <c r="BA145" s="289"/>
      <c r="BB145" s="289"/>
      <c r="BC145" s="289"/>
      <c r="BD145" s="289"/>
      <c r="BE145" s="289"/>
      <c r="BF145" s="289"/>
      <c r="BG145" s="289"/>
      <c r="BH145" s="289"/>
      <c r="BI145" s="289"/>
      <c r="BJ145" s="289"/>
      <c r="BK145" s="289"/>
    </row>
    <row r="146" spans="9:75" x14ac:dyDescent="0.25">
      <c r="I146" s="7"/>
      <c r="AX146" s="246"/>
      <c r="AZ146" s="289"/>
      <c r="BA146" s="289"/>
      <c r="BB146" s="289"/>
      <c r="BC146" s="289"/>
      <c r="BD146" s="289"/>
      <c r="BE146" s="289"/>
      <c r="BF146" s="289"/>
      <c r="BG146" s="289"/>
      <c r="BH146" s="289"/>
      <c r="BI146" s="289"/>
      <c r="BJ146" s="289"/>
      <c r="BK146" s="289"/>
    </row>
    <row r="147" spans="9:75" x14ac:dyDescent="0.25">
      <c r="I147" s="7"/>
      <c r="AX147" s="246"/>
    </row>
    <row r="148" spans="9:75" x14ac:dyDescent="0.25">
      <c r="I148" s="7"/>
      <c r="AX148" s="246"/>
      <c r="BB148" s="7"/>
    </row>
    <row r="149" spans="9:75" ht="15.75" thickBot="1" x14ac:dyDescent="0.3">
      <c r="I149" s="7"/>
      <c r="AX149" s="246"/>
    </row>
    <row r="150" spans="9:75" ht="16.5" thickBot="1" x14ac:dyDescent="0.3">
      <c r="I150" s="7"/>
      <c r="AX150" s="246"/>
      <c r="BN150" s="363" t="s">
        <v>399</v>
      </c>
      <c r="BO150" s="364"/>
      <c r="BP150" s="364"/>
      <c r="BQ150" s="364"/>
      <c r="BR150" s="364"/>
      <c r="BS150" s="364"/>
      <c r="BT150" s="364"/>
      <c r="BU150" s="364"/>
      <c r="BV150" s="364"/>
      <c r="BW150" s="365"/>
    </row>
    <row r="151" spans="9:75" ht="15.75" thickBot="1" x14ac:dyDescent="0.3">
      <c r="I151" s="7"/>
      <c r="AX151" s="246"/>
      <c r="BN151" s="255"/>
      <c r="BO151" s="256" t="s">
        <v>8</v>
      </c>
      <c r="BP151" s="256" t="s">
        <v>9</v>
      </c>
      <c r="BQ151" s="256" t="s">
        <v>10</v>
      </c>
      <c r="BR151" s="256" t="s">
        <v>11</v>
      </c>
      <c r="BS151" s="256" t="s">
        <v>12</v>
      </c>
      <c r="BT151" s="256" t="s">
        <v>13</v>
      </c>
      <c r="BU151" s="256" t="s">
        <v>14</v>
      </c>
      <c r="BV151" s="256" t="s">
        <v>15</v>
      </c>
      <c r="BW151" s="256" t="s">
        <v>16</v>
      </c>
    </row>
    <row r="152" spans="9:75" ht="16.5" thickTop="1" thickBot="1" x14ac:dyDescent="0.3">
      <c r="AX152" s="246"/>
      <c r="BN152" s="257" t="s">
        <v>215</v>
      </c>
      <c r="BO152" s="259" t="s">
        <v>400</v>
      </c>
      <c r="BP152" s="259" t="s">
        <v>401</v>
      </c>
      <c r="BQ152" s="259" t="s">
        <v>402</v>
      </c>
      <c r="BR152" s="259" t="s">
        <v>403</v>
      </c>
      <c r="BS152" s="259" t="s">
        <v>404</v>
      </c>
      <c r="BT152" s="259" t="s">
        <v>405</v>
      </c>
      <c r="BU152" s="259" t="s">
        <v>406</v>
      </c>
      <c r="BV152" s="259" t="s">
        <v>407</v>
      </c>
      <c r="BW152" s="259" t="s">
        <v>408</v>
      </c>
    </row>
    <row r="153" spans="9:75" ht="15.75" thickBot="1" x14ac:dyDescent="0.3">
      <c r="AX153" s="246"/>
      <c r="BN153" s="257" t="s">
        <v>409</v>
      </c>
      <c r="BO153" s="259" t="s">
        <v>410</v>
      </c>
      <c r="BP153" s="259" t="s">
        <v>411</v>
      </c>
      <c r="BQ153" s="259" t="s">
        <v>412</v>
      </c>
      <c r="BR153" s="259" t="s">
        <v>413</v>
      </c>
      <c r="BS153" s="259" t="s">
        <v>414</v>
      </c>
      <c r="BT153" s="259" t="s">
        <v>415</v>
      </c>
      <c r="BU153" s="259" t="s">
        <v>416</v>
      </c>
      <c r="BV153" s="259" t="s">
        <v>417</v>
      </c>
      <c r="BW153" s="259" t="s">
        <v>418</v>
      </c>
    </row>
    <row r="154" spans="9:75" ht="15.75" thickBot="1" x14ac:dyDescent="0.3">
      <c r="AX154" s="246"/>
      <c r="BN154" s="257" t="s">
        <v>419</v>
      </c>
      <c r="BO154" s="259" t="s">
        <v>420</v>
      </c>
      <c r="BP154" s="259" t="s">
        <v>421</v>
      </c>
      <c r="BQ154" s="259" t="s">
        <v>422</v>
      </c>
      <c r="BR154" s="259" t="s">
        <v>423</v>
      </c>
      <c r="BS154" s="259" t="s">
        <v>424</v>
      </c>
      <c r="BT154" s="259" t="s">
        <v>425</v>
      </c>
      <c r="BU154" s="259" t="s">
        <v>426</v>
      </c>
      <c r="BV154" s="259" t="s">
        <v>427</v>
      </c>
      <c r="BW154" s="259" t="s">
        <v>428</v>
      </c>
    </row>
    <row r="155" spans="9:75" x14ac:dyDescent="0.25">
      <c r="AX155" s="246"/>
    </row>
    <row r="156" spans="9:75" x14ac:dyDescent="0.25">
      <c r="AX156" s="246"/>
    </row>
    <row r="157" spans="9:75" x14ac:dyDescent="0.25">
      <c r="AX157" s="246"/>
    </row>
    <row r="158" spans="9:75" x14ac:dyDescent="0.25">
      <c r="AX158" s="246"/>
      <c r="BB158" s="141"/>
      <c r="BC158" s="141"/>
      <c r="BD158" s="141"/>
      <c r="BE158" s="141"/>
      <c r="BF158" s="141"/>
      <c r="BG158" s="141"/>
      <c r="BH158" s="141"/>
      <c r="BI158" s="141"/>
      <c r="BJ158" s="141"/>
    </row>
    <row r="159" spans="9:75" x14ac:dyDescent="0.25">
      <c r="AX159" s="246"/>
      <c r="BB159" s="141"/>
      <c r="BC159" s="141"/>
      <c r="BD159" s="141"/>
      <c r="BE159" s="141"/>
      <c r="BF159" s="141"/>
      <c r="BG159" s="141"/>
      <c r="BH159" s="141"/>
      <c r="BI159" s="141"/>
      <c r="BJ159" s="141"/>
    </row>
    <row r="160" spans="9:75" x14ac:dyDescent="0.25">
      <c r="AX160" s="246"/>
      <c r="BT160" s="258"/>
    </row>
    <row r="161" spans="50:50" x14ac:dyDescent="0.25">
      <c r="AX161" s="246"/>
    </row>
    <row r="162" spans="50:50" x14ac:dyDescent="0.25">
      <c r="AX162" s="246"/>
    </row>
    <row r="163" spans="50:50" x14ac:dyDescent="0.25">
      <c r="AX163" s="246"/>
    </row>
    <row r="164" spans="50:50" x14ac:dyDescent="0.25">
      <c r="AX164" s="246"/>
    </row>
    <row r="165" spans="50:50" x14ac:dyDescent="0.25">
      <c r="AX165" s="246"/>
    </row>
    <row r="166" spans="50:50" x14ac:dyDescent="0.25">
      <c r="AX166" s="246"/>
    </row>
    <row r="167" spans="50:50" x14ac:dyDescent="0.25">
      <c r="AX167" s="246"/>
    </row>
    <row r="168" spans="50:50" x14ac:dyDescent="0.25">
      <c r="AX168" s="246"/>
    </row>
    <row r="169" spans="50:50" x14ac:dyDescent="0.25">
      <c r="AX169" s="246"/>
    </row>
    <row r="170" spans="50:50" x14ac:dyDescent="0.25">
      <c r="AX170" s="246"/>
    </row>
    <row r="171" spans="50:50" x14ac:dyDescent="0.25">
      <c r="AX171" s="246"/>
    </row>
    <row r="172" spans="50:50" x14ac:dyDescent="0.25">
      <c r="AX172" s="246"/>
    </row>
    <row r="173" spans="50:50" x14ac:dyDescent="0.25">
      <c r="AX173" s="246"/>
    </row>
    <row r="174" spans="50:50" x14ac:dyDescent="0.25">
      <c r="AX174" s="246"/>
    </row>
    <row r="175" spans="50:50" x14ac:dyDescent="0.25">
      <c r="AX175" s="246"/>
    </row>
    <row r="176" spans="50:50" x14ac:dyDescent="0.25">
      <c r="AX176" s="246"/>
    </row>
    <row r="177" spans="50:50" x14ac:dyDescent="0.25">
      <c r="AX177" s="246"/>
    </row>
    <row r="178" spans="50:50" x14ac:dyDescent="0.25">
      <c r="AX178" s="246"/>
    </row>
    <row r="179" spans="50:50" x14ac:dyDescent="0.25">
      <c r="AX179" s="246"/>
    </row>
    <row r="180" spans="50:50" x14ac:dyDescent="0.25">
      <c r="AX180" s="246"/>
    </row>
    <row r="181" spans="50:50" x14ac:dyDescent="0.25">
      <c r="AX181" s="246"/>
    </row>
    <row r="182" spans="50:50" x14ac:dyDescent="0.25">
      <c r="AX182" s="246"/>
    </row>
    <row r="183" spans="50:50" x14ac:dyDescent="0.25">
      <c r="AX183" s="246"/>
    </row>
    <row r="184" spans="50:50" x14ac:dyDescent="0.25">
      <c r="AX184" s="246"/>
    </row>
    <row r="185" spans="50:50" x14ac:dyDescent="0.25">
      <c r="AX185" s="246"/>
    </row>
    <row r="186" spans="50:50" x14ac:dyDescent="0.25">
      <c r="AX186" s="246"/>
    </row>
    <row r="187" spans="50:50" x14ac:dyDescent="0.25">
      <c r="AX187" s="246"/>
    </row>
    <row r="188" spans="50:50" x14ac:dyDescent="0.25">
      <c r="AX188" s="246"/>
    </row>
    <row r="189" spans="50:50" x14ac:dyDescent="0.25">
      <c r="AX189" s="246"/>
    </row>
    <row r="190" spans="50:50" x14ac:dyDescent="0.25">
      <c r="AX190" s="246"/>
    </row>
    <row r="191" spans="50:50" x14ac:dyDescent="0.25">
      <c r="AX191" s="246"/>
    </row>
    <row r="192" spans="50:50" x14ac:dyDescent="0.25">
      <c r="AX192" s="246"/>
    </row>
    <row r="193" spans="50:50" x14ac:dyDescent="0.25">
      <c r="AX193" s="246"/>
    </row>
    <row r="194" spans="50:50" x14ac:dyDescent="0.25">
      <c r="AX194" s="246"/>
    </row>
    <row r="195" spans="50:50" x14ac:dyDescent="0.25">
      <c r="AX195" s="246"/>
    </row>
    <row r="196" spans="50:50" x14ac:dyDescent="0.25">
      <c r="AX196" s="246"/>
    </row>
    <row r="197" spans="50:50" x14ac:dyDescent="0.25">
      <c r="AX197" s="246"/>
    </row>
    <row r="198" spans="50:50" x14ac:dyDescent="0.25">
      <c r="AX198" s="246"/>
    </row>
  </sheetData>
  <sortState ref="BJ125:BJ144">
    <sortCondition ref="BJ125"/>
  </sortState>
  <mergeCells count="5">
    <mergeCell ref="J95:N96"/>
    <mergeCell ref="BI95:BM96"/>
    <mergeCell ref="BI107:BM108"/>
    <mergeCell ref="BN150:BW150"/>
    <mergeCell ref="J106:N107"/>
  </mergeCells>
  <conditionalFormatting sqref="AB26:AJ28">
    <cfRule type="colorScale" priority="23">
      <colorScale>
        <cfvo type="num" val="-100"/>
        <cfvo type="num" val="0"/>
        <cfvo type="num" val="100"/>
        <color rgb="FFF8696B"/>
        <color theme="0"/>
        <color rgb="FF63BE7B"/>
      </colorScale>
    </cfRule>
  </conditionalFormatting>
  <conditionalFormatting sqref="AB82:AJ82 P73:X73 C87:K87">
    <cfRule type="colorScale" priority="21">
      <colorScale>
        <cfvo type="num" val="-100"/>
        <cfvo type="num" val="0"/>
        <cfvo type="num" val="100"/>
        <color rgb="FFF8696B"/>
        <color theme="0"/>
        <color rgb="FF63BE7B"/>
      </colorScale>
    </cfRule>
  </conditionalFormatting>
  <conditionalFormatting sqref="CA82:CI82 BO73:BW73 BB87:BJ87">
    <cfRule type="colorScale" priority="18">
      <colorScale>
        <cfvo type="num" val="-100"/>
        <cfvo type="num" val="0"/>
        <cfvo type="num" val="100"/>
        <color rgb="FFF8696B"/>
        <color theme="0"/>
        <color rgb="FF63BE7B"/>
      </colorScale>
    </cfRule>
  </conditionalFormatting>
  <conditionalFormatting sqref="CA26:CI28">
    <cfRule type="colorScale" priority="20">
      <colorScale>
        <cfvo type="num" val="-100"/>
        <cfvo type="num" val="0"/>
        <cfvo type="num" val="100"/>
        <color rgb="FFF8696B"/>
        <color theme="0"/>
        <color rgb="FF63BE7B"/>
      </colorScale>
    </cfRule>
  </conditionalFormatting>
  <conditionalFormatting sqref="BA100:BI100">
    <cfRule type="colorScale" priority="17">
      <colorScale>
        <cfvo type="num" val="-100"/>
        <cfvo type="num" val="0"/>
        <cfvo type="num" val="100"/>
        <color rgb="FFF8696B"/>
        <color theme="0"/>
        <color rgb="FF63BE7B"/>
      </colorScale>
    </cfRule>
  </conditionalFormatting>
  <conditionalFormatting sqref="BO80:BW80">
    <cfRule type="colorScale" priority="16">
      <colorScale>
        <cfvo type="num" val="-100"/>
        <cfvo type="num" val="0"/>
        <cfvo type="num" val="100"/>
        <color rgb="FFF8696B"/>
        <color theme="0"/>
        <color rgb="FF63BE7B"/>
      </colorScale>
    </cfRule>
  </conditionalFormatting>
  <conditionalFormatting sqref="BO152:BW154">
    <cfRule type="colorScale" priority="12">
      <colorScale>
        <cfvo type="min"/>
        <cfvo type="percentile" val="50"/>
        <cfvo type="max"/>
        <color rgb="FF63BE7B"/>
        <color rgb="FFFCFCFF"/>
        <color rgb="FFF8696B"/>
      </colorScale>
    </cfRule>
  </conditionalFormatting>
  <conditionalFormatting sqref="CM73:CU73">
    <cfRule type="colorScale" priority="11">
      <colorScale>
        <cfvo type="num" val="-100"/>
        <cfvo type="num" val="0"/>
        <cfvo type="num" val="100"/>
        <color rgb="FFF8696B"/>
        <color theme="0"/>
        <color rgb="FF63BE7B"/>
      </colorScale>
    </cfRule>
  </conditionalFormatting>
  <conditionalFormatting sqref="M61">
    <cfRule type="colorScale" priority="10">
      <colorScale>
        <cfvo type="min"/>
        <cfvo type="percentile" val="50"/>
        <cfvo type="max"/>
        <color rgb="FFF8696B"/>
        <color rgb="FFFCFCFF"/>
        <color rgb="FF63BE7B"/>
      </colorScale>
    </cfRule>
  </conditionalFormatting>
  <conditionalFormatting sqref="M61">
    <cfRule type="colorScale" priority="2">
      <colorScale>
        <cfvo type="num" val="-100"/>
        <cfvo type="num" val="0"/>
        <cfvo type="num" val="100"/>
        <color rgb="FFF8696B"/>
        <color theme="0"/>
        <color rgb="FF63BE7B"/>
      </colorScale>
    </cfRule>
    <cfRule type="colorScale" priority="9">
      <colorScale>
        <cfvo type="min"/>
        <cfvo type="percentile" val="50"/>
        <cfvo type="max"/>
        <color rgb="FFF8696B"/>
        <color rgb="FFFCFCFF"/>
        <color rgb="FF63BE7B"/>
      </colorScale>
    </cfRule>
  </conditionalFormatting>
  <conditionalFormatting sqref="M61">
    <cfRule type="colorScale" priority="8">
      <colorScale>
        <cfvo type="min"/>
        <cfvo type="percentile" val="50"/>
        <cfvo type="max"/>
        <color rgb="FFF8696B"/>
        <color rgb="FFFCFCFF"/>
        <color rgb="FF63BE7B"/>
      </colorScale>
    </cfRule>
  </conditionalFormatting>
  <conditionalFormatting sqref="M61">
    <cfRule type="colorScale" priority="5">
      <colorScale>
        <cfvo type="num" val="-50"/>
        <cfvo type="percentile" val="50"/>
        <cfvo type="num" val="50"/>
        <color rgb="FFC00000"/>
        <color rgb="FFFFEB84"/>
        <color rgb="FF12A107"/>
      </colorScale>
    </cfRule>
    <cfRule type="colorScale" priority="6">
      <colorScale>
        <cfvo type="num" val="-100"/>
        <cfvo type="percentile" val="50"/>
        <cfvo type="num" val="100"/>
        <color rgb="FFFF7128"/>
        <color rgb="FFFFEB84"/>
        <color rgb="FFFFEF9C"/>
      </colorScale>
    </cfRule>
    <cfRule type="colorScale" priority="7">
      <colorScale>
        <cfvo type="min"/>
        <cfvo type="percentile" val="50"/>
        <cfvo type="max"/>
        <color rgb="FF63BE7B"/>
        <color rgb="FFFCFCFF"/>
        <color rgb="FFF8696B"/>
      </colorScale>
    </cfRule>
  </conditionalFormatting>
  <conditionalFormatting sqref="M61">
    <cfRule type="colorScale" priority="4">
      <colorScale>
        <cfvo type="min"/>
        <cfvo type="percentile" val="50"/>
        <cfvo type="max"/>
        <color rgb="FFF8696B"/>
        <color rgb="FFFCFCFF"/>
        <color rgb="FF63BE7B"/>
      </colorScale>
    </cfRule>
  </conditionalFormatting>
  <conditionalFormatting sqref="M61">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topLeftCell="A82" workbookViewId="0">
      <selection activeCell="C44" sqref="C44"/>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73</v>
      </c>
      <c r="B1" s="2" t="s">
        <v>74</v>
      </c>
      <c r="C1" s="76" t="s">
        <v>8</v>
      </c>
      <c r="D1" s="76" t="s">
        <v>9</v>
      </c>
      <c r="E1" s="76" t="s">
        <v>10</v>
      </c>
      <c r="F1" s="76" t="s">
        <v>11</v>
      </c>
      <c r="G1" s="76" t="s">
        <v>12</v>
      </c>
      <c r="H1" s="77" t="s">
        <v>13</v>
      </c>
      <c r="I1" s="76" t="s">
        <v>14</v>
      </c>
      <c r="J1" s="76" t="s">
        <v>15</v>
      </c>
      <c r="K1" s="44" t="s">
        <v>16</v>
      </c>
    </row>
    <row r="2" spans="1:15" ht="15.75" thickTop="1" x14ac:dyDescent="0.25">
      <c r="A2" s="81" t="s">
        <v>82</v>
      </c>
      <c r="B2" s="374" t="s">
        <v>78</v>
      </c>
      <c r="C2" s="31">
        <v>3.4025200935513338</v>
      </c>
      <c r="D2" s="31">
        <v>1.1066742405501007</v>
      </c>
      <c r="E2" s="31">
        <v>0.33353064342257766</v>
      </c>
      <c r="F2" s="31">
        <v>0.39352013472088254</v>
      </c>
      <c r="G2" s="31">
        <v>0.58297722494831938</v>
      </c>
      <c r="H2" s="9">
        <v>0.57887915144922353</v>
      </c>
      <c r="I2" s="31">
        <v>0.7938651379998749</v>
      </c>
      <c r="J2" s="31">
        <v>0.31485288535939027</v>
      </c>
      <c r="K2" s="27">
        <v>1.0909912285054835</v>
      </c>
    </row>
    <row r="3" spans="1:15" x14ac:dyDescent="0.25">
      <c r="A3" s="81" t="s">
        <v>79</v>
      </c>
      <c r="B3" s="374"/>
      <c r="C3" s="33">
        <v>3.6130612698420239</v>
      </c>
      <c r="D3" s="33">
        <v>1.0944205467211061</v>
      </c>
      <c r="E3" s="33">
        <v>0.40322923049382603</v>
      </c>
      <c r="F3" s="33">
        <v>0.41670215430120205</v>
      </c>
      <c r="G3" s="33">
        <v>0.5714241715939461</v>
      </c>
      <c r="H3" s="12">
        <v>0.51648193487785399</v>
      </c>
      <c r="I3" s="33">
        <v>0.85319131165391193</v>
      </c>
      <c r="J3" s="33">
        <v>0.29638266311306405</v>
      </c>
      <c r="K3" s="8">
        <v>1.1285252388991021</v>
      </c>
    </row>
    <row r="4" spans="1:15" ht="15.75" thickBot="1" x14ac:dyDescent="0.3">
      <c r="A4" s="82" t="s">
        <v>287</v>
      </c>
      <c r="B4" s="375"/>
      <c r="C4" s="15">
        <f t="shared" ref="C4:K4" si="0">(C3-C2)/C2*100</f>
        <v>6.1878011151123191</v>
      </c>
      <c r="D4" s="15">
        <f t="shared" si="0"/>
        <v>-1.107253912669327</v>
      </c>
      <c r="E4" s="15">
        <f t="shared" si="0"/>
        <v>20.897206432376127</v>
      </c>
      <c r="F4" s="15">
        <f t="shared" si="0"/>
        <v>5.8909360754214379</v>
      </c>
      <c r="G4" s="15">
        <f t="shared" si="0"/>
        <v>-1.9817332238660712</v>
      </c>
      <c r="H4" s="17">
        <f t="shared" si="0"/>
        <v>-10.778971122929224</v>
      </c>
      <c r="I4" s="15">
        <f t="shared" si="0"/>
        <v>7.473079596807584</v>
      </c>
      <c r="J4" s="15">
        <f t="shared" si="0"/>
        <v>-5.8663023606225799</v>
      </c>
      <c r="K4" s="16">
        <f t="shared" si="0"/>
        <v>3.4403585851955305</v>
      </c>
    </row>
    <row r="5" spans="1:15" x14ac:dyDescent="0.25">
      <c r="A5" s="81" t="s">
        <v>288</v>
      </c>
      <c r="B5" s="326" t="s">
        <v>90</v>
      </c>
      <c r="C5" s="31">
        <v>3.529888855725511</v>
      </c>
      <c r="D5" s="31">
        <v>1.207786399649794</v>
      </c>
      <c r="E5" s="31">
        <v>0.46007108468251701</v>
      </c>
      <c r="F5" s="31">
        <v>0.48874301760479211</v>
      </c>
      <c r="G5" s="31">
        <v>0.45786555138080354</v>
      </c>
      <c r="H5" s="28">
        <v>0.90136746831998205</v>
      </c>
      <c r="I5" s="31">
        <v>0.51833985158907614</v>
      </c>
      <c r="J5" s="31">
        <v>0.4799366946725025</v>
      </c>
      <c r="K5" s="27">
        <v>0.99906705998979128</v>
      </c>
    </row>
    <row r="6" spans="1:15" x14ac:dyDescent="0.25">
      <c r="A6" s="81" t="s">
        <v>91</v>
      </c>
      <c r="B6" s="327"/>
      <c r="C6" s="33">
        <v>2.5781012020098628</v>
      </c>
      <c r="D6" s="33">
        <v>0.82662359804662899</v>
      </c>
      <c r="E6" s="33">
        <v>0.30633484798683397</v>
      </c>
      <c r="F6" s="33">
        <v>0.315809501701446</v>
      </c>
      <c r="G6" s="33">
        <v>0.29426111611315525</v>
      </c>
      <c r="H6" s="12">
        <v>0.67182176556547735</v>
      </c>
      <c r="I6" s="33">
        <v>0.44873115138251107</v>
      </c>
      <c r="J6" s="33">
        <v>0.32592931666121644</v>
      </c>
      <c r="K6" s="8">
        <v>0.71808904343255175</v>
      </c>
    </row>
    <row r="7" spans="1:15" ht="15.75" thickBot="1" x14ac:dyDescent="0.3">
      <c r="A7" s="82" t="s">
        <v>287</v>
      </c>
      <c r="B7" s="328"/>
      <c r="C7" s="15">
        <f t="shared" ref="C7:K7" si="1">(C6-C5)/C5*100</f>
        <v>-26.963672019639944</v>
      </c>
      <c r="D7" s="15">
        <f t="shared" si="1"/>
        <v>-31.558792325669984</v>
      </c>
      <c r="E7" s="15">
        <f t="shared" si="1"/>
        <v>-33.41575721972886</v>
      </c>
      <c r="F7" s="15">
        <f t="shared" si="1"/>
        <v>-35.383322047412612</v>
      </c>
      <c r="G7" s="15">
        <f t="shared" si="1"/>
        <v>-35.731981751905082</v>
      </c>
      <c r="H7" s="17">
        <f t="shared" si="1"/>
        <v>-25.466384224221507</v>
      </c>
      <c r="I7" s="15">
        <f t="shared" si="1"/>
        <v>-13.42916235229945</v>
      </c>
      <c r="J7" s="15">
        <f t="shared" si="1"/>
        <v>-32.089102525568933</v>
      </c>
      <c r="K7" s="16">
        <f t="shared" si="1"/>
        <v>-28.124039697606552</v>
      </c>
    </row>
    <row r="8" spans="1:15" x14ac:dyDescent="0.25">
      <c r="C8" s="7"/>
      <c r="D8" s="7"/>
      <c r="E8" s="7"/>
      <c r="F8" s="7"/>
      <c r="G8" s="7"/>
      <c r="H8" s="33"/>
      <c r="I8" s="7"/>
      <c r="J8" s="7"/>
      <c r="K8" s="7"/>
    </row>
    <row r="9" spans="1:15" x14ac:dyDescent="0.25">
      <c r="C9" s="56"/>
      <c r="D9" s="56"/>
      <c r="E9" s="56"/>
      <c r="F9" s="56"/>
      <c r="G9" s="56"/>
      <c r="H9" s="56"/>
      <c r="I9" s="56"/>
      <c r="J9" s="56"/>
      <c r="K9" s="56"/>
    </row>
    <row r="10" spans="1:15" ht="15.75" thickBot="1" x14ac:dyDescent="0.3">
      <c r="A10" s="152" t="s">
        <v>289</v>
      </c>
      <c r="B10" s="76" t="s">
        <v>8</v>
      </c>
      <c r="C10" s="76" t="s">
        <v>9</v>
      </c>
      <c r="D10" s="76" t="s">
        <v>10</v>
      </c>
      <c r="E10" s="76" t="s">
        <v>11</v>
      </c>
      <c r="F10" s="76" t="s">
        <v>12</v>
      </c>
      <c r="G10" s="77" t="s">
        <v>13</v>
      </c>
      <c r="H10" s="76" t="s">
        <v>14</v>
      </c>
      <c r="I10" s="76" t="s">
        <v>15</v>
      </c>
      <c r="J10" s="76" t="s">
        <v>16</v>
      </c>
    </row>
    <row r="11" spans="1:15" ht="15.75" thickTop="1" x14ac:dyDescent="0.25">
      <c r="A11" s="153" t="s">
        <v>23</v>
      </c>
      <c r="B11" s="7">
        <v>2.5229606637205615</v>
      </c>
      <c r="C11" s="7">
        <v>1.1047571486274532</v>
      </c>
      <c r="D11" s="7">
        <v>0.27397636570877021</v>
      </c>
      <c r="E11" s="7">
        <v>0.2646930307392667</v>
      </c>
      <c r="F11" s="7">
        <v>0.26355347691164011</v>
      </c>
      <c r="G11" s="12">
        <v>0.12837822060120638</v>
      </c>
      <c r="H11" s="7">
        <v>0.13276377624086028</v>
      </c>
      <c r="I11" s="7">
        <v>0.27783818701350482</v>
      </c>
      <c r="J11" s="8">
        <v>0.30706946928883555</v>
      </c>
      <c r="K11" s="366" t="s">
        <v>290</v>
      </c>
      <c r="L11" s="367"/>
      <c r="M11" s="367"/>
      <c r="N11" s="367"/>
      <c r="O11" s="350"/>
    </row>
    <row r="12" spans="1:15" x14ac:dyDescent="0.25">
      <c r="A12" s="153" t="s">
        <v>291</v>
      </c>
      <c r="B12" s="20">
        <v>2.4820403217285163</v>
      </c>
      <c r="C12" s="20">
        <v>1.107980129150034</v>
      </c>
      <c r="D12" s="20">
        <v>0.28505536125513997</v>
      </c>
      <c r="E12" s="20">
        <v>0.24654649933266751</v>
      </c>
      <c r="F12" s="20">
        <v>0.25383849276500536</v>
      </c>
      <c r="G12" s="23">
        <v>0.15320092594743631</v>
      </c>
      <c r="H12" s="20">
        <v>0.15672933724990001</v>
      </c>
      <c r="I12" s="20">
        <v>0.28089426318759447</v>
      </c>
      <c r="J12" s="22">
        <v>0.34088774348648149</v>
      </c>
      <c r="K12" s="368"/>
      <c r="L12" s="369"/>
      <c r="M12" s="369"/>
      <c r="N12" s="369"/>
      <c r="O12" s="370"/>
    </row>
    <row r="13" spans="1:15" x14ac:dyDescent="0.25">
      <c r="A13" s="154" t="s">
        <v>292</v>
      </c>
      <c r="B13" s="39">
        <f t="shared" ref="B13:J13" si="2">(B12-B11)/B11*100</f>
        <v>-1.6219175582270378</v>
      </c>
      <c r="C13" s="35">
        <f t="shared" si="2"/>
        <v>0.29173656188466068</v>
      </c>
      <c r="D13" s="35">
        <f t="shared" si="2"/>
        <v>4.0437778337955068</v>
      </c>
      <c r="E13" s="35">
        <f t="shared" si="2"/>
        <v>-6.8556891565740754</v>
      </c>
      <c r="F13" s="35">
        <f t="shared" si="2"/>
        <v>-3.6861529054658697</v>
      </c>
      <c r="G13" s="37">
        <f t="shared" si="2"/>
        <v>19.335604770017099</v>
      </c>
      <c r="H13" s="35">
        <f t="shared" si="2"/>
        <v>18.051280015989736</v>
      </c>
      <c r="I13" s="35">
        <f t="shared" si="2"/>
        <v>1.0999482133610037</v>
      </c>
      <c r="J13" s="36">
        <f t="shared" si="2"/>
        <v>11.013232372455697</v>
      </c>
      <c r="K13" s="371"/>
      <c r="L13" s="372"/>
      <c r="M13" s="372"/>
      <c r="N13" s="372"/>
      <c r="O13" s="373"/>
    </row>
    <row r="14" spans="1:15" x14ac:dyDescent="0.25">
      <c r="A14" s="153" t="s">
        <v>24</v>
      </c>
      <c r="B14" s="7">
        <v>4.131327291459141</v>
      </c>
      <c r="C14" s="7">
        <v>0.7292045263465694</v>
      </c>
      <c r="D14" s="7">
        <v>0.5791785853992214</v>
      </c>
      <c r="E14" s="7">
        <v>0.50942584723137385</v>
      </c>
      <c r="F14" s="7">
        <v>1.144968657765765</v>
      </c>
      <c r="G14" s="12">
        <v>8.1977312267329225E-2</v>
      </c>
      <c r="H14" s="7">
        <v>1.5308497824304672</v>
      </c>
      <c r="I14" s="7">
        <v>0.45637981264609007</v>
      </c>
      <c r="J14" s="8">
        <v>2.2092204012250094</v>
      </c>
    </row>
    <row r="15" spans="1:15" x14ac:dyDescent="0.25">
      <c r="A15" s="153" t="s">
        <v>293</v>
      </c>
      <c r="B15" s="20">
        <v>4.1917170733466884</v>
      </c>
      <c r="C15" s="20">
        <v>0.69427992774883862</v>
      </c>
      <c r="D15" s="20">
        <v>0.55029875253190252</v>
      </c>
      <c r="E15" s="20">
        <v>0.47409612071766893</v>
      </c>
      <c r="F15" s="20">
        <v>1.0358542057299907</v>
      </c>
      <c r="G15" s="23">
        <v>0.1063364320405205</v>
      </c>
      <c r="H15" s="20">
        <v>1.5706294854180483</v>
      </c>
      <c r="I15" s="20">
        <v>0.42768646723215636</v>
      </c>
      <c r="J15" s="22">
        <v>2.2065709932665727</v>
      </c>
    </row>
    <row r="16" spans="1:15" ht="15.75" thickBot="1" x14ac:dyDescent="0.3">
      <c r="A16" s="154" t="s">
        <v>292</v>
      </c>
      <c r="B16" s="15">
        <f t="shared" ref="B16:J16" si="3">(B15-B14)/B14*100</f>
        <v>1.4617525465095351</v>
      </c>
      <c r="C16" s="15">
        <f t="shared" si="3"/>
        <v>-4.7894105612191655</v>
      </c>
      <c r="D16" s="15">
        <f t="shared" si="3"/>
        <v>-4.9863433482113866</v>
      </c>
      <c r="E16" s="15">
        <f t="shared" si="3"/>
        <v>-6.9352049382093215</v>
      </c>
      <c r="F16" s="15">
        <f t="shared" si="3"/>
        <v>-9.5299073294019099</v>
      </c>
      <c r="G16" s="17">
        <f t="shared" si="3"/>
        <v>29.714465014119789</v>
      </c>
      <c r="H16" s="15">
        <f t="shared" si="3"/>
        <v>2.5985373250943309</v>
      </c>
      <c r="I16" s="15">
        <f t="shared" si="3"/>
        <v>-6.2871635902494658</v>
      </c>
      <c r="J16" s="8">
        <f t="shared" si="3"/>
        <v>-0.11992501775592958</v>
      </c>
    </row>
    <row r="17" spans="1:15" x14ac:dyDescent="0.25">
      <c r="A17" s="11" t="s">
        <v>20</v>
      </c>
      <c r="B17" s="20"/>
      <c r="C17" s="20"/>
      <c r="D17" s="20"/>
      <c r="E17" s="20"/>
      <c r="F17" s="20"/>
      <c r="G17" s="21"/>
      <c r="H17" s="7">
        <v>0.26871320317289465</v>
      </c>
      <c r="I17" s="7">
        <v>0.44582741980049667</v>
      </c>
      <c r="J17" s="27">
        <v>0.73360661319030018</v>
      </c>
      <c r="K17" s="376" t="s">
        <v>294</v>
      </c>
      <c r="L17" s="376"/>
      <c r="M17" s="376"/>
      <c r="N17" s="376"/>
      <c r="O17" s="376"/>
    </row>
    <row r="18" spans="1:15" x14ac:dyDescent="0.25">
      <c r="A18" s="11" t="s">
        <v>295</v>
      </c>
      <c r="B18" s="20"/>
      <c r="C18" s="20"/>
      <c r="D18" s="20"/>
      <c r="E18" s="20"/>
      <c r="F18" s="20"/>
      <c r="G18" s="23"/>
      <c r="H18" s="7">
        <v>0.34055583324423827</v>
      </c>
      <c r="I18" s="7">
        <v>0.45495001314739997</v>
      </c>
      <c r="J18" s="8">
        <v>0.77552440327494909</v>
      </c>
      <c r="K18" s="376"/>
      <c r="L18" s="376"/>
      <c r="M18" s="376"/>
      <c r="N18" s="376"/>
      <c r="O18" s="376"/>
    </row>
    <row r="19" spans="1:15" x14ac:dyDescent="0.25">
      <c r="A19" s="83" t="s">
        <v>292</v>
      </c>
      <c r="B19" s="39"/>
      <c r="C19" s="35"/>
      <c r="D19" s="35"/>
      <c r="E19" s="35"/>
      <c r="F19" s="35"/>
      <c r="G19" s="37"/>
      <c r="H19" s="35">
        <f>(H18-H17)/H17*100</f>
        <v>26.735802045840984</v>
      </c>
      <c r="I19" s="35">
        <f t="shared" ref="I19:J19" si="4">(I18-I17)/I17*100</f>
        <v>2.0462163029329972</v>
      </c>
      <c r="J19" s="155">
        <f t="shared" si="4"/>
        <v>5.7139329622939599</v>
      </c>
      <c r="K19" s="376"/>
      <c r="L19" s="376"/>
      <c r="M19" s="376"/>
      <c r="N19" s="376"/>
      <c r="O19" s="376"/>
    </row>
    <row r="20" spans="1:15" ht="15.75" customHeight="1" x14ac:dyDescent="0.25">
      <c r="A20" s="156" t="s">
        <v>21</v>
      </c>
      <c r="B20" s="20"/>
      <c r="C20" s="20"/>
      <c r="D20" s="20"/>
      <c r="E20" s="20"/>
      <c r="F20" s="20"/>
      <c r="G20" s="23"/>
      <c r="H20" s="7">
        <v>1.4990422203469551</v>
      </c>
      <c r="I20" s="7">
        <v>0.4888644746825721</v>
      </c>
      <c r="J20" s="8">
        <v>2.197536220327784</v>
      </c>
    </row>
    <row r="21" spans="1:15" x14ac:dyDescent="0.25">
      <c r="A21" s="11" t="s">
        <v>296</v>
      </c>
      <c r="B21" s="20"/>
      <c r="C21" s="20"/>
      <c r="D21" s="20"/>
      <c r="E21" s="20"/>
      <c r="F21" s="20"/>
      <c r="G21" s="23"/>
      <c r="H21" s="20">
        <v>1.5257800176550576</v>
      </c>
      <c r="I21" s="20">
        <v>0.46931372438222174</v>
      </c>
      <c r="J21" s="22">
        <v>2.2734912727494523</v>
      </c>
    </row>
    <row r="22" spans="1:15" ht="15.75" thickBot="1" x14ac:dyDescent="0.3">
      <c r="A22" s="13" t="s">
        <v>292</v>
      </c>
      <c r="B22" s="15"/>
      <c r="C22" s="15"/>
      <c r="D22" s="15"/>
      <c r="E22" s="15"/>
      <c r="F22" s="15"/>
      <c r="G22" s="17"/>
      <c r="H22" s="15">
        <f>(H21-H20)/H20*100</f>
        <v>1.7836587218947004</v>
      </c>
      <c r="I22" s="15">
        <f t="shared" ref="I22:J22" si="5">(I21-I20)/I20*100</f>
        <v>-3.9992168203764429</v>
      </c>
      <c r="J22" s="16">
        <f t="shared" si="5"/>
        <v>3.4563731746063731</v>
      </c>
    </row>
    <row r="23" spans="1:15" x14ac:dyDescent="0.25">
      <c r="L23" s="56"/>
      <c r="M23" s="56"/>
      <c r="N23" s="56"/>
    </row>
    <row r="24" spans="1:15" ht="15.75" thickBot="1" x14ac:dyDescent="0.3">
      <c r="A24" s="152" t="s">
        <v>297</v>
      </c>
      <c r="B24" s="76" t="s">
        <v>8</v>
      </c>
      <c r="C24" s="76" t="s">
        <v>9</v>
      </c>
      <c r="D24" s="76" t="s">
        <v>10</v>
      </c>
      <c r="E24" s="76" t="s">
        <v>11</v>
      </c>
      <c r="F24" s="76" t="s">
        <v>12</v>
      </c>
      <c r="G24" s="77" t="s">
        <v>13</v>
      </c>
      <c r="H24" s="76" t="s">
        <v>14</v>
      </c>
      <c r="I24" s="76" t="s">
        <v>15</v>
      </c>
      <c r="J24" s="76" t="s">
        <v>16</v>
      </c>
      <c r="L24" s="56"/>
      <c r="M24" s="56"/>
      <c r="N24" s="56"/>
    </row>
    <row r="25" spans="1:15" ht="15.75" thickTop="1" x14ac:dyDescent="0.25">
      <c r="A25" s="157" t="s">
        <v>298</v>
      </c>
      <c r="B25">
        <v>2.659344338505</v>
      </c>
      <c r="C25">
        <v>0.60179251757999996</v>
      </c>
      <c r="D25">
        <v>0.49057592257199995</v>
      </c>
      <c r="E25">
        <v>0.44534936757300003</v>
      </c>
      <c r="F25">
        <v>0.28123816794599998</v>
      </c>
      <c r="G25" s="158">
        <v>0.392604140544</v>
      </c>
      <c r="H25">
        <v>0.391588372932</v>
      </c>
      <c r="I25">
        <v>0.49451949094800002</v>
      </c>
      <c r="J25" s="78">
        <v>0.75909707835600004</v>
      </c>
    </row>
    <row r="26" spans="1:15" x14ac:dyDescent="0.25">
      <c r="A26" s="159" t="s">
        <v>299</v>
      </c>
      <c r="B26" s="25"/>
      <c r="C26" s="25"/>
      <c r="D26" s="25"/>
      <c r="E26" s="25"/>
      <c r="F26" s="25"/>
      <c r="G26" s="119"/>
      <c r="H26" s="25"/>
      <c r="I26" s="25"/>
      <c r="J26" s="160"/>
      <c r="K26">
        <v>49.792532381368119</v>
      </c>
    </row>
    <row r="27" spans="1:15" x14ac:dyDescent="0.25">
      <c r="A27" s="161" t="s">
        <v>292</v>
      </c>
      <c r="B27" s="34">
        <f>(B26-B25)/B25*100</f>
        <v>-100</v>
      </c>
      <c r="C27" s="122">
        <f t="shared" ref="C27:J27" si="6">(C26-C25)/C25*100</f>
        <v>-100</v>
      </c>
      <c r="D27" s="122">
        <f t="shared" si="6"/>
        <v>-100</v>
      </c>
      <c r="E27" s="122">
        <f t="shared" si="6"/>
        <v>-100</v>
      </c>
      <c r="F27" s="122">
        <f t="shared" si="6"/>
        <v>-100</v>
      </c>
      <c r="G27" s="123">
        <f t="shared" si="6"/>
        <v>-100</v>
      </c>
      <c r="H27" s="122">
        <f t="shared" si="6"/>
        <v>-100</v>
      </c>
      <c r="I27" s="122">
        <f t="shared" si="6"/>
        <v>-100</v>
      </c>
      <c r="J27" s="122">
        <f t="shared" si="6"/>
        <v>-100</v>
      </c>
    </row>
    <row r="28" spans="1:15" x14ac:dyDescent="0.25">
      <c r="A28" s="159" t="s">
        <v>300</v>
      </c>
      <c r="B28">
        <v>5.7072267003870003</v>
      </c>
      <c r="C28">
        <v>2.1003363054179998</v>
      </c>
      <c r="D28">
        <v>0.437639047038</v>
      </c>
      <c r="E28">
        <v>0.526643205138</v>
      </c>
      <c r="F28">
        <v>1.63369310616</v>
      </c>
      <c r="G28" s="62">
        <v>0.34203737791799999</v>
      </c>
      <c r="H28">
        <v>2.075894394309</v>
      </c>
      <c r="I28">
        <v>0.37832368852800002</v>
      </c>
      <c r="J28" s="11">
        <v>2.378682805725</v>
      </c>
    </row>
    <row r="29" spans="1:15" x14ac:dyDescent="0.25">
      <c r="A29" s="159" t="s">
        <v>301</v>
      </c>
      <c r="B29" s="25"/>
      <c r="C29" s="25"/>
      <c r="D29" s="25"/>
      <c r="E29" s="25"/>
      <c r="F29" s="25"/>
      <c r="G29" s="119"/>
      <c r="H29" s="25"/>
      <c r="I29" s="25"/>
      <c r="J29" s="160"/>
      <c r="K29">
        <v>62.240666855968534</v>
      </c>
    </row>
    <row r="30" spans="1:15" ht="15.75" thickBot="1" x14ac:dyDescent="0.3">
      <c r="A30" s="162" t="s">
        <v>292</v>
      </c>
      <c r="B30" s="34">
        <f>(B29-B28)/B28*100</f>
        <v>-100</v>
      </c>
      <c r="C30" s="122">
        <f t="shared" ref="C30:J30" si="7">(C29-C28)/C28*100</f>
        <v>-100</v>
      </c>
      <c r="D30" s="122">
        <f t="shared" si="7"/>
        <v>-100</v>
      </c>
      <c r="E30" s="122">
        <f t="shared" si="7"/>
        <v>-100</v>
      </c>
      <c r="F30" s="122">
        <f t="shared" si="7"/>
        <v>-100</v>
      </c>
      <c r="G30" s="123">
        <f t="shared" si="7"/>
        <v>-100</v>
      </c>
      <c r="H30" s="122">
        <f t="shared" si="7"/>
        <v>-100</v>
      </c>
      <c r="I30" s="122">
        <f t="shared" si="7"/>
        <v>-100</v>
      </c>
      <c r="J30" s="122">
        <f t="shared" si="7"/>
        <v>-100</v>
      </c>
      <c r="K30" s="56"/>
    </row>
    <row r="31" spans="1:15" x14ac:dyDescent="0.25">
      <c r="A31" s="159" t="s">
        <v>266</v>
      </c>
      <c r="B31" s="63">
        <v>3.5578552293679495</v>
      </c>
      <c r="C31" s="63">
        <v>1.4328364310522657</v>
      </c>
      <c r="D31" s="63">
        <v>0.48117608486713553</v>
      </c>
      <c r="E31" s="63">
        <v>0.52862891350141139</v>
      </c>
      <c r="F31" s="63">
        <v>0.78462261580769732</v>
      </c>
      <c r="G31" s="61">
        <v>0.20174842106432062</v>
      </c>
      <c r="H31" s="63">
        <v>0.74935846601944234</v>
      </c>
      <c r="I31" s="63">
        <v>0.21649055894619498</v>
      </c>
      <c r="J31" s="69">
        <v>1.0001005961707088</v>
      </c>
    </row>
    <row r="32" spans="1:15" x14ac:dyDescent="0.25">
      <c r="A32" s="159" t="s">
        <v>302</v>
      </c>
      <c r="B32" s="25"/>
      <c r="C32" s="25"/>
      <c r="D32" s="25"/>
      <c r="E32" s="25"/>
      <c r="F32" s="25"/>
      <c r="G32" s="119"/>
      <c r="H32" s="25"/>
      <c r="I32" s="25"/>
      <c r="J32" s="160"/>
      <c r="K32">
        <v>62.893079700829411</v>
      </c>
    </row>
    <row r="33" spans="1:11" x14ac:dyDescent="0.25">
      <c r="A33" s="163" t="s">
        <v>292</v>
      </c>
      <c r="B33" s="34">
        <f>(B32-B31)/B31*100</f>
        <v>-100</v>
      </c>
      <c r="C33" s="122">
        <f t="shared" ref="C33:J33" si="8">(C32-C31)/C31*100</f>
        <v>-100</v>
      </c>
      <c r="D33" s="122">
        <f t="shared" si="8"/>
        <v>-100</v>
      </c>
      <c r="E33" s="122">
        <f t="shared" si="8"/>
        <v>-100</v>
      </c>
      <c r="F33" s="122">
        <f t="shared" si="8"/>
        <v>-100</v>
      </c>
      <c r="G33" s="123">
        <f t="shared" si="8"/>
        <v>-100</v>
      </c>
      <c r="H33" s="122">
        <f t="shared" si="8"/>
        <v>-100</v>
      </c>
      <c r="I33" s="122">
        <f t="shared" si="8"/>
        <v>-100</v>
      </c>
      <c r="J33" s="122">
        <f t="shared" si="8"/>
        <v>-100</v>
      </c>
    </row>
    <row r="34" spans="1:11" x14ac:dyDescent="0.25">
      <c r="A34" s="164" t="s">
        <v>276</v>
      </c>
      <c r="B34" s="56">
        <v>5.2041646156252055</v>
      </c>
      <c r="C34" s="56">
        <v>1.8736028232735278</v>
      </c>
      <c r="D34" s="56">
        <v>0.47005481548118283</v>
      </c>
      <c r="E34" s="56">
        <v>0.48360276129079088</v>
      </c>
      <c r="F34" s="56">
        <v>0.93730826097443365</v>
      </c>
      <c r="G34" s="62">
        <v>0.1265958960561098</v>
      </c>
      <c r="H34" s="56">
        <v>1.2350206030171145</v>
      </c>
      <c r="I34" s="56">
        <v>0.42817125196967976</v>
      </c>
      <c r="J34" s="11">
        <v>1.9395411823782274</v>
      </c>
    </row>
    <row r="35" spans="1:11" x14ac:dyDescent="0.25">
      <c r="A35" s="159" t="s">
        <v>303</v>
      </c>
      <c r="B35" s="25"/>
      <c r="C35" s="25"/>
      <c r="D35" s="25"/>
      <c r="E35" s="25"/>
      <c r="F35" s="25"/>
      <c r="G35" s="119"/>
      <c r="H35" s="25"/>
      <c r="I35" s="25"/>
      <c r="J35" s="160"/>
      <c r="K35">
        <v>68.493153739171021</v>
      </c>
    </row>
    <row r="36" spans="1:11" ht="15.75" thickBot="1" x14ac:dyDescent="0.3">
      <c r="A36" s="162" t="s">
        <v>292</v>
      </c>
      <c r="B36" s="34">
        <f>(B35-B34)/B34*100</f>
        <v>-100</v>
      </c>
      <c r="C36" s="122">
        <f t="shared" ref="C36:J36" si="9">(C35-C34)/C34*100</f>
        <v>-100</v>
      </c>
      <c r="D36" s="122">
        <f t="shared" si="9"/>
        <v>-100</v>
      </c>
      <c r="E36" s="122">
        <f t="shared" si="9"/>
        <v>-100</v>
      </c>
      <c r="F36" s="122">
        <f t="shared" si="9"/>
        <v>-100</v>
      </c>
      <c r="G36" s="123">
        <f t="shared" si="9"/>
        <v>-100</v>
      </c>
      <c r="H36" s="122">
        <f t="shared" si="9"/>
        <v>-100</v>
      </c>
      <c r="I36" s="122">
        <f t="shared" si="9"/>
        <v>-100</v>
      </c>
      <c r="J36" s="122">
        <f t="shared" si="9"/>
        <v>-100</v>
      </c>
    </row>
    <row r="37" spans="1:11" x14ac:dyDescent="0.25">
      <c r="A37" s="157" t="s">
        <v>304</v>
      </c>
      <c r="B37" s="56">
        <v>4.2205166666666667</v>
      </c>
      <c r="C37" s="56">
        <v>1.7646833333333334</v>
      </c>
      <c r="D37" s="56">
        <v>0.36100833333333326</v>
      </c>
      <c r="E37" s="56">
        <v>0.16195833333333332</v>
      </c>
      <c r="F37" s="56">
        <v>0.65074166666666666</v>
      </c>
      <c r="G37" s="56">
        <v>0.55703333333333327</v>
      </c>
      <c r="H37" s="56">
        <v>0.24007499999999998</v>
      </c>
      <c r="I37" s="56">
        <v>0.20473333333333332</v>
      </c>
      <c r="J37" s="11">
        <v>0.63325833333333337</v>
      </c>
    </row>
    <row r="38" spans="1:11" x14ac:dyDescent="0.25">
      <c r="A38" s="159" t="s">
        <v>305</v>
      </c>
      <c r="B38" s="25"/>
      <c r="C38" s="25"/>
      <c r="D38" s="25"/>
      <c r="E38" s="25"/>
      <c r="F38" s="25"/>
      <c r="G38" s="119"/>
      <c r="H38" s="25"/>
      <c r="I38" s="25"/>
      <c r="J38" s="160"/>
      <c r="K38">
        <v>83.333333333333329</v>
      </c>
    </row>
    <row r="39" spans="1:11" x14ac:dyDescent="0.25">
      <c r="A39" s="163" t="s">
        <v>292</v>
      </c>
      <c r="B39" s="34">
        <f>(B38-B37)/B37*100</f>
        <v>-100</v>
      </c>
      <c r="C39" s="122">
        <f t="shared" ref="C39:J39" si="10">(C38-C37)/C37*100</f>
        <v>-100</v>
      </c>
      <c r="D39" s="122">
        <f t="shared" si="10"/>
        <v>-100</v>
      </c>
      <c r="E39" s="122">
        <f t="shared" si="10"/>
        <v>-100</v>
      </c>
      <c r="F39" s="122">
        <f t="shared" si="10"/>
        <v>-100</v>
      </c>
      <c r="G39" s="123">
        <f t="shared" si="10"/>
        <v>-100</v>
      </c>
      <c r="H39" s="122">
        <f t="shared" si="10"/>
        <v>-100</v>
      </c>
      <c r="I39" s="122">
        <f t="shared" si="10"/>
        <v>-100</v>
      </c>
      <c r="J39" s="122">
        <f t="shared" si="10"/>
        <v>-100</v>
      </c>
    </row>
    <row r="40" spans="1:11" x14ac:dyDescent="0.25">
      <c r="A40" s="164" t="s">
        <v>306</v>
      </c>
      <c r="B40" s="56">
        <v>3.7966363636363636</v>
      </c>
      <c r="C40" s="56">
        <v>1.3650818181818181</v>
      </c>
      <c r="D40" s="56">
        <v>0.26103636363636362</v>
      </c>
      <c r="E40" s="56">
        <v>0.13195454545454544</v>
      </c>
      <c r="F40" s="56">
        <v>0.5572818181818181</v>
      </c>
      <c r="G40" s="56">
        <v>0.51330909090909083</v>
      </c>
      <c r="H40" s="56">
        <v>0.62452727272727271</v>
      </c>
      <c r="I40" s="56">
        <v>0.20800909090909089</v>
      </c>
      <c r="J40" s="11">
        <v>0.97598181818181806</v>
      </c>
    </row>
    <row r="41" spans="1:11" x14ac:dyDescent="0.25">
      <c r="A41" s="159" t="s">
        <v>306</v>
      </c>
      <c r="B41" s="25"/>
      <c r="C41" s="25"/>
      <c r="D41" s="25"/>
      <c r="E41" s="25"/>
      <c r="F41" s="25"/>
      <c r="G41" s="119"/>
      <c r="H41" s="25"/>
      <c r="I41" s="25"/>
      <c r="J41" s="160"/>
      <c r="K41">
        <v>90.909090909090907</v>
      </c>
    </row>
    <row r="42" spans="1:11" ht="15.75" thickBot="1" x14ac:dyDescent="0.3">
      <c r="A42" s="162" t="s">
        <v>292</v>
      </c>
      <c r="B42" s="34">
        <f>(B41-B40)/B40*100</f>
        <v>-100</v>
      </c>
      <c r="C42" s="122">
        <f t="shared" ref="C42:J42" si="11">(C41-C40)/C40*100</f>
        <v>-100</v>
      </c>
      <c r="D42" s="122">
        <f t="shared" si="11"/>
        <v>-100</v>
      </c>
      <c r="E42" s="122">
        <f t="shared" si="11"/>
        <v>-100</v>
      </c>
      <c r="F42" s="122">
        <f t="shared" si="11"/>
        <v>-100</v>
      </c>
      <c r="G42" s="123">
        <f t="shared" si="11"/>
        <v>-100</v>
      </c>
      <c r="H42" s="122">
        <f t="shared" si="11"/>
        <v>-100</v>
      </c>
      <c r="I42" s="122">
        <f t="shared" si="11"/>
        <v>-100</v>
      </c>
      <c r="J42" s="122">
        <f t="shared" si="11"/>
        <v>-100</v>
      </c>
    </row>
    <row r="43" spans="1:11" x14ac:dyDescent="0.25">
      <c r="A43" s="11" t="s">
        <v>307</v>
      </c>
      <c r="F43" s="31">
        <v>0.27247354769803034</v>
      </c>
      <c r="G43" s="28">
        <v>0.59268026672214025</v>
      </c>
      <c r="H43" s="31">
        <v>0.13162499517202048</v>
      </c>
      <c r="I43" s="31">
        <v>0.7256105503078214</v>
      </c>
      <c r="J43" s="11"/>
    </row>
    <row r="44" spans="1:11" x14ac:dyDescent="0.25">
      <c r="A44" s="11" t="s">
        <v>308</v>
      </c>
      <c r="B44" s="25"/>
      <c r="C44" s="25"/>
      <c r="D44" s="25"/>
      <c r="E44" s="25"/>
      <c r="F44" s="20">
        <v>0.29806516000482447</v>
      </c>
      <c r="G44" s="23">
        <v>0.62883861126049057</v>
      </c>
      <c r="H44" s="20">
        <v>0.15606217322837115</v>
      </c>
      <c r="I44" s="20">
        <v>0.75250866332685318</v>
      </c>
      <c r="J44" s="160"/>
    </row>
    <row r="45" spans="1:11" x14ac:dyDescent="0.25">
      <c r="A45" s="83" t="s">
        <v>292</v>
      </c>
      <c r="B45" s="34"/>
      <c r="C45" s="122"/>
      <c r="D45" s="122"/>
      <c r="E45" s="122"/>
      <c r="F45" s="35">
        <f>(F44-F43)/F43*100</f>
        <v>9.3923290987336934</v>
      </c>
      <c r="G45" s="37">
        <f t="shared" ref="G45:I45" si="12">(G44-G43)/G43*100</f>
        <v>6.1008180242488201</v>
      </c>
      <c r="H45" s="35">
        <f t="shared" si="12"/>
        <v>18.565757988757206</v>
      </c>
      <c r="I45" s="35">
        <f t="shared" si="12"/>
        <v>3.7069627788103348</v>
      </c>
      <c r="J45" s="165"/>
    </row>
    <row r="46" spans="1:11" x14ac:dyDescent="0.25">
      <c r="A46" s="156" t="s">
        <v>309</v>
      </c>
      <c r="F46" s="33">
        <v>0.69459303238463499</v>
      </c>
      <c r="G46" s="12">
        <v>0.8192977434835601</v>
      </c>
      <c r="H46" s="33">
        <v>0.76276672771915943</v>
      </c>
      <c r="I46" s="33">
        <v>0.83986598111287769</v>
      </c>
      <c r="J46" s="11"/>
    </row>
    <row r="47" spans="1:11" x14ac:dyDescent="0.25">
      <c r="A47" s="11" t="s">
        <v>310</v>
      </c>
      <c r="B47" s="25"/>
      <c r="C47" s="25"/>
      <c r="D47" s="25"/>
      <c r="E47" s="25"/>
      <c r="F47" s="20">
        <v>0.62515469342041186</v>
      </c>
      <c r="G47" s="23">
        <v>0.80564120136195139</v>
      </c>
      <c r="H47" s="20">
        <v>0.77480315581509196</v>
      </c>
      <c r="I47" s="20">
        <v>0.82969584885432979</v>
      </c>
      <c r="J47" s="160"/>
    </row>
    <row r="48" spans="1:11" ht="15.75" thickBot="1" x14ac:dyDescent="0.3">
      <c r="A48" s="13" t="s">
        <v>292</v>
      </c>
      <c r="B48" s="26"/>
      <c r="C48" s="26"/>
      <c r="D48" s="26"/>
      <c r="E48" s="26"/>
      <c r="F48" s="15">
        <f>(F47-F46)/F46*100</f>
        <v>-9.996981790305556</v>
      </c>
      <c r="G48" s="17">
        <f t="shared" ref="G48:I48" si="13">(G47-G46)/G46*100</f>
        <v>-1.6668594818219153</v>
      </c>
      <c r="H48" s="15">
        <f t="shared" si="13"/>
        <v>1.577995953222042</v>
      </c>
      <c r="I48" s="15">
        <f t="shared" si="13"/>
        <v>-1.2109232290932666</v>
      </c>
      <c r="J48" s="50"/>
    </row>
    <row r="49" spans="1:10" x14ac:dyDescent="0.25">
      <c r="A49" s="69" t="s">
        <v>269</v>
      </c>
      <c r="B49" s="25"/>
      <c r="C49" s="33">
        <v>0.58936561387781039</v>
      </c>
      <c r="F49" s="33">
        <v>0.78174952063101233</v>
      </c>
      <c r="G49" s="62"/>
      <c r="I49" s="25"/>
      <c r="J49" s="8">
        <v>1.0265813235094456</v>
      </c>
    </row>
    <row r="50" spans="1:10" x14ac:dyDescent="0.25">
      <c r="A50" s="11" t="s">
        <v>311</v>
      </c>
      <c r="B50" s="25"/>
      <c r="C50" s="20">
        <v>0.5806508748111352</v>
      </c>
      <c r="D50" s="25"/>
      <c r="E50" s="25"/>
      <c r="F50" s="20">
        <v>0.7989007319756759</v>
      </c>
      <c r="G50" s="119"/>
      <c r="H50" s="25"/>
      <c r="I50" s="25"/>
      <c r="J50" s="22">
        <v>1.0341172956258742</v>
      </c>
    </row>
    <row r="51" spans="1:10" x14ac:dyDescent="0.25">
      <c r="A51" s="83" t="s">
        <v>292</v>
      </c>
      <c r="B51" s="34"/>
      <c r="C51" s="35">
        <f>(C50-C49)/C49*100</f>
        <v>-1.4786643233790639</v>
      </c>
      <c r="D51" s="122"/>
      <c r="E51" s="122"/>
      <c r="F51" s="35">
        <f>(F50-F49)/F49*100</f>
        <v>2.1939522688570969</v>
      </c>
      <c r="G51" s="123"/>
      <c r="H51" s="122"/>
      <c r="I51" s="122"/>
      <c r="J51" s="35">
        <f>(J50-J49)/J49*100</f>
        <v>0.7340842799152284</v>
      </c>
    </row>
    <row r="52" spans="1:10" x14ac:dyDescent="0.25">
      <c r="A52" s="156" t="s">
        <v>281</v>
      </c>
      <c r="C52" s="33">
        <v>0.94030719941305219</v>
      </c>
      <c r="F52" s="33">
        <v>1.0284818954417076</v>
      </c>
      <c r="G52" s="62"/>
      <c r="J52" s="8">
        <v>1.2413614068347953</v>
      </c>
    </row>
    <row r="53" spans="1:10" x14ac:dyDescent="0.25">
      <c r="A53" s="11" t="s">
        <v>312</v>
      </c>
      <c r="B53" s="25"/>
      <c r="C53" s="20">
        <v>0.86321569139273147</v>
      </c>
      <c r="D53" s="25"/>
      <c r="E53" s="25"/>
      <c r="F53" s="20">
        <v>1.0353623546702297</v>
      </c>
      <c r="G53" s="119"/>
      <c r="H53" s="25"/>
      <c r="I53" s="25"/>
      <c r="J53" s="22">
        <v>1.2026418111210058</v>
      </c>
    </row>
    <row r="54" spans="1:10" ht="15.75" thickBot="1" x14ac:dyDescent="0.3">
      <c r="A54" s="13" t="s">
        <v>292</v>
      </c>
      <c r="B54" s="26"/>
      <c r="C54" s="15">
        <f>(C53-C52)/C52*100</f>
        <v>-8.1985449083493034</v>
      </c>
      <c r="D54" s="26"/>
      <c r="E54" s="26"/>
      <c r="F54" s="15">
        <f>(F53-F52)/F52*100</f>
        <v>0.66899176922964776</v>
      </c>
      <c r="G54" s="150"/>
      <c r="H54" s="26"/>
      <c r="I54" s="26"/>
      <c r="J54" s="15">
        <f>(J53-J52)/J52*100</f>
        <v>-3.119123528458664</v>
      </c>
    </row>
    <row r="55" spans="1:10" x14ac:dyDescent="0.25">
      <c r="A55" s="11" t="s">
        <v>259</v>
      </c>
      <c r="B55" s="25"/>
      <c r="C55" s="25"/>
      <c r="D55" s="25"/>
      <c r="E55" s="25"/>
      <c r="F55" s="31">
        <v>0.6055605234004936</v>
      </c>
      <c r="G55" s="28">
        <v>0.53013799316870647</v>
      </c>
      <c r="H55" s="25"/>
      <c r="I55" s="25"/>
      <c r="J55" s="160"/>
    </row>
    <row r="56" spans="1:10" x14ac:dyDescent="0.25">
      <c r="A56" s="11" t="s">
        <v>313</v>
      </c>
      <c r="B56" s="25"/>
      <c r="C56" s="25"/>
      <c r="D56" s="25"/>
      <c r="E56" s="25"/>
      <c r="F56" s="7">
        <v>0.59469394083927596</v>
      </c>
      <c r="G56" s="12">
        <v>0.53508015944677467</v>
      </c>
      <c r="H56" s="25"/>
      <c r="I56" s="25"/>
      <c r="J56" s="160"/>
    </row>
    <row r="57" spans="1:10" x14ac:dyDescent="0.25">
      <c r="A57" s="166" t="s">
        <v>292</v>
      </c>
      <c r="B57" s="122"/>
      <c r="C57" s="122"/>
      <c r="D57" s="122"/>
      <c r="E57" s="122"/>
      <c r="F57" s="35">
        <f>(F56-F55)/F55*100</f>
        <v>-1.7944668024588051</v>
      </c>
      <c r="G57" s="37">
        <f>(G56-G55)/G55*100</f>
        <v>0.93224148085071379</v>
      </c>
      <c r="H57" s="122"/>
      <c r="I57" s="122"/>
      <c r="J57" s="165"/>
    </row>
    <row r="58" spans="1:10" x14ac:dyDescent="0.25">
      <c r="A58" s="11" t="s">
        <v>272</v>
      </c>
      <c r="B58" s="25"/>
      <c r="C58" s="25"/>
      <c r="D58" s="25"/>
      <c r="E58" s="25"/>
      <c r="F58" s="33">
        <v>0.39367174506149483</v>
      </c>
      <c r="G58" s="12">
        <v>0.55617393628132084</v>
      </c>
      <c r="H58" s="25"/>
      <c r="I58" s="25"/>
      <c r="J58" s="160"/>
    </row>
    <row r="59" spans="1:10" x14ac:dyDescent="0.25">
      <c r="A59" s="11" t="s">
        <v>314</v>
      </c>
      <c r="B59" s="25"/>
      <c r="C59" s="25"/>
      <c r="D59" s="25"/>
      <c r="E59" s="25"/>
      <c r="F59" s="20">
        <v>0.39187478727951214</v>
      </c>
      <c r="G59" s="23">
        <v>0.61899379144580091</v>
      </c>
      <c r="H59" s="25"/>
      <c r="I59" s="25"/>
      <c r="J59" s="160"/>
    </row>
    <row r="60" spans="1:10" ht="15.75" thickBot="1" x14ac:dyDescent="0.3">
      <c r="A60" s="13" t="s">
        <v>292</v>
      </c>
      <c r="B60" s="26"/>
      <c r="C60" s="26"/>
      <c r="D60" s="26"/>
      <c r="E60" s="26"/>
      <c r="F60" s="15">
        <f>(F59-F58)/F58*100</f>
        <v>-0.45646094862662517</v>
      </c>
      <c r="G60" s="17">
        <f>(G59-G58)/G58*100</f>
        <v>11.295001629257378</v>
      </c>
      <c r="H60" s="26"/>
      <c r="I60" s="26"/>
      <c r="J60" s="50"/>
    </row>
    <row r="61" spans="1:10" x14ac:dyDescent="0.25">
      <c r="A61" s="11" t="s">
        <v>260</v>
      </c>
      <c r="B61" s="25"/>
      <c r="C61" s="31">
        <v>0.50415429254138933</v>
      </c>
      <c r="D61" s="25"/>
      <c r="E61" s="63"/>
      <c r="F61" s="25"/>
      <c r="G61" s="167"/>
      <c r="H61" s="25"/>
      <c r="I61" s="25"/>
      <c r="J61" s="160"/>
    </row>
    <row r="62" spans="1:10" x14ac:dyDescent="0.25">
      <c r="A62" s="11" t="s">
        <v>315</v>
      </c>
      <c r="B62" s="25"/>
      <c r="C62" s="7">
        <v>0.50696797422157414</v>
      </c>
      <c r="D62" s="25"/>
      <c r="E62" s="56"/>
      <c r="F62" s="25"/>
      <c r="G62" s="119"/>
      <c r="H62" s="25"/>
      <c r="I62" s="25"/>
      <c r="J62" s="160"/>
    </row>
    <row r="63" spans="1:10" x14ac:dyDescent="0.25">
      <c r="A63" s="83" t="s">
        <v>292</v>
      </c>
      <c r="B63" s="34"/>
      <c r="C63" s="35">
        <f>(C62-C61)/C61*100</f>
        <v>0.55809932034919973</v>
      </c>
      <c r="D63" s="122"/>
      <c r="E63" s="122"/>
      <c r="F63" s="122"/>
      <c r="G63" s="123"/>
      <c r="H63" s="122"/>
      <c r="I63" s="122"/>
      <c r="J63" s="165"/>
    </row>
    <row r="64" spans="1:10" x14ac:dyDescent="0.25">
      <c r="A64" s="156" t="s">
        <v>273</v>
      </c>
      <c r="B64" s="25"/>
      <c r="C64" s="33">
        <v>0.79401864699302172</v>
      </c>
      <c r="D64" s="25"/>
      <c r="E64" s="25"/>
      <c r="F64" s="25"/>
      <c r="G64" s="119"/>
      <c r="H64" s="25"/>
      <c r="I64" s="25"/>
      <c r="J64" s="160"/>
    </row>
    <row r="65" spans="1:12" x14ac:dyDescent="0.25">
      <c r="A65" s="11" t="s">
        <v>316</v>
      </c>
      <c r="B65" s="25"/>
      <c r="C65" s="20">
        <v>0.75315088331459912</v>
      </c>
      <c r="D65" s="25"/>
      <c r="E65" s="25"/>
      <c r="F65" s="25"/>
      <c r="G65" s="119"/>
      <c r="H65" s="25"/>
      <c r="I65" s="25"/>
      <c r="J65" s="160"/>
    </row>
    <row r="66" spans="1:12" ht="15.75" thickBot="1" x14ac:dyDescent="0.3">
      <c r="A66" s="13" t="s">
        <v>292</v>
      </c>
      <c r="B66" s="26"/>
      <c r="C66" s="15">
        <f>(C65-C64)/C64*100</f>
        <v>-5.1469526355823438</v>
      </c>
      <c r="D66" s="26"/>
      <c r="E66" s="26"/>
      <c r="F66" s="26"/>
      <c r="G66" s="150"/>
      <c r="H66" s="26"/>
      <c r="I66" s="26"/>
      <c r="J66" s="50"/>
    </row>
    <row r="67" spans="1:12" x14ac:dyDescent="0.25">
      <c r="A67" s="11" t="s">
        <v>449</v>
      </c>
      <c r="B67" s="25"/>
      <c r="C67" s="31"/>
      <c r="D67" s="25"/>
      <c r="E67" s="63"/>
      <c r="F67" s="25"/>
      <c r="G67" s="167"/>
      <c r="H67" s="25"/>
      <c r="I67" s="25"/>
      <c r="J67" s="160"/>
    </row>
    <row r="68" spans="1:12" x14ac:dyDescent="0.25">
      <c r="A68" s="11" t="s">
        <v>451</v>
      </c>
      <c r="B68" s="25"/>
      <c r="C68" s="7"/>
      <c r="D68" s="25"/>
      <c r="E68" s="56"/>
      <c r="F68" s="25"/>
      <c r="G68" s="119"/>
      <c r="H68" s="25"/>
      <c r="I68" s="25"/>
      <c r="J68" s="160"/>
    </row>
    <row r="69" spans="1:12" x14ac:dyDescent="0.25">
      <c r="A69" s="83" t="s">
        <v>292</v>
      </c>
      <c r="B69" s="34"/>
      <c r="C69" s="35"/>
      <c r="D69" s="122"/>
      <c r="E69" s="122"/>
      <c r="F69" s="122"/>
      <c r="G69" s="123"/>
      <c r="H69" s="122"/>
      <c r="I69" s="122"/>
      <c r="J69" s="165"/>
      <c r="L69" s="25"/>
    </row>
    <row r="70" spans="1:12" x14ac:dyDescent="0.25">
      <c r="A70" s="156" t="s">
        <v>450</v>
      </c>
      <c r="B70" s="20">
        <v>4.0097811717717207</v>
      </c>
      <c r="C70" s="20">
        <v>1.0911807723680138</v>
      </c>
      <c r="D70" s="20">
        <v>0.43056141535172837</v>
      </c>
      <c r="E70" s="20">
        <v>0.3683655387730993</v>
      </c>
      <c r="F70" s="20">
        <v>1.1796894776812084</v>
      </c>
      <c r="G70" s="20"/>
      <c r="H70" s="20">
        <v>0.83241920513036871</v>
      </c>
      <c r="I70" s="20">
        <v>0.49568953393525156</v>
      </c>
      <c r="J70" s="20">
        <v>1.3290228672685851</v>
      </c>
    </row>
    <row r="71" spans="1:12" x14ac:dyDescent="0.25">
      <c r="A71" s="11" t="s">
        <v>452</v>
      </c>
      <c r="B71" s="7">
        <v>3.9252946305515706</v>
      </c>
      <c r="C71" s="7">
        <v>1.0910049784828284</v>
      </c>
      <c r="D71" s="7">
        <v>0.42296008775630739</v>
      </c>
      <c r="E71" s="7">
        <v>0.51379630410935784</v>
      </c>
      <c r="F71" s="7">
        <v>1.0988172587404719</v>
      </c>
      <c r="G71" s="7"/>
      <c r="H71" s="7">
        <v>0.8283407869940651</v>
      </c>
      <c r="I71" s="7">
        <v>0.43357803842151155</v>
      </c>
      <c r="J71" s="7">
        <v>1.429098810226985</v>
      </c>
    </row>
    <row r="72" spans="1:12" ht="15.75" thickBot="1" x14ac:dyDescent="0.3">
      <c r="A72" s="13" t="s">
        <v>292</v>
      </c>
      <c r="B72" s="34">
        <f>(B71-B70)/B70*100</f>
        <v>-2.1070112707128037</v>
      </c>
      <c r="C72" s="122">
        <f t="shared" ref="C72:J72" si="14">(C71-C70)/C70*100</f>
        <v>-1.6110427312965518E-2</v>
      </c>
      <c r="D72" s="122">
        <f t="shared" si="14"/>
        <v>-1.7654456076170708</v>
      </c>
      <c r="E72" s="122">
        <f t="shared" si="14"/>
        <v>39.480013744130112</v>
      </c>
      <c r="F72" s="122">
        <f t="shared" si="14"/>
        <v>-6.855381900981139</v>
      </c>
      <c r="G72" s="123"/>
      <c r="H72" s="122">
        <f t="shared" si="14"/>
        <v>-0.48994762628823163</v>
      </c>
      <c r="I72" s="122">
        <f t="shared" si="14"/>
        <v>-12.530322159647051</v>
      </c>
      <c r="J72" s="165">
        <f t="shared" si="14"/>
        <v>7.5300392057268777</v>
      </c>
    </row>
    <row r="74" spans="1:12" ht="15.75" thickBot="1" x14ac:dyDescent="0.3">
      <c r="A74" s="168" t="s">
        <v>183</v>
      </c>
      <c r="B74" s="76" t="s">
        <v>8</v>
      </c>
      <c r="C74" s="76" t="s">
        <v>9</v>
      </c>
      <c r="D74" s="76" t="s">
        <v>10</v>
      </c>
      <c r="E74" s="76" t="s">
        <v>11</v>
      </c>
      <c r="F74" s="76" t="s">
        <v>12</v>
      </c>
      <c r="G74" s="77" t="s">
        <v>13</v>
      </c>
      <c r="H74" s="76" t="s">
        <v>14</v>
      </c>
      <c r="I74" s="76" t="s">
        <v>15</v>
      </c>
      <c r="J74" s="44" t="s">
        <v>16</v>
      </c>
    </row>
    <row r="75" spans="1:12" x14ac:dyDescent="0.25">
      <c r="A75" s="159" t="s">
        <v>317</v>
      </c>
      <c r="B75" s="63">
        <v>2.3256387903162534</v>
      </c>
      <c r="C75" s="63">
        <v>0.73807252886581287</v>
      </c>
      <c r="D75" s="63">
        <v>0.13080641118061087</v>
      </c>
      <c r="E75" s="63">
        <v>0.21875716741747714</v>
      </c>
      <c r="F75" s="63">
        <v>0.3620292467538006</v>
      </c>
      <c r="G75" s="61">
        <v>0.43223938894169484</v>
      </c>
      <c r="H75" s="63">
        <v>0.7236385973170929</v>
      </c>
      <c r="I75" s="63">
        <v>0.28898480527997589</v>
      </c>
      <c r="J75" s="69">
        <v>1.2150920969577483</v>
      </c>
    </row>
    <row r="76" spans="1:12" x14ac:dyDescent="0.25">
      <c r="A76" s="159" t="s">
        <v>318</v>
      </c>
      <c r="B76" s="25">
        <v>2.3714162229189508</v>
      </c>
      <c r="C76" s="25">
        <v>0.7747959498606769</v>
      </c>
      <c r="D76" s="25">
        <v>0.13324705778793985</v>
      </c>
      <c r="E76" s="25">
        <v>0.21672766916335412</v>
      </c>
      <c r="F76" s="25">
        <v>0.37586832536596715</v>
      </c>
      <c r="G76" s="25">
        <v>0.43566854116417858</v>
      </c>
      <c r="H76" s="25">
        <v>0.80060206990232752</v>
      </c>
      <c r="I76" s="25">
        <v>0.30778390764252073</v>
      </c>
      <c r="J76" s="160">
        <v>1.2043672484251842</v>
      </c>
    </row>
    <row r="77" spans="1:12" x14ac:dyDescent="0.25">
      <c r="A77" s="161" t="s">
        <v>292</v>
      </c>
      <c r="B77" s="34">
        <f>(B76-B75)/B75*100</f>
        <v>1.9683810225951868</v>
      </c>
      <c r="C77" s="122">
        <f t="shared" ref="C77:J77" si="15">(C76-C75)/C75*100</f>
        <v>4.9755843170719913</v>
      </c>
      <c r="D77" s="122">
        <f t="shared" si="15"/>
        <v>1.8658463184645147</v>
      </c>
      <c r="E77" s="122">
        <f t="shared" si="15"/>
        <v>-0.92774023273482753</v>
      </c>
      <c r="F77" s="122">
        <f t="shared" si="15"/>
        <v>3.8226410535218065</v>
      </c>
      <c r="G77" s="123">
        <f t="shared" si="15"/>
        <v>0.79334561130112691</v>
      </c>
      <c r="H77" s="122">
        <f t="shared" si="15"/>
        <v>10.635622929813101</v>
      </c>
      <c r="I77" s="122">
        <f t="shared" si="15"/>
        <v>6.505221734523996</v>
      </c>
      <c r="J77" s="165">
        <f t="shared" si="15"/>
        <v>-0.8826366790975102</v>
      </c>
    </row>
    <row r="78" spans="1:12" x14ac:dyDescent="0.25">
      <c r="A78" s="159" t="s">
        <v>319</v>
      </c>
      <c r="B78" s="56">
        <v>2.5222346487724341</v>
      </c>
      <c r="C78" s="56">
        <v>0.63026911704225064</v>
      </c>
      <c r="D78" s="56">
        <v>4.561590061704679E-2</v>
      </c>
      <c r="E78" s="56">
        <v>0.11677561123576252</v>
      </c>
      <c r="F78" s="56">
        <v>0.62412255226498359</v>
      </c>
      <c r="G78" s="62">
        <v>0.50061672618408304</v>
      </c>
      <c r="H78" s="56">
        <v>1.3013754997708538</v>
      </c>
      <c r="I78" s="56">
        <v>0.29200742458173495</v>
      </c>
      <c r="J78" s="11">
        <v>1.7368240480642101</v>
      </c>
    </row>
    <row r="79" spans="1:12" x14ac:dyDescent="0.25">
      <c r="A79" s="159" t="s">
        <v>320</v>
      </c>
      <c r="B79" s="25">
        <v>2.5361784136751662</v>
      </c>
      <c r="C79" s="25">
        <v>0.64486948827133728</v>
      </c>
      <c r="D79" s="25">
        <v>4.7868425097736624E-2</v>
      </c>
      <c r="E79" s="25">
        <v>0.11827121453468209</v>
      </c>
      <c r="F79" s="25">
        <v>0.62318324043700368</v>
      </c>
      <c r="G79" s="25">
        <v>0.46718452073384442</v>
      </c>
      <c r="H79" s="25">
        <v>1.3080965950836814</v>
      </c>
      <c r="I79" s="25">
        <v>0.27038501347357463</v>
      </c>
      <c r="J79" s="160">
        <v>1.7515703318102647</v>
      </c>
    </row>
    <row r="80" spans="1:12" ht="15.75" thickBot="1" x14ac:dyDescent="0.3">
      <c r="A80" s="162" t="s">
        <v>292</v>
      </c>
      <c r="B80" s="34">
        <f>(B79-B78)/B78*100</f>
        <v>0.55283377022508517</v>
      </c>
      <c r="C80" s="122">
        <f t="shared" ref="C80:J80" si="16">(C79-C78)/C78*100</f>
        <v>2.3165296909364339</v>
      </c>
      <c r="D80" s="122">
        <f t="shared" si="16"/>
        <v>4.9380247900839631</v>
      </c>
      <c r="E80" s="122">
        <f t="shared" si="16"/>
        <v>1.2807497071456471</v>
      </c>
      <c r="F80" s="122">
        <f t="shared" si="16"/>
        <v>-0.15050118355298617</v>
      </c>
      <c r="G80" s="123">
        <f t="shared" si="16"/>
        <v>-6.6782038437016134</v>
      </c>
      <c r="H80" s="122">
        <f t="shared" si="16"/>
        <v>0.51646087651189521</v>
      </c>
      <c r="I80" s="122">
        <f t="shared" si="16"/>
        <v>-7.404747033104309</v>
      </c>
      <c r="J80" s="165">
        <f t="shared" si="16"/>
        <v>0.84903728518096899</v>
      </c>
    </row>
    <row r="81" spans="1:17" x14ac:dyDescent="0.25">
      <c r="A81" s="157" t="s">
        <v>321</v>
      </c>
      <c r="B81" s="63">
        <v>1.3903019077023142</v>
      </c>
      <c r="C81" s="63"/>
      <c r="D81" s="63">
        <v>0.10120059473958701</v>
      </c>
      <c r="E81" s="63">
        <v>0.17686463612737638</v>
      </c>
      <c r="F81" s="63">
        <v>0.67031270351543593</v>
      </c>
      <c r="G81" s="61">
        <v>0.40894855311630218</v>
      </c>
      <c r="H81" s="63">
        <v>0.45790250413916539</v>
      </c>
      <c r="I81" s="63">
        <v>0.45481833248482745</v>
      </c>
      <c r="J81" s="69">
        <v>1.0848864753723544</v>
      </c>
    </row>
    <row r="82" spans="1:17" x14ac:dyDescent="0.25">
      <c r="A82" s="159" t="s">
        <v>322</v>
      </c>
      <c r="B82" s="25">
        <v>1.4791852131305527</v>
      </c>
      <c r="C82" s="25"/>
      <c r="D82" s="25">
        <v>0.13232357221999674</v>
      </c>
      <c r="E82" s="25">
        <v>0.19825986464772044</v>
      </c>
      <c r="F82" s="25">
        <v>0.69100477969320329</v>
      </c>
      <c r="G82" s="25">
        <v>0.39742655335104016</v>
      </c>
      <c r="H82" s="25">
        <v>0.54327004785451816</v>
      </c>
      <c r="I82" s="25">
        <v>0.47462023399999997</v>
      </c>
      <c r="J82" s="160">
        <v>1.0581763850074291</v>
      </c>
    </row>
    <row r="83" spans="1:17" x14ac:dyDescent="0.25">
      <c r="A83" s="161" t="s">
        <v>292</v>
      </c>
      <c r="B83" s="34">
        <f>(B82-B81)/B81*100</f>
        <v>6.3930938262993342</v>
      </c>
      <c r="C83" s="122"/>
      <c r="D83" s="122">
        <f t="shared" ref="D83:J83" si="17">(D82-D81)/D81*100</f>
        <v>30.753749580717876</v>
      </c>
      <c r="E83" s="122">
        <f t="shared" si="17"/>
        <v>12.096951085764484</v>
      </c>
      <c r="F83" s="122">
        <f t="shared" si="17"/>
        <v>3.0869288422028038</v>
      </c>
      <c r="G83" s="123">
        <f t="shared" si="17"/>
        <v>-2.8174692580426486</v>
      </c>
      <c r="H83" s="122">
        <f t="shared" si="17"/>
        <v>18.643170313261255</v>
      </c>
      <c r="I83" s="122">
        <f t="shared" si="17"/>
        <v>4.3538046074325969</v>
      </c>
      <c r="J83" s="165">
        <f t="shared" si="17"/>
        <v>-2.4620170839310997</v>
      </c>
    </row>
    <row r="84" spans="1:17" x14ac:dyDescent="0.25">
      <c r="A84" s="159" t="s">
        <v>323</v>
      </c>
      <c r="B84" s="56">
        <v>1.5360128226453302</v>
      </c>
      <c r="C84" s="56"/>
      <c r="D84" s="56">
        <v>6.4977272528465774E-2</v>
      </c>
      <c r="E84" s="56">
        <v>1.5808460670234968E-2</v>
      </c>
      <c r="F84" s="56">
        <v>1.02601102161775</v>
      </c>
      <c r="G84" s="62">
        <v>0.40415873738100722</v>
      </c>
      <c r="H84" s="56">
        <v>0.85900987047526778</v>
      </c>
      <c r="I84" s="56">
        <v>0.2689943535714982</v>
      </c>
      <c r="J84" s="11">
        <v>1.2882924033716483</v>
      </c>
    </row>
    <row r="85" spans="1:17" x14ac:dyDescent="0.25">
      <c r="A85" s="159" t="s">
        <v>324</v>
      </c>
      <c r="B85" s="25">
        <v>1.9712516481292994</v>
      </c>
      <c r="C85" s="25"/>
      <c r="D85" s="25">
        <v>9.5990895563926745E-2</v>
      </c>
      <c r="E85" s="25">
        <v>2.0645072505306856E-2</v>
      </c>
      <c r="F85" s="25">
        <v>1.0364767134004056</v>
      </c>
      <c r="G85" s="25">
        <v>0.4048336134510172</v>
      </c>
      <c r="H85" s="25">
        <v>0.88726774955818766</v>
      </c>
      <c r="I85" s="25">
        <v>0.32159889814978004</v>
      </c>
      <c r="J85" s="25">
        <v>1.348008710172536</v>
      </c>
      <c r="K85">
        <v>50.907586821298459</v>
      </c>
    </row>
    <row r="86" spans="1:17" ht="15.75" thickBot="1" x14ac:dyDescent="0.3">
      <c r="A86" s="162" t="s">
        <v>292</v>
      </c>
      <c r="B86" s="34">
        <f>(B85-B84)/B84*100</f>
        <v>28.335624486154899</v>
      </c>
      <c r="C86" s="122"/>
      <c r="D86" s="122">
        <f t="shared" ref="D86:J86" si="18">(D85-D84)/D84*100</f>
        <v>47.72995514989379</v>
      </c>
      <c r="E86" s="122">
        <f t="shared" si="18"/>
        <v>30.595084087968942</v>
      </c>
      <c r="F86" s="122">
        <f t="shared" si="18"/>
        <v>1.0200369744716682</v>
      </c>
      <c r="G86" s="123">
        <f t="shared" si="18"/>
        <v>0.16698292220112806</v>
      </c>
      <c r="H86" s="122">
        <f t="shared" si="18"/>
        <v>3.2895872392345775</v>
      </c>
      <c r="I86" s="122">
        <f t="shared" si="18"/>
        <v>19.556003269153994</v>
      </c>
      <c r="J86" s="122">
        <f t="shared" si="18"/>
        <v>4.6353069104965181</v>
      </c>
    </row>
    <row r="87" spans="1:17" x14ac:dyDescent="0.25">
      <c r="A87" s="157" t="s">
        <v>325</v>
      </c>
      <c r="B87" s="56">
        <v>3.6701086150013142</v>
      </c>
      <c r="C87" s="56">
        <v>1.6415909939238003</v>
      </c>
      <c r="D87" s="56">
        <v>0.62303712283968904</v>
      </c>
      <c r="E87" s="56"/>
      <c r="F87" s="56">
        <v>0.87218598476279652</v>
      </c>
      <c r="G87" s="62">
        <v>1.2592540130867274</v>
      </c>
      <c r="H87" s="56">
        <v>1.2286053094420999</v>
      </c>
      <c r="I87" s="56">
        <v>0.53097906931271788</v>
      </c>
      <c r="J87" s="11">
        <v>1.6642151811585886</v>
      </c>
    </row>
    <row r="88" spans="1:17" x14ac:dyDescent="0.25">
      <c r="A88" s="159" t="s">
        <v>326</v>
      </c>
      <c r="B88">
        <v>3.207715004959474</v>
      </c>
      <c r="C88">
        <v>1.6284819271015594</v>
      </c>
      <c r="D88">
        <v>0.65068694333262178</v>
      </c>
      <c r="E88">
        <v>0</v>
      </c>
      <c r="F88">
        <v>0.82645448962831003</v>
      </c>
      <c r="G88">
        <v>1.6232618672343662</v>
      </c>
      <c r="H88">
        <v>1.5320581124441253</v>
      </c>
      <c r="I88">
        <v>0.66675365129857711</v>
      </c>
      <c r="J88" s="11">
        <v>2.2839470516444451</v>
      </c>
    </row>
    <row r="89" spans="1:17" x14ac:dyDescent="0.25">
      <c r="A89" s="161" t="s">
        <v>292</v>
      </c>
      <c r="B89" s="34">
        <f>(B88-B87)/B87*100</f>
        <v>-12.598908058247607</v>
      </c>
      <c r="C89" s="122">
        <f t="shared" ref="C89:D89" si="19">(C88-C87)/C87*100</f>
        <v>-0.79855864650591446</v>
      </c>
      <c r="D89" s="122">
        <f t="shared" si="19"/>
        <v>4.437908991186581</v>
      </c>
      <c r="E89" s="122"/>
      <c r="F89" s="122">
        <f t="shared" ref="F89:J89" si="20">(F88-F87)/F87*100</f>
        <v>-5.2433191926288325</v>
      </c>
      <c r="G89" s="123">
        <f t="shared" si="20"/>
        <v>28.906626491931526</v>
      </c>
      <c r="H89" s="122">
        <f t="shared" si="20"/>
        <v>24.698965621418399</v>
      </c>
      <c r="I89" s="122">
        <f t="shared" si="20"/>
        <v>25.570609056511671</v>
      </c>
      <c r="J89" s="122">
        <f t="shared" si="20"/>
        <v>37.238686289017828</v>
      </c>
    </row>
    <row r="90" spans="1:17" x14ac:dyDescent="0.25">
      <c r="A90" s="159" t="s">
        <v>327</v>
      </c>
      <c r="B90" s="56">
        <v>3.0143451216214068</v>
      </c>
      <c r="C90" s="56">
        <v>1.4849793983359583</v>
      </c>
      <c r="D90" s="56">
        <v>0.59367409599261844</v>
      </c>
      <c r="E90" s="56"/>
      <c r="F90" s="56">
        <v>0.81000588618972624</v>
      </c>
      <c r="G90" s="62">
        <v>1.3714249351723697</v>
      </c>
      <c r="H90" s="56">
        <v>1.2645902734691929</v>
      </c>
      <c r="I90" s="56">
        <v>0.57719531013856407</v>
      </c>
      <c r="J90" s="11">
        <v>2.0477271353346378</v>
      </c>
      <c r="L90" s="366" t="s">
        <v>331</v>
      </c>
      <c r="M90" s="367"/>
      <c r="N90" s="367"/>
      <c r="O90" s="367"/>
      <c r="P90" s="367"/>
      <c r="Q90" s="350"/>
    </row>
    <row r="91" spans="1:17" x14ac:dyDescent="0.25">
      <c r="A91" s="159" t="s">
        <v>328</v>
      </c>
      <c r="B91" s="25"/>
      <c r="C91" s="25"/>
      <c r="D91" s="25"/>
      <c r="E91" s="25"/>
      <c r="F91" s="25"/>
      <c r="G91" s="119"/>
      <c r="H91" s="25"/>
      <c r="I91" s="25"/>
      <c r="J91" s="160"/>
      <c r="L91" s="368"/>
      <c r="M91" s="369"/>
      <c r="N91" s="369"/>
      <c r="O91" s="369"/>
      <c r="P91" s="369"/>
      <c r="Q91" s="370"/>
    </row>
    <row r="92" spans="1:17" ht="15.75" thickBot="1" x14ac:dyDescent="0.3">
      <c r="A92" s="162" t="s">
        <v>292</v>
      </c>
      <c r="B92" s="34">
        <f>(B91-B90)/B90*100</f>
        <v>-100</v>
      </c>
      <c r="C92" s="122">
        <f t="shared" ref="C92:D92" si="21">(C91-C90)/C90*100</f>
        <v>-100</v>
      </c>
      <c r="D92" s="122">
        <f t="shared" si="21"/>
        <v>-100</v>
      </c>
      <c r="E92" s="122"/>
      <c r="F92" s="122">
        <f t="shared" ref="F92:J92" si="22">(F91-F90)/F90*100</f>
        <v>-100</v>
      </c>
      <c r="G92" s="123">
        <f t="shared" si="22"/>
        <v>-100</v>
      </c>
      <c r="H92" s="122">
        <f t="shared" si="22"/>
        <v>-100</v>
      </c>
      <c r="I92" s="122">
        <f t="shared" si="22"/>
        <v>-100</v>
      </c>
      <c r="J92" s="122">
        <f t="shared" si="22"/>
        <v>-100</v>
      </c>
      <c r="L92" s="371"/>
      <c r="M92" s="372"/>
      <c r="N92" s="372"/>
      <c r="O92" s="372"/>
      <c r="P92" s="372"/>
      <c r="Q92" s="373"/>
    </row>
    <row r="93" spans="1:17" x14ac:dyDescent="0.25">
      <c r="A93" s="11" t="s">
        <v>53</v>
      </c>
      <c r="B93" s="25"/>
      <c r="C93" s="25"/>
      <c r="D93" s="25"/>
      <c r="E93" s="25"/>
      <c r="G93" s="167"/>
      <c r="H93" s="33">
        <v>0.21433525066329853</v>
      </c>
      <c r="J93" s="160"/>
      <c r="K93" s="7"/>
    </row>
    <row r="94" spans="1:17" x14ac:dyDescent="0.25">
      <c r="A94" s="11" t="s">
        <v>329</v>
      </c>
      <c r="B94" s="25"/>
      <c r="C94" s="25"/>
      <c r="D94" s="25"/>
      <c r="E94" s="25"/>
      <c r="G94" s="119"/>
      <c r="H94" s="20">
        <v>0.24164610544124301</v>
      </c>
      <c r="I94" s="25"/>
      <c r="J94" s="160"/>
      <c r="K94" s="7"/>
    </row>
    <row r="95" spans="1:17" x14ac:dyDescent="0.25">
      <c r="A95" s="166" t="s">
        <v>292</v>
      </c>
      <c r="B95" s="122"/>
      <c r="C95" s="122"/>
      <c r="D95" s="122"/>
      <c r="E95" s="122"/>
      <c r="F95" s="122"/>
      <c r="G95" s="123"/>
      <c r="H95" s="35">
        <f>(H94-H93)/H93*100</f>
        <v>12.742119970199109</v>
      </c>
      <c r="I95" s="122"/>
      <c r="J95" s="165"/>
      <c r="K95" s="56"/>
    </row>
    <row r="96" spans="1:17" x14ac:dyDescent="0.25">
      <c r="A96" s="11" t="s">
        <v>330</v>
      </c>
      <c r="B96" s="25"/>
      <c r="C96" s="25"/>
      <c r="D96" s="25"/>
      <c r="E96" s="25"/>
      <c r="F96" s="25"/>
      <c r="G96" s="119"/>
      <c r="H96" s="33">
        <v>1.0183024769221314</v>
      </c>
      <c r="I96" s="25"/>
      <c r="J96" s="160"/>
      <c r="K96" s="7"/>
    </row>
    <row r="97" spans="1:11" x14ac:dyDescent="0.25">
      <c r="A97" s="11" t="s">
        <v>332</v>
      </c>
      <c r="B97" s="25"/>
      <c r="C97" s="25"/>
      <c r="D97" s="25"/>
      <c r="E97" s="25"/>
      <c r="F97" s="25"/>
      <c r="G97" s="119"/>
      <c r="H97" s="20">
        <v>0.96862823316063618</v>
      </c>
      <c r="I97" s="25"/>
      <c r="J97" s="160"/>
      <c r="K97" s="7"/>
    </row>
    <row r="98" spans="1:11" ht="15.75" thickBot="1" x14ac:dyDescent="0.3">
      <c r="A98" s="13" t="s">
        <v>292</v>
      </c>
      <c r="B98" s="26"/>
      <c r="C98" s="26"/>
      <c r="D98" s="26"/>
      <c r="E98" s="26"/>
      <c r="F98" s="26"/>
      <c r="G98" s="150"/>
      <c r="H98" s="15">
        <f>(H97-H96)/H96*100</f>
        <v>-4.8781422894735575</v>
      </c>
      <c r="I98" s="26"/>
      <c r="J98" s="50"/>
    </row>
    <row r="99" spans="1:11" x14ac:dyDescent="0.25">
      <c r="A99" s="11" t="s">
        <v>333</v>
      </c>
      <c r="B99" s="25"/>
      <c r="C99" s="25"/>
      <c r="D99" s="25"/>
      <c r="E99" s="25"/>
      <c r="G99" s="167"/>
      <c r="H99">
        <v>0.53668821698082092</v>
      </c>
      <c r="J99" s="160"/>
    </row>
    <row r="100" spans="1:11" x14ac:dyDescent="0.25">
      <c r="A100" s="11" t="s">
        <v>334</v>
      </c>
      <c r="B100" s="25"/>
      <c r="C100" s="25"/>
      <c r="D100" s="25"/>
      <c r="E100" s="25"/>
      <c r="G100" s="119"/>
      <c r="H100" s="25">
        <v>0.53048729324792177</v>
      </c>
      <c r="I100" s="25"/>
      <c r="J100" s="160"/>
    </row>
    <row r="101" spans="1:11" x14ac:dyDescent="0.25">
      <c r="A101" s="166" t="s">
        <v>292</v>
      </c>
      <c r="B101" s="122"/>
      <c r="C101" s="122"/>
      <c r="D101" s="122"/>
      <c r="E101" s="122"/>
      <c r="F101" s="122"/>
      <c r="G101" s="123"/>
      <c r="H101" s="35">
        <f>(H100-H99)/H99*(100)</f>
        <v>-1.1554052309519498</v>
      </c>
      <c r="I101" s="122"/>
      <c r="J101" s="165"/>
    </row>
    <row r="102" spans="1:11" x14ac:dyDescent="0.25">
      <c r="A102" s="11" t="s">
        <v>335</v>
      </c>
      <c r="B102" s="25"/>
      <c r="C102" s="25"/>
      <c r="D102" s="25"/>
      <c r="E102" s="25"/>
      <c r="F102" s="25"/>
      <c r="G102" s="119"/>
      <c r="H102">
        <v>1.0824999788235248</v>
      </c>
      <c r="I102" s="25"/>
      <c r="J102" s="160"/>
    </row>
    <row r="103" spans="1:11" x14ac:dyDescent="0.25">
      <c r="A103" s="11" t="s">
        <v>336</v>
      </c>
      <c r="B103" s="25"/>
      <c r="C103" s="25"/>
      <c r="D103" s="25"/>
      <c r="E103" s="25"/>
      <c r="F103" s="25"/>
      <c r="G103" s="119"/>
      <c r="H103" s="25">
        <v>1.1653076695112863</v>
      </c>
      <c r="I103" s="25"/>
      <c r="J103" s="160"/>
    </row>
    <row r="104" spans="1:11" ht="15.75" thickBot="1" x14ac:dyDescent="0.3">
      <c r="A104" s="13" t="s">
        <v>292</v>
      </c>
      <c r="B104" s="26"/>
      <c r="C104" s="26"/>
      <c r="D104" s="26"/>
      <c r="E104" s="26"/>
      <c r="F104" s="26"/>
      <c r="G104" s="150"/>
      <c r="H104" s="33">
        <f>(H103-H102)/H102*(100)</f>
        <v>7.6496713448214555</v>
      </c>
      <c r="I104" s="26"/>
      <c r="J104" s="50"/>
    </row>
    <row r="105" spans="1:11" x14ac:dyDescent="0.25">
      <c r="H105" s="63"/>
    </row>
    <row r="106" spans="1:11" x14ac:dyDescent="0.25">
      <c r="J106" s="56"/>
    </row>
    <row r="107" spans="1:11" ht="15.75" thickBot="1" x14ac:dyDescent="0.3">
      <c r="A107" s="168" t="s">
        <v>337</v>
      </c>
      <c r="B107" s="26"/>
      <c r="C107" s="26"/>
      <c r="D107" s="26"/>
      <c r="E107" s="26"/>
      <c r="F107" s="26"/>
      <c r="G107" s="26"/>
      <c r="H107" s="26"/>
      <c r="I107" s="26"/>
      <c r="J107" s="26"/>
    </row>
    <row r="108" spans="1:11" x14ac:dyDescent="0.25">
      <c r="A108" s="159" t="s">
        <v>338</v>
      </c>
      <c r="B108" s="31">
        <v>5.4205414924059001</v>
      </c>
      <c r="C108" s="31">
        <v>2.4235263042042705</v>
      </c>
      <c r="D108" s="31">
        <v>0.22890600924499233</v>
      </c>
      <c r="E108" s="31">
        <v>0.31206691613471277</v>
      </c>
      <c r="F108" s="31">
        <v>0.53692273827867054</v>
      </c>
      <c r="G108" s="28">
        <v>0.41824345146379055</v>
      </c>
      <c r="H108" s="31">
        <v>0.65061853400836467</v>
      </c>
      <c r="I108" s="31">
        <v>0.57488003521901843</v>
      </c>
      <c r="J108" s="27">
        <v>1.4346202949592786</v>
      </c>
    </row>
    <row r="109" spans="1:11" x14ac:dyDescent="0.25">
      <c r="A109" s="159" t="s">
        <v>339</v>
      </c>
      <c r="B109" s="20">
        <v>5.4170195905789127</v>
      </c>
      <c r="C109" s="20">
        <v>2.4138322694254892</v>
      </c>
      <c r="D109" s="20">
        <v>0.22806075280651547</v>
      </c>
      <c r="E109" s="20">
        <v>0.3079815100154083</v>
      </c>
      <c r="F109" s="20">
        <v>0.5032093330398415</v>
      </c>
      <c r="G109" s="23">
        <v>0.42224961479198758</v>
      </c>
      <c r="H109" s="20">
        <v>0.71580893682588576</v>
      </c>
      <c r="I109" s="20">
        <v>0.57309267004182241</v>
      </c>
      <c r="J109" s="22">
        <v>1.5726876513317187</v>
      </c>
    </row>
    <row r="110" spans="1:11" ht="15.75" thickBot="1" x14ac:dyDescent="0.3">
      <c r="A110" s="161" t="s">
        <v>292</v>
      </c>
      <c r="B110" s="24">
        <f>(B109-B108)/B108*100</f>
        <v>-6.4973247265454018E-2</v>
      </c>
      <c r="C110" s="15">
        <f t="shared" ref="C110:J110" si="23">(C109-C108)/C108*100</f>
        <v>-0.39999709357246588</v>
      </c>
      <c r="D110" s="15">
        <f t="shared" si="23"/>
        <v>-0.36925917378263234</v>
      </c>
      <c r="E110" s="15">
        <f t="shared" si="23"/>
        <v>-1.3091442597974354</v>
      </c>
      <c r="F110" s="15">
        <f t="shared" si="23"/>
        <v>-6.2790049359636741</v>
      </c>
      <c r="G110" s="17">
        <f t="shared" si="23"/>
        <v>0.95785440613022144</v>
      </c>
      <c r="H110" s="15">
        <f t="shared" si="23"/>
        <v>10.019758031775186</v>
      </c>
      <c r="I110" s="15">
        <f t="shared" si="23"/>
        <v>-0.3109109845004564</v>
      </c>
      <c r="J110" s="16">
        <f t="shared" si="23"/>
        <v>9.6239650908018959</v>
      </c>
    </row>
    <row r="111" spans="1:11" x14ac:dyDescent="0.25">
      <c r="A111" s="159" t="s">
        <v>340</v>
      </c>
      <c r="B111" s="33">
        <v>5.8641903572575158</v>
      </c>
      <c r="C111" s="33">
        <v>2.5526437605157257</v>
      </c>
      <c r="D111" s="33">
        <v>0.2596178423996241</v>
      </c>
      <c r="E111" s="33">
        <v>0.27201537557596112</v>
      </c>
      <c r="F111" s="33">
        <v>0.52790748652885611</v>
      </c>
      <c r="G111" s="12">
        <v>0.36466867721149393</v>
      </c>
      <c r="H111" s="33">
        <v>0.95226182681748039</v>
      </c>
      <c r="I111" s="33">
        <v>0.51143291224083776</v>
      </c>
      <c r="J111" s="8">
        <v>1.7024373913668394</v>
      </c>
    </row>
    <row r="112" spans="1:11" x14ac:dyDescent="0.25">
      <c r="A112" s="159" t="s">
        <v>341</v>
      </c>
      <c r="B112" s="20">
        <v>5.8712073055653757</v>
      </c>
      <c r="C112" s="20">
        <v>2.5579318954723731</v>
      </c>
      <c r="D112" s="20">
        <v>0.26270566945472967</v>
      </c>
      <c r="E112" s="20">
        <v>0.26168872042460506</v>
      </c>
      <c r="F112" s="20">
        <v>0.53786434203289402</v>
      </c>
      <c r="G112" s="23">
        <v>0.35328809306528147</v>
      </c>
      <c r="H112" s="20">
        <v>0.91687200056914453</v>
      </c>
      <c r="I112" s="20">
        <v>0.55449608117102245</v>
      </c>
      <c r="J112" s="22">
        <v>1.6966500268863118</v>
      </c>
    </row>
    <row r="113" spans="1:16" ht="15.75" thickBot="1" x14ac:dyDescent="0.3">
      <c r="A113" s="162" t="s">
        <v>292</v>
      </c>
      <c r="B113" s="24">
        <f>(B112-B111)/B111*100</f>
        <v>0.11965758067822201</v>
      </c>
      <c r="C113" s="15">
        <f t="shared" ref="C113:J113" si="24">(C112-C111)/C111*100</f>
        <v>0.20716306123260142</v>
      </c>
      <c r="D113" s="15">
        <f t="shared" si="24"/>
        <v>1.1893739762125244</v>
      </c>
      <c r="E113" s="15">
        <f t="shared" si="24"/>
        <v>-3.796349794378556</v>
      </c>
      <c r="F113" s="15">
        <f t="shared" si="24"/>
        <v>1.8860985604707188</v>
      </c>
      <c r="G113" s="17">
        <f t="shared" si="24"/>
        <v>-3.1208011154772564</v>
      </c>
      <c r="H113" s="15">
        <f t="shared" si="24"/>
        <v>-3.7163966098075063</v>
      </c>
      <c r="I113" s="15">
        <f t="shared" si="24"/>
        <v>8.4201012292118413</v>
      </c>
      <c r="J113" s="16">
        <f t="shared" si="24"/>
        <v>-0.33994580416734216</v>
      </c>
      <c r="K113" s="56"/>
    </row>
    <row r="114" spans="1:16" x14ac:dyDescent="0.25">
      <c r="A114" s="159" t="s">
        <v>342</v>
      </c>
      <c r="B114" s="7">
        <v>4.2907268047552698</v>
      </c>
      <c r="C114" s="7">
        <v>1.0653172246937059</v>
      </c>
      <c r="D114" s="7">
        <v>0.13720408420279082</v>
      </c>
      <c r="E114" s="7">
        <v>0.17206610817051984</v>
      </c>
      <c r="F114" s="7">
        <v>0.80127185174429827</v>
      </c>
      <c r="G114" s="12">
        <v>1.453018566456324</v>
      </c>
      <c r="H114" s="7">
        <v>0.62159123207070177</v>
      </c>
      <c r="I114" s="7">
        <v>0.19133771399453206</v>
      </c>
      <c r="J114" s="8">
        <v>0.66041179347546075</v>
      </c>
    </row>
    <row r="115" spans="1:16" x14ac:dyDescent="0.25">
      <c r="A115" s="159" t="s">
        <v>343</v>
      </c>
      <c r="B115" s="20">
        <v>4.7240980445760234</v>
      </c>
      <c r="C115" s="20">
        <v>1.1855961592839752</v>
      </c>
      <c r="D115" s="20">
        <v>0.15196916506534508</v>
      </c>
      <c r="E115" s="20">
        <v>0.18493680362374762</v>
      </c>
      <c r="F115" s="20">
        <v>0.87076722953976893</v>
      </c>
      <c r="G115" s="23">
        <v>1.6089705305072066</v>
      </c>
      <c r="H115" s="20">
        <v>0.6990137833429092</v>
      </c>
      <c r="I115" s="20">
        <v>0.19125113260170301</v>
      </c>
      <c r="J115" s="22">
        <v>0.74123565807544545</v>
      </c>
    </row>
    <row r="116" spans="1:16" x14ac:dyDescent="0.25">
      <c r="A116" s="161" t="s">
        <v>292</v>
      </c>
      <c r="B116" s="39">
        <f>(B115-B114)/B114*100</f>
        <v>10.100182545774359</v>
      </c>
      <c r="C116" s="35">
        <f t="shared" ref="C116:J116" si="25">(C115-C114)/C114*100</f>
        <v>11.290433666352406</v>
      </c>
      <c r="D116" s="35">
        <f t="shared" si="25"/>
        <v>10.761400397331563</v>
      </c>
      <c r="E116" s="35">
        <f t="shared" si="25"/>
        <v>7.4800875024573363</v>
      </c>
      <c r="F116" s="35">
        <f t="shared" si="25"/>
        <v>8.6731335493921744</v>
      </c>
      <c r="G116" s="37">
        <f t="shared" si="25"/>
        <v>10.732964302804755</v>
      </c>
      <c r="H116" s="35">
        <f t="shared" si="25"/>
        <v>12.455541081924583</v>
      </c>
      <c r="I116" s="35">
        <f t="shared" si="25"/>
        <v>-4.5250563007940808E-2</v>
      </c>
      <c r="J116" s="36">
        <f t="shared" si="25"/>
        <v>12.238404189398825</v>
      </c>
    </row>
    <row r="117" spans="1:16" x14ac:dyDescent="0.25">
      <c r="A117" s="159" t="s">
        <v>344</v>
      </c>
      <c r="B117" s="7">
        <v>4.8258576625267642</v>
      </c>
      <c r="C117" s="7">
        <v>1.0973434734515273</v>
      </c>
      <c r="D117" s="7">
        <v>0.13335899781406516</v>
      </c>
      <c r="E117" s="7">
        <v>0.16591985676041784</v>
      </c>
      <c r="F117" s="7">
        <v>0.98334348717456088</v>
      </c>
      <c r="G117" s="12">
        <v>1.5354820955939308</v>
      </c>
      <c r="H117" s="7">
        <v>1.0499259136741725</v>
      </c>
      <c r="I117" s="48"/>
      <c r="J117" s="8">
        <v>0.88877647236415724</v>
      </c>
    </row>
    <row r="118" spans="1:16" x14ac:dyDescent="0.25">
      <c r="A118" s="159" t="s">
        <v>345</v>
      </c>
      <c r="B118" s="20">
        <v>4.8153091275870166</v>
      </c>
      <c r="C118" s="20">
        <v>1.1024097286197838</v>
      </c>
      <c r="D118" s="20">
        <v>0.13792602345844285</v>
      </c>
      <c r="E118" s="20">
        <v>0.17231739065901977</v>
      </c>
      <c r="F118" s="20">
        <v>1.0015930997697056</v>
      </c>
      <c r="G118" s="23">
        <v>1.5309797848878337</v>
      </c>
      <c r="H118" s="20">
        <v>1.0428904753839467</v>
      </c>
      <c r="I118" s="20"/>
      <c r="J118" s="22">
        <v>0.87956846114593801</v>
      </c>
    </row>
    <row r="119" spans="1:16" ht="15.75" thickBot="1" x14ac:dyDescent="0.3">
      <c r="A119" s="162" t="s">
        <v>292</v>
      </c>
      <c r="B119" s="39">
        <f>(B118-B117)/B117*100</f>
        <v>-0.21858363170671136</v>
      </c>
      <c r="C119" s="35">
        <f t="shared" ref="C119:H119" si="26">(C118-C117)/C117*100</f>
        <v>0.46168362876587798</v>
      </c>
      <c r="D119" s="35">
        <f t="shared" si="26"/>
        <v>3.4246100519930689</v>
      </c>
      <c r="E119" s="35">
        <f t="shared" si="26"/>
        <v>3.8557976263442226</v>
      </c>
      <c r="F119" s="35">
        <f t="shared" si="26"/>
        <v>1.8558736426455886</v>
      </c>
      <c r="G119" s="37">
        <f t="shared" si="26"/>
        <v>-0.29321805308029764</v>
      </c>
      <c r="H119" s="35">
        <f t="shared" si="26"/>
        <v>-0.67008902233925871</v>
      </c>
      <c r="I119" s="35"/>
      <c r="J119" s="36">
        <f t="shared" ref="J119" si="27">(J118-J117)/J117*100</f>
        <v>-1.0360322875926051</v>
      </c>
    </row>
    <row r="120" spans="1:16" x14ac:dyDescent="0.25">
      <c r="A120" s="159" t="s">
        <v>346</v>
      </c>
      <c r="B120" s="31">
        <v>3.3160711000411363</v>
      </c>
      <c r="C120" s="31">
        <v>0.96456606347947593</v>
      </c>
      <c r="D120" s="31">
        <v>0.2823626280256637</v>
      </c>
      <c r="E120" s="31">
        <v>0.27795584806993723</v>
      </c>
      <c r="F120" s="31">
        <v>0.43308682916872848</v>
      </c>
      <c r="G120" s="28">
        <v>0.56985622711865924</v>
      </c>
      <c r="H120" s="31">
        <v>0.30720084232157668</v>
      </c>
      <c r="I120" s="31">
        <v>0.19504880605905495</v>
      </c>
      <c r="J120" s="27">
        <v>0.42336417828738787</v>
      </c>
    </row>
    <row r="121" spans="1:16" x14ac:dyDescent="0.25">
      <c r="A121" s="159" t="s">
        <v>347</v>
      </c>
      <c r="B121" s="20">
        <v>3.3179098264096112</v>
      </c>
      <c r="C121" s="20">
        <v>0.94883416720396341</v>
      </c>
      <c r="D121" s="20">
        <v>0.28196714777322684</v>
      </c>
      <c r="E121" s="20">
        <v>0.27988188826037724</v>
      </c>
      <c r="F121" s="20">
        <v>0.42429381368597369</v>
      </c>
      <c r="G121" s="23">
        <v>0.58406269956334433</v>
      </c>
      <c r="H121" s="20">
        <v>0.30633284020908519</v>
      </c>
      <c r="I121" s="20">
        <v>0.18731382865424839</v>
      </c>
      <c r="J121" s="22">
        <v>0.42475606333167931</v>
      </c>
    </row>
    <row r="122" spans="1:16" x14ac:dyDescent="0.25">
      <c r="A122" s="161" t="s">
        <v>292</v>
      </c>
      <c r="B122" s="39">
        <f>(B121-B120)/B120*100</f>
        <v>5.5448942830330757E-2</v>
      </c>
      <c r="C122" s="35">
        <f t="shared" ref="C122:J122" si="28">(C121-C120)/C120*100</f>
        <v>-1.6309817306616519</v>
      </c>
      <c r="D122" s="35">
        <f t="shared" si="28"/>
        <v>-0.14006111757853024</v>
      </c>
      <c r="E122" s="35">
        <f t="shared" si="28"/>
        <v>0.69293026349832321</v>
      </c>
      <c r="F122" s="35">
        <f t="shared" si="28"/>
        <v>-2.0303123739948878</v>
      </c>
      <c r="G122" s="37">
        <f t="shared" si="28"/>
        <v>2.492992402051426</v>
      </c>
      <c r="H122" s="35">
        <f t="shared" si="28"/>
        <v>-0.28255199625490401</v>
      </c>
      <c r="I122" s="35">
        <f t="shared" si="28"/>
        <v>-3.9656625236991374</v>
      </c>
      <c r="J122" s="36">
        <f t="shared" si="28"/>
        <v>0.32876778803581302</v>
      </c>
    </row>
    <row r="123" spans="1:16" x14ac:dyDescent="0.25">
      <c r="A123" s="159" t="s">
        <v>348</v>
      </c>
      <c r="B123" s="33">
        <v>3.4025200935513338</v>
      </c>
      <c r="C123" s="33">
        <v>1.1066742405501007</v>
      </c>
      <c r="D123" s="33">
        <v>0.33353064342257766</v>
      </c>
      <c r="E123" s="33">
        <v>0.39352013472088254</v>
      </c>
      <c r="F123" s="33">
        <v>0.58297722494831938</v>
      </c>
      <c r="G123" s="12">
        <v>0.57887915144922353</v>
      </c>
      <c r="H123" s="33">
        <v>0.7938651379998749</v>
      </c>
      <c r="I123" s="33">
        <v>0.31485288535939027</v>
      </c>
      <c r="J123" s="8">
        <v>1.0909912285054835</v>
      </c>
      <c r="K123" s="105"/>
    </row>
    <row r="124" spans="1:16" x14ac:dyDescent="0.25">
      <c r="A124" s="159" t="s">
        <v>349</v>
      </c>
      <c r="B124" s="20">
        <v>3.4725866425051106</v>
      </c>
      <c r="C124" s="20">
        <v>1.1173029619458337</v>
      </c>
      <c r="D124" s="20">
        <v>0.33452363815505115</v>
      </c>
      <c r="E124" s="20">
        <v>0.38420489842101474</v>
      </c>
      <c r="F124" s="20">
        <v>0.58686514083207764</v>
      </c>
      <c r="G124" s="23">
        <v>0.57616811821136049</v>
      </c>
      <c r="H124" s="20">
        <v>0.79940804510442209</v>
      </c>
      <c r="I124" s="20">
        <v>0.29477232521382019</v>
      </c>
      <c r="J124" s="22">
        <v>1.1006111933475928</v>
      </c>
      <c r="L124" s="366" t="s">
        <v>354</v>
      </c>
      <c r="M124" s="367"/>
      <c r="N124" s="367"/>
      <c r="O124" s="367"/>
      <c r="P124" s="350"/>
    </row>
    <row r="125" spans="1:16" ht="15.75" thickBot="1" x14ac:dyDescent="0.3">
      <c r="A125" s="162" t="s">
        <v>292</v>
      </c>
      <c r="B125" s="24">
        <f>(B124-B123)/B123*100</f>
        <v>2.0592545239209987</v>
      </c>
      <c r="C125" s="15">
        <f t="shared" ref="C125:J125" si="29">(C124-C123)/C123*100</f>
        <v>0.96042005915396855</v>
      </c>
      <c r="D125" s="15">
        <f t="shared" si="29"/>
        <v>0.29772218896702335</v>
      </c>
      <c r="E125" s="15">
        <f t="shared" si="29"/>
        <v>-2.3671562082776139</v>
      </c>
      <c r="F125" s="15">
        <f t="shared" si="29"/>
        <v>0.66690699351126703</v>
      </c>
      <c r="G125" s="17">
        <f t="shared" si="29"/>
        <v>-0.46832455981113963</v>
      </c>
      <c r="H125" s="15">
        <f t="shared" si="29"/>
        <v>0.69821772480303368</v>
      </c>
      <c r="I125" s="15">
        <f t="shared" si="29"/>
        <v>-6.3777596075224245</v>
      </c>
      <c r="J125" s="16">
        <f t="shared" si="29"/>
        <v>0.88176372007018489</v>
      </c>
      <c r="K125" s="56"/>
      <c r="L125" s="368"/>
      <c r="M125" s="369"/>
      <c r="N125" s="369"/>
      <c r="O125" s="369"/>
      <c r="P125" s="370"/>
    </row>
    <row r="126" spans="1:16" x14ac:dyDescent="0.25">
      <c r="A126" s="157" t="s">
        <v>350</v>
      </c>
      <c r="B126" s="7">
        <v>3.4172181793170813</v>
      </c>
      <c r="C126" s="7">
        <v>1.4734006568367197</v>
      </c>
      <c r="D126" s="7">
        <v>0.646041462407272</v>
      </c>
      <c r="E126" s="7">
        <v>0.43539545784107159</v>
      </c>
      <c r="F126" s="7">
        <v>0.54943068226224967</v>
      </c>
      <c r="G126" s="12">
        <v>0.10948528645167296</v>
      </c>
      <c r="H126" s="7">
        <v>0.2941021918789764</v>
      </c>
      <c r="I126" s="7">
        <v>0.24195824848820321</v>
      </c>
      <c r="J126" s="8">
        <v>0.57319520898542253</v>
      </c>
      <c r="L126" s="371"/>
      <c r="M126" s="372"/>
      <c r="N126" s="372"/>
      <c r="O126" s="372"/>
      <c r="P126" s="373"/>
    </row>
    <row r="127" spans="1:16" x14ac:dyDescent="0.25">
      <c r="A127" s="159" t="s">
        <v>351</v>
      </c>
      <c r="B127" s="20">
        <v>3.3272925201195944</v>
      </c>
      <c r="C127" s="20">
        <v>1.4020208170420718</v>
      </c>
      <c r="D127" s="20">
        <v>0.58272689756223051</v>
      </c>
      <c r="E127" s="20">
        <v>0.39916641528668811</v>
      </c>
      <c r="F127" s="20">
        <v>0.51294286083247786</v>
      </c>
      <c r="G127" s="23">
        <v>0.10950659410188021</v>
      </c>
      <c r="H127" s="20">
        <v>0.25675177419790973</v>
      </c>
      <c r="I127" s="20">
        <v>0.21728799570117072</v>
      </c>
      <c r="J127" s="22">
        <v>0.57047803079384385</v>
      </c>
    </row>
    <row r="128" spans="1:16" x14ac:dyDescent="0.25">
      <c r="A128" s="161" t="s">
        <v>292</v>
      </c>
      <c r="B128" s="39">
        <f>(B127-B126)/B126*100</f>
        <v>-2.6315457333619294</v>
      </c>
      <c r="C128" s="35">
        <f t="shared" ref="C128:J128" si="30">(C127-C126)/C126*100</f>
        <v>-4.8445641355892324</v>
      </c>
      <c r="D128" s="35">
        <f t="shared" si="30"/>
        <v>-9.8003872087589432</v>
      </c>
      <c r="E128" s="35">
        <f t="shared" si="30"/>
        <v>-8.3209509658246894</v>
      </c>
      <c r="F128" s="35">
        <f t="shared" si="30"/>
        <v>-6.6410236282282726</v>
      </c>
      <c r="G128" s="37">
        <f t="shared" si="30"/>
        <v>1.9461656353844937E-2</v>
      </c>
      <c r="H128" s="35">
        <f t="shared" si="30"/>
        <v>-12.699809356210592</v>
      </c>
      <c r="I128" s="35">
        <f t="shared" si="30"/>
        <v>-10.196078431372554</v>
      </c>
      <c r="J128" s="36">
        <f t="shared" si="30"/>
        <v>-0.47404063205416419</v>
      </c>
    </row>
    <row r="129" spans="1:16" x14ac:dyDescent="0.25">
      <c r="A129" s="159" t="s">
        <v>352</v>
      </c>
      <c r="B129" s="7">
        <v>3.5425073000626992</v>
      </c>
      <c r="C129" s="7">
        <v>0.71396193965519972</v>
      </c>
      <c r="D129" s="7">
        <v>0.54663965710651474</v>
      </c>
      <c r="E129" s="7">
        <v>0.62326387995591248</v>
      </c>
      <c r="F129" s="7">
        <v>1.041590718214787</v>
      </c>
      <c r="G129" s="12">
        <v>0.34491339434487039</v>
      </c>
      <c r="H129" s="7">
        <v>0.7590151230845753</v>
      </c>
      <c r="I129" s="7">
        <v>0.40585902483329678</v>
      </c>
      <c r="J129" s="8">
        <v>1.0243470982905982</v>
      </c>
    </row>
    <row r="130" spans="1:16" x14ac:dyDescent="0.25">
      <c r="A130" s="159" t="s">
        <v>353</v>
      </c>
      <c r="B130" s="20">
        <v>3.4483013470945241</v>
      </c>
      <c r="C130" s="20">
        <v>0.71527211665924406</v>
      </c>
      <c r="D130" s="20">
        <v>0.5781684327522133</v>
      </c>
      <c r="E130" s="20">
        <v>0.58446573512648825</v>
      </c>
      <c r="F130" s="20">
        <v>0.96931966412076109</v>
      </c>
      <c r="G130" s="23">
        <v>0.29943884108548474</v>
      </c>
      <c r="H130" s="20">
        <v>0.76607317339668268</v>
      </c>
      <c r="I130" s="20">
        <v>0.40036473417117818</v>
      </c>
      <c r="J130" s="22">
        <v>1.1507157835193356</v>
      </c>
    </row>
    <row r="131" spans="1:16" ht="15.75" thickBot="1" x14ac:dyDescent="0.3">
      <c r="A131" s="162" t="s">
        <v>292</v>
      </c>
      <c r="B131" s="24">
        <f>(B130-B129)/B129*100</f>
        <v>-2.6593015903314519</v>
      </c>
      <c r="C131" s="15">
        <f t="shared" ref="C131:J131" si="31">(C130-C129)/C129*100</f>
        <v>0.18350796187778298</v>
      </c>
      <c r="D131" s="15">
        <f t="shared" si="31"/>
        <v>5.7677439307252936</v>
      </c>
      <c r="E131" s="15">
        <f t="shared" si="31"/>
        <v>-6.2249949142197485</v>
      </c>
      <c r="F131" s="15">
        <f t="shared" si="31"/>
        <v>-6.9385270846012705</v>
      </c>
      <c r="G131" s="17">
        <f t="shared" si="31"/>
        <v>-13.184339606688852</v>
      </c>
      <c r="H131" s="15">
        <f t="shared" si="31"/>
        <v>0.92989587393516471</v>
      </c>
      <c r="I131" s="15">
        <f t="shared" si="31"/>
        <v>-1.3537436217847636</v>
      </c>
      <c r="J131" s="16">
        <f t="shared" si="31"/>
        <v>12.336510294178396</v>
      </c>
    </row>
    <row r="132" spans="1:16" x14ac:dyDescent="0.25">
      <c r="A132" s="11" t="s">
        <v>355</v>
      </c>
      <c r="B132" s="20"/>
      <c r="C132" s="20"/>
      <c r="D132" s="20"/>
      <c r="E132" s="20"/>
      <c r="F132" s="20"/>
      <c r="G132" s="23"/>
      <c r="H132" s="20"/>
      <c r="I132" s="20"/>
      <c r="J132" s="8">
        <v>1.5470492933408844</v>
      </c>
    </row>
    <row r="133" spans="1:16" x14ac:dyDescent="0.25">
      <c r="A133" s="11" t="s">
        <v>356</v>
      </c>
      <c r="B133" s="20"/>
      <c r="C133" s="20"/>
      <c r="D133" s="20"/>
      <c r="E133" s="20"/>
      <c r="F133" s="20"/>
      <c r="G133" s="23"/>
      <c r="H133" s="20"/>
      <c r="I133" s="20"/>
      <c r="J133" s="22">
        <v>1.5463540945550951</v>
      </c>
    </row>
    <row r="134" spans="1:16" x14ac:dyDescent="0.25">
      <c r="A134" s="166" t="s">
        <v>292</v>
      </c>
      <c r="B134" s="35"/>
      <c r="C134" s="35"/>
      <c r="D134" s="35"/>
      <c r="E134" s="35"/>
      <c r="F134" s="35"/>
      <c r="G134" s="37"/>
      <c r="H134" s="35"/>
      <c r="I134" s="35"/>
      <c r="J134" s="36">
        <f>(J133-J132)/J132*100</f>
        <v>-4.4937080465482719E-2</v>
      </c>
    </row>
    <row r="135" spans="1:16" x14ac:dyDescent="0.25">
      <c r="A135" s="11" t="s">
        <v>357</v>
      </c>
      <c r="B135" s="20"/>
      <c r="C135" s="20"/>
      <c r="D135" s="20"/>
      <c r="E135" s="20"/>
      <c r="F135" s="20"/>
      <c r="G135" s="23"/>
      <c r="H135" s="20"/>
      <c r="I135" s="20"/>
      <c r="J135" s="8">
        <v>1.543150616446388</v>
      </c>
    </row>
    <row r="136" spans="1:16" x14ac:dyDescent="0.25">
      <c r="A136" s="11" t="s">
        <v>358</v>
      </c>
      <c r="B136" s="20"/>
      <c r="C136" s="20"/>
      <c r="D136" s="20"/>
      <c r="E136" s="20"/>
      <c r="F136" s="20"/>
      <c r="G136" s="23"/>
      <c r="H136" s="20"/>
      <c r="I136" s="20"/>
      <c r="J136" s="22">
        <v>1.5377868087232693</v>
      </c>
      <c r="L136" s="366" t="s">
        <v>363</v>
      </c>
      <c r="M136" s="367"/>
      <c r="N136" s="367"/>
      <c r="O136" s="367"/>
      <c r="P136" s="350"/>
    </row>
    <row r="137" spans="1:16" ht="15.75" thickBot="1" x14ac:dyDescent="0.3">
      <c r="A137" s="13" t="s">
        <v>292</v>
      </c>
      <c r="B137" s="15"/>
      <c r="C137" s="15"/>
      <c r="D137" s="15"/>
      <c r="E137" s="15"/>
      <c r="F137" s="15"/>
      <c r="G137" s="17"/>
      <c r="H137" s="15"/>
      <c r="I137" s="15"/>
      <c r="J137" s="16">
        <f>(J136-J135)/J135*100</f>
        <v>-0.34758808802931696</v>
      </c>
      <c r="L137" s="368"/>
      <c r="M137" s="369"/>
      <c r="N137" s="369"/>
      <c r="O137" s="369"/>
      <c r="P137" s="370"/>
    </row>
    <row r="138" spans="1:16" x14ac:dyDescent="0.25">
      <c r="A138" s="11" t="s">
        <v>359</v>
      </c>
      <c r="B138" s="20"/>
      <c r="C138" s="20"/>
      <c r="D138" s="20"/>
      <c r="E138" s="20"/>
      <c r="F138" s="20"/>
      <c r="G138" s="21"/>
      <c r="H138" s="20"/>
      <c r="I138" s="20"/>
      <c r="J138" s="8">
        <v>1.3808976153341153</v>
      </c>
      <c r="L138" s="371"/>
      <c r="M138" s="372"/>
      <c r="N138" s="372"/>
      <c r="O138" s="372"/>
      <c r="P138" s="373"/>
    </row>
    <row r="139" spans="1:16" x14ac:dyDescent="0.25">
      <c r="A139" s="11" t="s">
        <v>360</v>
      </c>
      <c r="B139" s="20"/>
      <c r="C139" s="20"/>
      <c r="D139" s="20"/>
      <c r="E139" s="20"/>
      <c r="F139" s="20"/>
      <c r="G139" s="23"/>
      <c r="H139" s="20"/>
      <c r="I139" s="20"/>
      <c r="J139" s="22">
        <v>1.3594335910811406</v>
      </c>
    </row>
    <row r="140" spans="1:16" x14ac:dyDescent="0.25">
      <c r="A140" s="166" t="s">
        <v>292</v>
      </c>
      <c r="B140" s="35"/>
      <c r="C140" s="35"/>
      <c r="D140" s="35"/>
      <c r="E140" s="35"/>
      <c r="F140" s="35"/>
      <c r="G140" s="37"/>
      <c r="H140" s="35"/>
      <c r="I140" s="35"/>
      <c r="J140" s="36">
        <f>(J139-J138)/J138*100</f>
        <v>-1.5543530537404351</v>
      </c>
    </row>
    <row r="141" spans="1:16" x14ac:dyDescent="0.25">
      <c r="A141" s="11" t="s">
        <v>361</v>
      </c>
      <c r="B141" s="20"/>
      <c r="C141" s="20"/>
      <c r="D141" s="20"/>
      <c r="E141" s="20"/>
      <c r="F141" s="20"/>
      <c r="G141" s="23"/>
      <c r="H141" s="20"/>
      <c r="I141" s="20"/>
      <c r="J141" s="8">
        <v>1.4077895911028766</v>
      </c>
    </row>
    <row r="142" spans="1:16" x14ac:dyDescent="0.25">
      <c r="A142" s="11" t="s">
        <v>362</v>
      </c>
      <c r="B142" s="20"/>
      <c r="C142" s="20"/>
      <c r="D142" s="20"/>
      <c r="E142" s="20"/>
      <c r="F142" s="20"/>
      <c r="G142" s="23"/>
      <c r="H142" s="20"/>
      <c r="I142" s="20"/>
      <c r="J142" s="22">
        <v>1.4164531946370724</v>
      </c>
    </row>
    <row r="143" spans="1:16" ht="15.75" thickBot="1" x14ac:dyDescent="0.3">
      <c r="A143" s="13" t="s">
        <v>292</v>
      </c>
      <c r="B143" s="15"/>
      <c r="C143" s="15"/>
      <c r="D143" s="15"/>
      <c r="E143" s="15"/>
      <c r="F143" s="15"/>
      <c r="G143" s="17"/>
      <c r="H143" s="15"/>
      <c r="I143" s="15"/>
      <c r="J143" s="16">
        <f>(J142-J141)/J141*100</f>
        <v>0.61540471594257662</v>
      </c>
    </row>
    <row r="144" spans="1:16" x14ac:dyDescent="0.25">
      <c r="A144" s="11" t="s">
        <v>364</v>
      </c>
      <c r="B144" s="20"/>
      <c r="C144" s="31">
        <v>0.58025131713370537</v>
      </c>
      <c r="D144" s="20"/>
      <c r="E144" s="20"/>
      <c r="F144" s="20"/>
      <c r="G144" s="23"/>
      <c r="H144" s="20"/>
      <c r="I144" s="20"/>
      <c r="J144" s="22"/>
    </row>
    <row r="145" spans="1:10" x14ac:dyDescent="0.25">
      <c r="A145" s="11" t="s">
        <v>365</v>
      </c>
      <c r="B145" s="20"/>
      <c r="C145" s="169">
        <v>0.58025192360276723</v>
      </c>
      <c r="D145" s="20"/>
      <c r="E145" s="20"/>
      <c r="F145" s="20"/>
      <c r="G145" s="23"/>
      <c r="H145" s="20"/>
      <c r="I145" s="20"/>
      <c r="J145" s="22"/>
    </row>
    <row r="146" spans="1:10" x14ac:dyDescent="0.25">
      <c r="A146" s="166" t="s">
        <v>292</v>
      </c>
      <c r="B146" s="35"/>
      <c r="C146" s="35">
        <f>(C145-C144)/C144*100</f>
        <v>1.0451834299227789E-4</v>
      </c>
      <c r="D146" s="35"/>
      <c r="E146" s="35"/>
      <c r="F146" s="35"/>
      <c r="G146" s="37"/>
      <c r="H146" s="35"/>
      <c r="I146" s="35"/>
      <c r="J146" s="36"/>
    </row>
    <row r="147" spans="1:10" x14ac:dyDescent="0.25">
      <c r="A147" s="11" t="s">
        <v>366</v>
      </c>
      <c r="B147" s="20"/>
      <c r="C147" s="33">
        <v>0.73306131099650784</v>
      </c>
      <c r="D147" s="20"/>
      <c r="E147" s="20"/>
      <c r="F147" s="20"/>
      <c r="G147" s="23"/>
      <c r="H147" s="20"/>
      <c r="I147" s="20"/>
      <c r="J147" s="22"/>
    </row>
    <row r="148" spans="1:10" x14ac:dyDescent="0.25">
      <c r="A148" s="11" t="s">
        <v>367</v>
      </c>
      <c r="B148" s="7"/>
      <c r="C148" s="20">
        <v>0.73277316679841742</v>
      </c>
      <c r="D148" s="7"/>
      <c r="E148" s="20"/>
      <c r="F148" s="20"/>
      <c r="G148" s="23"/>
      <c r="H148" s="20"/>
      <c r="I148" s="20"/>
      <c r="J148" s="22"/>
    </row>
    <row r="149" spans="1:10" ht="15.75" thickBot="1" x14ac:dyDescent="0.3">
      <c r="A149" s="13" t="s">
        <v>292</v>
      </c>
      <c r="B149" s="15"/>
      <c r="C149" s="15">
        <f>(C148-C147)/C147*100</f>
        <v>-3.9306971158896122E-2</v>
      </c>
      <c r="D149" s="15"/>
      <c r="E149" s="15"/>
      <c r="F149" s="15"/>
      <c r="G149" s="17"/>
      <c r="H149" s="15"/>
      <c r="I149" s="15"/>
      <c r="J149" s="16"/>
    </row>
    <row r="150" spans="1:10" x14ac:dyDescent="0.25">
      <c r="A150" s="69" t="s">
        <v>368</v>
      </c>
      <c r="B150" s="20"/>
      <c r="C150" s="20"/>
      <c r="D150" s="20"/>
      <c r="E150" s="20"/>
      <c r="F150" s="20"/>
      <c r="G150" s="21"/>
      <c r="H150" s="20"/>
      <c r="I150" s="33">
        <v>0.50179971599574902</v>
      </c>
      <c r="J150" s="22"/>
    </row>
    <row r="151" spans="1:10" x14ac:dyDescent="0.25">
      <c r="A151" s="11" t="s">
        <v>369</v>
      </c>
      <c r="B151" s="20"/>
      <c r="C151" s="20"/>
      <c r="D151" s="20"/>
      <c r="E151" s="20"/>
      <c r="F151" s="20"/>
      <c r="G151" s="23"/>
      <c r="H151" s="20"/>
      <c r="I151" s="20">
        <v>0.50803113363971097</v>
      </c>
      <c r="J151" s="22"/>
    </row>
    <row r="152" spans="1:10" x14ac:dyDescent="0.25">
      <c r="A152" s="166" t="s">
        <v>292</v>
      </c>
      <c r="B152" s="35"/>
      <c r="C152" s="35"/>
      <c r="D152" s="35"/>
      <c r="E152" s="35"/>
      <c r="F152" s="35"/>
      <c r="G152" s="37"/>
      <c r="H152" s="35"/>
      <c r="I152" s="35">
        <f>(I151-I150)/I150*100</f>
        <v>1.2418137048157967</v>
      </c>
      <c r="J152" s="36"/>
    </row>
    <row r="153" spans="1:10" x14ac:dyDescent="0.25">
      <c r="A153" s="11" t="s">
        <v>370</v>
      </c>
      <c r="B153" s="20"/>
      <c r="C153" s="20"/>
      <c r="D153" s="20"/>
      <c r="E153" s="20"/>
      <c r="F153" s="20"/>
      <c r="G153" s="23"/>
      <c r="H153" s="20"/>
      <c r="I153" s="7">
        <v>0.31154502081286078</v>
      </c>
      <c r="J153" s="22"/>
    </row>
    <row r="154" spans="1:10" x14ac:dyDescent="0.25">
      <c r="A154" s="11" t="s">
        <v>371</v>
      </c>
      <c r="B154" s="20"/>
      <c r="C154" s="20"/>
      <c r="D154" s="20"/>
      <c r="E154" s="20"/>
      <c r="F154" s="20"/>
      <c r="G154" s="23"/>
      <c r="H154" s="20"/>
      <c r="I154" s="20">
        <v>0.3572566870086134</v>
      </c>
      <c r="J154" s="22"/>
    </row>
    <row r="155" spans="1:10" ht="15.75" thickBot="1" x14ac:dyDescent="0.3">
      <c r="A155" s="13" t="s">
        <v>292</v>
      </c>
      <c r="B155" s="15"/>
      <c r="C155" s="15"/>
      <c r="D155" s="15"/>
      <c r="E155" s="15"/>
      <c r="F155" s="15"/>
      <c r="G155" s="17"/>
      <c r="H155" s="15"/>
      <c r="I155" s="15">
        <f>(I154-I153)/I153*100</f>
        <v>14.672571584191921</v>
      </c>
      <c r="J155" s="16"/>
    </row>
  </sheetData>
  <mergeCells count="7">
    <mergeCell ref="L136:P138"/>
    <mergeCell ref="B2:B4"/>
    <mergeCell ref="B5:B7"/>
    <mergeCell ref="K11:O13"/>
    <mergeCell ref="K17:O19"/>
    <mergeCell ref="L90:Q92"/>
    <mergeCell ref="L124:P126"/>
  </mergeCells>
  <conditionalFormatting sqref="B13:J13 C9:K9 B16:J16 B63:J63 B95:J95 B134:J134 B146 B19:J19 B22:J23 C161:J161 B45:J45 B48:J48 B57:J57 B60:J60 C164:J164 B27:J27 B30:J30 B33:J33 B36:J36 B39:J39 B42:J42 B77:J77 B80:J80 B83:J83 B86:J86 B89:J89 B92:J92 B116:J116 B122:J122 B128:J128 B51:J51 B54:J54 C167:J167 B140:K140 C170:J170 C173:J173 B110:J110 B98:J98 C158:J158 K146 B152:K152 B113:K113 B119:J119 B137:K137 B143:K143 B125:K125 B131:J131 B149:K149 B155:J155 B66:J66">
    <cfRule type="colorScale" priority="8">
      <colorScale>
        <cfvo type="num" val="-100"/>
        <cfvo type="num" val="0"/>
        <cfvo type="num" val="100"/>
        <color rgb="FFF8696B"/>
        <color theme="0"/>
        <color rgb="FF63BE7B"/>
      </colorScale>
    </cfRule>
  </conditionalFormatting>
  <conditionalFormatting sqref="D146:J146">
    <cfRule type="colorScale" priority="7">
      <colorScale>
        <cfvo type="num" val="-100"/>
        <cfvo type="num" val="0"/>
        <cfvo type="num" val="100"/>
        <color rgb="FFF8696B"/>
        <color theme="0"/>
        <color rgb="FF63BE7B"/>
      </colorScale>
    </cfRule>
  </conditionalFormatting>
  <conditionalFormatting sqref="C146">
    <cfRule type="colorScale" priority="6">
      <colorScale>
        <cfvo type="num" val="-100"/>
        <cfvo type="num" val="0"/>
        <cfvo type="num" val="100"/>
        <color rgb="FFF8696B"/>
        <color theme="0"/>
        <color rgb="FF63BE7B"/>
      </colorScale>
    </cfRule>
  </conditionalFormatting>
  <conditionalFormatting sqref="C4:K4">
    <cfRule type="colorScale" priority="5">
      <colorScale>
        <cfvo type="num" val="-100"/>
        <cfvo type="num" val="0"/>
        <cfvo type="num" val="100"/>
        <color rgb="FFF8696B"/>
        <color theme="0"/>
        <color rgb="FF63BE7B"/>
      </colorScale>
    </cfRule>
  </conditionalFormatting>
  <conditionalFormatting sqref="C7:K8">
    <cfRule type="colorScale" priority="4">
      <colorScale>
        <cfvo type="num" val="-100"/>
        <cfvo type="num" val="0"/>
        <cfvo type="num" val="100"/>
        <color rgb="FFF8696B"/>
        <color theme="0"/>
        <color rgb="FF63BE7B"/>
      </colorScale>
    </cfRule>
  </conditionalFormatting>
  <conditionalFormatting sqref="B104:J104 B101:J101">
    <cfRule type="colorScale" priority="3">
      <colorScale>
        <cfvo type="num" val="-100"/>
        <cfvo type="num" val="0"/>
        <cfvo type="num" val="100"/>
        <color rgb="FFF8696B"/>
        <color theme="0"/>
        <color rgb="FF63BE7B"/>
      </colorScale>
    </cfRule>
  </conditionalFormatting>
  <conditionalFormatting sqref="B69:J69">
    <cfRule type="colorScale" priority="2">
      <colorScale>
        <cfvo type="num" val="-100"/>
        <cfvo type="num" val="0"/>
        <cfvo type="num" val="100"/>
        <color rgb="FFF8696B"/>
        <color theme="0"/>
        <color rgb="FF63BE7B"/>
      </colorScale>
    </cfRule>
  </conditionalFormatting>
  <conditionalFormatting sqref="B72:J7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93"/>
  <sheetViews>
    <sheetView topLeftCell="P169" workbookViewId="0">
      <selection activeCell="AA189" sqref="AA189"/>
    </sheetView>
  </sheetViews>
  <sheetFormatPr defaultRowHeight="15" x14ac:dyDescent="0.25"/>
  <cols>
    <col min="2" max="2" width="20.85546875" customWidth="1"/>
    <col min="3" max="3" width="10.5703125" customWidth="1"/>
    <col min="4" max="4" width="12.140625" customWidth="1"/>
    <col min="5" max="5" width="12.28515625" customWidth="1"/>
    <col min="6" max="6" width="10.7109375" customWidth="1"/>
    <col min="15" max="15" width="20.42578125" customWidth="1"/>
    <col min="16" max="16" width="10.42578125" customWidth="1"/>
    <col min="17" max="17" width="11.7109375" customWidth="1"/>
    <col min="27" max="27" width="20.28515625" customWidth="1"/>
    <col min="28" max="28" width="10.7109375" customWidth="1"/>
    <col min="29" max="29" width="12.140625" customWidth="1"/>
    <col min="30" max="30" width="13" customWidth="1"/>
    <col min="31" max="31" width="11" customWidth="1"/>
    <col min="39" max="39" width="22.7109375" customWidth="1"/>
    <col min="40" max="40" width="11.85546875" customWidth="1"/>
    <col min="41" max="41" width="12.28515625" customWidth="1"/>
    <col min="42" max="42" width="12.140625" customWidth="1"/>
    <col min="54" max="54" width="9.140625" customWidth="1"/>
    <col min="67" max="67" width="9.140625" customWidth="1"/>
  </cols>
  <sheetData>
    <row r="1" spans="1:49" ht="21" x14ac:dyDescent="0.35">
      <c r="B1" s="130" t="s">
        <v>255</v>
      </c>
      <c r="O1" s="130" t="s">
        <v>378</v>
      </c>
      <c r="AA1" s="130" t="s">
        <v>429</v>
      </c>
      <c r="AK1" s="11"/>
      <c r="AM1" s="130" t="s">
        <v>430</v>
      </c>
    </row>
    <row r="2" spans="1:49" ht="21" x14ac:dyDescent="0.35">
      <c r="B2" s="130"/>
      <c r="AK2" s="11"/>
    </row>
    <row r="3" spans="1:49" ht="21" x14ac:dyDescent="0.35">
      <c r="B3" s="131" t="s">
        <v>256</v>
      </c>
      <c r="O3" s="131" t="s">
        <v>256</v>
      </c>
      <c r="AA3" s="131" t="s">
        <v>256</v>
      </c>
      <c r="AK3" s="11"/>
      <c r="AM3" s="131" t="s">
        <v>256</v>
      </c>
      <c r="AO3" s="130"/>
    </row>
    <row r="4" spans="1:49" ht="15.75" thickBot="1" x14ac:dyDescent="0.3">
      <c r="A4" s="11"/>
      <c r="B4" s="1" t="s">
        <v>73</v>
      </c>
      <c r="C4" s="76" t="s">
        <v>8</v>
      </c>
      <c r="D4" s="76" t="s">
        <v>9</v>
      </c>
      <c r="E4" s="76" t="s">
        <v>10</v>
      </c>
      <c r="F4" s="76" t="s">
        <v>11</v>
      </c>
      <c r="G4" s="76" t="s">
        <v>12</v>
      </c>
      <c r="H4" s="77" t="s">
        <v>13</v>
      </c>
      <c r="I4" s="76" t="s">
        <v>14</v>
      </c>
      <c r="J4" s="76" t="s">
        <v>15</v>
      </c>
      <c r="K4" s="44" t="s">
        <v>16</v>
      </c>
      <c r="L4" s="132"/>
      <c r="M4" s="132"/>
      <c r="O4" s="11" t="s">
        <v>0</v>
      </c>
      <c r="P4" t="s">
        <v>8</v>
      </c>
      <c r="Q4" t="s">
        <v>9</v>
      </c>
      <c r="R4" t="s">
        <v>10</v>
      </c>
      <c r="S4" t="s">
        <v>11</v>
      </c>
      <c r="T4" t="s">
        <v>12</v>
      </c>
      <c r="U4" t="s">
        <v>13</v>
      </c>
      <c r="V4" t="s">
        <v>14</v>
      </c>
      <c r="W4" t="s">
        <v>15</v>
      </c>
      <c r="X4" t="s">
        <v>16</v>
      </c>
      <c r="Y4" s="5"/>
      <c r="Z4" s="136"/>
      <c r="AA4" s="50" t="s">
        <v>0</v>
      </c>
      <c r="AB4" s="110" t="s">
        <v>8</v>
      </c>
      <c r="AC4" s="26" t="s">
        <v>9</v>
      </c>
      <c r="AD4" s="26" t="s">
        <v>10</v>
      </c>
      <c r="AE4" s="26" t="s">
        <v>11</v>
      </c>
      <c r="AF4" s="26" t="s">
        <v>12</v>
      </c>
      <c r="AG4" s="26" t="s">
        <v>13</v>
      </c>
      <c r="AH4" s="26" t="s">
        <v>14</v>
      </c>
      <c r="AI4" s="26" t="s">
        <v>15</v>
      </c>
      <c r="AJ4" s="26" t="s">
        <v>16</v>
      </c>
      <c r="AK4" s="11"/>
      <c r="AL4" s="57"/>
      <c r="AM4" s="133" t="s">
        <v>0</v>
      </c>
      <c r="AN4" s="134" t="s">
        <v>8</v>
      </c>
      <c r="AO4" s="134" t="s">
        <v>9</v>
      </c>
      <c r="AP4" s="134" t="s">
        <v>10</v>
      </c>
      <c r="AQ4" s="134" t="s">
        <v>11</v>
      </c>
      <c r="AR4" s="134" t="s">
        <v>12</v>
      </c>
      <c r="AS4" s="134" t="s">
        <v>13</v>
      </c>
      <c r="AT4" s="134" t="s">
        <v>14</v>
      </c>
      <c r="AU4" s="134" t="s">
        <v>15</v>
      </c>
      <c r="AV4" s="135" t="s">
        <v>16</v>
      </c>
      <c r="AW4" s="136"/>
    </row>
    <row r="5" spans="1:49" ht="15.75" thickTop="1" x14ac:dyDescent="0.25">
      <c r="A5" s="11"/>
      <c r="B5" s="10" t="s">
        <v>216</v>
      </c>
      <c r="C5" s="7">
        <v>41.526610347564208</v>
      </c>
      <c r="D5" s="7">
        <v>10.562996672493783</v>
      </c>
      <c r="E5" s="7">
        <v>6.6242311483315302</v>
      </c>
      <c r="F5" s="7">
        <v>5.9655523632516116</v>
      </c>
      <c r="G5" s="7">
        <v>6.2536771908818594</v>
      </c>
      <c r="H5" s="7">
        <v>8.5630397070319226</v>
      </c>
      <c r="I5" s="7">
        <v>8.1524025648857474</v>
      </c>
      <c r="J5" s="7">
        <v>3.9017532286158847</v>
      </c>
      <c r="K5" s="10">
        <v>12.57803870746508</v>
      </c>
      <c r="O5" s="215" t="s">
        <v>36</v>
      </c>
      <c r="P5" s="30">
        <v>35.191360913595737</v>
      </c>
      <c r="Q5" s="31">
        <v>25.17244449320793</v>
      </c>
      <c r="R5" s="31">
        <v>2.751926774776241</v>
      </c>
      <c r="S5" s="31">
        <v>2.077679961983887</v>
      </c>
      <c r="T5" s="31">
        <v>2.1934755732782758</v>
      </c>
      <c r="U5" s="31">
        <v>2.7094241103595307</v>
      </c>
      <c r="V5" s="31">
        <v>5.9971017999566296</v>
      </c>
      <c r="W5" s="31">
        <v>1.7259462646944661</v>
      </c>
      <c r="X5" s="27">
        <v>8.413354122805444</v>
      </c>
      <c r="Y5" s="136"/>
      <c r="Z5" s="57"/>
      <c r="AA5" s="271" t="s">
        <v>155</v>
      </c>
      <c r="AB5" s="7"/>
      <c r="AC5" s="7"/>
      <c r="AD5" s="7"/>
      <c r="AE5" s="7"/>
      <c r="AF5" s="7"/>
      <c r="AG5" s="7"/>
      <c r="AH5" s="7"/>
      <c r="AI5" s="7"/>
      <c r="AJ5" s="7"/>
      <c r="AK5" s="6"/>
      <c r="AL5" s="57"/>
      <c r="AM5" s="214" t="s">
        <v>58</v>
      </c>
      <c r="AN5" s="7">
        <v>28.352119294504437</v>
      </c>
      <c r="AO5" s="7">
        <v>7.4850310227815742</v>
      </c>
      <c r="AP5" s="7">
        <v>3.4276672142684421</v>
      </c>
      <c r="AQ5" s="7">
        <v>4.4521799564680844</v>
      </c>
      <c r="AR5" s="7">
        <v>4.9655414109336826</v>
      </c>
      <c r="AS5" s="7">
        <v>9.5036164835599042</v>
      </c>
      <c r="AT5" s="7">
        <v>5.0529434589542435</v>
      </c>
      <c r="AU5" s="7">
        <v>4.0824793395535233</v>
      </c>
      <c r="AV5" s="10">
        <v>12.908478795643671</v>
      </c>
    </row>
    <row r="6" spans="1:49" x14ac:dyDescent="0.25">
      <c r="A6" s="11" t="s">
        <v>258</v>
      </c>
      <c r="B6" s="8" t="s">
        <v>217</v>
      </c>
      <c r="C6" s="7">
        <v>38.558966279548095</v>
      </c>
      <c r="D6" s="7">
        <v>11.215884459063673</v>
      </c>
      <c r="E6" s="7">
        <v>3.2832863723914381</v>
      </c>
      <c r="F6" s="7">
        <v>3.23204474499927</v>
      </c>
      <c r="G6" s="7">
        <v>5.0358933624270747</v>
      </c>
      <c r="H6" s="7">
        <v>6.626235199054177</v>
      </c>
      <c r="I6" s="7">
        <v>3.5721028176927523</v>
      </c>
      <c r="J6" s="7">
        <v>2.2680093727797086</v>
      </c>
      <c r="K6" s="8">
        <v>4.9228392824114868</v>
      </c>
      <c r="O6" s="58" t="s">
        <v>38</v>
      </c>
      <c r="P6" s="32"/>
      <c r="Q6" s="33">
        <v>20.544532402596825</v>
      </c>
      <c r="R6" s="33">
        <v>23.562606479833487</v>
      </c>
      <c r="S6" s="33">
        <v>17.278843105129749</v>
      </c>
      <c r="T6" s="33">
        <v>5.9463801062632697</v>
      </c>
      <c r="U6" s="33">
        <v>7.1118585576884268</v>
      </c>
      <c r="V6" s="33">
        <v>11.667135151756977</v>
      </c>
      <c r="W6" s="33">
        <v>6.6051811849055078</v>
      </c>
      <c r="X6" s="8">
        <v>18.398684444797109</v>
      </c>
      <c r="Y6" s="136"/>
      <c r="Z6" s="57"/>
      <c r="AA6" t="s">
        <v>156</v>
      </c>
      <c r="AB6" s="32">
        <v>57.132056385632779</v>
      </c>
      <c r="AC6" s="33">
        <v>27.00673013391053</v>
      </c>
      <c r="AD6" s="33">
        <v>3.3406061294136111</v>
      </c>
      <c r="AE6" s="33">
        <v>3.2493671762585086</v>
      </c>
      <c r="AF6" s="33">
        <v>10.263737684754128</v>
      </c>
      <c r="AG6" s="33">
        <v>8.9853897147238388</v>
      </c>
      <c r="AH6" s="33">
        <v>10.751443548950562</v>
      </c>
      <c r="AI6" s="33">
        <v>8.5489610015941704</v>
      </c>
      <c r="AJ6" s="8">
        <v>21.748530433318702</v>
      </c>
      <c r="AK6" s="11"/>
      <c r="AL6" s="57"/>
      <c r="AM6" s="6"/>
      <c r="AN6" s="7"/>
      <c r="AO6" s="7"/>
      <c r="AP6" s="7"/>
      <c r="AQ6" s="7"/>
      <c r="AR6" s="7"/>
      <c r="AS6" s="7"/>
      <c r="AT6" s="7"/>
      <c r="AU6" s="7"/>
      <c r="AV6" s="8"/>
    </row>
    <row r="7" spans="1:49" x14ac:dyDescent="0.25">
      <c r="A7" s="11"/>
      <c r="B7" s="8" t="s">
        <v>219</v>
      </c>
      <c r="C7" s="7">
        <v>45.392708914004338</v>
      </c>
      <c r="D7" s="7">
        <v>17.108304196492131</v>
      </c>
      <c r="E7" s="7">
        <v>5.0824176390053006</v>
      </c>
      <c r="F7" s="7">
        <v>4.4197228630452061</v>
      </c>
      <c r="G7" s="7">
        <v>4.3485021782256874</v>
      </c>
      <c r="H7" s="7">
        <v>8.2555045919980579</v>
      </c>
      <c r="I7" s="7">
        <v>6.9079270574994851</v>
      </c>
      <c r="J7" s="7">
        <v>5.575552399952767</v>
      </c>
      <c r="K7" s="8">
        <v>12.49827144583784</v>
      </c>
      <c r="O7" s="58" t="s">
        <v>41</v>
      </c>
      <c r="P7" s="32">
        <v>38.552</v>
      </c>
      <c r="Q7" s="33">
        <v>16.5944</v>
      </c>
      <c r="R7" s="33">
        <v>2.9418666666666664</v>
      </c>
      <c r="S7" s="33">
        <v>3.4508000000000001</v>
      </c>
      <c r="T7" s="33">
        <v>10.660133333333333</v>
      </c>
      <c r="U7" s="33">
        <v>8.4476000000000013</v>
      </c>
      <c r="V7" s="33">
        <v>11.4536</v>
      </c>
      <c r="W7" s="33">
        <v>4.4769333333333332</v>
      </c>
      <c r="X7" s="8">
        <v>20.317866666666671</v>
      </c>
      <c r="Y7" s="136"/>
      <c r="Z7" s="57"/>
      <c r="AA7" t="s">
        <v>161</v>
      </c>
      <c r="AB7" s="32">
        <v>25.45061826485631</v>
      </c>
      <c r="AC7" s="33">
        <v>8.6923153886446425</v>
      </c>
      <c r="AD7" s="33">
        <v>3.4804103324681739</v>
      </c>
      <c r="AE7" s="33">
        <v>4.6226553901748559</v>
      </c>
      <c r="AF7" s="33">
        <v>2.4511656102312385</v>
      </c>
      <c r="AG7" s="33">
        <v>9.420108174279477</v>
      </c>
      <c r="AH7" s="33">
        <v>4.3246170053734003</v>
      </c>
      <c r="AI7" s="33">
        <v>3.1244592757384746</v>
      </c>
      <c r="AJ7" s="8">
        <v>10.060443408608037</v>
      </c>
      <c r="AK7" s="11"/>
      <c r="AL7" s="57"/>
      <c r="AM7" s="6" t="s">
        <v>62</v>
      </c>
      <c r="AN7" s="7">
        <v>29.322528437095361</v>
      </c>
      <c r="AO7" s="7">
        <v>2.2751433513721682</v>
      </c>
      <c r="AP7" s="7">
        <v>2.4924842812796717</v>
      </c>
      <c r="AQ7" s="7">
        <v>2.8716748398416994</v>
      </c>
      <c r="AR7" s="7">
        <v>2.5109813816973316</v>
      </c>
      <c r="AS7" s="7">
        <v>12.249704751595271</v>
      </c>
      <c r="AT7" s="7">
        <v>2.6682067352474408</v>
      </c>
      <c r="AU7" s="7">
        <v>5.8913264830246801</v>
      </c>
      <c r="AV7" s="8">
        <v>10.127162478668795</v>
      </c>
    </row>
    <row r="8" spans="1:49" x14ac:dyDescent="0.25">
      <c r="A8" s="11"/>
      <c r="B8" s="8" t="s">
        <v>385</v>
      </c>
      <c r="C8" s="7">
        <v>32.735967071589741</v>
      </c>
      <c r="D8" s="7">
        <v>9.8559662590897101</v>
      </c>
      <c r="E8" s="7">
        <v>4.4838069774079177</v>
      </c>
      <c r="F8" s="7">
        <v>4.1739774209509024</v>
      </c>
      <c r="G8" s="7">
        <v>4.1182956007917459</v>
      </c>
      <c r="H8" s="7">
        <v>9.8716480778284108</v>
      </c>
      <c r="I8" s="7">
        <v>4.1308524194194742</v>
      </c>
      <c r="J8" s="7">
        <v>5.2707956417185953</v>
      </c>
      <c r="K8" s="8">
        <v>10.027386719722539</v>
      </c>
      <c r="N8" t="s">
        <v>258</v>
      </c>
      <c r="O8" s="58" t="s">
        <v>43</v>
      </c>
      <c r="P8" s="32">
        <v>49.481676389707516</v>
      </c>
      <c r="Q8" s="33">
        <v>15.703670826932189</v>
      </c>
      <c r="R8" s="33">
        <v>2.7831151315023588</v>
      </c>
      <c r="S8" s="33">
        <v>4.6544078173931309</v>
      </c>
      <c r="T8" s="33">
        <v>7.7027499309319278</v>
      </c>
      <c r="U8" s="33">
        <v>9.1965827434403167</v>
      </c>
      <c r="V8" s="33">
        <v>15.396565900363679</v>
      </c>
      <c r="W8" s="33">
        <v>6.1486128782973593</v>
      </c>
      <c r="X8" s="8">
        <v>25.853023339526558</v>
      </c>
      <c r="Y8" s="136"/>
      <c r="Z8" s="57"/>
      <c r="AA8" t="s">
        <v>164</v>
      </c>
      <c r="AB8" s="32">
        <v>39.976724414374814</v>
      </c>
      <c r="AC8" s="33">
        <v>18.778547734328981</v>
      </c>
      <c r="AD8" s="33">
        <v>7.3010384594498179</v>
      </c>
      <c r="AE8" s="33">
        <v>4.6082890207378258</v>
      </c>
      <c r="AF8" s="33">
        <v>5.9473894396037412</v>
      </c>
      <c r="AG8" s="33">
        <v>5.4933158068499361</v>
      </c>
      <c r="AH8" s="33">
        <v>6.1452504129339403</v>
      </c>
      <c r="AI8" s="33">
        <v>3.1876377952966268</v>
      </c>
      <c r="AJ8" s="8">
        <v>9.2675374654494078</v>
      </c>
      <c r="AK8" s="11"/>
      <c r="AM8" s="6" t="s">
        <v>65</v>
      </c>
      <c r="AN8" s="7">
        <v>58.939630569208823</v>
      </c>
      <c r="AO8" s="7">
        <v>14.899992072300618</v>
      </c>
      <c r="AP8" s="7">
        <v>9.3712541620421774</v>
      </c>
      <c r="AQ8" s="7">
        <v>7.6677897574123994</v>
      </c>
      <c r="AR8" s="7">
        <v>14.897257016013954</v>
      </c>
      <c r="AS8" s="7"/>
      <c r="AT8" s="7">
        <v>5.3967417155541453</v>
      </c>
      <c r="AU8" s="7">
        <v>4.5030918027588394</v>
      </c>
      <c r="AV8" s="8">
        <v>11.46238306643412</v>
      </c>
    </row>
    <row r="9" spans="1:49" x14ac:dyDescent="0.25">
      <c r="A9" s="11"/>
      <c r="B9" s="8" t="s">
        <v>223</v>
      </c>
      <c r="C9" s="7">
        <v>45.717012987262919</v>
      </c>
      <c r="D9" s="7">
        <v>9.7633973223587933</v>
      </c>
      <c r="E9" s="7">
        <v>6.033858190919422</v>
      </c>
      <c r="F9" s="7">
        <v>5.2174758180504703</v>
      </c>
      <c r="G9" s="7">
        <v>6.5783797017643364</v>
      </c>
      <c r="H9" s="7">
        <v>13.651160941771947</v>
      </c>
      <c r="I9" s="7">
        <v>7.4736077230212361</v>
      </c>
      <c r="J9" s="7">
        <v>6.0648499292967646</v>
      </c>
      <c r="K9" s="8">
        <v>15.812651409117283</v>
      </c>
      <c r="N9" t="s">
        <v>258</v>
      </c>
      <c r="O9" s="58" t="s">
        <v>45</v>
      </c>
      <c r="P9" s="32">
        <v>20.445616289739917</v>
      </c>
      <c r="Q9" s="33"/>
      <c r="R9" s="33">
        <v>1.4882440402880444</v>
      </c>
      <c r="S9" s="33">
        <v>2.6009505312849468</v>
      </c>
      <c r="T9" s="33">
        <v>9.8575397575799393</v>
      </c>
      <c r="U9" s="33">
        <v>6.0139493105338557</v>
      </c>
      <c r="V9" s="33">
        <v>6.7338603549877263</v>
      </c>
      <c r="W9" s="33">
        <v>6.6885048894827559</v>
      </c>
      <c r="X9" s="8">
        <v>15.954212873122858</v>
      </c>
      <c r="Y9" s="136"/>
      <c r="Z9" s="57"/>
      <c r="AA9" t="s">
        <v>166</v>
      </c>
      <c r="AB9" s="32">
        <v>25.993900167881886</v>
      </c>
      <c r="AC9" s="33"/>
      <c r="AD9" s="33">
        <v>4.0962028598669518</v>
      </c>
      <c r="AE9" s="33"/>
      <c r="AF9" s="33">
        <v>6.0136973335383086</v>
      </c>
      <c r="AG9" s="33">
        <v>9.1534574033624772</v>
      </c>
      <c r="AH9" s="33">
        <v>7.3717630054865264</v>
      </c>
      <c r="AI9" s="33">
        <v>4.7593642242674603</v>
      </c>
      <c r="AJ9" s="8">
        <v>12.327881546071326</v>
      </c>
      <c r="AK9" s="11"/>
      <c r="AM9" s="6" t="s">
        <v>67</v>
      </c>
      <c r="AN9" s="7">
        <v>39.079894680652622</v>
      </c>
      <c r="AO9" s="7">
        <v>11.000395920796629</v>
      </c>
      <c r="AP9" s="7">
        <v>5.1098333889185135</v>
      </c>
      <c r="AQ9" s="7">
        <v>4.838253272620606</v>
      </c>
      <c r="AR9" s="7">
        <v>4.6983869650713075</v>
      </c>
      <c r="AS9" s="7">
        <v>2.7630601794643126</v>
      </c>
      <c r="AT9" s="7">
        <v>12.353073807741977</v>
      </c>
      <c r="AU9" s="7">
        <v>2.584851650993031</v>
      </c>
      <c r="AV9" s="8">
        <v>16.447029416418555</v>
      </c>
    </row>
    <row r="10" spans="1:49" ht="15.75" thickBot="1" x14ac:dyDescent="0.3">
      <c r="A10" s="11"/>
      <c r="B10" s="8" t="s">
        <v>228</v>
      </c>
      <c r="C10" s="7">
        <v>42.617853698856592</v>
      </c>
      <c r="D10" s="7">
        <v>16.739013638242181</v>
      </c>
      <c r="E10" s="7">
        <v>3.6352803416448549</v>
      </c>
      <c r="F10" s="7">
        <v>3.7890894062543055</v>
      </c>
      <c r="G10" s="7">
        <v>6.609174817467971</v>
      </c>
      <c r="H10" s="7">
        <v>6.8021766083482591</v>
      </c>
      <c r="I10" s="7">
        <v>9.057377049180328</v>
      </c>
      <c r="J10" s="7">
        <v>5.4181016668962663</v>
      </c>
      <c r="K10" s="8">
        <v>14.873536299765806</v>
      </c>
      <c r="O10" s="110" t="s">
        <v>48</v>
      </c>
      <c r="P10" s="24">
        <v>38.632722263171729</v>
      </c>
      <c r="Q10" s="15">
        <v>17.279905199197895</v>
      </c>
      <c r="R10" s="15">
        <v>6.5582855035756742</v>
      </c>
      <c r="S10" s="15"/>
      <c r="T10" s="15">
        <v>9.18090510276628</v>
      </c>
      <c r="U10" s="15">
        <v>13.255305400912919</v>
      </c>
      <c r="V10" s="15">
        <v>12.932687467811578</v>
      </c>
      <c r="W10" s="15">
        <v>5.5892533611865041</v>
      </c>
      <c r="X10" s="16">
        <v>17.518054538511461</v>
      </c>
      <c r="Y10" s="136"/>
      <c r="Z10" s="57" t="s">
        <v>258</v>
      </c>
      <c r="AA10" t="s">
        <v>169</v>
      </c>
      <c r="AB10" s="32">
        <v>41.370409643813367</v>
      </c>
      <c r="AC10" s="33">
        <v>16.66088873316588</v>
      </c>
      <c r="AD10" s="33">
        <v>5.5950707542690177</v>
      </c>
      <c r="AE10" s="33">
        <v>6.1468478314117601</v>
      </c>
      <c r="AF10" s="33">
        <v>9.1235187884615971</v>
      </c>
      <c r="AG10" s="33">
        <v>2.3459118728409374</v>
      </c>
      <c r="AH10" s="33">
        <v>8.7134705351097939</v>
      </c>
      <c r="AI10" s="33">
        <v>2.5173320807697093</v>
      </c>
      <c r="AJ10" s="8">
        <v>11.629076699659404</v>
      </c>
      <c r="AK10" s="11"/>
      <c r="AM10" s="14" t="s">
        <v>70</v>
      </c>
      <c r="AN10" s="24">
        <v>75.375133921106794</v>
      </c>
      <c r="AO10" s="15">
        <v>46.04130240469668</v>
      </c>
      <c r="AP10" s="15">
        <v>7.3446050694944747</v>
      </c>
      <c r="AQ10" s="15">
        <v>9.4709316367584808</v>
      </c>
      <c r="AR10" s="15">
        <v>10.78459706003175</v>
      </c>
      <c r="AS10" s="15">
        <v>5.1962937656241293</v>
      </c>
      <c r="AT10" s="15">
        <v>15.355409586996597</v>
      </c>
      <c r="AU10" s="15">
        <v>4.9056927049896064</v>
      </c>
      <c r="AV10" s="16">
        <v>21.932871206600787</v>
      </c>
    </row>
    <row r="11" spans="1:49" ht="15.75" x14ac:dyDescent="0.25">
      <c r="A11" s="11"/>
      <c r="B11" s="8" t="s">
        <v>229</v>
      </c>
      <c r="C11" s="7">
        <v>42.947265967360991</v>
      </c>
      <c r="D11" s="7">
        <v>13.057433650742041</v>
      </c>
      <c r="E11" s="7">
        <v>2.3053296410533561</v>
      </c>
      <c r="F11" s="7">
        <v>2.2049088816085547</v>
      </c>
      <c r="G11" s="7">
        <v>2.547054751253238</v>
      </c>
      <c r="H11" s="7">
        <v>9.3258767711493178</v>
      </c>
      <c r="I11" s="7"/>
      <c r="J11" s="7"/>
      <c r="K11" s="8"/>
      <c r="O11" t="s">
        <v>261</v>
      </c>
      <c r="P11" s="7">
        <v>36.460675171242983</v>
      </c>
      <c r="Q11" s="7">
        <v>19.058990584386969</v>
      </c>
      <c r="R11" s="7">
        <v>6.6810074327737459</v>
      </c>
      <c r="S11" s="7">
        <v>6.0125362831583429</v>
      </c>
      <c r="T11" s="7">
        <v>7.5901973006921715</v>
      </c>
      <c r="U11" s="7">
        <v>7.7891200204891744</v>
      </c>
      <c r="V11" s="7">
        <v>10.696825112479431</v>
      </c>
      <c r="W11" s="7">
        <v>5.2057386519833218</v>
      </c>
      <c r="X11" s="7">
        <v>17.74253266423835</v>
      </c>
      <c r="Y11" s="136"/>
      <c r="Z11" s="57" t="s">
        <v>258</v>
      </c>
      <c r="AA11" t="s">
        <v>171</v>
      </c>
      <c r="AB11" s="32">
        <v>52.105144032921807</v>
      </c>
      <c r="AC11" s="33">
        <v>21.786213991769547</v>
      </c>
      <c r="AD11" s="33">
        <v>4.4568930041152255</v>
      </c>
      <c r="AE11" s="33">
        <v>1.9994855967078187</v>
      </c>
      <c r="AF11" s="33">
        <v>8.0338477366255141</v>
      </c>
      <c r="AG11" s="33">
        <v>6.8769547325102867</v>
      </c>
      <c r="AH11" s="33">
        <v>2.9638888888888886</v>
      </c>
      <c r="AI11" s="33">
        <v>2.5275720164609052</v>
      </c>
      <c r="AJ11" s="8">
        <v>7.8180041152263371</v>
      </c>
      <c r="AK11" s="11"/>
      <c r="AM11" s="140" t="s">
        <v>261</v>
      </c>
      <c r="AN11" s="141">
        <v>46.213861380513606</v>
      </c>
      <c r="AO11" s="141">
        <v>16.340372954389533</v>
      </c>
      <c r="AP11" s="141">
        <v>5.549168823200656</v>
      </c>
      <c r="AQ11" s="141">
        <v>5.8601658926202536</v>
      </c>
      <c r="AR11" s="141">
        <v>7.5713527667496052</v>
      </c>
      <c r="AS11" s="141">
        <v>7.4281687950609046</v>
      </c>
      <c r="AT11" s="141">
        <v>8.1652750608988818</v>
      </c>
      <c r="AU11" s="141">
        <v>4.3934883962639359</v>
      </c>
      <c r="AV11" s="141">
        <v>14.575584992753187</v>
      </c>
      <c r="AW11" s="136"/>
    </row>
    <row r="12" spans="1:49" ht="15.75" x14ac:dyDescent="0.25">
      <c r="A12" s="11"/>
      <c r="B12" s="11" t="s">
        <v>284</v>
      </c>
      <c r="C12" s="7"/>
      <c r="D12" s="7"/>
      <c r="E12" s="7"/>
      <c r="F12" s="7"/>
      <c r="G12" s="7"/>
      <c r="H12" s="7"/>
      <c r="I12" s="7"/>
      <c r="J12" s="7"/>
      <c r="K12" s="8"/>
      <c r="O12" t="s">
        <v>263</v>
      </c>
      <c r="P12" s="7">
        <v>10.449057020885476</v>
      </c>
      <c r="Q12" s="7">
        <v>3.8755217526204664</v>
      </c>
      <c r="R12" s="7">
        <v>8.4448878214699654</v>
      </c>
      <c r="S12" s="7">
        <v>6.3729641206318446</v>
      </c>
      <c r="T12" s="7">
        <v>3.1284216096718489</v>
      </c>
      <c r="U12" s="7">
        <v>3.5130315822929385</v>
      </c>
      <c r="V12" s="7">
        <v>3.6439907417936865</v>
      </c>
      <c r="W12" s="7">
        <v>1.8885572645788815</v>
      </c>
      <c r="X12" s="7">
        <v>5.7118296497582612</v>
      </c>
      <c r="Y12" s="136"/>
      <c r="Z12" s="57"/>
      <c r="AA12" t="s">
        <v>173</v>
      </c>
      <c r="AB12" s="32">
        <v>58.325051279451749</v>
      </c>
      <c r="AC12" s="33">
        <v>19.679486457647403</v>
      </c>
      <c r="AD12" s="33">
        <v>10.802216484118656</v>
      </c>
      <c r="AE12" s="33">
        <v>9.7123393873430039</v>
      </c>
      <c r="AF12" s="33">
        <v>5.0458064388524138</v>
      </c>
      <c r="AG12" s="33">
        <v>10.975560494854449</v>
      </c>
      <c r="AH12" s="33">
        <v>2.4374999105929716</v>
      </c>
      <c r="AI12" s="33">
        <v>13.437232413107804</v>
      </c>
      <c r="AJ12" s="8">
        <v>15.590944940947651</v>
      </c>
      <c r="AK12" s="11"/>
      <c r="AM12" s="140" t="s">
        <v>263</v>
      </c>
      <c r="AN12" s="141">
        <v>20.417991193172888</v>
      </c>
      <c r="AO12" s="141">
        <v>17.240816588318836</v>
      </c>
      <c r="AP12" s="141">
        <v>2.8226332006315271</v>
      </c>
      <c r="AQ12" s="141">
        <v>2.6581451177213093</v>
      </c>
      <c r="AR12" s="141">
        <v>5.1148156328470895</v>
      </c>
      <c r="AS12" s="141">
        <v>4.2543780050745577</v>
      </c>
      <c r="AT12" s="141">
        <v>5.403814345188783</v>
      </c>
      <c r="AU12" s="141">
        <v>1.2130311830744016</v>
      </c>
      <c r="AV12" s="141">
        <v>4.7405615920909225</v>
      </c>
      <c r="AW12" s="136"/>
    </row>
    <row r="13" spans="1:49" ht="15.75" x14ac:dyDescent="0.25">
      <c r="A13" s="11"/>
      <c r="B13" s="8" t="s">
        <v>232</v>
      </c>
      <c r="C13" s="7">
        <v>31.246702465983414</v>
      </c>
      <c r="D13" s="7">
        <v>10.936756548823979</v>
      </c>
      <c r="E13" s="7">
        <v>3.2190497385957388</v>
      </c>
      <c r="F13" s="7">
        <v>3.7421013190750694</v>
      </c>
      <c r="G13" s="7">
        <v>2.6352054949862391</v>
      </c>
      <c r="H13" s="7">
        <v>6.4787210452940815</v>
      </c>
      <c r="I13" s="7">
        <v>4.9780698010965185</v>
      </c>
      <c r="J13" s="7">
        <v>4.8656480747933024</v>
      </c>
      <c r="K13" s="8">
        <v>11.755669481577433</v>
      </c>
      <c r="O13" t="s">
        <v>265</v>
      </c>
      <c r="P13">
        <v>5</v>
      </c>
      <c r="Q13">
        <v>5</v>
      </c>
      <c r="R13">
        <v>6</v>
      </c>
      <c r="S13">
        <v>5</v>
      </c>
      <c r="T13">
        <v>6</v>
      </c>
      <c r="U13">
        <v>6</v>
      </c>
      <c r="V13">
        <v>6</v>
      </c>
      <c r="W13">
        <v>6</v>
      </c>
      <c r="X13">
        <v>6</v>
      </c>
      <c r="Y13" s="136"/>
      <c r="Z13" s="57"/>
      <c r="AA13" t="s">
        <v>174</v>
      </c>
      <c r="AB13" s="32">
        <v>51.710130712470772</v>
      </c>
      <c r="AC13" s="33">
        <v>11.333954113034814</v>
      </c>
      <c r="AD13" s="33">
        <v>8.0738642047526827</v>
      </c>
      <c r="AE13" s="33">
        <v>4.7956333885370492</v>
      </c>
      <c r="AF13" s="33">
        <v>15.033644627519468</v>
      </c>
      <c r="AG13" s="33"/>
      <c r="AH13" s="33">
        <v>14.517577984969339</v>
      </c>
      <c r="AI13" s="33">
        <v>4.9821050468302506</v>
      </c>
      <c r="AJ13" s="8">
        <v>19.741948529027798</v>
      </c>
      <c r="AK13" s="11"/>
      <c r="AM13" s="140" t="s">
        <v>265</v>
      </c>
      <c r="AN13" s="142">
        <v>5</v>
      </c>
      <c r="AO13" s="142">
        <v>5</v>
      </c>
      <c r="AP13" s="142">
        <v>5</v>
      </c>
      <c r="AQ13" s="142">
        <v>5</v>
      </c>
      <c r="AR13" s="142">
        <v>5</v>
      </c>
      <c r="AS13" s="142">
        <v>4</v>
      </c>
      <c r="AT13" s="142">
        <v>5</v>
      </c>
      <c r="AU13" s="142">
        <v>5</v>
      </c>
      <c r="AV13" s="142">
        <v>5</v>
      </c>
      <c r="AW13" s="136"/>
    </row>
    <row r="14" spans="1:49" x14ac:dyDescent="0.25">
      <c r="A14" s="11"/>
      <c r="B14" s="8" t="s">
        <v>285</v>
      </c>
      <c r="C14" s="7">
        <v>33.189415281686706</v>
      </c>
      <c r="D14" s="7"/>
      <c r="E14" s="7">
        <v>3.848769290482517</v>
      </c>
      <c r="F14" s="7">
        <v>2.6954442304459909</v>
      </c>
      <c r="G14" s="7">
        <v>2.8325707838970269</v>
      </c>
      <c r="H14" s="7">
        <v>4.5124718920203444</v>
      </c>
      <c r="I14" s="7">
        <v>7.1089026846068366</v>
      </c>
      <c r="J14" s="7">
        <v>7.2287875905283698</v>
      </c>
      <c r="K14" s="8">
        <v>16.439709262687025</v>
      </c>
      <c r="O14" s="136"/>
      <c r="P14" s="136"/>
      <c r="Q14" s="136"/>
      <c r="R14" s="136"/>
      <c r="S14" s="136"/>
      <c r="T14" s="136"/>
      <c r="U14" s="136"/>
      <c r="V14" s="136"/>
      <c r="W14" s="136"/>
      <c r="X14" s="136"/>
      <c r="Y14" s="136"/>
      <c r="Z14" s="57"/>
      <c r="AA14" t="s">
        <v>177</v>
      </c>
      <c r="AB14" s="32">
        <v>32.059155267221286</v>
      </c>
      <c r="AC14" s="33">
        <v>12.12295846965826</v>
      </c>
      <c r="AD14" s="33">
        <v>4.0452581574396174</v>
      </c>
      <c r="AE14" s="33">
        <v>6.0750868141246421</v>
      </c>
      <c r="AF14" s="33">
        <v>5.2046540687175735</v>
      </c>
      <c r="AG14" s="33">
        <v>2.4581093103016487</v>
      </c>
      <c r="AH14" s="33">
        <v>2.6605267640880657</v>
      </c>
      <c r="AI14" s="33">
        <v>4.4141328693118487</v>
      </c>
      <c r="AJ14" s="8">
        <v>7.2634318137653482</v>
      </c>
      <c r="AK14" s="11"/>
      <c r="AN14" s="141"/>
      <c r="AO14" s="141"/>
      <c r="AP14" s="141"/>
      <c r="AQ14" s="141"/>
      <c r="AR14" s="141"/>
      <c r="AS14" s="141"/>
      <c r="AT14" s="141"/>
      <c r="AU14" s="141"/>
      <c r="AV14" s="141"/>
      <c r="AW14" s="136"/>
    </row>
    <row r="15" spans="1:49" x14ac:dyDescent="0.25">
      <c r="A15" s="11"/>
      <c r="B15" s="8" t="s">
        <v>234</v>
      </c>
      <c r="C15" s="7">
        <v>92.11845782435077</v>
      </c>
      <c r="D15" s="7">
        <v>16.975115881870785</v>
      </c>
      <c r="E15" s="7">
        <v>15.186441111993819</v>
      </c>
      <c r="F15" s="7">
        <v>12.869135679362113</v>
      </c>
      <c r="G15" s="7">
        <v>13.647310892549516</v>
      </c>
      <c r="H15" s="7">
        <v>27.177346237899869</v>
      </c>
      <c r="I15" s="7">
        <v>12.219963568093792</v>
      </c>
      <c r="J15" s="7">
        <v>4.789592727638011</v>
      </c>
      <c r="K15" s="8">
        <v>21.965709990404584</v>
      </c>
      <c r="O15" s="136"/>
      <c r="P15" s="136"/>
      <c r="Q15" s="136"/>
      <c r="R15" s="136"/>
      <c r="S15" s="136"/>
      <c r="T15" s="136"/>
      <c r="U15" s="136"/>
      <c r="V15" s="136"/>
      <c r="W15" s="136"/>
      <c r="X15" s="136"/>
      <c r="Y15" s="136"/>
      <c r="Z15" s="57"/>
      <c r="AA15" s="64" t="s">
        <v>178</v>
      </c>
      <c r="AB15" s="32"/>
      <c r="AC15" s="33"/>
      <c r="AD15" s="33"/>
      <c r="AE15" s="33"/>
      <c r="AF15" s="33"/>
      <c r="AG15" s="33"/>
      <c r="AH15" s="33"/>
      <c r="AI15" s="33"/>
      <c r="AJ15" s="8"/>
      <c r="AK15" s="11"/>
      <c r="AL15" s="136"/>
      <c r="AM15" s="136"/>
      <c r="AN15" s="141"/>
      <c r="AO15" s="141"/>
      <c r="AP15" s="141"/>
      <c r="AQ15" s="141"/>
      <c r="AR15" s="141"/>
      <c r="AS15" s="141"/>
      <c r="AT15" s="141"/>
      <c r="AU15" s="141"/>
      <c r="AV15" s="141"/>
      <c r="AW15" s="136"/>
    </row>
    <row r="16" spans="1:49" x14ac:dyDescent="0.25">
      <c r="A16" s="11"/>
      <c r="B16" s="8" t="s">
        <v>235</v>
      </c>
      <c r="C16" s="7">
        <v>71.552952117987019</v>
      </c>
      <c r="D16" s="7">
        <v>14.793842991580883</v>
      </c>
      <c r="E16" s="7">
        <v>2.8435231810607031</v>
      </c>
      <c r="F16" s="7">
        <v>5.8213758275719183</v>
      </c>
      <c r="G16" s="7">
        <v>4.3604270895342792</v>
      </c>
      <c r="H16" s="7">
        <v>31.894632430505666</v>
      </c>
      <c r="I16" s="7">
        <v>5.5647602280561124</v>
      </c>
      <c r="J16" s="7">
        <v>21.283160505979144</v>
      </c>
      <c r="K16" s="8">
        <v>30.940985866817687</v>
      </c>
      <c r="O16" s="136"/>
      <c r="P16" s="136"/>
      <c r="Q16" s="136"/>
      <c r="R16" s="136"/>
      <c r="S16" s="136"/>
      <c r="T16" s="136"/>
      <c r="U16" s="136"/>
      <c r="V16" s="136"/>
      <c r="W16" s="136"/>
      <c r="X16" s="136"/>
      <c r="Y16" s="136"/>
      <c r="Z16" s="57"/>
      <c r="AA16" t="s">
        <v>181</v>
      </c>
      <c r="AB16" s="32">
        <v>37.689657403858384</v>
      </c>
      <c r="AC16" s="33">
        <v>9.1806297362548133</v>
      </c>
      <c r="AD16" s="33">
        <v>6.3764752401249494</v>
      </c>
      <c r="AE16" s="33">
        <v>4.8518251761664981</v>
      </c>
      <c r="AF16" s="33">
        <v>7.4978959725244581</v>
      </c>
      <c r="AG16" s="33">
        <v>3.0852746003576672</v>
      </c>
      <c r="AH16" s="33">
        <v>5.7849362345268638</v>
      </c>
      <c r="AI16" s="33">
        <v>4.0703075777046998</v>
      </c>
      <c r="AJ16" s="8">
        <v>13.397338581959415</v>
      </c>
      <c r="AK16" s="11"/>
      <c r="AL16" s="136"/>
      <c r="AM16" s="136"/>
      <c r="AN16" s="141"/>
      <c r="AO16" s="141"/>
      <c r="AP16" s="141"/>
      <c r="AQ16" s="141"/>
      <c r="AR16" s="141"/>
      <c r="AS16" s="141"/>
      <c r="AT16" s="141"/>
      <c r="AU16" s="141"/>
      <c r="AV16" s="141"/>
      <c r="AW16" s="136"/>
    </row>
    <row r="17" spans="1:49" x14ac:dyDescent="0.25">
      <c r="A17" s="11"/>
      <c r="B17" s="8" t="s">
        <v>237</v>
      </c>
      <c r="C17" s="7">
        <v>73.908683259568889</v>
      </c>
      <c r="D17" s="7">
        <v>38.071961887282107</v>
      </c>
      <c r="E17" s="7">
        <v>5.1879260749795044</v>
      </c>
      <c r="F17" s="7">
        <v>6.372288646819694</v>
      </c>
      <c r="G17" s="7">
        <v>7.2119320418678097</v>
      </c>
      <c r="H17" s="7">
        <v>13.252320495025934</v>
      </c>
      <c r="I17" s="7">
        <v>9.6107539285502472</v>
      </c>
      <c r="J17" s="7">
        <v>5.5850358784788616</v>
      </c>
      <c r="K17" s="8">
        <v>16.776426161729713</v>
      </c>
      <c r="O17" s="136"/>
      <c r="P17" s="136"/>
      <c r="Q17" s="136"/>
      <c r="R17" s="136"/>
      <c r="S17" s="136"/>
      <c r="T17" s="136"/>
      <c r="U17" s="136"/>
      <c r="V17" s="136"/>
      <c r="W17" s="136"/>
      <c r="X17" s="136"/>
      <c r="Y17" s="136"/>
      <c r="Z17" s="57"/>
      <c r="AA17" t="s">
        <v>194</v>
      </c>
      <c r="AB17" s="32">
        <v>25.923253398934055</v>
      </c>
      <c r="AC17" s="33">
        <v>11.755047038482557</v>
      </c>
      <c r="AD17" s="33">
        <v>3.7754881657084165</v>
      </c>
      <c r="AE17" s="33"/>
      <c r="AF17" s="33">
        <v>2.1139139516057401</v>
      </c>
      <c r="AG17" s="33">
        <v>13.808717097283147</v>
      </c>
      <c r="AH17" s="33">
        <v>4.983088909621789</v>
      </c>
      <c r="AI17" s="33">
        <v>11.444842044682485</v>
      </c>
      <c r="AJ17" s="8">
        <v>16.053874241350272</v>
      </c>
      <c r="AK17" s="11"/>
      <c r="AL17" s="136"/>
      <c r="AM17" s="136"/>
      <c r="AN17" s="141"/>
      <c r="AO17" s="141"/>
      <c r="AP17" s="141"/>
      <c r="AQ17" s="141"/>
      <c r="AR17" s="141"/>
      <c r="AS17" s="141"/>
      <c r="AT17" s="141"/>
      <c r="AU17" s="141"/>
      <c r="AV17" s="141"/>
      <c r="AW17" s="136"/>
    </row>
    <row r="18" spans="1:49" x14ac:dyDescent="0.25">
      <c r="A18" s="11"/>
      <c r="B18" s="8" t="s">
        <v>239</v>
      </c>
      <c r="C18" s="7">
        <v>34.124040771643841</v>
      </c>
      <c r="D18" s="7">
        <v>10.541821367448726</v>
      </c>
      <c r="E18" s="7"/>
      <c r="F18" s="7">
        <v>5.3650479054085345</v>
      </c>
      <c r="G18" s="7">
        <v>5.3044676659442</v>
      </c>
      <c r="H18" s="7">
        <v>9.9169336182721608</v>
      </c>
      <c r="I18" s="7">
        <v>8.6261217420037326</v>
      </c>
      <c r="J18" s="7">
        <v>5.6059360288414517</v>
      </c>
      <c r="K18" s="8">
        <v>15.343306837045725</v>
      </c>
      <c r="O18" s="136"/>
      <c r="P18" s="136"/>
      <c r="Q18" s="136"/>
      <c r="R18" s="136"/>
      <c r="S18" s="136"/>
      <c r="T18" s="136"/>
      <c r="U18" s="136"/>
      <c r="V18" s="136"/>
      <c r="W18" s="136"/>
      <c r="X18" s="136"/>
      <c r="Y18" s="136"/>
      <c r="Z18" s="57"/>
      <c r="AA18" t="s">
        <v>53</v>
      </c>
      <c r="AB18" s="32">
        <v>55.881855359328014</v>
      </c>
      <c r="AC18" s="33">
        <v>24.958015327691225</v>
      </c>
      <c r="AD18" s="33">
        <v>9.6420237102643966</v>
      </c>
      <c r="AE18" s="33">
        <v>8.1851735564817059</v>
      </c>
      <c r="AF18" s="33">
        <v>11.476320353840991</v>
      </c>
      <c r="AG18" s="33">
        <v>4.358077081916413</v>
      </c>
      <c r="AH18" s="33">
        <v>4.2456140350877192</v>
      </c>
      <c r="AI18" s="33">
        <v>10.448432761000857</v>
      </c>
      <c r="AJ18" s="8">
        <v>13.314876200150346</v>
      </c>
      <c r="AK18" s="11"/>
      <c r="AL18" s="136"/>
      <c r="AM18" s="136"/>
      <c r="AN18" s="141"/>
      <c r="AO18" s="141"/>
      <c r="AP18" s="141"/>
      <c r="AQ18" s="141"/>
      <c r="AR18" s="141"/>
      <c r="AS18" s="141"/>
      <c r="AT18" s="141"/>
      <c r="AU18" s="141"/>
      <c r="AV18" s="141"/>
      <c r="AW18" s="136"/>
    </row>
    <row r="19" spans="1:49" ht="15.75" thickBot="1" x14ac:dyDescent="0.3">
      <c r="A19" s="11"/>
      <c r="B19" s="8" t="s">
        <v>241</v>
      </c>
      <c r="C19" s="7">
        <v>49.688993716368387</v>
      </c>
      <c r="D19" s="7">
        <v>12.721629058113473</v>
      </c>
      <c r="E19" s="7">
        <v>6.7404010242466574</v>
      </c>
      <c r="F19" s="7">
        <v>5.7864153565744774</v>
      </c>
      <c r="G19" s="7">
        <v>3.3308011392686043</v>
      </c>
      <c r="H19" s="7">
        <v>14.723352419269927</v>
      </c>
      <c r="I19" s="7">
        <v>6.8006341806151811</v>
      </c>
      <c r="J19" s="7">
        <v>9.510790188432388</v>
      </c>
      <c r="K19" s="8">
        <v>16.181969286810617</v>
      </c>
      <c r="O19" s="136"/>
      <c r="P19" s="136"/>
      <c r="Q19" s="136"/>
      <c r="R19" s="136"/>
      <c r="S19" s="136"/>
      <c r="T19" s="136"/>
      <c r="U19" s="136"/>
      <c r="V19" s="136"/>
      <c r="W19" s="136"/>
      <c r="X19" s="136"/>
      <c r="Y19" s="136"/>
      <c r="Z19" s="178"/>
      <c r="AA19" s="26" t="s">
        <v>197</v>
      </c>
      <c r="AB19" s="24">
        <v>76.770127414242083</v>
      </c>
      <c r="AC19" s="15">
        <v>23.183353614717799</v>
      </c>
      <c r="AD19" s="15">
        <v>11.092198305002055</v>
      </c>
      <c r="AE19" s="15">
        <v>13.027742687281918</v>
      </c>
      <c r="AF19" s="15">
        <v>24.660825417680211</v>
      </c>
      <c r="AG19" s="15">
        <v>4.2886940941560532</v>
      </c>
      <c r="AH19" s="15">
        <v>15.477888642046365</v>
      </c>
      <c r="AI19" s="15">
        <v>9.3316643480625086</v>
      </c>
      <c r="AJ19" s="16">
        <v>18.414058781605732</v>
      </c>
      <c r="AK19" s="11"/>
      <c r="AL19" s="136"/>
      <c r="AM19" s="136"/>
      <c r="AN19" s="136"/>
      <c r="AO19" s="136"/>
      <c r="AP19" s="136"/>
      <c r="AQ19" s="136"/>
      <c r="AR19" s="136"/>
      <c r="AS19" s="136"/>
      <c r="AT19" s="141"/>
      <c r="AU19" s="141"/>
      <c r="AV19" s="141"/>
      <c r="AW19" s="141"/>
    </row>
    <row r="20" spans="1:49" ht="15.75" x14ac:dyDescent="0.25">
      <c r="A20" s="11"/>
      <c r="B20" s="8" t="s">
        <v>243</v>
      </c>
      <c r="C20" s="7">
        <v>32.798785896601849</v>
      </c>
      <c r="D20" s="7">
        <v>8.2210644781544584</v>
      </c>
      <c r="E20" s="7">
        <v>3.8986473430051061</v>
      </c>
      <c r="F20" s="7">
        <v>4.6576457941713585</v>
      </c>
      <c r="G20" s="7">
        <v>4.018864080978795</v>
      </c>
      <c r="H20" s="7">
        <v>6.2022224088015134</v>
      </c>
      <c r="I20" s="7">
        <v>2.2580594800318026</v>
      </c>
      <c r="J20" s="7"/>
      <c r="K20" s="8">
        <v>7.9076670860958824</v>
      </c>
      <c r="U20" s="136"/>
      <c r="W20" s="136"/>
      <c r="X20" s="136"/>
      <c r="Y20" s="136"/>
      <c r="Z20" s="141"/>
      <c r="AA20" s="140" t="s">
        <v>261</v>
      </c>
      <c r="AB20" s="141">
        <v>44.645237211152867</v>
      </c>
      <c r="AC20" s="141">
        <v>17.094845061608869</v>
      </c>
      <c r="AD20" s="141">
        <v>6.31367275438412</v>
      </c>
      <c r="AE20" s="141">
        <v>6.1158587295659625</v>
      </c>
      <c r="AF20" s="141">
        <v>8.6820321095350312</v>
      </c>
      <c r="AG20" s="141">
        <v>6.7707975319530265</v>
      </c>
      <c r="AH20" s="141">
        <v>6.9521204521289386</v>
      </c>
      <c r="AI20" s="141">
        <v>6.3687725734482923</v>
      </c>
      <c r="AJ20" s="141">
        <v>13.586765135164599</v>
      </c>
      <c r="AK20" s="11"/>
      <c r="AL20" s="136"/>
      <c r="AN20" s="136"/>
      <c r="AO20" s="136"/>
      <c r="AP20" s="136"/>
      <c r="AQ20" s="136"/>
      <c r="AR20" s="136"/>
      <c r="AS20" s="136"/>
      <c r="AT20" s="141"/>
      <c r="AU20" s="141"/>
      <c r="AV20" s="141"/>
      <c r="AW20" s="141"/>
    </row>
    <row r="21" spans="1:49" ht="15.75" x14ac:dyDescent="0.25">
      <c r="A21" s="11" t="s">
        <v>258</v>
      </c>
      <c r="B21" s="8" t="s">
        <v>245</v>
      </c>
      <c r="C21" s="7">
        <v>55.881871055730926</v>
      </c>
      <c r="D21" s="7">
        <v>24.98480725983784</v>
      </c>
      <c r="E21" s="7">
        <v>2.3598557654122918</v>
      </c>
      <c r="F21" s="7">
        <v>3.2171847024197193</v>
      </c>
      <c r="G21" s="7">
        <v>5.535285961635779</v>
      </c>
      <c r="H21" s="7">
        <v>4.3117881594205212</v>
      </c>
      <c r="I21" s="7">
        <v>6.707407567096543</v>
      </c>
      <c r="J21" s="7">
        <v>5.9265983012269938</v>
      </c>
      <c r="K21" s="8">
        <v>14.789899948033799</v>
      </c>
      <c r="Z21" s="136"/>
      <c r="AA21" s="140" t="s">
        <v>263</v>
      </c>
      <c r="AB21" s="141">
        <v>15.580486081225022</v>
      </c>
      <c r="AC21" s="141">
        <v>6.3854636618493998</v>
      </c>
      <c r="AD21" s="141">
        <v>2.8206402933451562</v>
      </c>
      <c r="AE21" s="141">
        <v>3.1304632165570934</v>
      </c>
      <c r="AF21" s="141">
        <v>5.9851784851308256</v>
      </c>
      <c r="AG21" s="141">
        <v>3.6952049431226093</v>
      </c>
      <c r="AH21" s="141">
        <v>4.3056468903419693</v>
      </c>
      <c r="AI21" s="141">
        <v>3.7611543539341832</v>
      </c>
      <c r="AJ21" s="141">
        <v>4.5441150758708657</v>
      </c>
      <c r="AK21" s="11"/>
      <c r="AT21" s="141"/>
      <c r="AU21" s="141"/>
      <c r="AV21" s="141"/>
      <c r="AW21" s="136"/>
    </row>
    <row r="22" spans="1:49" ht="15.75" x14ac:dyDescent="0.25">
      <c r="A22" s="11" t="s">
        <v>258</v>
      </c>
      <c r="B22" s="8" t="s">
        <v>247</v>
      </c>
      <c r="C22" s="7">
        <v>70.339783684512611</v>
      </c>
      <c r="D22" s="7">
        <v>17.464216798257475</v>
      </c>
      <c r="E22" s="7">
        <v>2.2492472820129641</v>
      </c>
      <c r="F22" s="7">
        <v>2.820755871647866</v>
      </c>
      <c r="G22" s="7">
        <v>13.135604126955709</v>
      </c>
      <c r="H22" s="7">
        <v>23.819976499284</v>
      </c>
      <c r="I22" s="7">
        <v>10.190020197880358</v>
      </c>
      <c r="J22" s="7">
        <v>3.1366838359759357</v>
      </c>
      <c r="K22" s="8">
        <v>10.826422843860012</v>
      </c>
      <c r="Y22" s="136"/>
      <c r="Z22" s="136"/>
      <c r="AA22" s="140" t="s">
        <v>265</v>
      </c>
      <c r="AB22" s="142">
        <v>13</v>
      </c>
      <c r="AC22" s="142">
        <v>12</v>
      </c>
      <c r="AD22" s="142">
        <v>13</v>
      </c>
      <c r="AE22" s="142">
        <v>11</v>
      </c>
      <c r="AF22" s="142">
        <v>13</v>
      </c>
      <c r="AG22" s="142">
        <v>12</v>
      </c>
      <c r="AH22" s="142">
        <v>13</v>
      </c>
      <c r="AI22" s="142">
        <v>13</v>
      </c>
      <c r="AJ22" s="142">
        <v>13</v>
      </c>
      <c r="AK22" s="11"/>
      <c r="AL22" s="136"/>
      <c r="AM22" s="136"/>
      <c r="AN22" s="141"/>
      <c r="AO22" s="141"/>
      <c r="AP22" s="141"/>
      <c r="AQ22" s="141"/>
      <c r="AR22" s="141"/>
      <c r="AS22" s="141"/>
      <c r="AT22" s="141"/>
      <c r="AU22" s="141"/>
      <c r="AV22" s="141"/>
      <c r="AW22" s="136"/>
    </row>
    <row r="23" spans="1:49" x14ac:dyDescent="0.25">
      <c r="A23" s="11"/>
      <c r="B23" s="8" t="s">
        <v>249</v>
      </c>
      <c r="C23" s="7">
        <v>36.948603242696507</v>
      </c>
      <c r="D23" s="7">
        <v>7.9486481799137723</v>
      </c>
      <c r="E23" s="7">
        <v>2.6529915051976491</v>
      </c>
      <c r="F23" s="7">
        <v>2.9980469860998662</v>
      </c>
      <c r="G23" s="7">
        <v>4.7153360931987596</v>
      </c>
      <c r="H23" s="7">
        <v>14.860084133637285</v>
      </c>
      <c r="I23" s="7">
        <v>3.8125610673600114</v>
      </c>
      <c r="J23" s="7">
        <v>10.665643482670076</v>
      </c>
      <c r="K23" s="8">
        <v>12.825990841362218</v>
      </c>
      <c r="Y23" s="136"/>
      <c r="Z23" s="136"/>
      <c r="AK23" s="11"/>
      <c r="AL23" s="136"/>
      <c r="AM23" s="136"/>
      <c r="AN23" s="141"/>
      <c r="AO23" s="141"/>
      <c r="AP23" s="141"/>
      <c r="AQ23" s="141"/>
      <c r="AR23" s="141"/>
      <c r="AS23" s="141"/>
      <c r="AT23" s="141"/>
      <c r="AU23" s="141"/>
      <c r="AV23" s="141"/>
      <c r="AW23" s="136"/>
    </row>
    <row r="24" spans="1:49" x14ac:dyDescent="0.25">
      <c r="A24" s="11" t="s">
        <v>258</v>
      </c>
      <c r="B24" s="8" t="s">
        <v>286</v>
      </c>
      <c r="C24" s="7">
        <v>64.475814704095868</v>
      </c>
      <c r="D24" s="7">
        <v>27.800012393145654</v>
      </c>
      <c r="E24" s="7">
        <v>12.189461554854189</v>
      </c>
      <c r="F24" s="7">
        <v>8.2150086385107848</v>
      </c>
      <c r="G24" s="7">
        <v>10.36661664645754</v>
      </c>
      <c r="H24" s="7">
        <v>4.5070702669037601</v>
      </c>
      <c r="I24" s="7">
        <v>5.5490979599806876</v>
      </c>
      <c r="J24" s="7">
        <v>4.5652499714755326</v>
      </c>
      <c r="K24" s="8">
        <v>10.81500394312118</v>
      </c>
      <c r="Y24" s="136"/>
      <c r="Z24" s="136"/>
      <c r="AF24" s="7"/>
      <c r="AK24" s="11"/>
      <c r="AL24" s="136"/>
      <c r="AM24" s="136"/>
      <c r="AN24" s="141"/>
      <c r="AO24" s="141"/>
      <c r="AP24" s="141"/>
      <c r="AQ24" s="141"/>
      <c r="AR24" s="7"/>
      <c r="AS24" s="7"/>
      <c r="AT24" s="7"/>
      <c r="AU24" s="7"/>
      <c r="AV24" s="7"/>
      <c r="AW24" s="136"/>
    </row>
    <row r="25" spans="1:49" ht="15.75" thickBot="1" x14ac:dyDescent="0.3">
      <c r="A25" s="11"/>
      <c r="B25" s="16" t="s">
        <v>252</v>
      </c>
      <c r="C25" s="24">
        <v>27.805689021948435</v>
      </c>
      <c r="D25" s="15">
        <v>5.1757349790245151</v>
      </c>
      <c r="E25" s="15">
        <v>3.0928960352654036</v>
      </c>
      <c r="F25" s="15">
        <v>3.4294471299432954</v>
      </c>
      <c r="G25" s="15">
        <v>6.8825842982801291</v>
      </c>
      <c r="H25" s="15"/>
      <c r="I25" s="15">
        <v>2.9199318344944034</v>
      </c>
      <c r="J25" s="15">
        <v>5.7047227681529442</v>
      </c>
      <c r="K25" s="16">
        <v>9.7989267330179342</v>
      </c>
      <c r="Y25" s="136"/>
      <c r="Z25" s="136"/>
      <c r="AK25" s="11"/>
      <c r="AL25" s="136"/>
      <c r="AM25" s="136"/>
      <c r="AN25" s="141"/>
      <c r="AO25" s="141"/>
      <c r="AP25" s="141"/>
      <c r="AQ25" s="141"/>
      <c r="AR25" s="7"/>
      <c r="AS25" s="7"/>
      <c r="AT25" s="7"/>
      <c r="AU25" s="7"/>
      <c r="AV25" s="7"/>
      <c r="AW25" s="136"/>
    </row>
    <row r="26" spans="1:49" ht="15.75" x14ac:dyDescent="0.25">
      <c r="A26" s="56"/>
      <c r="B26" s="140" t="s">
        <v>261</v>
      </c>
      <c r="C26" s="141">
        <v>48.17880891546811</v>
      </c>
      <c r="D26" s="141">
        <v>14.94413726431242</v>
      </c>
      <c r="E26" s="141">
        <v>4.99565369567686</v>
      </c>
      <c r="F26" s="141">
        <v>4.8496334793105493</v>
      </c>
      <c r="G26" s="141">
        <v>5.9733991959183141</v>
      </c>
      <c r="H26" s="141">
        <v>11.82908218439564</v>
      </c>
      <c r="I26" s="141">
        <v>6.6126607300823812</v>
      </c>
      <c r="J26" s="141">
        <v>6.5203839774140562</v>
      </c>
      <c r="K26" s="141">
        <v>14.056863797204411</v>
      </c>
      <c r="Y26" s="136"/>
      <c r="Z26" s="136"/>
      <c r="AK26" s="11"/>
      <c r="AL26" s="136"/>
      <c r="AM26" s="136"/>
      <c r="AN26" s="141"/>
      <c r="AO26" s="141"/>
      <c r="AP26" s="141"/>
      <c r="AQ26" s="7"/>
      <c r="AR26" s="7"/>
      <c r="AS26" s="7"/>
      <c r="AT26" s="7"/>
      <c r="AU26" s="7"/>
      <c r="AV26" s="7"/>
      <c r="AW26" s="136"/>
    </row>
    <row r="27" spans="1:49" ht="15.75" x14ac:dyDescent="0.25">
      <c r="B27" s="140" t="s">
        <v>263</v>
      </c>
      <c r="C27" s="141">
        <v>17.608940035363521</v>
      </c>
      <c r="D27" s="141">
        <v>7.9537170334882124</v>
      </c>
      <c r="E27" s="141">
        <v>3.4043267133084414</v>
      </c>
      <c r="F27" s="141">
        <v>2.4163099905512677</v>
      </c>
      <c r="G27" s="141">
        <v>3.1458573305044131</v>
      </c>
      <c r="H27" s="141">
        <v>7.8823271653910112</v>
      </c>
      <c r="I27" s="141">
        <v>2.661382538012512</v>
      </c>
      <c r="J27" s="141">
        <v>4.1806169322447415</v>
      </c>
      <c r="K27" s="141">
        <v>5.5734355663333126</v>
      </c>
      <c r="Y27" s="136"/>
      <c r="Z27" s="136"/>
      <c r="AK27" s="11"/>
      <c r="AL27" s="136"/>
      <c r="AM27" s="136"/>
      <c r="AN27" s="141"/>
      <c r="AO27" s="141"/>
      <c r="AP27" s="141"/>
      <c r="AQ27" s="141"/>
      <c r="AR27" s="141"/>
      <c r="AS27" s="141"/>
      <c r="AT27" s="7"/>
      <c r="AU27" s="7"/>
      <c r="AV27" s="7"/>
      <c r="AW27" s="136"/>
    </row>
    <row r="28" spans="1:49" ht="15.75" x14ac:dyDescent="0.25">
      <c r="B28" s="140" t="s">
        <v>265</v>
      </c>
      <c r="C28" s="142">
        <v>20</v>
      </c>
      <c r="D28" s="142">
        <v>19</v>
      </c>
      <c r="E28" s="142">
        <v>19</v>
      </c>
      <c r="F28" s="142">
        <v>20</v>
      </c>
      <c r="G28" s="142">
        <v>20</v>
      </c>
      <c r="H28" s="142">
        <v>19</v>
      </c>
      <c r="I28" s="142">
        <v>19</v>
      </c>
      <c r="J28" s="142">
        <v>18</v>
      </c>
      <c r="K28" s="142">
        <v>19</v>
      </c>
      <c r="Y28" s="136"/>
      <c r="Z28" s="136"/>
      <c r="AK28" s="11"/>
      <c r="AL28" s="136"/>
      <c r="AM28" s="136"/>
      <c r="AN28" s="141"/>
      <c r="AO28" s="141"/>
      <c r="AP28" s="141"/>
      <c r="AQ28" s="141"/>
      <c r="AR28" s="141"/>
      <c r="AS28" s="141"/>
      <c r="AT28" s="7"/>
      <c r="AU28" s="7"/>
      <c r="AV28" s="7"/>
      <c r="AW28" s="136"/>
    </row>
    <row r="29" spans="1:49" ht="18.75" x14ac:dyDescent="0.3">
      <c r="B29" s="140"/>
      <c r="C29" s="136"/>
      <c r="D29" s="136"/>
      <c r="E29" s="136"/>
      <c r="F29" s="136"/>
      <c r="G29" s="136"/>
      <c r="H29" s="136"/>
      <c r="I29" s="136"/>
      <c r="J29" s="136"/>
      <c r="K29" s="136"/>
      <c r="Y29" s="136"/>
      <c r="Z29" s="136"/>
      <c r="AA29" s="131" t="s">
        <v>270</v>
      </c>
      <c r="AK29" s="11"/>
      <c r="AL29" s="136"/>
      <c r="AM29" s="136"/>
      <c r="AN29" s="141"/>
      <c r="AO29" s="141"/>
      <c r="AP29" s="141"/>
      <c r="AQ29" s="141"/>
      <c r="AR29" s="141"/>
      <c r="AS29" s="141"/>
      <c r="AT29" s="7"/>
      <c r="AU29" s="7"/>
      <c r="AV29" s="7"/>
      <c r="AW29" s="136"/>
    </row>
    <row r="30" spans="1:49" ht="19.5" thickBot="1" x14ac:dyDescent="0.35">
      <c r="B30" s="131" t="s">
        <v>270</v>
      </c>
      <c r="C30" s="136"/>
      <c r="D30" s="136"/>
      <c r="E30" s="136"/>
      <c r="F30" s="136"/>
      <c r="G30" s="136"/>
      <c r="H30" s="136"/>
      <c r="I30" s="136"/>
      <c r="J30" s="136"/>
      <c r="K30" s="136"/>
      <c r="L30" s="136"/>
      <c r="M30" s="136"/>
      <c r="N30" s="136"/>
      <c r="O30" s="143" t="s">
        <v>270</v>
      </c>
      <c r="Y30" s="136"/>
      <c r="AA30" s="11" t="s">
        <v>0</v>
      </c>
      <c r="AB30" s="110" t="s">
        <v>8</v>
      </c>
      <c r="AC30" s="26" t="s">
        <v>9</v>
      </c>
      <c r="AD30" s="26" t="s">
        <v>10</v>
      </c>
      <c r="AE30" s="26" t="s">
        <v>11</v>
      </c>
      <c r="AF30" s="26" t="s">
        <v>12</v>
      </c>
      <c r="AG30" s="26" t="s">
        <v>13</v>
      </c>
      <c r="AH30" s="26" t="s">
        <v>14</v>
      </c>
      <c r="AI30" s="26" t="s">
        <v>15</v>
      </c>
      <c r="AJ30" s="26" t="s">
        <v>16</v>
      </c>
      <c r="AK30" s="11"/>
      <c r="AL30" s="136"/>
      <c r="AM30" s="143" t="s">
        <v>270</v>
      </c>
      <c r="AN30" s="141"/>
      <c r="AO30" s="141"/>
      <c r="AP30" s="141"/>
      <c r="AQ30" s="141"/>
      <c r="AR30" s="141"/>
      <c r="AS30" s="141"/>
      <c r="AT30" s="141"/>
      <c r="AU30" s="141"/>
      <c r="AV30" s="141"/>
    </row>
    <row r="31" spans="1:49" ht="15.75" thickBot="1" x14ac:dyDescent="0.3">
      <c r="B31" s="1" t="s">
        <v>73</v>
      </c>
      <c r="C31" s="76" t="s">
        <v>8</v>
      </c>
      <c r="D31" s="76" t="s">
        <v>9</v>
      </c>
      <c r="E31" s="76" t="s">
        <v>10</v>
      </c>
      <c r="F31" s="76" t="s">
        <v>11</v>
      </c>
      <c r="G31" s="76" t="s">
        <v>12</v>
      </c>
      <c r="H31" s="77" t="s">
        <v>13</v>
      </c>
      <c r="I31" s="76" t="s">
        <v>14</v>
      </c>
      <c r="J31" s="76" t="s">
        <v>15</v>
      </c>
      <c r="K31" s="44" t="s">
        <v>16</v>
      </c>
      <c r="L31" s="136"/>
      <c r="M31" s="136"/>
      <c r="N31" s="144"/>
      <c r="O31" t="s">
        <v>0</v>
      </c>
      <c r="P31" t="s">
        <v>8</v>
      </c>
      <c r="Q31" t="s">
        <v>9</v>
      </c>
      <c r="R31" t="s">
        <v>10</v>
      </c>
      <c r="S31" t="s">
        <v>11</v>
      </c>
      <c r="T31" t="s">
        <v>12</v>
      </c>
      <c r="U31" t="s">
        <v>13</v>
      </c>
      <c r="V31" t="s">
        <v>14</v>
      </c>
      <c r="W31" t="s">
        <v>15</v>
      </c>
      <c r="X31" t="s">
        <v>16</v>
      </c>
      <c r="Y31" s="136"/>
      <c r="AA31" s="271" t="s">
        <v>155</v>
      </c>
      <c r="AB31" s="7"/>
      <c r="AC31" s="7"/>
      <c r="AD31" s="7"/>
      <c r="AE31" s="7"/>
      <c r="AF31" s="7"/>
      <c r="AG31" s="7"/>
      <c r="AH31" s="7"/>
      <c r="AI31" s="7"/>
      <c r="AJ31" s="7"/>
      <c r="AK31" s="6"/>
      <c r="AL31" s="136"/>
      <c r="AM31" s="133" t="s">
        <v>0</v>
      </c>
      <c r="AN31" s="134" t="s">
        <v>8</v>
      </c>
      <c r="AO31" s="134" t="s">
        <v>9</v>
      </c>
      <c r="AP31" s="134" t="s">
        <v>10</v>
      </c>
      <c r="AQ31" s="134" t="s">
        <v>11</v>
      </c>
      <c r="AR31" s="134" t="s">
        <v>12</v>
      </c>
      <c r="AS31" s="134" t="s">
        <v>13</v>
      </c>
      <c r="AT31" s="134" t="s">
        <v>14</v>
      </c>
      <c r="AU31" s="134" t="s">
        <v>15</v>
      </c>
      <c r="AV31" s="135" t="s">
        <v>16</v>
      </c>
    </row>
    <row r="32" spans="1:49" ht="15.75" thickTop="1" x14ac:dyDescent="0.25">
      <c r="A32" s="11"/>
      <c r="B32" s="11" t="s">
        <v>384</v>
      </c>
      <c r="C32" s="7">
        <v>61.601201562945214</v>
      </c>
      <c r="D32" s="7">
        <v>11.860311677312323</v>
      </c>
      <c r="E32" s="7">
        <v>5.8031181571734196</v>
      </c>
      <c r="F32" s="7">
        <v>6.4189206451153957</v>
      </c>
      <c r="G32" s="7">
        <v>15.004210110563088</v>
      </c>
      <c r="H32" s="7">
        <v>8.3731196399773609</v>
      </c>
      <c r="I32" s="7">
        <v>20.496477660422755</v>
      </c>
      <c r="J32" s="7">
        <v>4.038231421875337</v>
      </c>
      <c r="K32" s="10">
        <v>27.887643642467488</v>
      </c>
      <c r="L32" s="136"/>
      <c r="M32" s="136"/>
      <c r="N32" s="144"/>
      <c r="O32" s="215" t="s">
        <v>184</v>
      </c>
      <c r="P32" s="30">
        <v>33.851202928647091</v>
      </c>
      <c r="Q32" s="31">
        <v>21.110821017458054</v>
      </c>
      <c r="R32" s="31">
        <v>2.5413253275538099</v>
      </c>
      <c r="S32" s="31">
        <v>2.1650533091368183</v>
      </c>
      <c r="T32" s="31">
        <v>2.4621493553407356</v>
      </c>
      <c r="U32" s="31">
        <v>2.9903201041476999</v>
      </c>
      <c r="V32" s="31">
        <v>4.2947380413445977</v>
      </c>
      <c r="W32" s="31">
        <v>1.6514022919112481</v>
      </c>
      <c r="X32" s="27">
        <v>5.7870437872101395</v>
      </c>
      <c r="Y32" s="136"/>
      <c r="AA32" s="58" t="s">
        <v>156</v>
      </c>
      <c r="AB32" s="32">
        <v>54.965053748749497</v>
      </c>
      <c r="AC32" s="33">
        <v>17.957890234978436</v>
      </c>
      <c r="AD32" s="33">
        <v>3.7583782797246368</v>
      </c>
      <c r="AE32" s="33">
        <v>3.2969518031072349</v>
      </c>
      <c r="AF32" s="33">
        <v>6.6724024586694037</v>
      </c>
      <c r="AG32" s="33">
        <v>9.4266768861240831</v>
      </c>
      <c r="AH32" s="33">
        <v>14.464494725978136</v>
      </c>
      <c r="AI32" s="33">
        <v>7.2119346382302787</v>
      </c>
      <c r="AJ32" s="8">
        <v>24.983996204125084</v>
      </c>
      <c r="AK32" s="11"/>
      <c r="AL32" s="68"/>
      <c r="AM32" s="11" t="s">
        <v>59</v>
      </c>
      <c r="AN32" s="7">
        <v>53.340475728026391</v>
      </c>
      <c r="AO32" s="7">
        <v>23.504653475873674</v>
      </c>
      <c r="AP32" s="7">
        <v>3.7497835172737788</v>
      </c>
      <c r="AQ32" s="7">
        <v>4.1160172803323816</v>
      </c>
      <c r="AR32" s="7">
        <v>12.154004223631874</v>
      </c>
      <c r="AS32" s="7">
        <v>7.9209956023224404</v>
      </c>
      <c r="AT32" s="7">
        <v>15.534415449735734</v>
      </c>
      <c r="AU32" s="7">
        <v>9.2599566296749902</v>
      </c>
      <c r="AV32" s="10">
        <v>25.70963181173537</v>
      </c>
    </row>
    <row r="33" spans="1:49" x14ac:dyDescent="0.25">
      <c r="A33" s="11"/>
      <c r="B33" s="11" t="s">
        <v>383</v>
      </c>
      <c r="C33" s="7">
        <v>39.564187134317834</v>
      </c>
      <c r="D33" s="7">
        <v>12.868305122675588</v>
      </c>
      <c r="E33" s="7">
        <v>3.8782632956113683</v>
      </c>
      <c r="F33" s="7">
        <v>4.5758155200102619</v>
      </c>
      <c r="G33" s="7">
        <v>6.7788049412595281</v>
      </c>
      <c r="H33" s="7">
        <v>6.73115292382818</v>
      </c>
      <c r="I33" s="7">
        <v>9.2309899767427321</v>
      </c>
      <c r="J33" s="7">
        <v>3.6610800623184918</v>
      </c>
      <c r="K33" s="8">
        <v>12.685944517505622</v>
      </c>
      <c r="L33" s="136"/>
      <c r="M33" s="136"/>
      <c r="N33" s="144"/>
      <c r="O33" s="58" t="s">
        <v>187</v>
      </c>
      <c r="P33" s="32"/>
      <c r="Q33" s="33">
        <v>29.759531190402512</v>
      </c>
      <c r="R33" s="33">
        <v>24.918895833592735</v>
      </c>
      <c r="S33" s="33">
        <v>11.042474700368841</v>
      </c>
      <c r="T33" s="33">
        <v>7.0309363173063568</v>
      </c>
      <c r="U33" s="33">
        <v>7.1183945095753822</v>
      </c>
      <c r="V33" s="33">
        <v>23.532608235294017</v>
      </c>
      <c r="W33" s="33">
        <v>4.6113711472479508</v>
      </c>
      <c r="X33" s="8">
        <v>25.445150003899862</v>
      </c>
      <c r="Y33" s="136"/>
      <c r="AA33" s="58" t="s">
        <v>161</v>
      </c>
      <c r="AB33" s="32">
        <v>34.666449873790235</v>
      </c>
      <c r="AC33" s="33">
        <v>13.689976672293477</v>
      </c>
      <c r="AD33" s="33">
        <v>3.8547061470706105</v>
      </c>
      <c r="AE33" s="33">
        <v>3.6959268109376979</v>
      </c>
      <c r="AF33" s="33">
        <v>4.5493192615818074</v>
      </c>
      <c r="AG33" s="33">
        <v>10.805299474931044</v>
      </c>
      <c r="AH33" s="33">
        <v>11.933364063647387</v>
      </c>
      <c r="AI33" s="33">
        <v>1.8780831390209942</v>
      </c>
      <c r="AJ33" s="8">
        <v>14.685663172805336</v>
      </c>
      <c r="AK33" s="11"/>
      <c r="AL33" s="68"/>
      <c r="AM33" s="11"/>
      <c r="AN33" s="7"/>
      <c r="AO33" s="7"/>
      <c r="AP33" s="7"/>
      <c r="AQ33" s="7"/>
      <c r="AR33" s="7"/>
      <c r="AS33" s="7"/>
      <c r="AT33" s="7"/>
      <c r="AU33" s="7"/>
      <c r="AV33" s="8"/>
    </row>
    <row r="34" spans="1:49" x14ac:dyDescent="0.25">
      <c r="A34" s="11"/>
      <c r="B34" s="11" t="s">
        <v>382</v>
      </c>
      <c r="C34" s="7">
        <v>62.676144759489681</v>
      </c>
      <c r="D34" s="7">
        <v>19.669668064372889</v>
      </c>
      <c r="E34" s="7">
        <v>4.4500789477493186</v>
      </c>
      <c r="F34" s="7">
        <v>4.2980252366765539</v>
      </c>
      <c r="G34" s="7">
        <v>10.917377466083716</v>
      </c>
      <c r="H34" s="7">
        <v>8.3087676956016026</v>
      </c>
      <c r="I34" s="7">
        <v>19.603870276672314</v>
      </c>
      <c r="J34" s="7">
        <v>3.4616113423651198</v>
      </c>
      <c r="K34" s="8">
        <v>26.195181432089427</v>
      </c>
      <c r="L34" s="136"/>
      <c r="M34" s="136"/>
      <c r="N34" s="144"/>
      <c r="O34" s="58" t="s">
        <v>188</v>
      </c>
      <c r="P34" s="32">
        <v>34.649458917835666</v>
      </c>
      <c r="Q34" s="33">
        <v>13.211663326653307</v>
      </c>
      <c r="R34" s="33">
        <v>2.5953907815631267</v>
      </c>
      <c r="S34" s="33">
        <v>3.1484969939879761</v>
      </c>
      <c r="T34" s="33">
        <v>9.816192384769538</v>
      </c>
      <c r="U34" s="33">
        <v>7.8654108216432883</v>
      </c>
      <c r="V34" s="33">
        <v>11.264729458917836</v>
      </c>
      <c r="W34" s="33">
        <v>4.2794789579158312</v>
      </c>
      <c r="X34" s="8">
        <v>16.012905811623245</v>
      </c>
      <c r="Y34" s="136"/>
      <c r="AA34" s="58" t="s">
        <v>164</v>
      </c>
      <c r="AB34" s="32">
        <v>49.809388176839228</v>
      </c>
      <c r="AC34" s="33">
        <v>15.203490950918363</v>
      </c>
      <c r="AD34" s="33">
        <v>9.2108370578652572</v>
      </c>
      <c r="AE34" s="33">
        <v>5.0650028234537086</v>
      </c>
      <c r="AF34" s="33">
        <v>13.126070248674468</v>
      </c>
      <c r="AG34" s="33">
        <v>6.847548016017253</v>
      </c>
      <c r="AH34" s="33">
        <v>16.55028149794893</v>
      </c>
      <c r="AI34" s="33">
        <v>3.0891095431371252</v>
      </c>
      <c r="AJ34" s="8">
        <v>21.029730818193975</v>
      </c>
      <c r="AK34" s="11"/>
      <c r="AL34" s="68"/>
      <c r="AM34" s="11" t="s">
        <v>64</v>
      </c>
      <c r="AN34" s="7">
        <v>38.429871391572711</v>
      </c>
      <c r="AO34" s="7">
        <v>2.9792930836066551</v>
      </c>
      <c r="AP34" s="7">
        <v>2.5639976840736063</v>
      </c>
      <c r="AQ34" s="7">
        <v>3.5932080220468139</v>
      </c>
      <c r="AR34" s="7">
        <v>13.536222515214881</v>
      </c>
      <c r="AS34" s="7">
        <v>11.808834404113652</v>
      </c>
      <c r="AT34" s="7">
        <v>15.985863495069246</v>
      </c>
      <c r="AU34" s="7">
        <v>5.9766424889321383</v>
      </c>
      <c r="AV34" s="8">
        <v>22.462064218222299</v>
      </c>
    </row>
    <row r="35" spans="1:49" x14ac:dyDescent="0.25">
      <c r="A35" s="11"/>
      <c r="B35" s="11" t="s">
        <v>381</v>
      </c>
      <c r="C35" s="7">
        <v>49.25277329379913</v>
      </c>
      <c r="D35" s="7">
        <v>10.222855559779118</v>
      </c>
      <c r="E35" s="7">
        <v>4.9311636231257845</v>
      </c>
      <c r="F35" s="7">
        <v>5.0297662217761179</v>
      </c>
      <c r="G35" s="7">
        <v>18.241136186775638</v>
      </c>
      <c r="H35" s="7">
        <v>8.3382078704915834</v>
      </c>
      <c r="I35" s="7">
        <v>20.363590143396337</v>
      </c>
      <c r="J35" s="7">
        <v>4.9985832217370199</v>
      </c>
      <c r="K35" s="8">
        <v>25.820787432006728</v>
      </c>
      <c r="L35" s="136"/>
      <c r="M35" s="136"/>
      <c r="O35" s="58" t="s">
        <v>189</v>
      </c>
      <c r="P35" s="32">
        <v>53.664566995158175</v>
      </c>
      <c r="Q35" s="33">
        <v>13.409981213664906</v>
      </c>
      <c r="R35" s="33">
        <v>0.97055107695844234</v>
      </c>
      <c r="S35" s="33">
        <v>2.48458747310133</v>
      </c>
      <c r="T35" s="33">
        <v>13.279203239680502</v>
      </c>
      <c r="U35" s="33">
        <v>10.651419706044321</v>
      </c>
      <c r="V35" s="33">
        <v>27.688840420656465</v>
      </c>
      <c r="W35" s="33">
        <v>6.2129239272709569</v>
      </c>
      <c r="X35" s="8">
        <v>36.953703150302346</v>
      </c>
      <c r="Y35" s="136"/>
      <c r="AA35" s="58" t="s">
        <v>166</v>
      </c>
      <c r="AB35" s="32">
        <v>29.034625116432913</v>
      </c>
      <c r="AC35" s="33"/>
      <c r="AD35" s="33">
        <v>3.9491804998487283</v>
      </c>
      <c r="AE35" s="33"/>
      <c r="AF35" s="33">
        <v>11.670304808207502</v>
      </c>
      <c r="AG35" s="33">
        <v>6.4198829203710011</v>
      </c>
      <c r="AH35" s="33">
        <v>14.416469756287713</v>
      </c>
      <c r="AI35" s="33">
        <v>4.4615321973836144</v>
      </c>
      <c r="AJ35" s="8">
        <v>19.915754328443217</v>
      </c>
      <c r="AK35" s="11"/>
      <c r="AL35" s="68"/>
      <c r="AM35" s="11" t="s">
        <v>66</v>
      </c>
      <c r="AN35" s="7">
        <v>88.306759965013114</v>
      </c>
      <c r="AO35" s="7">
        <v>27.299387729601399</v>
      </c>
      <c r="AP35" s="7">
        <v>8.4170935899037858</v>
      </c>
      <c r="AQ35" s="7">
        <v>7.6638760464825681</v>
      </c>
      <c r="AR35" s="7">
        <v>30.354741971760586</v>
      </c>
      <c r="AS35" s="7"/>
      <c r="AT35" s="7">
        <v>18.109833812320378</v>
      </c>
      <c r="AU35" s="7">
        <v>5.783706110208672</v>
      </c>
      <c r="AV35" s="8">
        <v>31.260652255404224</v>
      </c>
    </row>
    <row r="36" spans="1:49" x14ac:dyDescent="0.25">
      <c r="A36" s="11"/>
      <c r="B36" s="11" t="s">
        <v>380</v>
      </c>
      <c r="C36" s="7">
        <v>53.537193653121065</v>
      </c>
      <c r="D36" s="7">
        <v>10.393537913699202</v>
      </c>
      <c r="E36" s="7">
        <v>5.7066925010473391</v>
      </c>
      <c r="F36" s="7">
        <v>5.0822816296606614</v>
      </c>
      <c r="G36" s="7">
        <v>11.283514872224547</v>
      </c>
      <c r="H36" s="7">
        <v>14.46572580645161</v>
      </c>
      <c r="I36" s="7">
        <v>13.337675429409297</v>
      </c>
      <c r="J36" s="7">
        <v>7.7196795140343504</v>
      </c>
      <c r="K36" s="8">
        <v>22.823300691244235</v>
      </c>
      <c r="L36" s="136"/>
      <c r="M36" s="136"/>
      <c r="O36" s="58" t="s">
        <v>191</v>
      </c>
      <c r="P36" s="32">
        <v>22.588423862431327</v>
      </c>
      <c r="Q36" s="33"/>
      <c r="R36" s="33">
        <v>0.95554812541861434</v>
      </c>
      <c r="S36" s="33">
        <v>0.23247736279757306</v>
      </c>
      <c r="T36" s="33">
        <v>15.088397376731619</v>
      </c>
      <c r="U36" s="33">
        <v>5.9435108438383413</v>
      </c>
      <c r="V36" s="33">
        <v>12.632498095224527</v>
      </c>
      <c r="W36" s="33">
        <v>3.9557993172279144</v>
      </c>
      <c r="X36" s="8">
        <v>18.945476520171297</v>
      </c>
      <c r="Y36" s="136"/>
      <c r="Z36" s="136"/>
      <c r="AA36" s="58" t="s">
        <v>169</v>
      </c>
      <c r="AB36" s="32">
        <v>60.513542042153553</v>
      </c>
      <c r="AC36" s="33">
        <v>21.786079340389858</v>
      </c>
      <c r="AD36" s="33">
        <v>5.4657536683858465</v>
      </c>
      <c r="AE36" s="33">
        <v>5.6232879219859404</v>
      </c>
      <c r="AF36" s="33">
        <v>10.898933267144576</v>
      </c>
      <c r="AG36" s="33">
        <v>1.4720453029780209</v>
      </c>
      <c r="AH36" s="33">
        <v>14.360704686245517</v>
      </c>
      <c r="AI36" s="33">
        <v>4.9787354880195318</v>
      </c>
      <c r="AJ36" s="8">
        <v>22.552804446258456</v>
      </c>
      <c r="AK36" s="11"/>
      <c r="AL36" s="68"/>
      <c r="AM36" s="11" t="s">
        <v>69</v>
      </c>
      <c r="AN36" s="7">
        <v>49.679953172151855</v>
      </c>
      <c r="AO36" s="7">
        <v>13.987704164011669</v>
      </c>
      <c r="AP36" s="7">
        <v>5.9900993174389363</v>
      </c>
      <c r="AQ36" s="7">
        <v>5.0941026712665316</v>
      </c>
      <c r="AR36" s="7">
        <v>10.838498560578067</v>
      </c>
      <c r="AS36" s="7">
        <v>5.8228651608086226</v>
      </c>
      <c r="AT36" s="7">
        <v>19.265736581588747</v>
      </c>
      <c r="AU36" s="7">
        <v>1.3754383298230439</v>
      </c>
      <c r="AV36" s="8">
        <v>23.619111590709021</v>
      </c>
    </row>
    <row r="37" spans="1:49" ht="15.75" thickBot="1" x14ac:dyDescent="0.3">
      <c r="A37" s="11"/>
      <c r="B37" s="11" t="s">
        <v>379</v>
      </c>
      <c r="C37" s="7">
        <v>53.35768500948766</v>
      </c>
      <c r="D37" s="7">
        <v>17.104703171591215</v>
      </c>
      <c r="E37" s="7">
        <v>4.0346977500677683</v>
      </c>
      <c r="F37" s="7">
        <v>3.3696801301165622</v>
      </c>
      <c r="G37" s="7">
        <v>15.96415017619951</v>
      </c>
      <c r="H37" s="7">
        <v>6.1089048522634863</v>
      </c>
      <c r="I37" s="7">
        <v>19.433992952019516</v>
      </c>
      <c r="J37" s="7">
        <v>5.7051368934670643</v>
      </c>
      <c r="K37" s="8">
        <v>23.370222282461373</v>
      </c>
      <c r="L37" s="136"/>
      <c r="M37" s="136"/>
      <c r="O37" s="110" t="s">
        <v>199</v>
      </c>
      <c r="P37" s="24">
        <v>31.729948648646388</v>
      </c>
      <c r="Q37" s="15">
        <v>15.631362087746931</v>
      </c>
      <c r="R37" s="15">
        <v>6.2492010104486155</v>
      </c>
      <c r="S37" s="15"/>
      <c r="T37" s="15">
        <v>8.5263777493655404</v>
      </c>
      <c r="U37" s="15">
        <v>14.43605194918284</v>
      </c>
      <c r="V37" s="15">
        <v>13.31147656283361</v>
      </c>
      <c r="W37" s="15">
        <v>6.0757401067217272</v>
      </c>
      <c r="X37" s="16">
        <v>21.555022477206716</v>
      </c>
      <c r="Y37" s="136"/>
      <c r="Z37" s="136"/>
      <c r="AA37" s="58" t="s">
        <v>171</v>
      </c>
      <c r="AB37" s="32">
        <v>46.872053872053868</v>
      </c>
      <c r="AC37" s="33">
        <v>16.852861952861954</v>
      </c>
      <c r="AD37" s="33">
        <v>3.2226711560044889</v>
      </c>
      <c r="AE37" s="33">
        <v>1.6290684624017955</v>
      </c>
      <c r="AF37" s="33">
        <v>6.8800224466891127</v>
      </c>
      <c r="AG37" s="33">
        <v>6.3371492704826027</v>
      </c>
      <c r="AH37" s="33">
        <v>7.7102132435465762</v>
      </c>
      <c r="AI37" s="33">
        <v>2.5680134680134681</v>
      </c>
      <c r="AJ37" s="8">
        <v>12.049158249158246</v>
      </c>
      <c r="AK37" s="11"/>
      <c r="AL37" s="136"/>
      <c r="AM37" s="14" t="s">
        <v>72</v>
      </c>
      <c r="AN37" s="24">
        <v>79.110364557360711</v>
      </c>
      <c r="AO37" s="15">
        <v>43.972231699955387</v>
      </c>
      <c r="AP37" s="15">
        <v>7.4514579669824936</v>
      </c>
      <c r="AQ37" s="15">
        <v>9.0553528778772208</v>
      </c>
      <c r="AR37" s="15">
        <v>11.168998189023911</v>
      </c>
      <c r="AS37" s="15">
        <v>4.8504238733891487</v>
      </c>
      <c r="AT37" s="15">
        <v>14.611584997769087</v>
      </c>
      <c r="AU37" s="15">
        <v>3.5956536573843203</v>
      </c>
      <c r="AV37" s="16">
        <v>22.352799139130205</v>
      </c>
    </row>
    <row r="38" spans="1:49" ht="15.75" x14ac:dyDescent="0.25">
      <c r="A38" s="11"/>
      <c r="B38" s="11" t="s">
        <v>229</v>
      </c>
      <c r="C38" s="7">
        <v>41.332258768640678</v>
      </c>
      <c r="D38" s="7">
        <v>7.7447005927659998</v>
      </c>
      <c r="E38" s="7">
        <v>3.1917051234974001</v>
      </c>
      <c r="F38" s="7">
        <v>2.3323349091646346</v>
      </c>
      <c r="G38" s="7">
        <v>4.3208142057126109</v>
      </c>
      <c r="H38" s="7">
        <v>5.1617512400078525</v>
      </c>
      <c r="I38" s="7"/>
      <c r="J38" s="7"/>
      <c r="K38" s="8"/>
      <c r="L38" s="136"/>
      <c r="M38" s="136"/>
      <c r="O38" t="s">
        <v>261</v>
      </c>
      <c r="P38" s="7">
        <v>35.29672027054373</v>
      </c>
      <c r="Q38" s="7">
        <v>18.624671767185141</v>
      </c>
      <c r="R38" s="7">
        <v>6.3718186925892235</v>
      </c>
      <c r="S38" s="7">
        <v>3.8146179678785073</v>
      </c>
      <c r="T38" s="7">
        <v>9.367209403865715</v>
      </c>
      <c r="U38" s="7">
        <v>8.1675179890719782</v>
      </c>
      <c r="V38" s="7">
        <v>15.454148469045174</v>
      </c>
      <c r="W38" s="7">
        <v>4.4644526247159382</v>
      </c>
      <c r="X38" s="7">
        <v>20.783216958402267</v>
      </c>
      <c r="Y38" s="136"/>
      <c r="Z38" s="136"/>
      <c r="AA38" s="58" t="s">
        <v>173</v>
      </c>
      <c r="AB38" s="32">
        <v>72.973254062305216</v>
      </c>
      <c r="AC38" s="33">
        <v>16.780120835869745</v>
      </c>
      <c r="AD38" s="33">
        <v>9.1958916605601519</v>
      </c>
      <c r="AE38" s="33">
        <v>9.3660046968101884</v>
      </c>
      <c r="AF38" s="33">
        <v>12.862833933048798</v>
      </c>
      <c r="AG38" s="33">
        <v>15.172180434880742</v>
      </c>
      <c r="AH38" s="33">
        <v>14.125309772577026</v>
      </c>
      <c r="AI38" s="33">
        <v>15.553073724312549</v>
      </c>
      <c r="AJ38" s="8">
        <v>30.852080734031244</v>
      </c>
      <c r="AK38" s="11"/>
      <c r="AL38" s="136"/>
      <c r="AM38" s="140" t="s">
        <v>261</v>
      </c>
      <c r="AN38" s="141">
        <v>61.773484962824952</v>
      </c>
      <c r="AO38" s="141">
        <v>22.348654030609758</v>
      </c>
      <c r="AP38" s="141">
        <v>5.6344864151345204</v>
      </c>
      <c r="AQ38" s="141">
        <v>5.904511379601102</v>
      </c>
      <c r="AR38" s="141">
        <v>15.61049309204186</v>
      </c>
      <c r="AS38" s="141">
        <v>7.6007797601584652</v>
      </c>
      <c r="AT38" s="141">
        <v>16.701486867296637</v>
      </c>
      <c r="AU38" s="141">
        <v>5.1982794432046333</v>
      </c>
      <c r="AV38" s="141">
        <v>25.080851803040225</v>
      </c>
      <c r="AW38" s="136"/>
    </row>
    <row r="39" spans="1:49" ht="15.75" x14ac:dyDescent="0.25">
      <c r="A39" s="11"/>
      <c r="B39" s="11" t="s">
        <v>284</v>
      </c>
      <c r="C39" s="7"/>
      <c r="D39" s="7"/>
      <c r="E39" s="7"/>
      <c r="F39" s="7"/>
      <c r="G39" s="7"/>
      <c r="H39" s="7"/>
      <c r="I39" s="7"/>
      <c r="J39" s="7"/>
      <c r="K39" s="8"/>
      <c r="L39" s="136"/>
      <c r="M39" s="136"/>
      <c r="O39" t="s">
        <v>263</v>
      </c>
      <c r="P39" s="7">
        <v>11.336985030670395</v>
      </c>
      <c r="Q39" s="7">
        <v>6.993203723128361</v>
      </c>
      <c r="R39" s="7">
        <v>9.2892720002110636</v>
      </c>
      <c r="S39" s="7">
        <v>4.1835214261504374</v>
      </c>
      <c r="T39" s="7">
        <v>4.5184576436962764</v>
      </c>
      <c r="U39" s="7">
        <v>3.9599444512820852</v>
      </c>
      <c r="V39" s="7">
        <v>8.5975069155164139</v>
      </c>
      <c r="W39" s="7">
        <v>1.6662040641716431</v>
      </c>
      <c r="X39" s="7">
        <v>10.342459043165377</v>
      </c>
      <c r="Y39" s="136"/>
      <c r="Z39" s="136"/>
      <c r="AA39" s="58" t="s">
        <v>174</v>
      </c>
      <c r="AB39" s="32">
        <v>62.926086996932128</v>
      </c>
      <c r="AC39" s="33">
        <v>18.082830757943309</v>
      </c>
      <c r="AD39" s="33">
        <v>9.0352175107694546</v>
      </c>
      <c r="AE39" s="33">
        <v>5.9587579224014986</v>
      </c>
      <c r="AF39" s="33">
        <v>19.778497989263606</v>
      </c>
      <c r="AG39" s="33"/>
      <c r="AH39" s="33">
        <v>22.338275480775067</v>
      </c>
      <c r="AI39" s="33">
        <v>2.5426319869520975</v>
      </c>
      <c r="AJ39" s="8">
        <v>23.872334746822986</v>
      </c>
      <c r="AK39" s="11"/>
      <c r="AL39" s="136"/>
      <c r="AM39" s="140" t="s">
        <v>263</v>
      </c>
      <c r="AN39" s="141">
        <v>21.017109261904579</v>
      </c>
      <c r="AO39" s="141">
        <v>15.31749682768908</v>
      </c>
      <c r="AP39" s="141">
        <v>2.4571708785900661</v>
      </c>
      <c r="AQ39" s="141">
        <v>2.3569452054850126</v>
      </c>
      <c r="AR39" s="141">
        <v>8.3087543821603393</v>
      </c>
      <c r="AS39" s="141">
        <v>3.0841368267611826</v>
      </c>
      <c r="AT39" s="141">
        <v>1.9235825978902987</v>
      </c>
      <c r="AU39" s="141">
        <v>2.9422915630518385</v>
      </c>
      <c r="AV39" s="141">
        <v>3.7088509720054201</v>
      </c>
    </row>
    <row r="40" spans="1:49" ht="15.75" x14ac:dyDescent="0.25">
      <c r="A40" s="11"/>
      <c r="B40" s="11" t="s">
        <v>232</v>
      </c>
      <c r="C40" s="7">
        <v>32.736492348572476</v>
      </c>
      <c r="D40" s="7">
        <v>9.8284569214079891</v>
      </c>
      <c r="E40" s="7">
        <v>2.5867069739641129</v>
      </c>
      <c r="F40" s="7">
        <v>3.5858468832637405</v>
      </c>
      <c r="G40" s="7">
        <v>4.0618036523331096</v>
      </c>
      <c r="H40" s="7">
        <v>6.020578947188775</v>
      </c>
      <c r="I40" s="7">
        <v>11.022265723206129</v>
      </c>
      <c r="J40" s="7">
        <v>4.9921743552858917</v>
      </c>
      <c r="K40" s="8">
        <v>16.509645510688575</v>
      </c>
      <c r="L40" s="136"/>
      <c r="M40" s="136"/>
      <c r="O40" t="s">
        <v>265</v>
      </c>
      <c r="P40" s="149">
        <v>5</v>
      </c>
      <c r="Q40" s="149">
        <v>5</v>
      </c>
      <c r="R40" s="149">
        <v>6</v>
      </c>
      <c r="S40" s="149">
        <v>5</v>
      </c>
      <c r="T40" s="149">
        <v>6</v>
      </c>
      <c r="U40" s="149">
        <v>6</v>
      </c>
      <c r="V40" s="149">
        <v>6</v>
      </c>
      <c r="W40" s="149">
        <v>6</v>
      </c>
      <c r="X40" s="149">
        <v>6</v>
      </c>
      <c r="Y40" s="136"/>
      <c r="Z40" s="136"/>
      <c r="AA40" s="58" t="s">
        <v>177</v>
      </c>
      <c r="AB40" s="32">
        <v>40.417602490661203</v>
      </c>
      <c r="AC40" s="33">
        <v>16.722414986540375</v>
      </c>
      <c r="AD40" s="33">
        <v>5.7419780101660756</v>
      </c>
      <c r="AE40" s="33">
        <v>5.483329546043449</v>
      </c>
      <c r="AF40" s="33">
        <v>6.9326019328723723</v>
      </c>
      <c r="AG40" s="33">
        <v>1.3473697231707864</v>
      </c>
      <c r="AH40" s="33">
        <v>14.842002181653021</v>
      </c>
      <c r="AI40" s="33">
        <v>4.8402423235898233</v>
      </c>
      <c r="AJ40" s="8">
        <v>21.757784359681029</v>
      </c>
      <c r="AK40" s="11"/>
      <c r="AL40" s="136"/>
      <c r="AM40" s="140" t="s">
        <v>265</v>
      </c>
      <c r="AN40" s="142">
        <v>5</v>
      </c>
      <c r="AO40" s="142">
        <v>5</v>
      </c>
      <c r="AP40" s="142">
        <v>5</v>
      </c>
      <c r="AQ40" s="142">
        <v>5</v>
      </c>
      <c r="AR40" s="142">
        <v>5</v>
      </c>
      <c r="AS40" s="142">
        <v>4</v>
      </c>
      <c r="AT40" s="142">
        <v>5</v>
      </c>
      <c r="AU40" s="142">
        <v>5</v>
      </c>
      <c r="AV40" s="142">
        <v>5</v>
      </c>
    </row>
    <row r="41" spans="1:49" x14ac:dyDescent="0.25">
      <c r="A41" s="11"/>
      <c r="B41" s="11" t="s">
        <v>285</v>
      </c>
      <c r="C41" s="7">
        <v>34.296932442605595</v>
      </c>
      <c r="D41" s="7">
        <v>15.915439545572914</v>
      </c>
      <c r="E41" s="7">
        <v>4.1609579844093512</v>
      </c>
      <c r="F41" s="7">
        <v>3.7540602777345522</v>
      </c>
      <c r="G41" s="7">
        <v>5.1802030279107951</v>
      </c>
      <c r="H41" s="7">
        <v>4.4362429477558205</v>
      </c>
      <c r="I41" s="7">
        <v>12.381081006805434</v>
      </c>
      <c r="J41" s="7">
        <v>5.4087301111826829</v>
      </c>
      <c r="K41" s="8">
        <v>20.904390236343954</v>
      </c>
      <c r="L41" s="136"/>
      <c r="M41" s="136"/>
      <c r="N41" s="136"/>
      <c r="P41" s="7"/>
      <c r="Q41" s="7"/>
      <c r="R41" s="7"/>
      <c r="S41" s="7"/>
      <c r="T41" s="7"/>
      <c r="U41" s="7"/>
      <c r="V41" s="7"/>
      <c r="W41" s="7"/>
      <c r="X41" s="7"/>
      <c r="Y41" s="136"/>
      <c r="Z41" s="136"/>
      <c r="AA41" s="248" t="s">
        <v>178</v>
      </c>
      <c r="AB41" s="32"/>
      <c r="AC41" s="33"/>
      <c r="AD41" s="33"/>
      <c r="AE41" s="33"/>
      <c r="AF41" s="33"/>
      <c r="AG41" s="33"/>
      <c r="AH41" s="33"/>
      <c r="AI41" s="33"/>
      <c r="AJ41" s="8"/>
      <c r="AK41" s="11"/>
      <c r="AL41" s="136"/>
    </row>
    <row r="42" spans="1:49" x14ac:dyDescent="0.25">
      <c r="A42" s="11"/>
      <c r="B42" s="11" t="s">
        <v>234</v>
      </c>
      <c r="C42" s="7">
        <v>108.78441844820615</v>
      </c>
      <c r="D42" s="7">
        <v>18.018798715187049</v>
      </c>
      <c r="E42" s="7">
        <v>14.182212355902738</v>
      </c>
      <c r="F42" s="7">
        <v>12.309266715818548</v>
      </c>
      <c r="G42" s="7">
        <v>17.649063689996137</v>
      </c>
      <c r="H42" s="7">
        <v>25.959940618999603</v>
      </c>
      <c r="I42" s="7">
        <v>19.059024434812468</v>
      </c>
      <c r="J42" s="7">
        <v>2.7760642448019626</v>
      </c>
      <c r="K42" s="8">
        <v>24.728957174285281</v>
      </c>
      <c r="L42" s="136"/>
      <c r="M42" s="136"/>
      <c r="N42" s="136"/>
      <c r="O42" t="s">
        <v>278</v>
      </c>
      <c r="P42" s="7">
        <v>0.59177966033748197</v>
      </c>
      <c r="Q42" s="7">
        <v>0.86782241045762154</v>
      </c>
      <c r="R42" s="7">
        <v>0.48688131601979762</v>
      </c>
      <c r="S42" s="7">
        <v>0.12158017371606901</v>
      </c>
      <c r="T42" s="7">
        <v>0.19300429132413549</v>
      </c>
      <c r="U42" s="7">
        <v>0.29034352937969943</v>
      </c>
      <c r="V42" s="7">
        <v>0.12026913601523373</v>
      </c>
      <c r="W42" s="7">
        <v>0.22088346493067534</v>
      </c>
      <c r="X42" s="7">
        <v>0.25521770547488343</v>
      </c>
      <c r="Y42" s="136"/>
      <c r="Z42" s="136"/>
      <c r="AA42" s="58" t="s">
        <v>181</v>
      </c>
      <c r="AB42" s="32">
        <v>44.591895173270601</v>
      </c>
      <c r="AC42" s="33">
        <v>9.216836634093271</v>
      </c>
      <c r="AD42" s="33">
        <v>6.2777523262919219</v>
      </c>
      <c r="AE42" s="33">
        <v>5.8866041601359687</v>
      </c>
      <c r="AF42" s="33">
        <v>10.386063360294489</v>
      </c>
      <c r="AG42" s="33">
        <v>2.9150831751412012</v>
      </c>
      <c r="AH42" s="33">
        <v>14.021783054135335</v>
      </c>
      <c r="AI42" s="33">
        <v>3.5592976772953553</v>
      </c>
      <c r="AJ42" s="8">
        <v>18.408266211437514</v>
      </c>
      <c r="AK42" s="11"/>
      <c r="AL42" s="136"/>
      <c r="AW42" s="136"/>
    </row>
    <row r="43" spans="1:49" x14ac:dyDescent="0.25">
      <c r="A43" s="11"/>
      <c r="B43" s="11" t="s">
        <v>235</v>
      </c>
      <c r="C43" s="7">
        <v>78.457034902796707</v>
      </c>
      <c r="D43" s="7">
        <v>17.344853832522411</v>
      </c>
      <c r="E43" s="7">
        <v>3.473851707929255</v>
      </c>
      <c r="F43" s="7">
        <v>5.6361832772934877</v>
      </c>
      <c r="G43" s="7">
        <v>13.974582408263913</v>
      </c>
      <c r="H43" s="7">
        <v>23.416409633086701</v>
      </c>
      <c r="I43" s="7">
        <v>14.217698002131437</v>
      </c>
      <c r="J43" s="7">
        <v>13.91385008366559</v>
      </c>
      <c r="K43" s="8">
        <v>30.863012328927759</v>
      </c>
      <c r="L43" s="136"/>
      <c r="M43" s="136"/>
      <c r="N43" s="136"/>
      <c r="O43" t="s">
        <v>280</v>
      </c>
      <c r="P43" s="7">
        <v>-0.10685326852346982</v>
      </c>
      <c r="Q43" s="7">
        <v>-7.9920836747770341E-2</v>
      </c>
      <c r="R43" s="7">
        <v>-3.4869285412272126E-2</v>
      </c>
      <c r="S43" s="7">
        <v>-0.41641099313583246</v>
      </c>
      <c r="T43" s="7">
        <v>0.46476792539671535</v>
      </c>
      <c r="U43" s="7">
        <v>0.10127102425665901</v>
      </c>
      <c r="V43" s="7">
        <v>0.77724531584987444</v>
      </c>
      <c r="W43" s="7">
        <v>-0.41706655311676905</v>
      </c>
      <c r="X43" s="7">
        <v>0.37880025111348359</v>
      </c>
      <c r="Y43" s="136"/>
      <c r="Z43" s="136"/>
      <c r="AA43" s="58" t="s">
        <v>194</v>
      </c>
      <c r="AB43" s="32">
        <v>28.46803083955653</v>
      </c>
      <c r="AC43" s="33">
        <v>13.784233926354137</v>
      </c>
      <c r="AD43" s="33">
        <v>3.6824903678227452</v>
      </c>
      <c r="AE43" s="33"/>
      <c r="AF43" s="33">
        <v>6.3571112082447847</v>
      </c>
      <c r="AG43" s="33">
        <v>13.992960278831209</v>
      </c>
      <c r="AH43" s="33">
        <v>8.5821205278424273</v>
      </c>
      <c r="AI43" s="33">
        <v>11.985991810176234</v>
      </c>
      <c r="AJ43" s="8">
        <v>20.813552772038936</v>
      </c>
      <c r="AK43" s="11"/>
      <c r="AL43" s="136"/>
      <c r="AW43" s="136"/>
    </row>
    <row r="44" spans="1:49" x14ac:dyDescent="0.25">
      <c r="A44" s="11"/>
      <c r="B44" s="11" t="s">
        <v>237</v>
      </c>
      <c r="C44" s="7">
        <v>79.758706898082835</v>
      </c>
      <c r="D44" s="7">
        <v>27.055831473859584</v>
      </c>
      <c r="E44" s="7">
        <v>5.5123843240790924</v>
      </c>
      <c r="F44" s="7">
        <v>6.9466641932382869</v>
      </c>
      <c r="G44" s="7">
        <v>14.665880630313675</v>
      </c>
      <c r="H44" s="7">
        <v>15.730253146874938</v>
      </c>
      <c r="I44" s="7">
        <v>17.492579253648184</v>
      </c>
      <c r="J44" s="7">
        <v>5.3939120018651003</v>
      </c>
      <c r="K44" s="8">
        <v>28.641455374114347</v>
      </c>
      <c r="L44" s="136"/>
      <c r="M44" s="136"/>
      <c r="N44" s="136"/>
      <c r="Y44" s="136"/>
      <c r="Z44" s="136"/>
      <c r="AA44" s="58" t="s">
        <v>196</v>
      </c>
      <c r="AB44" s="32">
        <v>68.601928098700753</v>
      </c>
      <c r="AC44" s="33">
        <v>30.232350290741763</v>
      </c>
      <c r="AD44" s="33">
        <v>6.1311940664362803</v>
      </c>
      <c r="AE44" s="33">
        <v>5.6464700432617185</v>
      </c>
      <c r="AF44" s="33">
        <v>17.23350513431188</v>
      </c>
      <c r="AG44" s="33">
        <v>3.1664956249064882</v>
      </c>
      <c r="AH44" s="33">
        <v>17</v>
      </c>
      <c r="AI44" s="33">
        <v>7.8245189048090653</v>
      </c>
      <c r="AJ44" s="8">
        <v>24.321053536725515</v>
      </c>
      <c r="AK44" s="11"/>
      <c r="AL44" s="136"/>
      <c r="AM44" t="s">
        <v>278</v>
      </c>
      <c r="AN44" s="147">
        <v>3.4258017695601516E-2</v>
      </c>
      <c r="AO44" s="7">
        <v>0.1602386546629489</v>
      </c>
      <c r="AP44" s="7">
        <v>0.78846684513434173</v>
      </c>
      <c r="AQ44" s="7">
        <v>0.8412979336428803</v>
      </c>
      <c r="AR44" s="146">
        <v>3.3158429965982623E-2</v>
      </c>
      <c r="AS44" s="7">
        <v>0.87426515478060018</v>
      </c>
      <c r="AT44" s="146">
        <v>2.9596260711121768E-2</v>
      </c>
      <c r="AU44" s="7">
        <v>0.5364315689674839</v>
      </c>
      <c r="AV44" s="147">
        <v>3.1107494396957567E-2</v>
      </c>
      <c r="AW44" s="136"/>
    </row>
    <row r="45" spans="1:49" ht="15.75" thickBot="1" x14ac:dyDescent="0.3">
      <c r="A45" s="11"/>
      <c r="B45" s="6" t="s">
        <v>239</v>
      </c>
      <c r="C45" s="7">
        <v>39.394524778434885</v>
      </c>
      <c r="D45" s="7">
        <v>7.3076401268263371</v>
      </c>
      <c r="E45" s="7"/>
      <c r="F45" s="7">
        <v>5.8165234259697076</v>
      </c>
      <c r="G45" s="7">
        <v>8.9786012525701118</v>
      </c>
      <c r="H45" s="7">
        <v>10.929649942754416</v>
      </c>
      <c r="I45" s="7">
        <v>10.994723236848555</v>
      </c>
      <c r="J45" s="7">
        <v>4.2849099495326337</v>
      </c>
      <c r="K45" s="8">
        <v>15.642106567809739</v>
      </c>
      <c r="L45" s="136"/>
      <c r="M45" s="136"/>
      <c r="N45" s="136"/>
      <c r="Y45" s="136"/>
      <c r="Z45" s="136"/>
      <c r="AA45" s="110" t="s">
        <v>197</v>
      </c>
      <c r="AB45" s="24">
        <v>111.38919579743394</v>
      </c>
      <c r="AC45" s="15">
        <v>28.140409007146651</v>
      </c>
      <c r="AD45" s="15">
        <v>12.416390914936809</v>
      </c>
      <c r="AE45" s="15">
        <v>16.154696313912737</v>
      </c>
      <c r="AF45" s="15">
        <v>22.046623253838487</v>
      </c>
      <c r="AG45" s="15">
        <v>7.7340038282579684</v>
      </c>
      <c r="AH45" s="15">
        <v>31.286042182355942</v>
      </c>
      <c r="AI45" s="15">
        <v>6.8180348976699561</v>
      </c>
      <c r="AJ45" s="16">
        <v>31.713263917528309</v>
      </c>
      <c r="AK45" s="11"/>
      <c r="AL45" s="136"/>
      <c r="AM45" t="s">
        <v>280</v>
      </c>
      <c r="AN45" s="7">
        <v>0.288174941031342</v>
      </c>
      <c r="AO45" s="7">
        <v>0.31059354780619253</v>
      </c>
      <c r="AP45" s="7">
        <v>1.5257550436893657E-2</v>
      </c>
      <c r="AQ45" s="7">
        <v>7.5387511199404567E-3</v>
      </c>
      <c r="AR45" s="7">
        <v>0.69357206274784178</v>
      </c>
      <c r="AS45" s="7">
        <v>2.2970464562221824E-2</v>
      </c>
      <c r="AT45" s="7">
        <v>0.68655596020476273</v>
      </c>
      <c r="AU45" s="7">
        <v>0.16780870021251196</v>
      </c>
      <c r="AV45" s="7">
        <v>0.52981395501480821</v>
      </c>
      <c r="AW45" s="136"/>
    </row>
    <row r="46" spans="1:49" ht="15.75" x14ac:dyDescent="0.25">
      <c r="A46" s="11"/>
      <c r="B46" s="6" t="s">
        <v>241</v>
      </c>
      <c r="C46" s="7">
        <v>51.211769848676028</v>
      </c>
      <c r="D46" s="7">
        <v>6.8773813915852582</v>
      </c>
      <c r="E46" s="7">
        <v>6.1915406150307071</v>
      </c>
      <c r="F46" s="7">
        <v>6.3808118355743071</v>
      </c>
      <c r="G46" s="7">
        <v>9.547547224797162</v>
      </c>
      <c r="H46" s="7">
        <v>11.429284489680764</v>
      </c>
      <c r="I46" s="7">
        <v>16.25584012549875</v>
      </c>
      <c r="J46" s="7">
        <v>6.351979364631549</v>
      </c>
      <c r="K46" s="8">
        <v>22.804066308482632</v>
      </c>
      <c r="L46" s="136"/>
      <c r="M46" s="136"/>
      <c r="N46" s="136"/>
      <c r="Y46" s="136"/>
      <c r="Z46" s="136"/>
      <c r="AA46" s="140" t="s">
        <v>261</v>
      </c>
      <c r="AB46" s="141">
        <v>54.248392791452275</v>
      </c>
      <c r="AC46" s="141">
        <v>18.204124632510947</v>
      </c>
      <c r="AD46" s="141">
        <v>6.3032647435294624</v>
      </c>
      <c r="AE46" s="141">
        <v>6.1641909549501754</v>
      </c>
      <c r="AF46" s="141">
        <v>11.491868407910868</v>
      </c>
      <c r="AG46" s="141">
        <v>7.1363912446743667</v>
      </c>
      <c r="AH46" s="141">
        <v>15.510081628691776</v>
      </c>
      <c r="AI46" s="141">
        <v>5.9470153691238545</v>
      </c>
      <c r="AJ46" s="141">
        <v>22.073495653634602</v>
      </c>
      <c r="AK46" s="11"/>
      <c r="AL46" s="136"/>
      <c r="AW46" s="136"/>
    </row>
    <row r="47" spans="1:49" ht="15.75" x14ac:dyDescent="0.25">
      <c r="A47" s="11"/>
      <c r="B47" s="6" t="s">
        <v>243</v>
      </c>
      <c r="C47" s="7">
        <v>37.05217685079522</v>
      </c>
      <c r="D47" s="7">
        <v>5.6747396216134929</v>
      </c>
      <c r="E47" s="7">
        <v>4.283271415076995</v>
      </c>
      <c r="F47" s="7">
        <v>5.4972520002795058</v>
      </c>
      <c r="G47" s="7">
        <v>6.6874903588109129</v>
      </c>
      <c r="H47" s="7">
        <v>6.7167917409952507</v>
      </c>
      <c r="I47" s="7">
        <v>5.550700964224454</v>
      </c>
      <c r="J47" s="7"/>
      <c r="K47" s="8">
        <v>10.724769142427297</v>
      </c>
      <c r="AA47" s="140" t="s">
        <v>263</v>
      </c>
      <c r="AB47" s="141">
        <v>22.32198341689681</v>
      </c>
      <c r="AC47" s="141">
        <v>5.9700082047052074</v>
      </c>
      <c r="AD47" s="141">
        <v>2.8442044241131978</v>
      </c>
      <c r="AE47" s="141">
        <v>3.8378924923122608</v>
      </c>
      <c r="AF47" s="141">
        <v>5.4699318755669015</v>
      </c>
      <c r="AG47" s="141">
        <v>4.583196423769393</v>
      </c>
      <c r="AH47" s="141">
        <v>5.9765081619385194</v>
      </c>
      <c r="AI47" s="141">
        <v>4.0044869904230742</v>
      </c>
      <c r="AJ47" s="141">
        <v>5.4993220450428932</v>
      </c>
      <c r="AK47" s="11"/>
    </row>
    <row r="48" spans="1:49" ht="15.75" x14ac:dyDescent="0.25">
      <c r="B48" s="6" t="s">
        <v>245</v>
      </c>
      <c r="C48" s="7">
        <v>60.455570693376451</v>
      </c>
      <c r="D48" s="7">
        <v>26.315915056863151</v>
      </c>
      <c r="E48" s="7">
        <v>2.6764726020579803</v>
      </c>
      <c r="F48" s="7">
        <v>2.804282222432589</v>
      </c>
      <c r="G48" s="7">
        <v>5.4423452219469697</v>
      </c>
      <c r="H48" s="7">
        <v>3.759470899087566</v>
      </c>
      <c r="I48" s="7">
        <v>9.8171322352317567</v>
      </c>
      <c r="J48" s="7">
        <v>5.2725042499055439</v>
      </c>
      <c r="K48" s="8">
        <v>17.55090094192618</v>
      </c>
      <c r="AA48" s="140" t="s">
        <v>265</v>
      </c>
      <c r="AB48" s="142">
        <v>13</v>
      </c>
      <c r="AC48" s="142">
        <v>12</v>
      </c>
      <c r="AD48" s="142">
        <v>13</v>
      </c>
      <c r="AE48" s="142">
        <v>11</v>
      </c>
      <c r="AF48" s="142">
        <v>13</v>
      </c>
      <c r="AG48" s="142">
        <v>12</v>
      </c>
      <c r="AH48" s="142">
        <v>13</v>
      </c>
      <c r="AI48" s="142">
        <v>13</v>
      </c>
      <c r="AJ48" s="142">
        <v>13</v>
      </c>
      <c r="AK48" s="11"/>
    </row>
    <row r="49" spans="1:48" x14ac:dyDescent="0.25">
      <c r="B49" s="6" t="s">
        <v>247</v>
      </c>
      <c r="C49" s="7">
        <v>79.112420697160076</v>
      </c>
      <c r="D49" s="7">
        <v>17.989237269697171</v>
      </c>
      <c r="E49" s="7">
        <v>2.186213078919101</v>
      </c>
      <c r="F49" s="7">
        <v>2.7199976518101283</v>
      </c>
      <c r="G49" s="7">
        <v>16.120385035648539</v>
      </c>
      <c r="H49" s="7">
        <v>25.171837632687392</v>
      </c>
      <c r="I49" s="7">
        <v>17.211900224166765</v>
      </c>
      <c r="J49" s="7"/>
      <c r="K49" s="8">
        <v>14.570106104330446</v>
      </c>
      <c r="AK49" s="11"/>
    </row>
    <row r="50" spans="1:48" x14ac:dyDescent="0.25">
      <c r="B50" s="6" t="s">
        <v>249</v>
      </c>
      <c r="C50" s="7">
        <v>44.210008224631522</v>
      </c>
      <c r="D50" s="7">
        <v>10.041935767075451</v>
      </c>
      <c r="E50" s="7">
        <v>2.4289253811681957</v>
      </c>
      <c r="F50" s="7">
        <v>2.5729952857323557</v>
      </c>
      <c r="G50" s="7">
        <v>7.4339868125142372</v>
      </c>
      <c r="H50" s="7">
        <v>12.084040546537624</v>
      </c>
      <c r="I50" s="7">
        <v>11.241606470271105</v>
      </c>
      <c r="J50" s="7">
        <v>7.2348015576808065</v>
      </c>
      <c r="K50" s="8">
        <v>16.288004414319097</v>
      </c>
      <c r="AA50" t="s">
        <v>278</v>
      </c>
      <c r="AB50" s="147">
        <v>4.8872421368752498E-3</v>
      </c>
      <c r="AC50" s="7">
        <v>0.46774151971493949</v>
      </c>
      <c r="AD50" s="7">
        <v>0.98008101672281778</v>
      </c>
      <c r="AE50" s="7">
        <v>0.91322329446076655</v>
      </c>
      <c r="AF50" s="147">
        <v>1.5651036829568511E-2</v>
      </c>
      <c r="AG50" s="7">
        <v>0.53525525149259789</v>
      </c>
      <c r="AH50" s="147">
        <v>3.0523803852315552E-6</v>
      </c>
      <c r="AI50" s="7">
        <v>0.3668514869503533</v>
      </c>
      <c r="AJ50" s="147">
        <v>1.6010190598196169E-5</v>
      </c>
      <c r="AK50" s="11"/>
    </row>
    <row r="51" spans="1:48" x14ac:dyDescent="0.25">
      <c r="B51" s="6" t="s">
        <v>286</v>
      </c>
      <c r="C51" s="7">
        <v>66.839760378541484</v>
      </c>
      <c r="D51" s="7">
        <v>13.470979993494336</v>
      </c>
      <c r="E51" s="7">
        <v>10.313955794462542</v>
      </c>
      <c r="F51" s="7">
        <v>11.759695848224764</v>
      </c>
      <c r="G51" s="7">
        <v>19.652655060656361</v>
      </c>
      <c r="H51" s="7">
        <v>6.507799893299441</v>
      </c>
      <c r="I51" s="7">
        <v>14.321040058199534</v>
      </c>
      <c r="J51" s="7">
        <v>7.6577174496848448</v>
      </c>
      <c r="K51" s="8">
        <v>19.327303741332042</v>
      </c>
      <c r="AA51" t="s">
        <v>280</v>
      </c>
      <c r="AB51" s="147">
        <v>0.506729809822828</v>
      </c>
      <c r="AC51" s="7">
        <v>0.1795608590077114</v>
      </c>
      <c r="AD51" s="7">
        <v>-3.6745970538544087E-3</v>
      </c>
      <c r="AE51" s="7">
        <v>1.3871916820404393E-2</v>
      </c>
      <c r="AF51" s="147">
        <v>0.49058214367210873</v>
      </c>
      <c r="AG51" s="7">
        <v>8.8324713074064629E-2</v>
      </c>
      <c r="AH51" s="147">
        <v>1.6646240273656949</v>
      </c>
      <c r="AI51" s="7">
        <v>-0.10862134513356038</v>
      </c>
      <c r="AJ51" s="147">
        <v>1.6900052076390906</v>
      </c>
      <c r="AK51" s="11"/>
    </row>
    <row r="52" spans="1:48" ht="15.75" thickBot="1" x14ac:dyDescent="0.3">
      <c r="B52" s="60" t="s">
        <v>252</v>
      </c>
      <c r="C52" s="24">
        <v>32.626179925179642</v>
      </c>
      <c r="D52" s="15">
        <v>1.8963759155269606</v>
      </c>
      <c r="E52" s="15">
        <v>3.7730832822325531</v>
      </c>
      <c r="F52" s="15">
        <v>3.2382227901847926</v>
      </c>
      <c r="G52" s="15">
        <v>9.8920839967471306</v>
      </c>
      <c r="H52" s="15"/>
      <c r="I52" s="15">
        <v>7.8151915576907172</v>
      </c>
      <c r="J52" s="15">
        <v>5.6843878035090656</v>
      </c>
      <c r="K52" s="16">
        <v>13.823445938751645</v>
      </c>
      <c r="AK52" s="11"/>
    </row>
    <row r="53" spans="1:48" ht="15.75" x14ac:dyDescent="0.25">
      <c r="B53" s="140" t="s">
        <v>261</v>
      </c>
      <c r="C53" s="7">
        <v>55.312872030943026</v>
      </c>
      <c r="D53" s="7">
        <v>13.380083386671421</v>
      </c>
      <c r="E53" s="7">
        <v>4.9350155217634217</v>
      </c>
      <c r="F53" s="7">
        <v>5.206431335003848</v>
      </c>
      <c r="G53" s="7">
        <v>11.089831816566385</v>
      </c>
      <c r="H53" s="7">
        <v>11.034206866714209</v>
      </c>
      <c r="I53" s="7">
        <v>14.202493670073592</v>
      </c>
      <c r="J53" s="7">
        <v>5.7973737427966503</v>
      </c>
      <c r="K53" s="7">
        <v>20.587433883237573</v>
      </c>
      <c r="AK53" s="11"/>
    </row>
    <row r="54" spans="1:48" ht="15.75" x14ac:dyDescent="0.25">
      <c r="B54" s="140" t="s">
        <v>263</v>
      </c>
      <c r="C54" s="7">
        <v>19.85754599360568</v>
      </c>
      <c r="D54" s="7">
        <v>6.5698382413062575</v>
      </c>
      <c r="E54" s="7">
        <v>2.9046662233841811</v>
      </c>
      <c r="F54" s="7">
        <v>2.7175404703474322</v>
      </c>
      <c r="G54" s="7">
        <v>4.9983338516431894</v>
      </c>
      <c r="H54" s="7">
        <v>6.9555120092483858</v>
      </c>
      <c r="I54" s="7">
        <v>4.5622164090728887</v>
      </c>
      <c r="J54" s="7">
        <v>2.5228219285817395</v>
      </c>
      <c r="K54" s="7">
        <v>5.9138981189574711</v>
      </c>
      <c r="AK54" s="11"/>
    </row>
    <row r="55" spans="1:48" ht="15.75" x14ac:dyDescent="0.25">
      <c r="B55" s="140" t="s">
        <v>265</v>
      </c>
      <c r="C55" s="149">
        <v>20</v>
      </c>
      <c r="D55" s="149">
        <v>20</v>
      </c>
      <c r="E55" s="149">
        <v>19</v>
      </c>
      <c r="F55" s="149">
        <v>20</v>
      </c>
      <c r="G55" s="149">
        <v>20</v>
      </c>
      <c r="H55" s="149">
        <v>19</v>
      </c>
      <c r="I55" s="149">
        <v>19</v>
      </c>
      <c r="J55" s="149">
        <v>17</v>
      </c>
      <c r="K55" s="149">
        <v>19</v>
      </c>
      <c r="AF55" s="7"/>
      <c r="AK55" s="11"/>
    </row>
    <row r="56" spans="1:48" ht="15.75" x14ac:dyDescent="0.25">
      <c r="B56" s="140"/>
      <c r="AK56" s="11"/>
    </row>
    <row r="57" spans="1:48" ht="15.75" x14ac:dyDescent="0.25">
      <c r="B57" s="179" t="s">
        <v>278</v>
      </c>
      <c r="C57" s="180">
        <v>5.6153496763201954E-5</v>
      </c>
      <c r="D57" s="181">
        <v>0.12882744042197669</v>
      </c>
      <c r="E57" s="181">
        <v>0.71595021531788217</v>
      </c>
      <c r="F57" s="182">
        <v>0.10283133877965861</v>
      </c>
      <c r="G57" s="180">
        <v>5.1969403700642829E-6</v>
      </c>
      <c r="H57" s="181">
        <v>0.18653611126021608</v>
      </c>
      <c r="I57" s="180">
        <v>2.5131264907418895E-8</v>
      </c>
      <c r="J57" s="181">
        <v>0.12866339086090572</v>
      </c>
      <c r="K57" s="183">
        <v>1.1732413725095116E-5</v>
      </c>
      <c r="AK57" s="11"/>
    </row>
    <row r="58" spans="1:48" ht="15.75" x14ac:dyDescent="0.25">
      <c r="B58" s="184" t="s">
        <v>280</v>
      </c>
      <c r="C58" s="185">
        <v>0.38082371055341763</v>
      </c>
      <c r="D58" s="35">
        <v>-0.21538168142003136</v>
      </c>
      <c r="E58" s="35">
        <v>-1.9222774386311734E-2</v>
      </c>
      <c r="F58" s="35">
        <v>0.13899814901536495</v>
      </c>
      <c r="G58" s="185">
        <v>1.2564618158432965</v>
      </c>
      <c r="H58" s="35">
        <v>-0.10714165429694361</v>
      </c>
      <c r="I58" s="185">
        <v>2.1013993151027797</v>
      </c>
      <c r="J58" s="35">
        <v>-0.21571323305192777</v>
      </c>
      <c r="K58" s="186">
        <v>1.1370036363434586</v>
      </c>
      <c r="AK58" s="11"/>
    </row>
    <row r="59" spans="1:48" x14ac:dyDescent="0.25">
      <c r="AK59" s="11"/>
    </row>
    <row r="60" spans="1:48" x14ac:dyDescent="0.25">
      <c r="AK60" s="11"/>
    </row>
    <row r="61" spans="1:48" ht="18.75" x14ac:dyDescent="0.3">
      <c r="B61" s="143" t="s">
        <v>282</v>
      </c>
      <c r="C61" s="136"/>
      <c r="D61" s="136"/>
      <c r="E61" s="136"/>
      <c r="F61" s="136"/>
      <c r="G61" s="136"/>
      <c r="H61" s="136"/>
      <c r="I61" s="136"/>
      <c r="J61" s="136"/>
      <c r="K61" s="136"/>
      <c r="O61" s="143" t="s">
        <v>282</v>
      </c>
      <c r="AA61" s="143" t="s">
        <v>282</v>
      </c>
      <c r="AK61" s="11"/>
      <c r="AM61" s="143" t="s">
        <v>282</v>
      </c>
      <c r="AN61" s="136"/>
      <c r="AO61" s="136"/>
      <c r="AP61" s="136"/>
      <c r="AQ61" s="136"/>
      <c r="AR61" s="136"/>
      <c r="AS61" s="136"/>
      <c r="AT61" s="136"/>
      <c r="AU61" s="136"/>
      <c r="AV61" s="136"/>
    </row>
    <row r="62" spans="1:48" ht="15.75" thickBot="1" x14ac:dyDescent="0.3">
      <c r="A62" s="11"/>
      <c r="B62" s="1" t="s">
        <v>73</v>
      </c>
      <c r="C62" s="110" t="s">
        <v>8</v>
      </c>
      <c r="D62" s="26" t="s">
        <v>9</v>
      </c>
      <c r="E62" s="26" t="s">
        <v>10</v>
      </c>
      <c r="F62" s="26" t="s">
        <v>11</v>
      </c>
      <c r="G62" s="26" t="s">
        <v>12</v>
      </c>
      <c r="H62" s="150" t="s">
        <v>13</v>
      </c>
      <c r="I62" s="26" t="s">
        <v>14</v>
      </c>
      <c r="J62" s="26" t="s">
        <v>15</v>
      </c>
      <c r="K62" s="50" t="s">
        <v>16</v>
      </c>
      <c r="O62" s="133" t="s">
        <v>0</v>
      </c>
      <c r="P62" s="137" t="s">
        <v>8</v>
      </c>
      <c r="Q62" s="137" t="s">
        <v>9</v>
      </c>
      <c r="R62" s="137" t="s">
        <v>10</v>
      </c>
      <c r="S62" s="137" t="s">
        <v>11</v>
      </c>
      <c r="T62" s="137" t="s">
        <v>12</v>
      </c>
      <c r="U62" s="138" t="s">
        <v>13</v>
      </c>
      <c r="V62" s="137" t="s">
        <v>14</v>
      </c>
      <c r="W62" s="137" t="s">
        <v>15</v>
      </c>
      <c r="X62" s="139" t="s">
        <v>16</v>
      </c>
      <c r="AA62" s="11" t="s">
        <v>0</v>
      </c>
      <c r="AB62" s="110" t="s">
        <v>8</v>
      </c>
      <c r="AC62" s="26" t="s">
        <v>9</v>
      </c>
      <c r="AD62" s="26" t="s">
        <v>10</v>
      </c>
      <c r="AE62" s="26" t="s">
        <v>11</v>
      </c>
      <c r="AF62" s="26" t="s">
        <v>12</v>
      </c>
      <c r="AG62" s="26" t="s">
        <v>13</v>
      </c>
      <c r="AH62" s="26" t="s">
        <v>14</v>
      </c>
      <c r="AI62" s="26" t="s">
        <v>15</v>
      </c>
      <c r="AJ62" s="26" t="s">
        <v>16</v>
      </c>
      <c r="AK62" s="11"/>
      <c r="AM62" s="1" t="s">
        <v>0</v>
      </c>
      <c r="AN62" s="229" t="s">
        <v>8</v>
      </c>
      <c r="AO62" s="3" t="s">
        <v>9</v>
      </c>
      <c r="AP62" s="3" t="s">
        <v>10</v>
      </c>
      <c r="AQ62" s="3" t="s">
        <v>11</v>
      </c>
      <c r="AR62" s="3" t="s">
        <v>12</v>
      </c>
      <c r="AS62" s="3" t="s">
        <v>13</v>
      </c>
      <c r="AT62" s="3" t="s">
        <v>14</v>
      </c>
      <c r="AU62" s="3" t="s">
        <v>15</v>
      </c>
      <c r="AV62" s="4" t="s">
        <v>16</v>
      </c>
    </row>
    <row r="63" spans="1:48" ht="15.75" thickTop="1" x14ac:dyDescent="0.25">
      <c r="A63" s="11"/>
      <c r="B63" s="11" t="s">
        <v>216</v>
      </c>
      <c r="C63" s="7">
        <v>48.341511737565895</v>
      </c>
      <c r="D63" s="7">
        <v>12.281694722074175</v>
      </c>
      <c r="E63" s="7">
        <v>-12.395596904327943</v>
      </c>
      <c r="F63" s="7">
        <v>7.5997703860010883</v>
      </c>
      <c r="G63" s="7">
        <v>139.926201058793</v>
      </c>
      <c r="H63" s="7">
        <v>-2.217904780922602</v>
      </c>
      <c r="I63" s="7">
        <v>151.41640758401391</v>
      </c>
      <c r="J63" s="7">
        <v>3.4978684007616461</v>
      </c>
      <c r="K63" s="8">
        <v>121.71694881107452</v>
      </c>
      <c r="O63" s="6" t="s">
        <v>184</v>
      </c>
      <c r="P63" s="30">
        <v>-3.8082016442589279</v>
      </c>
      <c r="Q63" s="31">
        <v>-16.135196869123259</v>
      </c>
      <c r="R63" s="31">
        <v>-7.6528724947470703</v>
      </c>
      <c r="S63" s="31">
        <v>4.2053323298888712</v>
      </c>
      <c r="T63" s="31">
        <v>12.248770186253379</v>
      </c>
      <c r="U63" s="31">
        <v>10.367368944350885</v>
      </c>
      <c r="V63" s="31">
        <v>-28.38644090757878</v>
      </c>
      <c r="W63" s="31">
        <v>-4.3190204879532601</v>
      </c>
      <c r="X63" s="27">
        <v>-31.215972812511993</v>
      </c>
      <c r="AA63" s="271" t="s">
        <v>155</v>
      </c>
      <c r="AB63" s="7"/>
      <c r="AC63" s="7"/>
      <c r="AD63" s="7"/>
      <c r="AE63" s="7"/>
      <c r="AF63" s="7"/>
      <c r="AG63" s="7"/>
      <c r="AH63" s="7"/>
      <c r="AI63" s="7"/>
      <c r="AJ63" s="27"/>
      <c r="AK63" s="11"/>
      <c r="AM63" s="11" t="s">
        <v>59</v>
      </c>
      <c r="AN63" s="7">
        <v>88.13576217692308</v>
      </c>
      <c r="AO63" s="7">
        <v>214.0221250163759</v>
      </c>
      <c r="AP63" s="7">
        <v>9.3975372423686441</v>
      </c>
      <c r="AQ63" s="7">
        <v>-7.5505186093686287</v>
      </c>
      <c r="AR63" s="7">
        <v>144.76694921665205</v>
      </c>
      <c r="AS63" s="7">
        <v>-16.652827731161128</v>
      </c>
      <c r="AT63" s="7">
        <v>207.43299575631377</v>
      </c>
      <c r="AU63" s="7">
        <v>126.82188590543358</v>
      </c>
      <c r="AV63" s="8">
        <v>99.168563691732672</v>
      </c>
    </row>
    <row r="64" spans="1:48" x14ac:dyDescent="0.25">
      <c r="A64" s="11"/>
      <c r="B64" s="11" t="s">
        <v>283</v>
      </c>
      <c r="C64" s="7">
        <v>2.6069704449076845</v>
      </c>
      <c r="D64" s="7">
        <v>14.732860967345083</v>
      </c>
      <c r="E64" s="7">
        <v>18.121383752053543</v>
      </c>
      <c r="F64" s="7">
        <v>41.576490458249999</v>
      </c>
      <c r="G64" s="7">
        <v>34.609779306217241</v>
      </c>
      <c r="H64" s="7">
        <v>1.5833685588006117</v>
      </c>
      <c r="I64" s="7">
        <v>158.41893270880419</v>
      </c>
      <c r="J64" s="7">
        <v>61.422616072852179</v>
      </c>
      <c r="K64" s="8">
        <v>157.69568717854474</v>
      </c>
      <c r="O64" s="6" t="s">
        <v>187</v>
      </c>
      <c r="P64" s="32"/>
      <c r="Q64" s="33">
        <v>44.853777186191458</v>
      </c>
      <c r="R64" s="33">
        <v>5.7561091762919121</v>
      </c>
      <c r="S64" s="33">
        <v>-36.092511326232554</v>
      </c>
      <c r="T64" s="33">
        <v>18.238931781382988</v>
      </c>
      <c r="U64" s="33">
        <v>9.1902163603768627E-2</v>
      </c>
      <c r="V64" s="33">
        <v>101.69997115144582</v>
      </c>
      <c r="W64" s="33">
        <v>-30.18554649513494</v>
      </c>
      <c r="X64" s="8">
        <v>38.298746740533367</v>
      </c>
      <c r="AA64" s="6" t="s">
        <v>156</v>
      </c>
      <c r="AB64" s="32">
        <v>-3.792971536428412</v>
      </c>
      <c r="AC64" s="33">
        <v>-33.505870033373924</v>
      </c>
      <c r="AD64" s="33">
        <v>12.50587869765894</v>
      </c>
      <c r="AE64" s="33">
        <v>1.4644275105750826</v>
      </c>
      <c r="AF64" s="33">
        <v>-34.990520377574867</v>
      </c>
      <c r="AG64" s="33">
        <v>4.9111634042665111</v>
      </c>
      <c r="AH64" s="33">
        <v>34.535373414019389</v>
      </c>
      <c r="AI64" s="33">
        <v>-15.639635776962479</v>
      </c>
      <c r="AJ64" s="8">
        <v>14.876709857368823</v>
      </c>
      <c r="AK64" s="11"/>
      <c r="AM64" s="11" t="s">
        <v>61</v>
      </c>
      <c r="AN64" s="7"/>
      <c r="AO64" s="7"/>
      <c r="AP64" s="7"/>
      <c r="AQ64" s="7"/>
      <c r="AR64" s="7"/>
      <c r="AS64" s="7"/>
      <c r="AT64" s="7"/>
      <c r="AU64" s="7"/>
      <c r="AV64" s="8"/>
    </row>
    <row r="65" spans="1:48" x14ac:dyDescent="0.25">
      <c r="A65" s="11"/>
      <c r="B65" s="11" t="s">
        <v>219</v>
      </c>
      <c r="C65" s="7">
        <v>38.075356723540118</v>
      </c>
      <c r="D65" s="7">
        <v>14.97146554365065</v>
      </c>
      <c r="E65" s="7">
        <v>-12.441690867807933</v>
      </c>
      <c r="F65" s="7">
        <v>-2.7535126101730754</v>
      </c>
      <c r="G65" s="7">
        <v>151.06064154113673</v>
      </c>
      <c r="H65" s="7">
        <v>0.64518289596945844</v>
      </c>
      <c r="I65" s="7">
        <v>183.78803240821242</v>
      </c>
      <c r="J65" s="7">
        <v>-37.914468485769326</v>
      </c>
      <c r="K65" s="8">
        <v>109.5904345301519</v>
      </c>
      <c r="O65" s="6" t="s">
        <v>188</v>
      </c>
      <c r="P65" s="32">
        <v>-10.122797992748323</v>
      </c>
      <c r="Q65" s="33">
        <v>-20.384808570039851</v>
      </c>
      <c r="R65" s="33">
        <v>-11.777416326489067</v>
      </c>
      <c r="S65" s="33">
        <v>-8.7603745801560198</v>
      </c>
      <c r="T65" s="33">
        <v>-7.9167954299864407</v>
      </c>
      <c r="U65" s="33">
        <v>-6.8917701874699668</v>
      </c>
      <c r="V65" s="33">
        <v>-1.6490059115226967</v>
      </c>
      <c r="W65" s="33">
        <v>-4.4104828174978854</v>
      </c>
      <c r="X65" s="8">
        <v>-21.18805544730791</v>
      </c>
      <c r="AA65" s="6" t="s">
        <v>161</v>
      </c>
      <c r="AB65" s="32">
        <v>36.210639415623469</v>
      </c>
      <c r="AC65" s="33">
        <v>57.495167400133887</v>
      </c>
      <c r="AD65" s="33">
        <v>10.754358792430098</v>
      </c>
      <c r="AE65" s="33">
        <v>-20.047537638363817</v>
      </c>
      <c r="AF65" s="33">
        <v>85.598200406892673</v>
      </c>
      <c r="AG65" s="33">
        <v>14.704622017331737</v>
      </c>
      <c r="AH65" s="33">
        <v>175.9403676399553</v>
      </c>
      <c r="AI65" s="33">
        <v>-39.890938774450689</v>
      </c>
      <c r="AJ65" s="8">
        <v>45.974313222017756</v>
      </c>
      <c r="AK65" s="11"/>
      <c r="AM65" s="11" t="s">
        <v>64</v>
      </c>
      <c r="AN65" s="7">
        <v>31.059200689377885</v>
      </c>
      <c r="AO65" s="7">
        <v>30.94968639271918</v>
      </c>
      <c r="AP65" s="7">
        <v>2.8691616364865795</v>
      </c>
      <c r="AQ65" s="7">
        <v>25.125866347907582</v>
      </c>
      <c r="AR65" s="7">
        <v>439.08095909754979</v>
      </c>
      <c r="AS65" s="7">
        <v>-3.5990283555544851</v>
      </c>
      <c r="AT65" s="7">
        <v>499.12387162109343</v>
      </c>
      <c r="AU65" s="7">
        <v>1.4481629248232726</v>
      </c>
      <c r="AV65" s="8">
        <v>121.8001761651889</v>
      </c>
    </row>
    <row r="66" spans="1:48" x14ac:dyDescent="0.25">
      <c r="A66" s="11"/>
      <c r="B66" s="11" t="s">
        <v>221</v>
      </c>
      <c r="C66" s="7">
        <v>50.454615212952348</v>
      </c>
      <c r="D66" s="7">
        <v>3.7225097067580029</v>
      </c>
      <c r="E66" s="7">
        <v>9.9771611037655106</v>
      </c>
      <c r="F66" s="7">
        <v>20.502957120219694</v>
      </c>
      <c r="G66" s="7">
        <v>342.92925896987003</v>
      </c>
      <c r="H66" s="7">
        <v>-15.533781140161526</v>
      </c>
      <c r="I66" s="7">
        <v>392.96339050181109</v>
      </c>
      <c r="J66" s="7">
        <v>-5.1645413422406534</v>
      </c>
      <c r="K66" s="8">
        <v>157.50265900506923</v>
      </c>
      <c r="O66" s="6" t="s">
        <v>189</v>
      </c>
      <c r="P66" s="32">
        <v>8.4534132847623678</v>
      </c>
      <c r="Q66" s="33">
        <v>-14.606072927442849</v>
      </c>
      <c r="R66" s="33">
        <v>-65.127167540692895</v>
      </c>
      <c r="S66" s="33">
        <v>-46.618612494233204</v>
      </c>
      <c r="T66" s="33">
        <v>72.395616614207015</v>
      </c>
      <c r="U66" s="33">
        <v>15.819321189076465</v>
      </c>
      <c r="V66" s="33">
        <v>79.837767719374568</v>
      </c>
      <c r="W66" s="33">
        <v>1.0459440242301659</v>
      </c>
      <c r="X66" s="8">
        <v>42.937646653511557</v>
      </c>
      <c r="AA66" s="6" t="s">
        <v>164</v>
      </c>
      <c r="AB66" s="32">
        <v>24.595971547205576</v>
      </c>
      <c r="AC66" s="33">
        <v>-19.037983309407213</v>
      </c>
      <c r="AD66" s="33">
        <v>26.157903550604711</v>
      </c>
      <c r="AE66" s="33">
        <v>9.9107022294091927</v>
      </c>
      <c r="AF66" s="33">
        <v>120.70305605460779</v>
      </c>
      <c r="AG66" s="33">
        <v>24.65236401443816</v>
      </c>
      <c r="AH66" s="33">
        <v>169.3182602146768</v>
      </c>
      <c r="AI66" s="33">
        <v>-3.0909487992920819</v>
      </c>
      <c r="AJ66" s="8">
        <v>126.9182174509201</v>
      </c>
      <c r="AK66" s="11"/>
      <c r="AM66" s="11" t="s">
        <v>66</v>
      </c>
      <c r="AN66" s="7">
        <v>49.82577785471603</v>
      </c>
      <c r="AO66" s="7">
        <v>83.21746479551156</v>
      </c>
      <c r="AP66" s="7">
        <v>-10.181780961647311</v>
      </c>
      <c r="AQ66" s="7">
        <v>-5.1040926442302688E-2</v>
      </c>
      <c r="AR66" s="7">
        <v>103.76061136040316</v>
      </c>
      <c r="AS66" s="7"/>
      <c r="AT66" s="7">
        <v>235.56977092539685</v>
      </c>
      <c r="AU66" s="7">
        <v>28.438556519439789</v>
      </c>
      <c r="AV66" s="8">
        <v>172.72384873391977</v>
      </c>
    </row>
    <row r="67" spans="1:48" x14ac:dyDescent="0.25">
      <c r="A67" s="11"/>
      <c r="B67" s="11" t="s">
        <v>223</v>
      </c>
      <c r="C67" s="7">
        <v>17.105624700452111</v>
      </c>
      <c r="D67" s="7">
        <v>6.454111929843795</v>
      </c>
      <c r="E67" s="7">
        <v>-5.4221640535809534</v>
      </c>
      <c r="F67" s="7">
        <v>-2.5911799710137369</v>
      </c>
      <c r="G67" s="7">
        <v>71.524226082575964</v>
      </c>
      <c r="H67" s="7">
        <v>5.9670006686913446</v>
      </c>
      <c r="I67" s="7">
        <v>78.463680777956156</v>
      </c>
      <c r="J67" s="7">
        <v>27.285581737872739</v>
      </c>
      <c r="K67" s="8">
        <v>44.335697415581684</v>
      </c>
      <c r="O67" s="6" t="s">
        <v>191</v>
      </c>
      <c r="P67" s="32">
        <v>10.480523268778748</v>
      </c>
      <c r="Q67" s="33"/>
      <c r="R67" s="33">
        <v>-35.793586296930755</v>
      </c>
      <c r="S67" s="33">
        <v>-91.061830665317473</v>
      </c>
      <c r="T67" s="33">
        <v>53.064534841256105</v>
      </c>
      <c r="U67" s="33">
        <v>-1.1712514199635258</v>
      </c>
      <c r="V67" s="33">
        <v>87.596674556337035</v>
      </c>
      <c r="W67" s="33">
        <v>-40.856747769622551</v>
      </c>
      <c r="X67" s="8">
        <v>18.749051870102907</v>
      </c>
      <c r="AA67" s="6" t="s">
        <v>166</v>
      </c>
      <c r="AB67" s="32">
        <v>11.69784037375104</v>
      </c>
      <c r="AC67" s="33"/>
      <c r="AD67" s="33">
        <v>-3.5892353247123818</v>
      </c>
      <c r="AE67" s="33"/>
      <c r="AF67" s="33">
        <v>94.06205801416661</v>
      </c>
      <c r="AG67" s="33">
        <v>-29.863846659594561</v>
      </c>
      <c r="AH67" s="33">
        <v>95.5633916277297</v>
      </c>
      <c r="AI67" s="33">
        <v>-6.2578111875790903</v>
      </c>
      <c r="AJ67" s="8">
        <v>61.550500416594353</v>
      </c>
      <c r="AK67" s="11"/>
      <c r="AM67" s="11" t="s">
        <v>69</v>
      </c>
      <c r="AN67" s="7">
        <v>27.124071285552954</v>
      </c>
      <c r="AO67" s="7">
        <v>27.156370231797112</v>
      </c>
      <c r="AP67" s="7">
        <v>17.226900791509554</v>
      </c>
      <c r="AQ67" s="7">
        <v>5.2880530271898429</v>
      </c>
      <c r="AR67" s="7">
        <v>130.68552337543724</v>
      </c>
      <c r="AS67" s="7">
        <v>110.73971548232903</v>
      </c>
      <c r="AT67" s="7">
        <v>55.959050204285468</v>
      </c>
      <c r="AU67" s="7">
        <v>-46.788500249341695</v>
      </c>
      <c r="AV67" s="8">
        <v>43.607158427836218</v>
      </c>
    </row>
    <row r="68" spans="1:48" ht="15.75" thickBot="1" x14ac:dyDescent="0.3">
      <c r="A68" s="11"/>
      <c r="B68" s="11" t="s">
        <v>228</v>
      </c>
      <c r="C68" s="7">
        <v>25.200310148230692</v>
      </c>
      <c r="D68" s="7">
        <v>2.1846540139830859</v>
      </c>
      <c r="E68" s="7">
        <v>10.987251900418471</v>
      </c>
      <c r="F68" s="7">
        <v>-11.068867244078815</v>
      </c>
      <c r="G68" s="7">
        <v>141.54528541152294</v>
      </c>
      <c r="H68" s="7">
        <v>-10.191910560421581</v>
      </c>
      <c r="I68" s="7">
        <v>114.56535204944622</v>
      </c>
      <c r="J68" s="7">
        <v>5.2977083897213912</v>
      </c>
      <c r="K68" s="8">
        <v>57.126199253834166</v>
      </c>
      <c r="O68" s="14" t="s">
        <v>199</v>
      </c>
      <c r="P68" s="24">
        <v>-17.867686277717219</v>
      </c>
      <c r="Q68" s="15">
        <v>-9.5402323823367201</v>
      </c>
      <c r="R68" s="15">
        <v>-4.7128856003377901</v>
      </c>
      <c r="S68" s="15"/>
      <c r="T68" s="15">
        <v>-7.1292246905321486</v>
      </c>
      <c r="U68" s="15">
        <v>8.9077279817981463</v>
      </c>
      <c r="V68" s="15">
        <v>2.928927927507782</v>
      </c>
      <c r="W68" s="15">
        <v>8.7039665962100923</v>
      </c>
      <c r="X68" s="16">
        <v>23.044613371995379</v>
      </c>
      <c r="AA68" s="6" t="s">
        <v>169</v>
      </c>
      <c r="AB68" s="32">
        <v>46.272523195097001</v>
      </c>
      <c r="AC68" s="33">
        <v>30.76180802421154</v>
      </c>
      <c r="AD68" s="33">
        <v>-2.3112681065650995</v>
      </c>
      <c r="AE68" s="33">
        <v>-8.5175349022032396</v>
      </c>
      <c r="AF68" s="33">
        <v>19.459755822811744</v>
      </c>
      <c r="AG68" s="33">
        <v>-37.250613715708333</v>
      </c>
      <c r="AH68" s="33">
        <v>64.810389022157466</v>
      </c>
      <c r="AI68" s="33">
        <v>97.778256037527413</v>
      </c>
      <c r="AJ68" s="8">
        <v>93.934609158773455</v>
      </c>
      <c r="AK68" s="11"/>
      <c r="AM68" s="50" t="s">
        <v>72</v>
      </c>
      <c r="AN68" s="24">
        <v>4.9555210610484437</v>
      </c>
      <c r="AO68" s="15">
        <v>-4.4939447771360754</v>
      </c>
      <c r="AP68" s="15">
        <v>1.4548487832494661</v>
      </c>
      <c r="AQ68" s="15">
        <v>-4.3879395905289842</v>
      </c>
      <c r="AR68" s="15">
        <v>3.5643531867942566</v>
      </c>
      <c r="AS68" s="15">
        <v>-6.6560881242524976</v>
      </c>
      <c r="AT68" s="15">
        <v>-4.8440556731055979</v>
      </c>
      <c r="AU68" s="15">
        <v>-26.704466145481113</v>
      </c>
      <c r="AV68" s="16">
        <v>1.9146053819120565</v>
      </c>
    </row>
    <row r="69" spans="1:48" ht="15.75" x14ac:dyDescent="0.25">
      <c r="A69" s="11"/>
      <c r="B69" s="11" t="s">
        <v>229</v>
      </c>
      <c r="C69" s="7">
        <v>-3.7604423991685163</v>
      </c>
      <c r="D69" s="7">
        <v>-40.687421434258056</v>
      </c>
      <c r="E69" s="7">
        <v>38.448969147815212</v>
      </c>
      <c r="F69" s="7">
        <v>5.7791969826489318</v>
      </c>
      <c r="G69" s="7">
        <v>69.639628028672035</v>
      </c>
      <c r="H69" s="7">
        <v>-44.651303392981461</v>
      </c>
      <c r="I69" s="7"/>
      <c r="J69" s="7"/>
      <c r="K69" s="8"/>
      <c r="O69" t="s">
        <v>261</v>
      </c>
      <c r="P69" s="7">
        <v>-2.5729498722366708</v>
      </c>
      <c r="Q69" s="7">
        <v>-3.1625067125502442</v>
      </c>
      <c r="R69" s="7">
        <v>-19.884636513817611</v>
      </c>
      <c r="S69" s="7">
        <v>-35.665599347210076</v>
      </c>
      <c r="T69" s="7">
        <v>23.483638883763486</v>
      </c>
      <c r="U69" s="7">
        <v>4.5205497785659619</v>
      </c>
      <c r="V69" s="7">
        <v>40.337982422593953</v>
      </c>
      <c r="W69" s="7">
        <v>-11.670314491628062</v>
      </c>
      <c r="X69" s="7">
        <v>11.771005062720553</v>
      </c>
      <c r="AA69" s="6" t="s">
        <v>171</v>
      </c>
      <c r="AB69" s="32">
        <v>-10.043327310565523</v>
      </c>
      <c r="AC69" s="33">
        <v>-22.644375203380118</v>
      </c>
      <c r="AD69" s="33">
        <v>-27.692427145348358</v>
      </c>
      <c r="AE69" s="33">
        <v>-18.525621535654981</v>
      </c>
      <c r="AF69" s="33">
        <v>-14.362050760263061</v>
      </c>
      <c r="AG69" s="33">
        <v>-7.8494840088999593</v>
      </c>
      <c r="AH69" s="33">
        <v>160.13840371853493</v>
      </c>
      <c r="AI69" s="33">
        <v>1.6000118409757038</v>
      </c>
      <c r="AJ69" s="8">
        <v>54.120643473329942</v>
      </c>
      <c r="AK69" s="11"/>
      <c r="AM69" s="140" t="s">
        <v>261</v>
      </c>
      <c r="AN69" s="141">
        <v>40.220066613523684</v>
      </c>
      <c r="AO69" s="141">
        <v>70.170340331853538</v>
      </c>
      <c r="AP69" s="141">
        <v>4.1533334983933869</v>
      </c>
      <c r="AQ69" s="141">
        <v>3.6848840497515019</v>
      </c>
      <c r="AR69" s="141">
        <v>164.3716792473673</v>
      </c>
      <c r="AS69" s="141">
        <v>20.95794281784023</v>
      </c>
      <c r="AT69" s="141">
        <v>198.64832656679681</v>
      </c>
      <c r="AU69" s="141">
        <v>16.643127790974766</v>
      </c>
      <c r="AV69" s="141">
        <v>87.842870480117909</v>
      </c>
    </row>
    <row r="70" spans="1:48" ht="15.75" x14ac:dyDescent="0.25">
      <c r="A70" s="11"/>
      <c r="B70" s="11" t="s">
        <v>284</v>
      </c>
      <c r="C70" s="7"/>
      <c r="D70" s="7"/>
      <c r="E70" s="7"/>
      <c r="F70" s="7"/>
      <c r="G70" s="7"/>
      <c r="H70" s="7"/>
      <c r="I70" s="7"/>
      <c r="J70" s="7"/>
      <c r="K70" s="8"/>
      <c r="O70" t="s">
        <v>263</v>
      </c>
      <c r="P70" s="141">
        <v>12.087481756030144</v>
      </c>
      <c r="Q70" s="141">
        <v>27.120529507400768</v>
      </c>
      <c r="R70" s="141">
        <v>26.088136125177627</v>
      </c>
      <c r="S70" s="141">
        <v>37.089336431282874</v>
      </c>
      <c r="T70" s="141">
        <v>32.693347609879353</v>
      </c>
      <c r="U70" s="141">
        <v>8.5246164713674872</v>
      </c>
      <c r="V70" s="141">
        <v>55.57751630127742</v>
      </c>
      <c r="W70" s="141">
        <v>19.38155279428382</v>
      </c>
      <c r="X70" s="141">
        <v>30.935571579267805</v>
      </c>
      <c r="AA70" s="6" t="s">
        <v>173</v>
      </c>
      <c r="AB70" s="32">
        <v>25.114770517165603</v>
      </c>
      <c r="AC70" s="33">
        <v>-14.732933341616603</v>
      </c>
      <c r="AD70" s="33">
        <v>-14.870326158711144</v>
      </c>
      <c r="AE70" s="33">
        <v>-3.5659245081998927</v>
      </c>
      <c r="AF70" s="33">
        <v>154.9212715336389</v>
      </c>
      <c r="AG70" s="33">
        <v>38.236042177470104</v>
      </c>
      <c r="AH70" s="33">
        <v>479.49990936166864</v>
      </c>
      <c r="AI70" s="33">
        <v>15.746109363567873</v>
      </c>
      <c r="AJ70" s="8">
        <v>97.884610912852011</v>
      </c>
      <c r="AK70" s="11"/>
      <c r="AM70" s="140" t="s">
        <v>263</v>
      </c>
      <c r="AN70" s="141">
        <v>31.173700056724698</v>
      </c>
      <c r="AO70" s="141">
        <v>86.352157187459326</v>
      </c>
      <c r="AP70" s="141">
        <v>10.159309257858126</v>
      </c>
      <c r="AQ70" s="141">
        <v>12.919440415004891</v>
      </c>
      <c r="AR70" s="141">
        <v>163.18470259031687</v>
      </c>
      <c r="AS70" s="141">
        <v>60.11354895015868</v>
      </c>
      <c r="AT70" s="141">
        <v>195.89237852740644</v>
      </c>
      <c r="AU70" s="141">
        <v>67.845344666640955</v>
      </c>
      <c r="AV70" s="141">
        <v>66.758174347781718</v>
      </c>
    </row>
    <row r="71" spans="1:48" ht="15.75" x14ac:dyDescent="0.25">
      <c r="A71" s="11"/>
      <c r="B71" s="11" t="s">
        <v>232</v>
      </c>
      <c r="C71" s="7">
        <v>4.7678307309736594</v>
      </c>
      <c r="D71" s="7">
        <v>-10.133713980633177</v>
      </c>
      <c r="E71" s="7">
        <v>-19.64377117414395</v>
      </c>
      <c r="F71" s="7">
        <v>-4.1755800414818838</v>
      </c>
      <c r="G71" s="7">
        <v>54.136125628954787</v>
      </c>
      <c r="H71" s="7">
        <v>-7.0714898033476095</v>
      </c>
      <c r="I71" s="7">
        <v>121.41645584757082</v>
      </c>
      <c r="J71" s="7">
        <v>2.600399341416904</v>
      </c>
      <c r="K71" s="8">
        <v>40.439857862295305</v>
      </c>
      <c r="O71" t="s">
        <v>265</v>
      </c>
      <c r="P71" s="136">
        <v>5</v>
      </c>
      <c r="Q71" s="136">
        <v>5</v>
      </c>
      <c r="R71" s="136">
        <v>6</v>
      </c>
      <c r="S71" s="136">
        <v>5</v>
      </c>
      <c r="T71" s="136">
        <v>6</v>
      </c>
      <c r="U71" s="136">
        <v>6</v>
      </c>
      <c r="V71" s="136">
        <v>6</v>
      </c>
      <c r="W71" s="136">
        <v>6</v>
      </c>
      <c r="X71" s="136">
        <v>6</v>
      </c>
      <c r="AA71" s="6" t="s">
        <v>174</v>
      </c>
      <c r="AB71" s="32">
        <v>21.690055952143318</v>
      </c>
      <c r="AC71" s="33">
        <v>59.54564997882629</v>
      </c>
      <c r="AD71" s="33">
        <v>11.90697888442155</v>
      </c>
      <c r="AE71" s="33">
        <v>24.253825086893702</v>
      </c>
      <c r="AF71" s="33">
        <v>31.561563940779624</v>
      </c>
      <c r="AG71" s="33"/>
      <c r="AH71" s="33">
        <v>53.870538900516507</v>
      </c>
      <c r="AI71" s="33">
        <v>-48.964705419654123</v>
      </c>
      <c r="AJ71" s="8">
        <v>20.921877147648456</v>
      </c>
      <c r="AK71" s="11"/>
      <c r="AM71" s="140" t="s">
        <v>265</v>
      </c>
      <c r="AN71" s="142">
        <v>5</v>
      </c>
      <c r="AO71" s="142">
        <v>5</v>
      </c>
      <c r="AP71" s="142">
        <v>5</v>
      </c>
      <c r="AQ71" s="142">
        <v>5</v>
      </c>
      <c r="AR71" s="142">
        <v>5</v>
      </c>
      <c r="AS71" s="142">
        <v>4</v>
      </c>
      <c r="AT71" s="142">
        <v>5</v>
      </c>
      <c r="AU71" s="142">
        <v>5</v>
      </c>
      <c r="AV71" s="142">
        <v>5</v>
      </c>
    </row>
    <row r="72" spans="1:48" x14ac:dyDescent="0.25">
      <c r="A72" s="11"/>
      <c r="B72" s="11" t="s">
        <v>285</v>
      </c>
      <c r="C72" s="7">
        <v>3.3369589416358161</v>
      </c>
      <c r="D72" s="7"/>
      <c r="E72" s="7">
        <v>8.111390170848491</v>
      </c>
      <c r="F72" s="7">
        <v>39.274270093631344</v>
      </c>
      <c r="G72" s="7">
        <v>82.879914505928625</v>
      </c>
      <c r="H72" s="7">
        <v>-1.6892946058971305</v>
      </c>
      <c r="I72" s="7">
        <v>74.163039727842033</v>
      </c>
      <c r="J72" s="7">
        <v>-25.177907865634968</v>
      </c>
      <c r="K72" s="8">
        <v>27.157907127897644</v>
      </c>
      <c r="AA72" s="6" t="s">
        <v>177</v>
      </c>
      <c r="AB72" s="32">
        <v>26.071950910029024</v>
      </c>
      <c r="AC72" s="33">
        <v>37.940050099105655</v>
      </c>
      <c r="AD72" s="33">
        <v>41.943425776325988</v>
      </c>
      <c r="AE72" s="33">
        <v>-9.7407211812241279</v>
      </c>
      <c r="AF72" s="33">
        <v>33.200052132966547</v>
      </c>
      <c r="AG72" s="33">
        <v>-45.186745051405261</v>
      </c>
      <c r="AH72" s="33">
        <v>457.85953300643951</v>
      </c>
      <c r="AI72" s="33">
        <v>9.6532992298531326</v>
      </c>
      <c r="AJ72" s="8">
        <v>199.55240053946125</v>
      </c>
      <c r="AK72" s="11"/>
    </row>
    <row r="73" spans="1:48" x14ac:dyDescent="0.25">
      <c r="A73" s="11"/>
      <c r="B73" s="11" t="s">
        <v>234</v>
      </c>
      <c r="C73" s="7">
        <v>18.091879757294276</v>
      </c>
      <c r="D73" s="7">
        <v>6.148310506857305</v>
      </c>
      <c r="E73" s="7">
        <v>-6.6126668433064903</v>
      </c>
      <c r="F73" s="7">
        <v>-4.3504783653917922</v>
      </c>
      <c r="G73" s="7">
        <v>29.322646995836372</v>
      </c>
      <c r="H73" s="7">
        <v>-4.4794867322349008</v>
      </c>
      <c r="I73" s="7">
        <v>55.966295059793779</v>
      </c>
      <c r="J73" s="7">
        <v>-42.039659681649397</v>
      </c>
      <c r="K73" s="8">
        <v>12.579821845448125</v>
      </c>
      <c r="P73" s="7"/>
      <c r="Q73" s="7"/>
      <c r="R73" s="7"/>
      <c r="S73" s="7"/>
      <c r="T73" s="7"/>
      <c r="U73" s="7"/>
      <c r="V73" s="7"/>
      <c r="W73" s="7"/>
      <c r="X73" s="7"/>
      <c r="AA73" s="109" t="s">
        <v>178</v>
      </c>
      <c r="AB73" s="32"/>
      <c r="AC73" s="33"/>
      <c r="AD73" s="33"/>
      <c r="AE73" s="33"/>
      <c r="AF73" s="33"/>
      <c r="AG73" s="33"/>
      <c r="AH73" s="33"/>
      <c r="AI73" s="33"/>
      <c r="AJ73" s="8"/>
      <c r="AK73" s="11"/>
    </row>
    <row r="74" spans="1:48" x14ac:dyDescent="0.25">
      <c r="A74" s="11"/>
      <c r="B74" s="11" t="s">
        <v>235</v>
      </c>
      <c r="C74" s="7">
        <v>9.6489139587493504</v>
      </c>
      <c r="D74" s="7">
        <v>17.24373337200684</v>
      </c>
      <c r="E74" s="7">
        <v>22.16716681147027</v>
      </c>
      <c r="F74" s="7">
        <v>-3.1812505456407543</v>
      </c>
      <c r="G74" s="7">
        <v>220.4865514620148</v>
      </c>
      <c r="H74" s="7">
        <v>-26.581973678147662</v>
      </c>
      <c r="I74" s="7">
        <v>155.49524902168116</v>
      </c>
      <c r="J74" s="7">
        <v>-34.625075633119764</v>
      </c>
      <c r="K74" s="8">
        <v>-0.25200728323770077</v>
      </c>
      <c r="P74" s="254"/>
      <c r="Q74" s="254"/>
      <c r="R74" s="254"/>
      <c r="S74" s="254"/>
      <c r="T74" s="254"/>
      <c r="U74" s="253"/>
      <c r="V74" s="254"/>
      <c r="W74" s="254"/>
      <c r="X74" s="254"/>
      <c r="AA74" s="6" t="s">
        <v>181</v>
      </c>
      <c r="AB74" s="32">
        <v>18.313347068805189</v>
      </c>
      <c r="AC74" s="33">
        <v>0.39438359762484188</v>
      </c>
      <c r="AD74" s="33">
        <v>-1.5482364490619889</v>
      </c>
      <c r="AE74" s="33">
        <v>21.327623036637636</v>
      </c>
      <c r="AF74" s="33">
        <v>38.519704705873878</v>
      </c>
      <c r="AG74" s="33">
        <v>-5.5162488679852419</v>
      </c>
      <c r="AH74" s="33">
        <v>142.38440123933611</v>
      </c>
      <c r="AI74" s="33">
        <v>-12.554577035121991</v>
      </c>
      <c r="AJ74" s="8">
        <v>37.402410925299087</v>
      </c>
      <c r="AK74" s="11"/>
    </row>
    <row r="75" spans="1:48" x14ac:dyDescent="0.25">
      <c r="A75" s="11"/>
      <c r="B75" s="11" t="s">
        <v>237</v>
      </c>
      <c r="C75" s="7">
        <v>7.9152047912537382</v>
      </c>
      <c r="D75" s="7">
        <v>-28.935021646736956</v>
      </c>
      <c r="E75" s="7">
        <v>6.254103169750155</v>
      </c>
      <c r="F75" s="7">
        <v>9.0136460893882209</v>
      </c>
      <c r="G75" s="7">
        <v>103.35577963260141</v>
      </c>
      <c r="H75" s="7">
        <v>18.698103873801273</v>
      </c>
      <c r="I75" s="7">
        <v>82.010478924902472</v>
      </c>
      <c r="J75" s="7">
        <v>-3.4220707041512455</v>
      </c>
      <c r="K75" s="8">
        <v>70.724414711466196</v>
      </c>
      <c r="P75" s="149"/>
      <c r="Q75" s="149"/>
      <c r="R75" s="149"/>
      <c r="S75" s="149"/>
      <c r="T75" s="149"/>
      <c r="U75" s="149"/>
      <c r="V75" s="149"/>
      <c r="W75" s="149"/>
      <c r="X75" s="149"/>
      <c r="AA75" s="6" t="s">
        <v>194</v>
      </c>
      <c r="AB75" s="32">
        <v>9.8165820526489735</v>
      </c>
      <c r="AC75" s="33">
        <v>17.26226089294769</v>
      </c>
      <c r="AD75" s="33">
        <v>-2.46319929513596</v>
      </c>
      <c r="AE75" s="33"/>
      <c r="AF75" s="33">
        <v>200.72705671940381</v>
      </c>
      <c r="AG75" s="33">
        <v>1.3342527060990479</v>
      </c>
      <c r="AH75" s="33">
        <v>72.224912769894786</v>
      </c>
      <c r="AI75" s="33">
        <v>4.7283288260424596</v>
      </c>
      <c r="AJ75" s="8">
        <v>29.648161304447424</v>
      </c>
      <c r="AK75" s="11"/>
      <c r="AN75" s="74"/>
      <c r="AO75" s="74"/>
      <c r="AP75" s="74"/>
    </row>
    <row r="76" spans="1:48" x14ac:dyDescent="0.25">
      <c r="A76" s="11"/>
      <c r="B76" s="6" t="s">
        <v>239</v>
      </c>
      <c r="C76" s="7">
        <v>15.445075927733253</v>
      </c>
      <c r="D76" s="7">
        <v>-30.679529920787381</v>
      </c>
      <c r="E76" s="7"/>
      <c r="F76" s="7">
        <v>8.4151256153004361</v>
      </c>
      <c r="G76" s="7">
        <v>69.264887977631076</v>
      </c>
      <c r="H76" s="7">
        <v>10.211990555390067</v>
      </c>
      <c r="I76" s="7">
        <v>27.458475148933246</v>
      </c>
      <c r="J76" s="7">
        <v>-23.564772635870181</v>
      </c>
      <c r="K76" s="8">
        <v>1.9474272002602142</v>
      </c>
      <c r="P76" s="251"/>
      <c r="Q76" s="251"/>
      <c r="R76" s="251"/>
      <c r="S76" s="251"/>
      <c r="T76" s="251"/>
      <c r="U76" s="251"/>
      <c r="V76" s="251"/>
      <c r="W76" s="251"/>
      <c r="X76" s="251"/>
      <c r="AA76" s="6" t="s">
        <v>196</v>
      </c>
      <c r="AB76" s="32">
        <v>22.762438107290681</v>
      </c>
      <c r="AC76" s="33">
        <v>21.132830049986381</v>
      </c>
      <c r="AD76" s="33">
        <v>-36.411750783092039</v>
      </c>
      <c r="AE76" s="33">
        <v>-31.015878841196091</v>
      </c>
      <c r="AF76" s="33">
        <v>50.165772677686057</v>
      </c>
      <c r="AG76" s="33">
        <v>-27.341908704513802</v>
      </c>
      <c r="AH76" s="33">
        <v>300.41322314049592</v>
      </c>
      <c r="AI76" s="33">
        <v>-25.112989825475481</v>
      </c>
      <c r="AJ76" s="8">
        <v>82.660756068095409</v>
      </c>
      <c r="AK76" s="11"/>
      <c r="AN76" s="25"/>
      <c r="AO76" s="25"/>
      <c r="AP76" s="25"/>
    </row>
    <row r="77" spans="1:48" ht="15.75" thickBot="1" x14ac:dyDescent="0.3">
      <c r="A77" s="11"/>
      <c r="B77" s="6" t="s">
        <v>241</v>
      </c>
      <c r="C77" s="7">
        <v>3.0646145522685697</v>
      </c>
      <c r="D77" s="7">
        <v>-45.939459795842183</v>
      </c>
      <c r="E77" s="7">
        <v>-8.1428450212618291</v>
      </c>
      <c r="F77" s="7">
        <v>10.272274670439643</v>
      </c>
      <c r="G77" s="7">
        <v>186.64416834244463</v>
      </c>
      <c r="H77" s="7">
        <v>-22.373083492030567</v>
      </c>
      <c r="I77" s="7">
        <v>139.03417966275987</v>
      </c>
      <c r="J77" s="7">
        <v>-33.212916710567129</v>
      </c>
      <c r="K77" s="8">
        <v>40.922689348257911</v>
      </c>
      <c r="AA77" s="14" t="s">
        <v>197</v>
      </c>
      <c r="AB77" s="24">
        <v>45.094452164175344</v>
      </c>
      <c r="AC77" s="15">
        <v>21.381959982191269</v>
      </c>
      <c r="AD77" s="15">
        <v>11.938053878261492</v>
      </c>
      <c r="AE77" s="15">
        <v>24.002267328195288</v>
      </c>
      <c r="AF77" s="15">
        <v>-10.600627187310248</v>
      </c>
      <c r="AG77" s="15">
        <v>80.334704655121769</v>
      </c>
      <c r="AH77" s="15">
        <v>102.13378520740895</v>
      </c>
      <c r="AI77" s="15">
        <v>-26.936560903140993</v>
      </c>
      <c r="AJ77" s="16">
        <v>72.223105691437723</v>
      </c>
      <c r="AK77" s="11"/>
      <c r="AN77" s="25"/>
      <c r="AO77" s="25"/>
      <c r="AP77" s="25"/>
    </row>
    <row r="78" spans="1:48" x14ac:dyDescent="0.25">
      <c r="A78" s="11"/>
      <c r="B78" s="6" t="s">
        <v>243</v>
      </c>
      <c r="C78" s="7">
        <v>12.96813536818766</v>
      </c>
      <c r="D78" s="7">
        <v>-30.973177053983992</v>
      </c>
      <c r="E78" s="7">
        <v>9.8655774229483892</v>
      </c>
      <c r="F78" s="7">
        <v>18.02640740003978</v>
      </c>
      <c r="G78" s="7">
        <v>66.402501404878905</v>
      </c>
      <c r="H78" s="7">
        <v>8.2965314411091882</v>
      </c>
      <c r="I78" s="7">
        <v>145.81730522644506</v>
      </c>
      <c r="J78" s="7"/>
      <c r="K78" s="8">
        <v>35.624945077477385</v>
      </c>
      <c r="AA78" t="s">
        <v>261</v>
      </c>
      <c r="AB78" s="7">
        <v>21.061867112072402</v>
      </c>
      <c r="AC78" s="7">
        <v>12.999412344770805</v>
      </c>
      <c r="AD78" s="7">
        <v>2.0246274090058316</v>
      </c>
      <c r="AE78" s="7">
        <v>-0.95039758319374945</v>
      </c>
      <c r="AF78" s="7">
        <v>59.151176437206111</v>
      </c>
      <c r="AG78" s="7">
        <v>0.93035849721834774</v>
      </c>
      <c r="AH78" s="7">
        <v>177.59172994329492</v>
      </c>
      <c r="AI78" s="7">
        <v>-3.7647817249007955</v>
      </c>
      <c r="AJ78" s="7">
        <v>72.128332012941982</v>
      </c>
      <c r="AK78" s="11"/>
    </row>
    <row r="79" spans="1:48" x14ac:dyDescent="0.25">
      <c r="B79" s="6" t="s">
        <v>245</v>
      </c>
      <c r="C79" s="7">
        <v>8.1845857184777859</v>
      </c>
      <c r="D79" s="7">
        <v>5.3276688636498619</v>
      </c>
      <c r="E79" s="7">
        <v>13.416787639577294</v>
      </c>
      <c r="F79" s="7">
        <v>-12.834279600937329</v>
      </c>
      <c r="G79" s="7">
        <v>-1.6790594078240473</v>
      </c>
      <c r="H79" s="7">
        <v>-12.809471150066503</v>
      </c>
      <c r="I79" s="7">
        <v>46.362542264318229</v>
      </c>
      <c r="J79" s="7">
        <v>-11.036584868355794</v>
      </c>
      <c r="K79" s="8">
        <v>18.668151938779236</v>
      </c>
      <c r="AA79" t="s">
        <v>263</v>
      </c>
      <c r="AB79" s="7">
        <v>16.600509452658244</v>
      </c>
      <c r="AC79" s="7">
        <v>31.080744376603306</v>
      </c>
      <c r="AD79" s="7">
        <v>20.990169443937479</v>
      </c>
      <c r="AE79" s="7">
        <v>18.965463755187674</v>
      </c>
      <c r="AF79" s="7">
        <v>69.264654835951475</v>
      </c>
      <c r="AG79" s="7">
        <v>35.568193742179957</v>
      </c>
      <c r="AH79" s="7">
        <v>146.74679505376105</v>
      </c>
      <c r="AI79" s="7">
        <v>35.984225472268811</v>
      </c>
      <c r="AJ79" s="7">
        <v>50.430785220336531</v>
      </c>
      <c r="AK79" s="11"/>
    </row>
    <row r="80" spans="1:48" x14ac:dyDescent="0.25">
      <c r="B80" s="6" t="s">
        <v>247</v>
      </c>
      <c r="C80" s="7">
        <v>12.471799816721672</v>
      </c>
      <c r="D80" s="7">
        <v>3.0062640512575447</v>
      </c>
      <c r="E80" s="7">
        <v>-2.8024576754162234</v>
      </c>
      <c r="F80" s="7">
        <v>-3.5720290738551381</v>
      </c>
      <c r="G80" s="7">
        <v>22.722829341116714</v>
      </c>
      <c r="H80" s="7">
        <v>5.6753252189145869</v>
      </c>
      <c r="I80" s="7">
        <v>68.909382807180691</v>
      </c>
      <c r="J80" s="7"/>
      <c r="K80" s="8">
        <v>34.579133980468796</v>
      </c>
      <c r="AA80" t="s">
        <v>265</v>
      </c>
      <c r="AB80">
        <v>13</v>
      </c>
      <c r="AC80">
        <v>12</v>
      </c>
      <c r="AD80">
        <v>13</v>
      </c>
      <c r="AE80">
        <v>11</v>
      </c>
      <c r="AF80">
        <v>13</v>
      </c>
      <c r="AG80">
        <v>12</v>
      </c>
      <c r="AH80">
        <v>13</v>
      </c>
      <c r="AI80">
        <v>13</v>
      </c>
      <c r="AJ80">
        <v>13</v>
      </c>
      <c r="AK80" s="11"/>
    </row>
    <row r="81" spans="2:49" x14ac:dyDescent="0.25">
      <c r="B81" s="6" t="s">
        <v>249</v>
      </c>
      <c r="C81" s="7">
        <v>19.652718491788594</v>
      </c>
      <c r="D81" s="7">
        <v>26.335139507764538</v>
      </c>
      <c r="E81" s="7">
        <v>-8.4457912356851068</v>
      </c>
      <c r="F81" s="7">
        <v>-14.17761970837077</v>
      </c>
      <c r="G81" s="7">
        <v>57.655502504620337</v>
      </c>
      <c r="H81" s="7">
        <v>-18.681210430133493</v>
      </c>
      <c r="I81" s="7">
        <v>194.85708613331926</v>
      </c>
      <c r="J81" s="7">
        <v>-32.167228639920559</v>
      </c>
      <c r="K81" s="8">
        <v>26.992172501732327</v>
      </c>
      <c r="AK81" s="11"/>
    </row>
    <row r="82" spans="2:49" x14ac:dyDescent="0.25">
      <c r="B82" s="6" t="s">
        <v>286</v>
      </c>
      <c r="C82" s="7">
        <v>3.6664068306770008</v>
      </c>
      <c r="D82" s="7">
        <v>-51.543259035324283</v>
      </c>
      <c r="E82" s="7">
        <v>-15.386288819662978</v>
      </c>
      <c r="F82" s="7">
        <v>43.148916400367405</v>
      </c>
      <c r="G82" s="7">
        <v>89.576365470908272</v>
      </c>
      <c r="H82" s="7">
        <v>44.390912675300491</v>
      </c>
      <c r="I82" s="7">
        <v>158.07870326818625</v>
      </c>
      <c r="J82" s="7">
        <v>67.739280379641443</v>
      </c>
      <c r="K82" s="8">
        <v>78.708244980576822</v>
      </c>
      <c r="AK82" s="11"/>
    </row>
    <row r="83" spans="2:49" ht="15.75" thickBot="1" x14ac:dyDescent="0.3">
      <c r="B83" s="60" t="s">
        <v>252</v>
      </c>
      <c r="C83" s="24">
        <v>17.336347606513726</v>
      </c>
      <c r="D83" s="15">
        <v>-63.360258529226776</v>
      </c>
      <c r="E83" s="15">
        <v>21.991920815042274</v>
      </c>
      <c r="F83" s="15">
        <v>-5.5759524061146424</v>
      </c>
      <c r="G83" s="15">
        <v>43.72630349357344</v>
      </c>
      <c r="H83" s="15"/>
      <c r="I83" s="15">
        <v>167.64979460706982</v>
      </c>
      <c r="J83" s="15">
        <v>-0.35645841998493144</v>
      </c>
      <c r="K83" s="16">
        <v>41.071020484038399</v>
      </c>
      <c r="AB83" s="252"/>
      <c r="AC83" s="252"/>
      <c r="AD83" s="252"/>
      <c r="AE83" s="252"/>
      <c r="AF83" s="252"/>
      <c r="AG83" s="252"/>
      <c r="AH83" s="252"/>
      <c r="AI83" s="252"/>
      <c r="AJ83" s="252"/>
      <c r="AK83" s="11"/>
    </row>
    <row r="84" spans="2:49" ht="15.75" x14ac:dyDescent="0.25">
      <c r="B84" s="140" t="s">
        <v>261</v>
      </c>
      <c r="C84" s="7">
        <v>15.728720953037771</v>
      </c>
      <c r="D84" s="7">
        <v>-9.9917593795579958</v>
      </c>
      <c r="E84" s="7">
        <v>3.5814968072892741</v>
      </c>
      <c r="F84" s="7">
        <v>6.9664152824614307</v>
      </c>
      <c r="G84" s="7">
        <v>98.78647688757367</v>
      </c>
      <c r="H84" s="7">
        <v>-3.7269733620193701</v>
      </c>
      <c r="I84" s="7">
        <v>132.46498861738141</v>
      </c>
      <c r="J84" s="7">
        <v>-4.7551900391175073</v>
      </c>
      <c r="K84" s="7">
        <v>56.691126629985106</v>
      </c>
      <c r="AK84" s="11"/>
    </row>
    <row r="85" spans="2:49" ht="15.75" x14ac:dyDescent="0.25">
      <c r="B85" s="140" t="s">
        <v>263</v>
      </c>
      <c r="C85" s="7">
        <v>14.848089005587161</v>
      </c>
      <c r="D85" s="7">
        <v>26.976528730855065</v>
      </c>
      <c r="E85" s="7">
        <v>15.438430622802706</v>
      </c>
      <c r="F85" s="7">
        <v>17.545750192422997</v>
      </c>
      <c r="G85" s="7">
        <v>80.720638429129266</v>
      </c>
      <c r="H85" s="7">
        <v>18.910746646057525</v>
      </c>
      <c r="I85" s="7">
        <v>80.173291965198445</v>
      </c>
      <c r="J85" s="7">
        <v>32.26803628273445</v>
      </c>
      <c r="K85" s="7">
        <v>47.900799340885122</v>
      </c>
      <c r="AK85" s="11"/>
    </row>
    <row r="86" spans="2:49" ht="15.75" x14ac:dyDescent="0.25">
      <c r="B86" s="140" t="s">
        <v>265</v>
      </c>
      <c r="C86" s="149">
        <v>20</v>
      </c>
      <c r="D86" s="149">
        <v>19</v>
      </c>
      <c r="E86" s="149">
        <v>19</v>
      </c>
      <c r="F86" s="149">
        <v>20</v>
      </c>
      <c r="G86" s="149">
        <v>20</v>
      </c>
      <c r="H86" s="149">
        <v>19</v>
      </c>
      <c r="I86" s="149">
        <v>19</v>
      </c>
      <c r="J86" s="149">
        <v>17</v>
      </c>
      <c r="K86" s="149">
        <v>19</v>
      </c>
      <c r="AK86" s="11"/>
    </row>
    <row r="87" spans="2:49" ht="15.75" thickBot="1" x14ac:dyDescent="0.3">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207"/>
      <c r="AL87" s="151"/>
      <c r="AM87" s="151"/>
      <c r="AN87" s="151"/>
      <c r="AO87" s="151"/>
      <c r="AP87" s="151"/>
      <c r="AQ87" s="151"/>
      <c r="AR87" s="151"/>
      <c r="AS87" s="151"/>
      <c r="AT87" s="151"/>
      <c r="AU87" s="151"/>
      <c r="AV87" s="151"/>
      <c r="AW87" s="151"/>
    </row>
    <row r="88" spans="2:49" ht="15.75" thickTop="1" x14ac:dyDescent="0.25"/>
    <row r="90" spans="2:49" ht="15.75" thickBot="1" x14ac:dyDescent="0.3">
      <c r="B90" t="s">
        <v>0</v>
      </c>
      <c r="C90" t="s">
        <v>396</v>
      </c>
      <c r="D90" s="239" t="s">
        <v>397</v>
      </c>
      <c r="E90" t="s">
        <v>398</v>
      </c>
      <c r="F90" t="s">
        <v>16</v>
      </c>
      <c r="G90" s="132" t="s">
        <v>135</v>
      </c>
      <c r="O90" t="s">
        <v>0</v>
      </c>
      <c r="P90" t="s">
        <v>396</v>
      </c>
      <c r="Q90" t="s">
        <v>397</v>
      </c>
      <c r="R90" s="240" t="s">
        <v>398</v>
      </c>
      <c r="S90" t="s">
        <v>16</v>
      </c>
      <c r="T90" s="5" t="s">
        <v>135</v>
      </c>
      <c r="AA90" s="11" t="s">
        <v>0</v>
      </c>
      <c r="AB90" t="s">
        <v>396</v>
      </c>
      <c r="AC90" t="s">
        <v>397</v>
      </c>
      <c r="AD90" s="240" t="s">
        <v>398</v>
      </c>
      <c r="AE90" t="s">
        <v>16</v>
      </c>
      <c r="AL90" s="11"/>
      <c r="AM90" s="1" t="s">
        <v>0</v>
      </c>
      <c r="AN90" t="s">
        <v>396</v>
      </c>
      <c r="AO90" t="s">
        <v>397</v>
      </c>
      <c r="AP90" s="240" t="s">
        <v>398</v>
      </c>
      <c r="AQ90" t="s">
        <v>16</v>
      </c>
    </row>
    <row r="91" spans="2:49" x14ac:dyDescent="0.25">
      <c r="B91" s="29" t="s">
        <v>384</v>
      </c>
      <c r="C91" s="30">
        <f>C5-D5</f>
        <v>30.963613675070427</v>
      </c>
      <c r="D91" s="237">
        <f>SUM(E5:H5)</f>
        <v>27.406500409496925</v>
      </c>
      <c r="E91" s="31">
        <f>I5+J5</f>
        <v>12.054155793501632</v>
      </c>
      <c r="F91" s="27">
        <f>K5</f>
        <v>12.57803870746508</v>
      </c>
      <c r="G91" s="103">
        <v>78</v>
      </c>
      <c r="O91" s="29" t="s">
        <v>184</v>
      </c>
      <c r="P91" s="30">
        <f>P5-Q5</f>
        <v>10.018916420387807</v>
      </c>
      <c r="Q91" s="237">
        <f>SUM(R5:U5)</f>
        <v>9.7325064203979359</v>
      </c>
      <c r="R91" s="31">
        <f>V5+W5</f>
        <v>7.7230480646510955</v>
      </c>
      <c r="S91" s="27">
        <f>X5</f>
        <v>8.413354122805444</v>
      </c>
      <c r="T91" s="213">
        <v>79</v>
      </c>
      <c r="AA91" s="29" t="s">
        <v>155</v>
      </c>
      <c r="AB91" s="30"/>
      <c r="AC91" s="237"/>
      <c r="AD91" s="31"/>
      <c r="AE91" s="27"/>
      <c r="AL91" s="11"/>
      <c r="AM91" s="11" t="s">
        <v>59</v>
      </c>
      <c r="AN91" s="30">
        <f>AN5-AO5</f>
        <v>20.867088271722864</v>
      </c>
      <c r="AO91" s="237">
        <f>SUM(AP5:AS5)</f>
        <v>22.349005065230116</v>
      </c>
      <c r="AP91" s="31">
        <f>AT5+AU5</f>
        <v>9.1354227985077667</v>
      </c>
      <c r="AQ91" s="27">
        <f>AV5</f>
        <v>12.908478795643671</v>
      </c>
    </row>
    <row r="92" spans="2:49" x14ac:dyDescent="0.25">
      <c r="B92" s="6" t="s">
        <v>383</v>
      </c>
      <c r="C92" s="32">
        <f t="shared" ref="C92:C137" si="0">C6-D6</f>
        <v>27.343081820484421</v>
      </c>
      <c r="D92" s="236">
        <f t="shared" ref="D92:D137" si="1">SUM(E6:H6)</f>
        <v>18.177459678871962</v>
      </c>
      <c r="E92" s="33">
        <f t="shared" ref="E92:E138" si="2">I6+J6</f>
        <v>5.8401121904724604</v>
      </c>
      <c r="F92" s="8">
        <f t="shared" ref="F92:F138" si="3">K6</f>
        <v>4.9228392824114868</v>
      </c>
      <c r="G92" s="103">
        <v>86</v>
      </c>
      <c r="O92" s="6" t="s">
        <v>187</v>
      </c>
      <c r="P92" s="32"/>
      <c r="Q92" s="236"/>
      <c r="R92" s="33">
        <f t="shared" ref="R92:R123" si="4">V6+W6</f>
        <v>18.272316336662485</v>
      </c>
      <c r="S92" s="8">
        <f t="shared" ref="S92:S123" si="5">X6</f>
        <v>18.398684444797109</v>
      </c>
      <c r="T92" s="213">
        <v>46</v>
      </c>
      <c r="AA92" s="6" t="s">
        <v>156</v>
      </c>
      <c r="AB92" s="32">
        <f t="shared" ref="AB92:AB131" si="6">AB6-AC6</f>
        <v>30.12532625172225</v>
      </c>
      <c r="AC92" s="236">
        <f t="shared" ref="AC92:AC104" si="7">SUM(AD6:AG6)</f>
        <v>25.839100705150088</v>
      </c>
      <c r="AD92" s="33">
        <f t="shared" ref="AD92:AD100" si="8">AH6+AI6</f>
        <v>19.300404550544734</v>
      </c>
      <c r="AE92" s="8">
        <f t="shared" ref="AE92:AE98" si="9">AJ6</f>
        <v>21.748530433318702</v>
      </c>
      <c r="AL92" s="11"/>
      <c r="AM92" s="11" t="s">
        <v>61</v>
      </c>
      <c r="AN92" s="32"/>
      <c r="AO92" s="236"/>
      <c r="AP92" s="33"/>
      <c r="AQ92" s="8"/>
    </row>
    <row r="93" spans="2:49" x14ac:dyDescent="0.25">
      <c r="B93" s="6" t="s">
        <v>382</v>
      </c>
      <c r="C93" s="32">
        <f t="shared" si="0"/>
        <v>28.284404717512206</v>
      </c>
      <c r="D93" s="236">
        <f t="shared" si="1"/>
        <v>22.106147272274253</v>
      </c>
      <c r="E93" s="33">
        <f t="shared" si="2"/>
        <v>12.483479457452251</v>
      </c>
      <c r="F93" s="8">
        <f t="shared" si="3"/>
        <v>12.49827144583784</v>
      </c>
      <c r="G93" s="103">
        <v>90</v>
      </c>
      <c r="O93" s="6" t="s">
        <v>188</v>
      </c>
      <c r="P93" s="32">
        <f t="shared" ref="P93:P122" si="10">P7-Q7</f>
        <v>21.957599999999999</v>
      </c>
      <c r="Q93" s="236">
        <f t="shared" ref="Q93:Q122" si="11">SUM(R7:U7)</f>
        <v>25.500399999999999</v>
      </c>
      <c r="R93" s="33">
        <f t="shared" si="4"/>
        <v>15.930533333333333</v>
      </c>
      <c r="S93" s="8">
        <f t="shared" si="5"/>
        <v>20.317866666666671</v>
      </c>
      <c r="T93" s="213">
        <v>50</v>
      </c>
      <c r="AA93" s="6" t="s">
        <v>161</v>
      </c>
      <c r="AB93" s="32">
        <f t="shared" si="6"/>
        <v>16.758302876211665</v>
      </c>
      <c r="AC93" s="236">
        <f t="shared" si="7"/>
        <v>19.974339507153747</v>
      </c>
      <c r="AD93" s="33">
        <f t="shared" si="8"/>
        <v>7.4490762811118749</v>
      </c>
      <c r="AE93" s="8">
        <f t="shared" si="9"/>
        <v>10.060443408608037</v>
      </c>
      <c r="AL93" s="11"/>
      <c r="AM93" s="11" t="s">
        <v>64</v>
      </c>
      <c r="AN93" s="32">
        <f t="shared" ref="AN93:AN96" si="12">AN7-AO7</f>
        <v>27.047385085723192</v>
      </c>
      <c r="AO93" s="236">
        <f t="shared" ref="AO93:AO95" si="13">SUM(AP7:AS7)</f>
        <v>20.124845254413973</v>
      </c>
      <c r="AP93" s="33">
        <f t="shared" ref="AP93:AP96" si="14">AT7+AU7</f>
        <v>8.5595332182721204</v>
      </c>
      <c r="AQ93" s="8">
        <f t="shared" ref="AQ93:AQ96" si="15">AV7</f>
        <v>10.127162478668795</v>
      </c>
    </row>
    <row r="94" spans="2:49" x14ac:dyDescent="0.25">
      <c r="B94" s="6" t="s">
        <v>381</v>
      </c>
      <c r="C94" s="32">
        <f t="shared" si="0"/>
        <v>22.880000812500029</v>
      </c>
      <c r="D94" s="236">
        <f t="shared" si="1"/>
        <v>22.647728076978979</v>
      </c>
      <c r="E94" s="33">
        <f t="shared" si="2"/>
        <v>9.4016480611380686</v>
      </c>
      <c r="F94" s="8">
        <f t="shared" si="3"/>
        <v>10.027386719722539</v>
      </c>
      <c r="G94" s="103">
        <v>80</v>
      </c>
      <c r="H94" s="149"/>
      <c r="I94" s="149"/>
      <c r="J94" s="149"/>
      <c r="K94" s="149"/>
      <c r="O94" s="6" t="s">
        <v>189</v>
      </c>
      <c r="P94" s="32">
        <f t="shared" si="10"/>
        <v>33.778005562775327</v>
      </c>
      <c r="Q94" s="236">
        <f t="shared" si="11"/>
        <v>24.336855623267734</v>
      </c>
      <c r="R94" s="33">
        <f t="shared" si="4"/>
        <v>21.54517877866104</v>
      </c>
      <c r="S94" s="8">
        <f t="shared" si="5"/>
        <v>25.853023339526558</v>
      </c>
      <c r="T94" s="213">
        <v>47</v>
      </c>
      <c r="AA94" s="6" t="s">
        <v>164</v>
      </c>
      <c r="AB94" s="32">
        <f t="shared" si="6"/>
        <v>21.198176680045833</v>
      </c>
      <c r="AC94" s="236">
        <f t="shared" si="7"/>
        <v>23.35003272664132</v>
      </c>
      <c r="AD94" s="33">
        <f t="shared" si="8"/>
        <v>9.3328882082305675</v>
      </c>
      <c r="AE94" s="8">
        <f t="shared" si="9"/>
        <v>9.2675374654494078</v>
      </c>
      <c r="AL94" s="11"/>
      <c r="AM94" s="11" t="s">
        <v>66</v>
      </c>
      <c r="AN94" s="32">
        <f t="shared" si="12"/>
        <v>44.039638496908204</v>
      </c>
      <c r="AO94" s="236">
        <f t="shared" si="13"/>
        <v>31.93630093546853</v>
      </c>
      <c r="AP94" s="33">
        <f t="shared" si="14"/>
        <v>9.8998335183129846</v>
      </c>
      <c r="AQ94" s="8">
        <f t="shared" si="15"/>
        <v>11.46238306643412</v>
      </c>
    </row>
    <row r="95" spans="2:49" x14ac:dyDescent="0.25">
      <c r="B95" s="6" t="s">
        <v>380</v>
      </c>
      <c r="C95" s="32">
        <f t="shared" si="0"/>
        <v>35.953615664904127</v>
      </c>
      <c r="D95" s="236">
        <f t="shared" si="1"/>
        <v>31.480874652506174</v>
      </c>
      <c r="E95" s="33">
        <f t="shared" si="2"/>
        <v>13.538457652318002</v>
      </c>
      <c r="F95" s="8">
        <f t="shared" si="3"/>
        <v>15.812651409117283</v>
      </c>
      <c r="G95" s="103">
        <v>88</v>
      </c>
      <c r="H95" s="149"/>
      <c r="I95" s="149"/>
      <c r="J95" s="149"/>
      <c r="K95" s="149"/>
      <c r="O95" s="6" t="s">
        <v>191</v>
      </c>
      <c r="P95" s="32">
        <f t="shared" si="10"/>
        <v>20.445616289739917</v>
      </c>
      <c r="Q95" s="236">
        <f t="shared" si="11"/>
        <v>19.960683639686785</v>
      </c>
      <c r="R95" s="33">
        <f t="shared" si="4"/>
        <v>13.422365244470482</v>
      </c>
      <c r="S95" s="8">
        <f t="shared" si="5"/>
        <v>15.954212873122858</v>
      </c>
      <c r="T95" s="213">
        <v>68</v>
      </c>
      <c r="AA95" s="6" t="s">
        <v>166</v>
      </c>
      <c r="AB95" s="32"/>
      <c r="AC95" s="236"/>
      <c r="AD95" s="33">
        <f t="shared" si="8"/>
        <v>12.131127229753986</v>
      </c>
      <c r="AE95" s="8">
        <f t="shared" si="9"/>
        <v>12.327881546071326</v>
      </c>
      <c r="AL95" s="11"/>
      <c r="AM95" s="11" t="s">
        <v>69</v>
      </c>
      <c r="AN95" s="32">
        <f t="shared" si="12"/>
        <v>28.079498759855994</v>
      </c>
      <c r="AO95" s="236">
        <f t="shared" si="13"/>
        <v>17.409533806074737</v>
      </c>
      <c r="AP95" s="33">
        <f t="shared" si="14"/>
        <v>14.937925458735007</v>
      </c>
      <c r="AQ95" s="8">
        <f t="shared" si="15"/>
        <v>16.447029416418555</v>
      </c>
    </row>
    <row r="96" spans="2:49" ht="15.75" thickBot="1" x14ac:dyDescent="0.3">
      <c r="B96" s="6" t="s">
        <v>379</v>
      </c>
      <c r="C96" s="32">
        <f t="shared" si="0"/>
        <v>25.878840060614412</v>
      </c>
      <c r="D96" s="236">
        <f t="shared" si="1"/>
        <v>20.835721173715388</v>
      </c>
      <c r="E96" s="33">
        <f t="shared" si="2"/>
        <v>14.475478716076594</v>
      </c>
      <c r="F96" s="8">
        <f t="shared" si="3"/>
        <v>14.873536299765806</v>
      </c>
      <c r="G96" s="103">
        <v>102</v>
      </c>
      <c r="O96" s="14" t="s">
        <v>199</v>
      </c>
      <c r="P96" s="24"/>
      <c r="Q96" s="238"/>
      <c r="R96" s="15">
        <f t="shared" si="4"/>
        <v>18.521940828998083</v>
      </c>
      <c r="S96" s="16">
        <f t="shared" si="5"/>
        <v>17.518054538511461</v>
      </c>
      <c r="T96" s="213">
        <v>95</v>
      </c>
      <c r="AA96" s="6" t="s">
        <v>169</v>
      </c>
      <c r="AB96" s="32">
        <f t="shared" si="6"/>
        <v>24.709520910647488</v>
      </c>
      <c r="AC96" s="236">
        <f t="shared" si="7"/>
        <v>23.21134924698331</v>
      </c>
      <c r="AD96" s="33">
        <f t="shared" si="8"/>
        <v>11.230802615879503</v>
      </c>
      <c r="AE96" s="8">
        <f t="shared" si="9"/>
        <v>11.629076699659404</v>
      </c>
      <c r="AL96" s="11"/>
      <c r="AM96" s="50" t="s">
        <v>72</v>
      </c>
      <c r="AN96" s="24">
        <f t="shared" si="12"/>
        <v>29.333831516410115</v>
      </c>
      <c r="AO96" s="238">
        <f t="shared" ref="AO96" si="16">SUM(AP10:AS10)</f>
        <v>32.796427531908833</v>
      </c>
      <c r="AP96" s="15">
        <f t="shared" si="14"/>
        <v>20.261102291986205</v>
      </c>
      <c r="AQ96" s="16">
        <f t="shared" si="15"/>
        <v>21.932871206600787</v>
      </c>
    </row>
    <row r="97" spans="2:31" x14ac:dyDescent="0.25">
      <c r="B97" s="6" t="s">
        <v>229</v>
      </c>
      <c r="C97" s="32"/>
      <c r="D97" s="236"/>
      <c r="E97" s="33"/>
      <c r="F97" s="8"/>
      <c r="G97" s="103">
        <v>93</v>
      </c>
      <c r="H97" s="149"/>
      <c r="I97" s="149"/>
      <c r="J97" s="149"/>
      <c r="K97" s="149"/>
      <c r="O97" s="7"/>
      <c r="AA97" s="6" t="s">
        <v>171</v>
      </c>
      <c r="AB97" s="32">
        <f t="shared" si="6"/>
        <v>30.31893004115226</v>
      </c>
      <c r="AC97" s="236">
        <f t="shared" si="7"/>
        <v>21.367181069958846</v>
      </c>
      <c r="AD97" s="33">
        <f t="shared" si="8"/>
        <v>5.4914609053497934</v>
      </c>
      <c r="AE97" s="8">
        <f t="shared" si="9"/>
        <v>7.8180041152263371</v>
      </c>
    </row>
    <row r="98" spans="2:31" x14ac:dyDescent="0.25">
      <c r="B98" s="6" t="s">
        <v>284</v>
      </c>
      <c r="C98" s="32"/>
      <c r="D98" s="236"/>
      <c r="E98" s="33"/>
      <c r="F98" s="8"/>
      <c r="H98" s="149"/>
      <c r="I98" s="149"/>
      <c r="J98" s="149"/>
      <c r="K98" s="149"/>
      <c r="O98" s="7"/>
      <c r="AA98" s="6" t="s">
        <v>173</v>
      </c>
      <c r="AB98" s="32">
        <f t="shared" si="6"/>
        <v>38.645564821804342</v>
      </c>
      <c r="AC98" s="236">
        <f t="shared" si="7"/>
        <v>36.535922805168525</v>
      </c>
      <c r="AD98" s="33">
        <f t="shared" si="8"/>
        <v>15.874732323700776</v>
      </c>
      <c r="AE98" s="8">
        <f t="shared" si="9"/>
        <v>15.590944940947651</v>
      </c>
    </row>
    <row r="99" spans="2:31" x14ac:dyDescent="0.25">
      <c r="B99" s="6" t="s">
        <v>232</v>
      </c>
      <c r="C99" s="32">
        <f t="shared" si="0"/>
        <v>20.309945917159435</v>
      </c>
      <c r="D99" s="236">
        <f t="shared" si="1"/>
        <v>16.075077597951129</v>
      </c>
      <c r="E99" s="33">
        <f t="shared" si="2"/>
        <v>9.8437178758898209</v>
      </c>
      <c r="F99" s="8">
        <f t="shared" si="3"/>
        <v>11.755669481577433</v>
      </c>
      <c r="G99" s="103">
        <v>96</v>
      </c>
      <c r="O99" s="7"/>
      <c r="AA99" s="6" t="s">
        <v>174</v>
      </c>
      <c r="AB99" s="32"/>
      <c r="AC99" s="236"/>
      <c r="AD99" s="33">
        <f t="shared" si="8"/>
        <v>19.499683031799592</v>
      </c>
      <c r="AE99" s="8">
        <f t="shared" ref="AE99:AE131" si="17">AJ13</f>
        <v>19.741948529027798</v>
      </c>
    </row>
    <row r="100" spans="2:31" x14ac:dyDescent="0.25">
      <c r="B100" s="6" t="s">
        <v>285</v>
      </c>
      <c r="C100" s="32"/>
      <c r="D100" s="236"/>
      <c r="E100" s="33">
        <f t="shared" si="2"/>
        <v>14.337690275135206</v>
      </c>
      <c r="F100" s="8">
        <f t="shared" si="3"/>
        <v>16.439709262687025</v>
      </c>
      <c r="G100" s="103">
        <v>101</v>
      </c>
      <c r="O100" s="7"/>
      <c r="AA100" s="6" t="s">
        <v>177</v>
      </c>
      <c r="AB100" s="32">
        <f t="shared" si="6"/>
        <v>19.936196797563028</v>
      </c>
      <c r="AC100" s="236">
        <f t="shared" si="7"/>
        <v>17.783108350583483</v>
      </c>
      <c r="AD100" s="33">
        <f t="shared" si="8"/>
        <v>7.0746596333999143</v>
      </c>
      <c r="AE100" s="8">
        <f t="shared" si="17"/>
        <v>7.2634318137653482</v>
      </c>
    </row>
    <row r="101" spans="2:31" x14ac:dyDescent="0.25">
      <c r="B101" s="6" t="s">
        <v>234</v>
      </c>
      <c r="C101" s="32">
        <f t="shared" si="0"/>
        <v>75.143341942479992</v>
      </c>
      <c r="D101" s="236">
        <f t="shared" si="1"/>
        <v>68.880233921805313</v>
      </c>
      <c r="E101" s="33">
        <f t="shared" si="2"/>
        <v>17.009556295731805</v>
      </c>
      <c r="F101" s="8">
        <f t="shared" si="3"/>
        <v>21.965709990404584</v>
      </c>
      <c r="G101" s="103">
        <v>49</v>
      </c>
      <c r="O101" s="7"/>
      <c r="AA101" s="6" t="s">
        <v>178</v>
      </c>
      <c r="AB101" s="32"/>
      <c r="AC101" s="236"/>
      <c r="AD101" s="33"/>
      <c r="AE101" s="8"/>
    </row>
    <row r="102" spans="2:31" x14ac:dyDescent="0.25">
      <c r="B102" s="6" t="s">
        <v>235</v>
      </c>
      <c r="C102" s="32">
        <f t="shared" si="0"/>
        <v>56.759109126406138</v>
      </c>
      <c r="D102" s="236">
        <f t="shared" si="1"/>
        <v>44.919958528672566</v>
      </c>
      <c r="E102" s="33">
        <f t="shared" si="2"/>
        <v>26.847920734035256</v>
      </c>
      <c r="F102" s="8">
        <f t="shared" si="3"/>
        <v>30.940985866817687</v>
      </c>
      <c r="G102" s="103">
        <v>50</v>
      </c>
      <c r="O102" s="7"/>
      <c r="AA102" s="6" t="s">
        <v>181</v>
      </c>
      <c r="AB102" s="32">
        <f t="shared" si="6"/>
        <v>28.509027667603569</v>
      </c>
      <c r="AC102" s="236">
        <f t="shared" si="7"/>
        <v>21.811470989173571</v>
      </c>
      <c r="AD102" s="33">
        <f t="shared" ref="AD102:AD131" si="18">AH16+AI16</f>
        <v>9.8552438122315635</v>
      </c>
      <c r="AE102" s="8">
        <f t="shared" si="17"/>
        <v>13.397338581959415</v>
      </c>
    </row>
    <row r="103" spans="2:31" x14ac:dyDescent="0.25">
      <c r="B103" s="6" t="s">
        <v>237</v>
      </c>
      <c r="C103" s="32">
        <f t="shared" si="0"/>
        <v>35.836721372286782</v>
      </c>
      <c r="D103" s="236">
        <f t="shared" si="1"/>
        <v>32.024467258692944</v>
      </c>
      <c r="E103" s="33">
        <f t="shared" si="2"/>
        <v>15.195789807029108</v>
      </c>
      <c r="F103" s="8">
        <f t="shared" si="3"/>
        <v>16.776426161729713</v>
      </c>
      <c r="G103" s="103">
        <v>48</v>
      </c>
      <c r="J103" s="7"/>
      <c r="K103" s="7"/>
      <c r="O103" s="7"/>
      <c r="AA103" s="6" t="s">
        <v>194</v>
      </c>
      <c r="AB103" s="32"/>
      <c r="AC103" s="236"/>
      <c r="AD103" s="33">
        <f t="shared" si="18"/>
        <v>16.427930954304273</v>
      </c>
      <c r="AE103" s="8">
        <f t="shared" si="17"/>
        <v>16.053874241350272</v>
      </c>
    </row>
    <row r="104" spans="2:31" x14ac:dyDescent="0.25">
      <c r="B104" s="6" t="s">
        <v>239</v>
      </c>
      <c r="C104" s="32"/>
      <c r="D104" s="236"/>
      <c r="E104" s="33">
        <f t="shared" si="2"/>
        <v>14.232057770845184</v>
      </c>
      <c r="F104" s="8">
        <f t="shared" si="3"/>
        <v>15.343306837045725</v>
      </c>
      <c r="G104" s="103">
        <v>90</v>
      </c>
      <c r="I104" s="7"/>
      <c r="J104" s="7"/>
      <c r="K104" s="7"/>
      <c r="O104" s="7"/>
      <c r="AA104" s="6" t="s">
        <v>196</v>
      </c>
      <c r="AB104" s="32">
        <f t="shared" si="6"/>
        <v>30.923840031636789</v>
      </c>
      <c r="AC104" s="236">
        <f t="shared" si="7"/>
        <v>33.661594702503507</v>
      </c>
      <c r="AD104" s="33">
        <f t="shared" si="18"/>
        <v>14.694046796088577</v>
      </c>
      <c r="AE104" s="8">
        <f t="shared" si="17"/>
        <v>13.314876200150346</v>
      </c>
    </row>
    <row r="105" spans="2:31" ht="15.75" thickBot="1" x14ac:dyDescent="0.3">
      <c r="B105" s="6" t="s">
        <v>241</v>
      </c>
      <c r="C105" s="32">
        <f t="shared" si="0"/>
        <v>36.967364658254915</v>
      </c>
      <c r="D105" s="236">
        <f t="shared" si="1"/>
        <v>30.580969939359669</v>
      </c>
      <c r="E105" s="33">
        <f t="shared" si="2"/>
        <v>16.311424369047568</v>
      </c>
      <c r="F105" s="8">
        <f t="shared" si="3"/>
        <v>16.181969286810617</v>
      </c>
      <c r="G105" s="103">
        <v>71</v>
      </c>
      <c r="I105" s="7"/>
      <c r="J105" s="7"/>
      <c r="K105" s="7"/>
      <c r="O105" s="7"/>
      <c r="AA105" s="14" t="s">
        <v>197</v>
      </c>
      <c r="AB105" s="24">
        <f t="shared" si="6"/>
        <v>53.586773799524281</v>
      </c>
      <c r="AC105" s="238">
        <f t="shared" ref="AC105:AC131" si="19">SUM(AD19:AG19)</f>
        <v>53.069460504120244</v>
      </c>
      <c r="AD105" s="15">
        <f t="shared" si="18"/>
        <v>24.809552990108873</v>
      </c>
      <c r="AE105" s="16">
        <f t="shared" si="17"/>
        <v>18.414058781605732</v>
      </c>
    </row>
    <row r="106" spans="2:31" x14ac:dyDescent="0.25">
      <c r="B106" s="6" t="s">
        <v>243</v>
      </c>
      <c r="C106" s="32">
        <f t="shared" si="0"/>
        <v>24.577721418447389</v>
      </c>
      <c r="D106" s="236">
        <f t="shared" si="1"/>
        <v>18.777379626956773</v>
      </c>
      <c r="E106" s="33"/>
      <c r="F106" s="8"/>
      <c r="G106" s="103">
        <v>103</v>
      </c>
      <c r="I106" s="7"/>
      <c r="J106" s="7"/>
      <c r="K106" s="7"/>
      <c r="O106" s="7"/>
    </row>
    <row r="107" spans="2:31" x14ac:dyDescent="0.25">
      <c r="B107" s="6" t="s">
        <v>245</v>
      </c>
      <c r="C107" s="32">
        <f t="shared" si="0"/>
        <v>30.897063795893086</v>
      </c>
      <c r="D107" s="236">
        <f t="shared" si="1"/>
        <v>15.424114588888312</v>
      </c>
      <c r="E107" s="33">
        <f t="shared" si="2"/>
        <v>12.634005868323538</v>
      </c>
      <c r="F107" s="8">
        <f t="shared" si="3"/>
        <v>14.789899948033799</v>
      </c>
      <c r="G107" s="103">
        <v>97</v>
      </c>
      <c r="I107" s="7"/>
      <c r="J107" s="7"/>
      <c r="K107" s="7"/>
      <c r="O107" s="7"/>
    </row>
    <row r="108" spans="2:31" x14ac:dyDescent="0.25">
      <c r="B108" s="6" t="s">
        <v>247</v>
      </c>
      <c r="C108" s="32">
        <f t="shared" si="0"/>
        <v>52.875566886255136</v>
      </c>
      <c r="D108" s="236">
        <f t="shared" si="1"/>
        <v>42.025583779900543</v>
      </c>
      <c r="E108" s="33"/>
      <c r="F108" s="8"/>
      <c r="G108" s="103">
        <v>61</v>
      </c>
      <c r="I108" s="7"/>
      <c r="J108" s="7"/>
      <c r="K108" s="7"/>
      <c r="O108" s="7"/>
    </row>
    <row r="109" spans="2:31" x14ac:dyDescent="0.25">
      <c r="B109" s="6" t="s">
        <v>249</v>
      </c>
      <c r="C109" s="32">
        <f t="shared" si="0"/>
        <v>28.999955062782735</v>
      </c>
      <c r="D109" s="236">
        <f t="shared" si="1"/>
        <v>25.226458718133557</v>
      </c>
      <c r="E109" s="33">
        <f t="shared" si="2"/>
        <v>14.478204550030087</v>
      </c>
      <c r="F109" s="8">
        <f t="shared" si="3"/>
        <v>12.825990841362218</v>
      </c>
      <c r="G109" s="103">
        <v>73</v>
      </c>
      <c r="I109" s="7"/>
      <c r="K109" s="7"/>
      <c r="O109" s="7"/>
    </row>
    <row r="110" spans="2:31" x14ac:dyDescent="0.25">
      <c r="B110" s="6" t="s">
        <v>286</v>
      </c>
      <c r="C110" s="32">
        <f t="shared" si="0"/>
        <v>36.675802310950218</v>
      </c>
      <c r="D110" s="236">
        <f t="shared" si="1"/>
        <v>35.278157106726269</v>
      </c>
      <c r="E110" s="33">
        <f t="shared" si="2"/>
        <v>10.114347931456219</v>
      </c>
      <c r="F110" s="8">
        <f t="shared" si="3"/>
        <v>10.81500394312118</v>
      </c>
      <c r="G110" s="103">
        <v>53</v>
      </c>
      <c r="I110" s="7"/>
      <c r="K110" s="7"/>
      <c r="O110" s="7"/>
    </row>
    <row r="111" spans="2:31" ht="15.75" thickBot="1" x14ac:dyDescent="0.3">
      <c r="B111" s="60" t="s">
        <v>252</v>
      </c>
      <c r="C111" s="24"/>
      <c r="D111" s="238"/>
      <c r="E111" s="15">
        <f t="shared" si="2"/>
        <v>8.6246546026473467</v>
      </c>
      <c r="F111" s="16">
        <f t="shared" si="3"/>
        <v>9.7989267330179342</v>
      </c>
      <c r="G111" s="103">
        <v>95</v>
      </c>
      <c r="I111" s="7"/>
      <c r="K111" s="7"/>
      <c r="O111" s="7"/>
    </row>
    <row r="112" spans="2:31" x14ac:dyDescent="0.25">
      <c r="C112" s="7"/>
      <c r="D112" s="7"/>
      <c r="E112" s="7"/>
      <c r="F112" s="7"/>
      <c r="I112" s="7"/>
      <c r="K112" s="7"/>
      <c r="O112" s="7"/>
    </row>
    <row r="113" spans="2:88" x14ac:dyDescent="0.25">
      <c r="C113" s="7"/>
      <c r="D113" s="7"/>
      <c r="E113" s="7"/>
      <c r="F113" s="7"/>
      <c r="I113" s="7"/>
      <c r="K113" s="7"/>
      <c r="O113" s="7"/>
    </row>
    <row r="114" spans="2:88" x14ac:dyDescent="0.25">
      <c r="C114" s="7"/>
      <c r="D114" s="7"/>
      <c r="E114" s="7"/>
      <c r="F114" s="7"/>
      <c r="I114" s="7"/>
      <c r="K114" s="7"/>
      <c r="O114" s="7"/>
    </row>
    <row r="115" spans="2:88" x14ac:dyDescent="0.25">
      <c r="C115" s="7"/>
      <c r="D115" s="7"/>
      <c r="E115" s="7"/>
      <c r="F115" s="7"/>
      <c r="I115" s="7"/>
      <c r="K115" s="7"/>
      <c r="O115" s="7"/>
    </row>
    <row r="116" spans="2:88" ht="15.75" thickBot="1" x14ac:dyDescent="0.3">
      <c r="C116" s="7"/>
      <c r="D116" s="7"/>
      <c r="E116" s="7"/>
      <c r="F116" s="7"/>
      <c r="I116" s="7"/>
      <c r="K116" s="7"/>
      <c r="O116" s="7"/>
      <c r="AA116" s="11" t="s">
        <v>0</v>
      </c>
      <c r="AB116" s="7"/>
      <c r="AC116" s="236"/>
      <c r="AD116" s="7"/>
      <c r="AE116" s="7"/>
      <c r="AF116" s="11" t="s">
        <v>135</v>
      </c>
      <c r="AV116" s="7"/>
      <c r="AW116" s="7"/>
      <c r="AX116" s="7"/>
      <c r="AY116" s="7"/>
      <c r="BB116" s="7"/>
      <c r="BD116" s="7"/>
      <c r="BH116" s="7"/>
      <c r="BT116" s="11" t="s">
        <v>0</v>
      </c>
      <c r="BU116" s="7"/>
      <c r="BV116" s="236"/>
      <c r="BW116" s="7"/>
      <c r="BX116" s="7"/>
    </row>
    <row r="117" spans="2:88" ht="15.75" thickBot="1" x14ac:dyDescent="0.3">
      <c r="B117" t="s">
        <v>0</v>
      </c>
      <c r="C117" t="s">
        <v>396</v>
      </c>
      <c r="D117" t="s">
        <v>397</v>
      </c>
      <c r="E117" s="240" t="s">
        <v>398</v>
      </c>
      <c r="F117" t="s">
        <v>16</v>
      </c>
      <c r="G117" s="132" t="s">
        <v>135</v>
      </c>
      <c r="I117" s="7"/>
      <c r="K117" s="7"/>
      <c r="O117" t="s">
        <v>0</v>
      </c>
      <c r="R117" s="240"/>
      <c r="T117" s="5" t="s">
        <v>135</v>
      </c>
      <c r="AA117" s="29" t="s">
        <v>155</v>
      </c>
      <c r="AB117" s="31"/>
      <c r="AC117" s="237"/>
      <c r="AD117" s="31"/>
      <c r="AE117" s="27"/>
      <c r="AF117" s="11">
        <v>65</v>
      </c>
      <c r="AL117" s="11"/>
      <c r="AM117" s="1" t="s">
        <v>0</v>
      </c>
      <c r="AN117" t="s">
        <v>396</v>
      </c>
      <c r="AO117" t="s">
        <v>397</v>
      </c>
      <c r="AP117" s="240" t="s">
        <v>398</v>
      </c>
      <c r="AQ117" t="s">
        <v>16</v>
      </c>
      <c r="AR117" s="247" t="s">
        <v>135</v>
      </c>
      <c r="AU117" t="s">
        <v>0</v>
      </c>
      <c r="AV117" t="s">
        <v>396</v>
      </c>
      <c r="AW117" t="s">
        <v>397</v>
      </c>
      <c r="AX117" s="240" t="s">
        <v>398</v>
      </c>
      <c r="AY117" t="s">
        <v>16</v>
      </c>
      <c r="BB117" s="7"/>
      <c r="BD117" s="7"/>
      <c r="BH117" t="s">
        <v>0</v>
      </c>
      <c r="BK117" s="240"/>
      <c r="BT117" s="29" t="s">
        <v>155</v>
      </c>
      <c r="BU117" s="31">
        <v>3.6068903949690005</v>
      </c>
      <c r="BV117" s="237">
        <v>2.9400127362539998</v>
      </c>
      <c r="BW117" s="31">
        <v>2.4542180828369999</v>
      </c>
      <c r="BX117" s="27">
        <v>2.378682805725</v>
      </c>
      <c r="CE117" s="11"/>
      <c r="CF117" s="1" t="s">
        <v>0</v>
      </c>
      <c r="CG117" t="s">
        <v>396</v>
      </c>
      <c r="CH117" t="s">
        <v>397</v>
      </c>
      <c r="CI117" s="240" t="s">
        <v>398</v>
      </c>
      <c r="CJ117" t="s">
        <v>16</v>
      </c>
    </row>
    <row r="118" spans="2:88" x14ac:dyDescent="0.25">
      <c r="B118" s="29" t="s">
        <v>384</v>
      </c>
      <c r="C118" s="31">
        <f t="shared" si="0"/>
        <v>49.740889885632889</v>
      </c>
      <c r="D118" s="237">
        <f t="shared" si="1"/>
        <v>35.599368552829262</v>
      </c>
      <c r="E118" s="31">
        <f t="shared" si="2"/>
        <v>24.534709082298093</v>
      </c>
      <c r="F118" s="27">
        <f t="shared" si="3"/>
        <v>27.887643642467488</v>
      </c>
      <c r="G118" s="103">
        <v>78</v>
      </c>
      <c r="I118" s="7"/>
      <c r="O118" s="29" t="s">
        <v>184</v>
      </c>
      <c r="P118" s="30">
        <f>P32-Q32</f>
        <v>12.740381911189036</v>
      </c>
      <c r="Q118" s="237">
        <f t="shared" si="11"/>
        <v>10.158848096179064</v>
      </c>
      <c r="R118" s="31">
        <f t="shared" si="4"/>
        <v>5.9461403332558458</v>
      </c>
      <c r="S118" s="27">
        <f>X32</f>
        <v>5.7870437872101395</v>
      </c>
      <c r="T118" s="213">
        <v>79</v>
      </c>
      <c r="AA118" s="6" t="s">
        <v>156</v>
      </c>
      <c r="AB118" s="33">
        <f t="shared" si="6"/>
        <v>37.007163513771062</v>
      </c>
      <c r="AC118" s="236">
        <f t="shared" si="19"/>
        <v>23.15440942762536</v>
      </c>
      <c r="AD118" s="33">
        <f t="shared" si="18"/>
        <v>21.676429364208417</v>
      </c>
      <c r="AE118" s="8">
        <f t="shared" si="17"/>
        <v>24.983996204125084</v>
      </c>
      <c r="AF118" s="11">
        <v>59</v>
      </c>
      <c r="AL118" s="11"/>
      <c r="AM118" s="11" t="s">
        <v>59</v>
      </c>
      <c r="AN118" s="30">
        <f>AN32-AO32</f>
        <v>29.835822252152717</v>
      </c>
      <c r="AO118" s="237">
        <f>SUM(AP32:AS32)</f>
        <v>27.940800623560477</v>
      </c>
      <c r="AP118" s="31">
        <f>AT32+AU32</f>
        <v>24.794372079410724</v>
      </c>
      <c r="AQ118" s="27">
        <f>AV32</f>
        <v>25.70963181173537</v>
      </c>
      <c r="AR118" s="63">
        <v>63</v>
      </c>
      <c r="AU118" s="29" t="s">
        <v>384</v>
      </c>
      <c r="AV118" s="31">
        <v>3.8797894110793654</v>
      </c>
      <c r="AW118" s="237">
        <v>2.7767507471206825</v>
      </c>
      <c r="AX118" s="31">
        <v>1.9137073084192511</v>
      </c>
      <c r="AY118" s="27">
        <v>2.1752362041124642</v>
      </c>
      <c r="BB118" s="7"/>
      <c r="BH118" s="29" t="s">
        <v>184</v>
      </c>
      <c r="BI118" s="30">
        <v>1.0064901709839342</v>
      </c>
      <c r="BJ118" s="237">
        <v>0.80254899959814596</v>
      </c>
      <c r="BK118" s="31">
        <v>0.4697450863272119</v>
      </c>
      <c r="BL118" s="27">
        <v>0.45717645918960104</v>
      </c>
      <c r="BT118" s="6" t="s">
        <v>156</v>
      </c>
      <c r="BU118" s="33">
        <v>2.1834226473124927</v>
      </c>
      <c r="BV118" s="236">
        <v>1.3661101562298961</v>
      </c>
      <c r="BW118" s="33">
        <v>1.2789093324882965</v>
      </c>
      <c r="BX118" s="8">
        <v>1.4740557760433799</v>
      </c>
      <c r="CE118" s="11"/>
      <c r="CF118" s="11" t="s">
        <v>59</v>
      </c>
      <c r="CG118" s="30">
        <v>1.879656801885621</v>
      </c>
      <c r="CH118" s="237">
        <v>1.76027043928431</v>
      </c>
      <c r="CI118" s="31">
        <v>1.5620454410028757</v>
      </c>
      <c r="CJ118" s="27">
        <v>1.6197068041393283</v>
      </c>
    </row>
    <row r="119" spans="2:88" x14ac:dyDescent="0.25">
      <c r="B119" s="6" t="s">
        <v>383</v>
      </c>
      <c r="C119" s="33">
        <f t="shared" si="0"/>
        <v>26.695882011642247</v>
      </c>
      <c r="D119" s="236">
        <f t="shared" si="1"/>
        <v>21.964036680709338</v>
      </c>
      <c r="E119" s="33">
        <f t="shared" si="2"/>
        <v>12.892070039061224</v>
      </c>
      <c r="F119" s="8">
        <f t="shared" si="3"/>
        <v>12.685944517505622</v>
      </c>
      <c r="G119" s="103">
        <v>86</v>
      </c>
      <c r="I119" s="7"/>
      <c r="O119" s="6" t="s">
        <v>187</v>
      </c>
      <c r="P119" s="32"/>
      <c r="Q119" s="236"/>
      <c r="R119" s="33">
        <f t="shared" si="4"/>
        <v>28.143979382541968</v>
      </c>
      <c r="S119" s="8">
        <f t="shared" si="5"/>
        <v>25.445150003899862</v>
      </c>
      <c r="T119" s="213">
        <v>46</v>
      </c>
      <c r="AA119" s="6" t="s">
        <v>161</v>
      </c>
      <c r="AB119" s="33">
        <f t="shared" si="6"/>
        <v>20.976473201496759</v>
      </c>
      <c r="AC119" s="236">
        <f t="shared" si="19"/>
        <v>22.905251694521159</v>
      </c>
      <c r="AD119" s="33">
        <f t="shared" si="18"/>
        <v>13.811447202668381</v>
      </c>
      <c r="AE119" s="8">
        <f t="shared" si="17"/>
        <v>14.685663172805336</v>
      </c>
      <c r="AF119" s="11">
        <v>58</v>
      </c>
      <c r="AL119" s="11"/>
      <c r="AM119" s="11" t="s">
        <v>61</v>
      </c>
      <c r="AN119" s="32"/>
      <c r="AO119" s="236"/>
      <c r="AP119" s="33"/>
      <c r="AQ119" s="8"/>
      <c r="AU119" s="6" t="s">
        <v>383</v>
      </c>
      <c r="AV119" s="33">
        <v>2.2958458530012331</v>
      </c>
      <c r="AW119" s="236">
        <v>1.8889071545410032</v>
      </c>
      <c r="AX119" s="33">
        <v>1.1087180233592653</v>
      </c>
      <c r="AY119" s="8">
        <v>1.0909912285054835</v>
      </c>
      <c r="BB119" s="7"/>
      <c r="BH119" s="6" t="s">
        <v>187</v>
      </c>
      <c r="BI119" s="32"/>
      <c r="BJ119" s="236"/>
      <c r="BK119" s="33">
        <v>1.2946230515969306</v>
      </c>
      <c r="BL119" s="8">
        <v>1.1704769001793938</v>
      </c>
      <c r="BT119" s="6" t="s">
        <v>161</v>
      </c>
      <c r="BU119" s="33">
        <v>1.216635445686812</v>
      </c>
      <c r="BV119" s="236">
        <v>1.3285045982822272</v>
      </c>
      <c r="BW119" s="33">
        <v>0.80106393775476614</v>
      </c>
      <c r="BX119" s="8">
        <v>0.85176846402270945</v>
      </c>
      <c r="CE119" s="11"/>
      <c r="CF119" s="11" t="s">
        <v>61</v>
      </c>
      <c r="CG119" s="32"/>
      <c r="CH119" s="236"/>
      <c r="CI119" s="33"/>
      <c r="CJ119" s="8"/>
    </row>
    <row r="120" spans="2:88" x14ac:dyDescent="0.25">
      <c r="B120" s="6" t="s">
        <v>382</v>
      </c>
      <c r="C120" s="33">
        <f t="shared" si="0"/>
        <v>43.006476695116788</v>
      </c>
      <c r="D120" s="236">
        <f t="shared" si="1"/>
        <v>27.974249346111193</v>
      </c>
      <c r="E120" s="33">
        <f t="shared" si="2"/>
        <v>23.065481619037435</v>
      </c>
      <c r="F120" s="8">
        <f t="shared" si="3"/>
        <v>26.195181432089427</v>
      </c>
      <c r="G120" s="103">
        <v>90</v>
      </c>
      <c r="I120" s="7"/>
      <c r="O120" s="6" t="s">
        <v>188</v>
      </c>
      <c r="P120" s="32">
        <f t="shared" si="10"/>
        <v>21.437795591182358</v>
      </c>
      <c r="Q120" s="236">
        <f t="shared" si="11"/>
        <v>23.425490981963929</v>
      </c>
      <c r="R120" s="33">
        <f t="shared" si="4"/>
        <v>15.544208416833667</v>
      </c>
      <c r="S120" s="8">
        <f t="shared" si="5"/>
        <v>16.012905811623245</v>
      </c>
      <c r="T120" s="213">
        <v>50</v>
      </c>
      <c r="AA120" s="6" t="s">
        <v>164</v>
      </c>
      <c r="AB120" s="33">
        <f t="shared" si="6"/>
        <v>34.605897225920863</v>
      </c>
      <c r="AC120" s="236">
        <f t="shared" si="19"/>
        <v>34.249458146010682</v>
      </c>
      <c r="AD120" s="33">
        <f t="shared" si="18"/>
        <v>19.639391041086057</v>
      </c>
      <c r="AE120" s="8">
        <f t="shared" si="17"/>
        <v>21.029730818193975</v>
      </c>
      <c r="AF120" s="11">
        <v>68</v>
      </c>
      <c r="AL120" s="11"/>
      <c r="AM120" s="11" t="s">
        <v>64</v>
      </c>
      <c r="AN120" s="32">
        <f t="shared" ref="AN120:AN123" si="20">AN34-AO34</f>
        <v>35.450578307966055</v>
      </c>
      <c r="AO120" s="236">
        <f t="shared" ref="AO120:AO122" si="21">SUM(AP34:AS34)</f>
        <v>31.502262625448957</v>
      </c>
      <c r="AP120" s="33">
        <f t="shared" ref="AP120:AP123" si="22">AT34+AU34</f>
        <v>21.962505984001385</v>
      </c>
      <c r="AQ120" s="8">
        <f t="shared" ref="AQ120:AQ123" si="23">AV34</f>
        <v>22.462064218222299</v>
      </c>
      <c r="AR120" s="56">
        <v>93</v>
      </c>
      <c r="AU120" s="6" t="s">
        <v>382</v>
      </c>
      <c r="AV120" s="33">
        <v>3.8705829025605105</v>
      </c>
      <c r="AW120" s="236">
        <v>2.5176824411500074</v>
      </c>
      <c r="AX120" s="33">
        <v>2.0758933457133688</v>
      </c>
      <c r="AY120" s="8">
        <v>2.3575663288880486</v>
      </c>
      <c r="BB120" s="7"/>
      <c r="BH120" s="6" t="s">
        <v>188</v>
      </c>
      <c r="BI120" s="32">
        <v>1.0718897795591182</v>
      </c>
      <c r="BJ120" s="236">
        <v>1.1712745490981964</v>
      </c>
      <c r="BK120" s="33">
        <v>0.77721042084168335</v>
      </c>
      <c r="BL120" s="8">
        <v>0.80064529058116229</v>
      </c>
      <c r="BT120" s="6" t="s">
        <v>164</v>
      </c>
      <c r="BU120" s="33">
        <v>2.3532010113626187</v>
      </c>
      <c r="BV120" s="236">
        <v>2.3289631539287265</v>
      </c>
      <c r="BW120" s="33">
        <v>1.3354785907938516</v>
      </c>
      <c r="BX120" s="8">
        <v>1.4300216956371903</v>
      </c>
      <c r="CE120" s="11"/>
      <c r="CF120" s="11" t="s">
        <v>64</v>
      </c>
      <c r="CG120" s="32">
        <v>3.2969037826408432</v>
      </c>
      <c r="CH120" s="236">
        <v>2.9297104241667524</v>
      </c>
      <c r="CI120" s="33">
        <v>2.0425130565121288</v>
      </c>
      <c r="CJ120" s="8">
        <v>2.0889719722946736</v>
      </c>
    </row>
    <row r="121" spans="2:88" x14ac:dyDescent="0.25">
      <c r="B121" s="6" t="s">
        <v>381</v>
      </c>
      <c r="C121" s="33">
        <f t="shared" si="0"/>
        <v>39.02991773402001</v>
      </c>
      <c r="D121" s="236">
        <f t="shared" si="1"/>
        <v>36.540273902169119</v>
      </c>
      <c r="E121" s="33">
        <f t="shared" si="2"/>
        <v>25.362173365133359</v>
      </c>
      <c r="F121" s="8">
        <f t="shared" si="3"/>
        <v>25.820787432006728</v>
      </c>
      <c r="G121" s="103">
        <v>80</v>
      </c>
      <c r="I121" s="7"/>
      <c r="O121" s="6" t="s">
        <v>189</v>
      </c>
      <c r="P121" s="32">
        <f t="shared" si="10"/>
        <v>40.254585781493269</v>
      </c>
      <c r="Q121" s="236">
        <f t="shared" si="11"/>
        <v>27.385761495784593</v>
      </c>
      <c r="R121" s="33">
        <f t="shared" si="4"/>
        <v>33.901764347927426</v>
      </c>
      <c r="S121" s="8">
        <f t="shared" si="5"/>
        <v>36.953703150302346</v>
      </c>
      <c r="T121" s="213">
        <v>47</v>
      </c>
      <c r="AA121" s="6" t="s">
        <v>166</v>
      </c>
      <c r="AB121" s="33"/>
      <c r="AC121" s="236"/>
      <c r="AD121" s="33">
        <f t="shared" si="18"/>
        <v>18.878001953671326</v>
      </c>
      <c r="AE121" s="8">
        <f t="shared" si="17"/>
        <v>19.915754328443217</v>
      </c>
      <c r="AF121" s="11">
        <v>79</v>
      </c>
      <c r="AL121" s="11"/>
      <c r="AM121" s="11" t="s">
        <v>66</v>
      </c>
      <c r="AN121" s="32">
        <f t="shared" si="20"/>
        <v>61.007372235411715</v>
      </c>
      <c r="AO121" s="236">
        <f t="shared" si="21"/>
        <v>46.435711608146939</v>
      </c>
      <c r="AP121" s="33">
        <f t="shared" si="22"/>
        <v>23.893539922529051</v>
      </c>
      <c r="AQ121" s="8">
        <f t="shared" si="23"/>
        <v>31.260652255404224</v>
      </c>
      <c r="AR121" s="56">
        <v>53</v>
      </c>
      <c r="AU121" s="6" t="s">
        <v>381</v>
      </c>
      <c r="AV121" s="33">
        <v>3.1223934187216011</v>
      </c>
      <c r="AW121" s="236">
        <v>2.9232219121735299</v>
      </c>
      <c r="AX121" s="33">
        <v>2.0289738692106685</v>
      </c>
      <c r="AY121" s="8">
        <v>2.065662994560538</v>
      </c>
      <c r="BB121" s="7"/>
      <c r="BH121" s="6" t="s">
        <v>189</v>
      </c>
      <c r="BI121" s="32">
        <v>1.8919655317301833</v>
      </c>
      <c r="BJ121" s="236">
        <v>1.2871307903018758</v>
      </c>
      <c r="BK121" s="33">
        <v>1.5933829243525888</v>
      </c>
      <c r="BL121" s="8">
        <v>1.7368240480642101</v>
      </c>
      <c r="BT121" s="6" t="s">
        <v>166</v>
      </c>
      <c r="BU121" s="33"/>
      <c r="BV121" s="236"/>
      <c r="BW121" s="33">
        <v>1.4913621543400348</v>
      </c>
      <c r="BX121" s="8">
        <v>1.5733445919470141</v>
      </c>
      <c r="CE121" s="11"/>
      <c r="CF121" s="11" t="s">
        <v>66</v>
      </c>
      <c r="CG121" s="32">
        <v>3.2333907284768211</v>
      </c>
      <c r="CH121" s="236">
        <v>2.4610927152317879</v>
      </c>
      <c r="CI121" s="33">
        <v>1.2663576158940395</v>
      </c>
      <c r="CJ121" s="8">
        <v>1.6568145695364238</v>
      </c>
    </row>
    <row r="122" spans="2:88" x14ac:dyDescent="0.25">
      <c r="B122" s="6" t="s">
        <v>380</v>
      </c>
      <c r="C122" s="33">
        <f t="shared" si="0"/>
        <v>43.14365573942186</v>
      </c>
      <c r="D122" s="236">
        <f t="shared" si="1"/>
        <v>36.538214809384158</v>
      </c>
      <c r="E122" s="33">
        <f t="shared" si="2"/>
        <v>21.057354943443649</v>
      </c>
      <c r="F122" s="8">
        <f t="shared" si="3"/>
        <v>22.823300691244235</v>
      </c>
      <c r="G122" s="103">
        <v>88</v>
      </c>
      <c r="I122" s="7"/>
      <c r="O122" s="6" t="s">
        <v>191</v>
      </c>
      <c r="P122" s="32">
        <f t="shared" si="10"/>
        <v>22.588423862431327</v>
      </c>
      <c r="Q122" s="236">
        <f t="shared" si="11"/>
        <v>22.219933708786151</v>
      </c>
      <c r="R122" s="33">
        <f t="shared" si="4"/>
        <v>16.588297412452441</v>
      </c>
      <c r="S122" s="8">
        <f t="shared" si="5"/>
        <v>18.945476520171297</v>
      </c>
      <c r="T122" s="213">
        <v>68</v>
      </c>
      <c r="AA122" s="6" t="s">
        <v>169</v>
      </c>
      <c r="AB122" s="33">
        <f t="shared" si="6"/>
        <v>38.727462701763699</v>
      </c>
      <c r="AC122" s="236">
        <f t="shared" si="19"/>
        <v>23.460020160494384</v>
      </c>
      <c r="AD122" s="33">
        <f t="shared" si="18"/>
        <v>19.33944017426505</v>
      </c>
      <c r="AE122" s="8">
        <f t="shared" si="17"/>
        <v>22.552804446258456</v>
      </c>
      <c r="AF122" s="11">
        <v>86</v>
      </c>
      <c r="AL122" s="11"/>
      <c r="AM122" s="11" t="s">
        <v>69</v>
      </c>
      <c r="AN122" s="32">
        <f t="shared" si="20"/>
        <v>35.692249008140188</v>
      </c>
      <c r="AO122" s="236">
        <f t="shared" si="21"/>
        <v>27.745565710092155</v>
      </c>
      <c r="AP122" s="33">
        <f t="shared" si="22"/>
        <v>20.641174911411792</v>
      </c>
      <c r="AQ122" s="8">
        <f t="shared" si="23"/>
        <v>23.619111590709021</v>
      </c>
      <c r="AR122">
        <v>62.14</v>
      </c>
      <c r="AU122" s="6" t="s">
        <v>380</v>
      </c>
      <c r="AV122" s="33">
        <v>3.7966417050691241</v>
      </c>
      <c r="AW122" s="236">
        <v>3.215362903225806</v>
      </c>
      <c r="AX122" s="33">
        <v>1.8530472350230411</v>
      </c>
      <c r="AY122" s="8">
        <v>2.0084504608294926</v>
      </c>
      <c r="BB122" s="7"/>
      <c r="BH122" s="6" t="s">
        <v>191</v>
      </c>
      <c r="BI122" s="32">
        <v>1.5360128226453302</v>
      </c>
      <c r="BJ122" s="236">
        <v>1.5109554921974579</v>
      </c>
      <c r="BK122" s="33">
        <v>1.128004224046766</v>
      </c>
      <c r="BL122" s="8">
        <v>1.2882924033716483</v>
      </c>
      <c r="BT122" s="6" t="s">
        <v>169</v>
      </c>
      <c r="BU122" s="33">
        <v>3.3305617923516779</v>
      </c>
      <c r="BV122" s="236">
        <v>2.0175617338025171</v>
      </c>
      <c r="BW122" s="33">
        <v>1.6631918549867941</v>
      </c>
      <c r="BX122" s="8">
        <v>1.9395411823782274</v>
      </c>
      <c r="CE122" s="11"/>
      <c r="CF122" s="11" t="s">
        <v>69</v>
      </c>
      <c r="CG122" s="32">
        <v>2.217916353365831</v>
      </c>
      <c r="CH122" s="236">
        <v>1.7241094532251267</v>
      </c>
      <c r="CI122" s="33">
        <v>1.2826426089951286</v>
      </c>
      <c r="CJ122" s="8">
        <v>1.4676915942466586</v>
      </c>
    </row>
    <row r="123" spans="2:88" ht="15.75" thickBot="1" x14ac:dyDescent="0.3">
      <c r="B123" s="6" t="s">
        <v>379</v>
      </c>
      <c r="C123" s="33">
        <f t="shared" si="0"/>
        <v>36.252981837896442</v>
      </c>
      <c r="D123" s="236">
        <f t="shared" si="1"/>
        <v>29.477432908647327</v>
      </c>
      <c r="E123" s="33">
        <f t="shared" si="2"/>
        <v>25.139129845486579</v>
      </c>
      <c r="F123" s="8">
        <f t="shared" si="3"/>
        <v>23.370222282461373</v>
      </c>
      <c r="G123" s="103">
        <v>102</v>
      </c>
      <c r="I123" s="7"/>
      <c r="O123" s="14" t="s">
        <v>199</v>
      </c>
      <c r="P123" s="24"/>
      <c r="Q123" s="238"/>
      <c r="R123" s="15">
        <f t="shared" si="4"/>
        <v>19.387216669555336</v>
      </c>
      <c r="S123" s="16">
        <f t="shared" si="5"/>
        <v>21.555022477206716</v>
      </c>
      <c r="T123" s="213">
        <v>95</v>
      </c>
      <c r="AA123" s="6" t="s">
        <v>171</v>
      </c>
      <c r="AB123" s="33">
        <f t="shared" si="6"/>
        <v>30.019191919191915</v>
      </c>
      <c r="AC123" s="236">
        <f t="shared" si="19"/>
        <v>18.068911335578001</v>
      </c>
      <c r="AD123" s="33">
        <f t="shared" si="18"/>
        <v>10.278226711560045</v>
      </c>
      <c r="AE123" s="8">
        <f t="shared" si="17"/>
        <v>12.049158249158246</v>
      </c>
      <c r="AF123" s="11">
        <v>81</v>
      </c>
      <c r="AL123" s="11"/>
      <c r="AM123" s="50" t="s">
        <v>72</v>
      </c>
      <c r="AN123" s="24">
        <f t="shared" si="20"/>
        <v>35.138132857405324</v>
      </c>
      <c r="AO123" s="238">
        <f t="shared" ref="AO123" si="24">SUM(AP37:AS37)</f>
        <v>32.526232907272771</v>
      </c>
      <c r="AP123" s="15">
        <f t="shared" si="22"/>
        <v>18.207238655153407</v>
      </c>
      <c r="AQ123" s="8">
        <f t="shared" si="23"/>
        <v>22.352799139130205</v>
      </c>
      <c r="AR123" s="26">
        <v>54.43</v>
      </c>
      <c r="AU123" s="6" t="s">
        <v>379</v>
      </c>
      <c r="AV123" s="33">
        <v>3.6978041474654377</v>
      </c>
      <c r="AW123" s="236">
        <v>3.0066981566820274</v>
      </c>
      <c r="AX123" s="33">
        <v>2.5641912442396313</v>
      </c>
      <c r="AY123" s="8">
        <v>2.3837626728110601</v>
      </c>
      <c r="BB123" s="7"/>
      <c r="BH123" s="14" t="s">
        <v>199</v>
      </c>
      <c r="BI123" s="24"/>
      <c r="BJ123" s="238"/>
      <c r="BK123" s="15">
        <v>1.841785583607757</v>
      </c>
      <c r="BL123" s="16">
        <v>2.0477271353346378</v>
      </c>
      <c r="BT123" s="6" t="s">
        <v>171</v>
      </c>
      <c r="BU123" s="33">
        <v>2.4315545454545457</v>
      </c>
      <c r="BV123" s="236">
        <v>1.4635818181818179</v>
      </c>
      <c r="BW123" s="33">
        <v>0.83253636363636363</v>
      </c>
      <c r="BX123" s="8">
        <v>0.97598181818181806</v>
      </c>
      <c r="CE123" s="11"/>
      <c r="CF123" s="50" t="s">
        <v>72</v>
      </c>
      <c r="CG123" s="24">
        <v>1.9125685714285718</v>
      </c>
      <c r="CH123" s="238">
        <v>1.7704028571428572</v>
      </c>
      <c r="CI123" s="15">
        <v>0.99102000000000001</v>
      </c>
      <c r="CJ123" s="8">
        <v>1.216662857142857</v>
      </c>
    </row>
    <row r="124" spans="2:88" x14ac:dyDescent="0.25">
      <c r="B124" s="6" t="s">
        <v>229</v>
      </c>
      <c r="C124" s="33"/>
      <c r="D124" s="236"/>
      <c r="E124" s="33"/>
      <c r="F124" s="8"/>
      <c r="G124" s="103">
        <v>93</v>
      </c>
      <c r="I124" s="7"/>
      <c r="AA124" s="6" t="s">
        <v>173</v>
      </c>
      <c r="AB124" s="33">
        <f t="shared" si="6"/>
        <v>56.193133226435471</v>
      </c>
      <c r="AC124" s="236">
        <f t="shared" si="19"/>
        <v>46.596910725299878</v>
      </c>
      <c r="AD124" s="33">
        <f t="shared" si="18"/>
        <v>29.678383496889573</v>
      </c>
      <c r="AE124" s="8">
        <f t="shared" si="17"/>
        <v>30.852080734031244</v>
      </c>
      <c r="AF124" s="11">
        <v>54</v>
      </c>
      <c r="AQ124" s="63"/>
      <c r="AU124" s="6" t="s">
        <v>229</v>
      </c>
      <c r="AV124" s="33"/>
      <c r="AW124" s="236"/>
      <c r="AX124" s="33"/>
      <c r="AY124" s="8"/>
      <c r="BB124" s="7"/>
      <c r="BT124" s="6" t="s">
        <v>173</v>
      </c>
      <c r="BU124" s="33">
        <v>3.0344291942275157</v>
      </c>
      <c r="BV124" s="236">
        <v>2.5162331791661932</v>
      </c>
      <c r="BW124" s="33">
        <v>1.6026327088320371</v>
      </c>
      <c r="BX124" s="8">
        <v>1.666012359637687</v>
      </c>
      <c r="CJ124" s="63"/>
    </row>
    <row r="125" spans="2:88" x14ac:dyDescent="0.25">
      <c r="B125" s="6" t="s">
        <v>284</v>
      </c>
      <c r="C125" s="33"/>
      <c r="D125" s="236"/>
      <c r="E125" s="33"/>
      <c r="F125" s="8"/>
      <c r="AA125" s="6" t="s">
        <v>174</v>
      </c>
      <c r="AB125" s="33"/>
      <c r="AC125" s="236"/>
      <c r="AD125" s="33">
        <f t="shared" si="18"/>
        <v>24.880907467727166</v>
      </c>
      <c r="AE125" s="8">
        <f t="shared" si="17"/>
        <v>23.872334746822986</v>
      </c>
      <c r="AF125" s="11">
        <v>52</v>
      </c>
      <c r="AU125" s="6" t="s">
        <v>284</v>
      </c>
      <c r="AV125" s="33"/>
      <c r="AW125" s="236"/>
      <c r="AX125" s="33"/>
      <c r="AY125" s="8"/>
      <c r="BT125" s="6" t="s">
        <v>174</v>
      </c>
      <c r="BU125" s="33"/>
      <c r="BV125" s="236"/>
      <c r="BW125" s="33">
        <v>1.2938071883218125</v>
      </c>
      <c r="BX125" s="8">
        <v>1.2413614068347953</v>
      </c>
    </row>
    <row r="126" spans="2:88" x14ac:dyDescent="0.25">
      <c r="B126" s="6" t="s">
        <v>232</v>
      </c>
      <c r="C126" s="33">
        <f t="shared" si="0"/>
        <v>22.908035427164485</v>
      </c>
      <c r="D126" s="236">
        <f t="shared" si="1"/>
        <v>16.254936456749739</v>
      </c>
      <c r="E126" s="33">
        <f t="shared" si="2"/>
        <v>16.014440078492022</v>
      </c>
      <c r="F126" s="8">
        <f t="shared" si="3"/>
        <v>16.509645510688575</v>
      </c>
      <c r="G126" s="103">
        <v>96</v>
      </c>
      <c r="AA126" s="6" t="s">
        <v>177</v>
      </c>
      <c r="AB126" s="33">
        <f t="shared" si="6"/>
        <v>23.695187504120828</v>
      </c>
      <c r="AC126" s="236">
        <f t="shared" si="19"/>
        <v>19.505279212252685</v>
      </c>
      <c r="AD126" s="33">
        <f t="shared" si="18"/>
        <v>19.682244505242842</v>
      </c>
      <c r="AE126" s="8">
        <f t="shared" si="17"/>
        <v>21.757784359681029</v>
      </c>
      <c r="AF126" s="11">
        <v>101</v>
      </c>
      <c r="AU126" s="6" t="s">
        <v>232</v>
      </c>
      <c r="AV126" s="33">
        <v>2.1991714010077903</v>
      </c>
      <c r="AW126" s="236">
        <v>1.5604738998479748</v>
      </c>
      <c r="AX126" s="33">
        <v>1.537386247535234</v>
      </c>
      <c r="AY126" s="8">
        <v>1.5849259690261031</v>
      </c>
      <c r="BT126" s="6" t="s">
        <v>177</v>
      </c>
      <c r="BU126" s="33">
        <v>2.3932139379162036</v>
      </c>
      <c r="BV126" s="236">
        <v>1.9700332004375207</v>
      </c>
      <c r="BW126" s="33">
        <v>1.9879066950295272</v>
      </c>
      <c r="BX126" s="8">
        <v>2.197536220327784</v>
      </c>
    </row>
    <row r="127" spans="2:88" x14ac:dyDescent="0.25">
      <c r="B127" s="6" t="s">
        <v>285</v>
      </c>
      <c r="C127" s="33">
        <f t="shared" si="0"/>
        <v>18.381492897032679</v>
      </c>
      <c r="D127" s="236">
        <f t="shared" si="1"/>
        <v>17.531464237810518</v>
      </c>
      <c r="E127" s="33">
        <f t="shared" si="2"/>
        <v>17.789811117988116</v>
      </c>
      <c r="F127" s="8">
        <f t="shared" si="3"/>
        <v>20.904390236343954</v>
      </c>
      <c r="G127" s="103">
        <v>101</v>
      </c>
      <c r="AA127" s="6" t="s">
        <v>178</v>
      </c>
      <c r="AB127" s="33"/>
      <c r="AC127" s="236"/>
      <c r="AD127" s="33"/>
      <c r="AE127" s="8"/>
      <c r="AF127" s="11">
        <v>83</v>
      </c>
      <c r="AU127" s="6" t="s">
        <v>285</v>
      </c>
      <c r="AV127" s="33">
        <v>1.8565307826003006</v>
      </c>
      <c r="AW127" s="236">
        <v>1.7706778880188621</v>
      </c>
      <c r="AX127" s="33">
        <v>1.7967709229167999</v>
      </c>
      <c r="AY127" s="8">
        <v>2.1113434138707392</v>
      </c>
      <c r="BT127" s="6" t="s">
        <v>178</v>
      </c>
      <c r="BU127" s="33">
        <v>3.4021227651125718</v>
      </c>
      <c r="BV127" s="236">
        <v>2.3155504026636895</v>
      </c>
      <c r="BW127" s="33">
        <v>1.9872295950765573</v>
      </c>
      <c r="BX127" s="8">
        <v>2.2092204012250094</v>
      </c>
    </row>
    <row r="128" spans="2:88" x14ac:dyDescent="0.25">
      <c r="B128" s="6" t="s">
        <v>234</v>
      </c>
      <c r="C128" s="33">
        <f t="shared" si="0"/>
        <v>90.765619733019108</v>
      </c>
      <c r="D128" s="236">
        <f t="shared" si="1"/>
        <v>70.100483380717037</v>
      </c>
      <c r="E128" s="33">
        <f t="shared" si="2"/>
        <v>21.835088679614429</v>
      </c>
      <c r="F128" s="8">
        <f t="shared" si="3"/>
        <v>24.728957174285281</v>
      </c>
      <c r="G128" s="103">
        <v>49</v>
      </c>
      <c r="AA128" s="6" t="s">
        <v>181</v>
      </c>
      <c r="AB128" s="33">
        <f t="shared" si="6"/>
        <v>35.375058539177331</v>
      </c>
      <c r="AC128" s="236">
        <f t="shared" si="19"/>
        <v>25.465503021863583</v>
      </c>
      <c r="AD128" s="33">
        <f t="shared" si="18"/>
        <v>17.581080731430692</v>
      </c>
      <c r="AE128" s="8">
        <f t="shared" si="17"/>
        <v>18.408266211437514</v>
      </c>
      <c r="AF128" s="11">
        <v>74</v>
      </c>
      <c r="AU128" s="6" t="s">
        <v>234</v>
      </c>
      <c r="AV128" s="33">
        <v>4.4475153669179353</v>
      </c>
      <c r="AW128" s="236">
        <v>3.434923685655134</v>
      </c>
      <c r="AX128" s="33">
        <v>1.0699193453011071</v>
      </c>
      <c r="AY128" s="8">
        <v>1.2117189015399787</v>
      </c>
      <c r="BT128" s="6" t="s">
        <v>181</v>
      </c>
      <c r="BU128" s="33">
        <v>2.6177543318991225</v>
      </c>
      <c r="BV128" s="236">
        <v>1.8844472236179051</v>
      </c>
      <c r="BW128" s="33">
        <v>1.3009999741258711</v>
      </c>
      <c r="BX128" s="8">
        <v>1.362211699646376</v>
      </c>
    </row>
    <row r="129" spans="2:76" x14ac:dyDescent="0.25">
      <c r="B129" s="6" t="s">
        <v>235</v>
      </c>
      <c r="C129" s="33">
        <f t="shared" si="0"/>
        <v>61.112181070274296</v>
      </c>
      <c r="D129" s="236">
        <f t="shared" si="1"/>
        <v>46.501027026573354</v>
      </c>
      <c r="E129" s="33">
        <f t="shared" si="2"/>
        <v>28.131548085797029</v>
      </c>
      <c r="F129" s="8">
        <f t="shared" si="3"/>
        <v>30.863012328927759</v>
      </c>
      <c r="G129" s="103">
        <v>50</v>
      </c>
      <c r="AA129" s="6" t="s">
        <v>194</v>
      </c>
      <c r="AB129" s="33"/>
      <c r="AC129" s="236"/>
      <c r="AD129" s="33">
        <f t="shared" si="18"/>
        <v>20.568112338018661</v>
      </c>
      <c r="AE129" s="8">
        <f t="shared" si="17"/>
        <v>20.813552772038936</v>
      </c>
      <c r="AF129" s="11">
        <v>96</v>
      </c>
      <c r="AU129" s="6" t="s">
        <v>235</v>
      </c>
      <c r="AV129" s="33">
        <v>3.0556090535137153</v>
      </c>
      <c r="AW129" s="236">
        <v>2.3250513513286677</v>
      </c>
      <c r="AX129" s="33">
        <v>1.4065774042898513</v>
      </c>
      <c r="AY129" s="8">
        <v>1.543150616446388</v>
      </c>
      <c r="BT129" s="6" t="s">
        <v>194</v>
      </c>
      <c r="BU129" s="33"/>
      <c r="BV129" s="236"/>
      <c r="BW129" s="33">
        <v>1.9745387844497915</v>
      </c>
      <c r="BX129" s="8">
        <v>1.9981010661157377</v>
      </c>
    </row>
    <row r="130" spans="2:76" x14ac:dyDescent="0.25">
      <c r="B130" s="6" t="s">
        <v>237</v>
      </c>
      <c r="C130" s="33">
        <f t="shared" si="0"/>
        <v>52.702875424223251</v>
      </c>
      <c r="D130" s="236">
        <f t="shared" si="1"/>
        <v>42.855182294505994</v>
      </c>
      <c r="E130" s="33">
        <f t="shared" si="2"/>
        <v>22.886491255513285</v>
      </c>
      <c r="F130" s="8">
        <f t="shared" si="3"/>
        <v>28.641455374114347</v>
      </c>
      <c r="G130" s="103">
        <v>48</v>
      </c>
      <c r="AA130" s="6" t="s">
        <v>196</v>
      </c>
      <c r="AB130" s="33">
        <f t="shared" si="6"/>
        <v>38.36957780795899</v>
      </c>
      <c r="AC130" s="236">
        <f t="shared" si="19"/>
        <v>32.177664868916366</v>
      </c>
      <c r="AD130" s="33">
        <f t="shared" si="18"/>
        <v>24.824518904809064</v>
      </c>
      <c r="AE130" s="8">
        <f t="shared" si="17"/>
        <v>24.321053536725515</v>
      </c>
      <c r="AF130" s="11">
        <v>57</v>
      </c>
      <c r="AU130" s="6" t="s">
        <v>237</v>
      </c>
      <c r="AV130" s="33">
        <v>2.529738020362716</v>
      </c>
      <c r="AW130" s="236">
        <v>2.0570487501362877</v>
      </c>
      <c r="AX130" s="33">
        <v>1.0985515802646377</v>
      </c>
      <c r="AY130" s="8">
        <v>1.3747898579574886</v>
      </c>
      <c r="BT130" s="6" t="s">
        <v>196</v>
      </c>
      <c r="BU130" s="33">
        <v>2.1870659350536625</v>
      </c>
      <c r="BV130" s="236">
        <v>1.834126897528233</v>
      </c>
      <c r="BW130" s="33">
        <v>1.4149975775741166</v>
      </c>
      <c r="BX130" s="8">
        <v>1.3863000515933543</v>
      </c>
    </row>
    <row r="131" spans="2:76" ht="15.75" thickBot="1" x14ac:dyDescent="0.3">
      <c r="B131" s="6" t="s">
        <v>239</v>
      </c>
      <c r="C131" s="33"/>
      <c r="D131" s="236"/>
      <c r="E131" s="33">
        <f t="shared" si="2"/>
        <v>15.27963318638119</v>
      </c>
      <c r="F131" s="8">
        <f t="shared" si="3"/>
        <v>15.642106567809739</v>
      </c>
      <c r="G131" s="103">
        <v>90</v>
      </c>
      <c r="AA131" s="14" t="s">
        <v>197</v>
      </c>
      <c r="AB131" s="15">
        <f t="shared" si="6"/>
        <v>83.248786790287284</v>
      </c>
      <c r="AC131" s="238">
        <f t="shared" si="19"/>
        <v>58.351714310946001</v>
      </c>
      <c r="AD131" s="15">
        <f t="shared" si="18"/>
        <v>38.104077080025895</v>
      </c>
      <c r="AE131" s="16">
        <f t="shared" si="17"/>
        <v>31.713263917528309</v>
      </c>
      <c r="AF131" s="11">
        <v>47</v>
      </c>
      <c r="AU131" s="6" t="s">
        <v>239</v>
      </c>
      <c r="AV131" s="33"/>
      <c r="AW131" s="236"/>
      <c r="AX131" s="33">
        <v>1.375166986774307</v>
      </c>
      <c r="AY131" s="8">
        <v>1.4077895911028766</v>
      </c>
      <c r="BT131" s="14" t="s">
        <v>197</v>
      </c>
      <c r="BU131" s="15">
        <v>3.912692979143503</v>
      </c>
      <c r="BV131" s="238">
        <v>2.742530572614462</v>
      </c>
      <c r="BW131" s="15">
        <v>1.7908916227612173</v>
      </c>
      <c r="BX131" s="16">
        <v>1.4905234041238307</v>
      </c>
    </row>
    <row r="132" spans="2:76" x14ac:dyDescent="0.25">
      <c r="B132" s="6" t="s">
        <v>241</v>
      </c>
      <c r="C132" s="33">
        <f t="shared" si="0"/>
        <v>44.334388457090768</v>
      </c>
      <c r="D132" s="236">
        <f t="shared" si="1"/>
        <v>33.549184165082934</v>
      </c>
      <c r="E132" s="33">
        <f t="shared" si="2"/>
        <v>22.6078194901303</v>
      </c>
      <c r="F132" s="8">
        <f t="shared" si="3"/>
        <v>22.804066308482632</v>
      </c>
      <c r="G132" s="103">
        <v>71</v>
      </c>
      <c r="AB132" s="7"/>
      <c r="AU132" s="6" t="s">
        <v>241</v>
      </c>
      <c r="AV132" s="33">
        <v>3.1477415804534448</v>
      </c>
      <c r="AW132" s="236">
        <v>2.381992075720889</v>
      </c>
      <c r="AX132" s="33">
        <v>1.6051551837992513</v>
      </c>
      <c r="AY132" s="8">
        <v>1.6190887079022669</v>
      </c>
      <c r="BU132" s="7"/>
    </row>
    <row r="133" spans="2:76" x14ac:dyDescent="0.25">
      <c r="B133" s="6" t="s">
        <v>243</v>
      </c>
      <c r="C133" s="33">
        <f t="shared" si="0"/>
        <v>31.377437229181727</v>
      </c>
      <c r="D133" s="236">
        <f t="shared" si="1"/>
        <v>23.184805515162665</v>
      </c>
      <c r="E133" s="33"/>
      <c r="F133" s="8"/>
      <c r="G133" s="103">
        <v>103</v>
      </c>
      <c r="AB133" s="7"/>
      <c r="AU133" s="6" t="s">
        <v>243</v>
      </c>
      <c r="AV133" s="33">
        <v>3.2318760346057172</v>
      </c>
      <c r="AW133" s="236">
        <v>2.3880349680617545</v>
      </c>
      <c r="AX133" s="33"/>
      <c r="AY133" s="8"/>
      <c r="BU133" s="7"/>
    </row>
    <row r="134" spans="2:76" x14ac:dyDescent="0.25">
      <c r="B134" s="6" t="s">
        <v>245</v>
      </c>
      <c r="C134" s="33">
        <f t="shared" si="0"/>
        <v>34.139655636513297</v>
      </c>
      <c r="D134" s="236">
        <f t="shared" si="1"/>
        <v>14.682570945525105</v>
      </c>
      <c r="E134" s="33">
        <f t="shared" si="2"/>
        <v>15.089636485137301</v>
      </c>
      <c r="F134" s="8">
        <f t="shared" si="3"/>
        <v>17.55090094192618</v>
      </c>
      <c r="G134" s="103">
        <v>97</v>
      </c>
      <c r="AB134" s="7"/>
      <c r="AU134" s="6" t="s">
        <v>245</v>
      </c>
      <c r="AV134" s="33">
        <v>3.3115465967417901</v>
      </c>
      <c r="AW134" s="236">
        <v>1.4242093817159351</v>
      </c>
      <c r="AX134" s="33">
        <v>1.4636947390583182</v>
      </c>
      <c r="AY134" s="8">
        <v>1.7024373913668394</v>
      </c>
      <c r="BU134" s="7"/>
    </row>
    <row r="135" spans="2:76" x14ac:dyDescent="0.25">
      <c r="B135" s="6" t="s">
        <v>247</v>
      </c>
      <c r="C135" s="33">
        <f t="shared" si="0"/>
        <v>61.123183427462905</v>
      </c>
      <c r="D135" s="236">
        <f t="shared" si="1"/>
        <v>46.198433399065159</v>
      </c>
      <c r="E135" s="33"/>
      <c r="F135" s="8"/>
      <c r="G135" s="103">
        <v>61</v>
      </c>
      <c r="AB135" s="7"/>
      <c r="AU135" s="6" t="s">
        <v>247</v>
      </c>
      <c r="AV135" s="33">
        <v>3.7285141890752369</v>
      </c>
      <c r="AW135" s="236">
        <v>2.8181044373429747</v>
      </c>
      <c r="AX135" s="33"/>
      <c r="AY135" s="8"/>
      <c r="BU135" s="7"/>
    </row>
    <row r="136" spans="2:76" x14ac:dyDescent="0.25">
      <c r="B136" s="6" t="s">
        <v>249</v>
      </c>
      <c r="C136" s="33">
        <f t="shared" si="0"/>
        <v>34.168072457556072</v>
      </c>
      <c r="D136" s="236">
        <f t="shared" si="1"/>
        <v>24.519948025952409</v>
      </c>
      <c r="E136" s="33">
        <f t="shared" si="2"/>
        <v>18.476408027951912</v>
      </c>
      <c r="F136" s="8">
        <f t="shared" si="3"/>
        <v>16.288004414319097</v>
      </c>
      <c r="G136" s="103">
        <v>73</v>
      </c>
      <c r="AB136" s="7"/>
      <c r="AU136" s="6" t="s">
        <v>249</v>
      </c>
      <c r="AV136" s="33">
        <v>2.4942692894015934</v>
      </c>
      <c r="AW136" s="236">
        <v>1.789956205894526</v>
      </c>
      <c r="AX136" s="33">
        <v>1.3487777860404897</v>
      </c>
      <c r="AY136" s="8">
        <v>1.1890243222452941</v>
      </c>
      <c r="BU136" s="7"/>
    </row>
    <row r="137" spans="2:76" x14ac:dyDescent="0.25">
      <c r="B137" s="6" t="s">
        <v>286</v>
      </c>
      <c r="C137" s="33">
        <f t="shared" si="0"/>
        <v>53.368780385047145</v>
      </c>
      <c r="D137" s="236">
        <f t="shared" si="1"/>
        <v>48.234106596643109</v>
      </c>
      <c r="E137" s="33">
        <f t="shared" si="2"/>
        <v>21.978757507884378</v>
      </c>
      <c r="F137" s="8">
        <f t="shared" si="3"/>
        <v>19.327303741332042</v>
      </c>
      <c r="G137" s="103">
        <v>53</v>
      </c>
      <c r="AB137" s="7"/>
      <c r="AU137" s="6" t="s">
        <v>286</v>
      </c>
      <c r="AV137" s="33">
        <v>2.8285453604074995</v>
      </c>
      <c r="AW137" s="236">
        <v>2.5564076496220847</v>
      </c>
      <c r="AX137" s="33">
        <v>1.1648741479178721</v>
      </c>
      <c r="AY137" s="8">
        <v>1.0243470982905982</v>
      </c>
      <c r="BU137" s="7"/>
    </row>
    <row r="138" spans="2:76" ht="15.75" thickBot="1" x14ac:dyDescent="0.3">
      <c r="B138" s="60" t="s">
        <v>252</v>
      </c>
      <c r="C138" s="15"/>
      <c r="D138" s="238"/>
      <c r="E138" s="15">
        <f t="shared" si="2"/>
        <v>13.499579361199782</v>
      </c>
      <c r="F138" s="16">
        <f t="shared" si="3"/>
        <v>13.823445938751645</v>
      </c>
      <c r="G138" s="103">
        <v>95</v>
      </c>
      <c r="AB138" s="7"/>
      <c r="AU138" s="60" t="s">
        <v>252</v>
      </c>
      <c r="AV138" s="15"/>
      <c r="AW138" s="238"/>
      <c r="AX138" s="15">
        <v>1.2824600393139796</v>
      </c>
      <c r="AY138" s="16">
        <v>1.3132273641814063</v>
      </c>
      <c r="BU138" s="7"/>
    </row>
    <row r="139" spans="2:76" x14ac:dyDescent="0.25">
      <c r="B139" s="144"/>
      <c r="C139" s="33"/>
      <c r="D139" s="33"/>
      <c r="E139" s="33"/>
      <c r="F139" s="33"/>
      <c r="AB139" s="7"/>
      <c r="AU139" s="144"/>
      <c r="AV139" s="33"/>
      <c r="AW139" s="33"/>
      <c r="AX139" s="33"/>
      <c r="AY139" s="33"/>
      <c r="BU139" s="7"/>
    </row>
    <row r="140" spans="2:76" x14ac:dyDescent="0.25">
      <c r="C140" s="7"/>
      <c r="D140" s="7"/>
      <c r="AB140" s="7"/>
      <c r="AV140" s="7"/>
      <c r="AW140" s="7"/>
      <c r="BU140" s="7"/>
    </row>
    <row r="141" spans="2:76" ht="15.75" thickBot="1" x14ac:dyDescent="0.3">
      <c r="C141" t="s">
        <v>396</v>
      </c>
      <c r="D141" t="s">
        <v>397</v>
      </c>
      <c r="E141" s="240" t="s">
        <v>398</v>
      </c>
      <c r="F141" t="s">
        <v>16</v>
      </c>
      <c r="P141" t="s">
        <v>396</v>
      </c>
      <c r="Q141" t="s">
        <v>397</v>
      </c>
      <c r="R141" s="240" t="s">
        <v>398</v>
      </c>
      <c r="S141" t="s">
        <v>16</v>
      </c>
      <c r="AB141" s="7"/>
      <c r="AV141" t="s">
        <v>396</v>
      </c>
      <c r="AW141" t="s">
        <v>397</v>
      </c>
      <c r="AX141" s="240" t="s">
        <v>398</v>
      </c>
      <c r="AY141" t="s">
        <v>16</v>
      </c>
      <c r="BI141" t="s">
        <v>396</v>
      </c>
      <c r="BJ141" t="s">
        <v>397</v>
      </c>
      <c r="BK141" s="240" t="s">
        <v>398</v>
      </c>
      <c r="BL141" t="s">
        <v>16</v>
      </c>
      <c r="BU141" s="7"/>
    </row>
    <row r="142" spans="2:76" x14ac:dyDescent="0.25">
      <c r="C142" s="30">
        <v>30.963613675070427</v>
      </c>
      <c r="D142" s="237">
        <v>27.406500409496925</v>
      </c>
      <c r="E142" s="31">
        <v>12.054155793501632</v>
      </c>
      <c r="F142" s="27">
        <v>12.57803870746508</v>
      </c>
      <c r="G142">
        <f t="shared" ref="G142:G189" si="25">(C142-D142)/C142*100</f>
        <v>11.48804303949</v>
      </c>
      <c r="I142">
        <f t="shared" ref="I142:I189" si="26">(E142-F142)/E142*100</f>
        <v>-4.3460771781784304</v>
      </c>
      <c r="P142" s="31">
        <v>49.740889885632889</v>
      </c>
      <c r="Q142" s="237">
        <v>35.599368552829262</v>
      </c>
      <c r="R142" s="31">
        <v>24.534709082298093</v>
      </c>
      <c r="S142" s="27">
        <v>27.887643642467488</v>
      </c>
      <c r="T142">
        <f>(P142-Q142)/P142*100</f>
        <v>28.430374617982562</v>
      </c>
      <c r="V142">
        <f t="shared" ref="V142" si="27">(R142-S142)/R142*100</f>
        <v>-13.666086477416407</v>
      </c>
      <c r="AD142">
        <f>AVERAGE(T142:T162,G142:G162)</f>
        <v>20.575658261017725</v>
      </c>
      <c r="AF142">
        <f t="shared" ref="AF142" si="28">AVERAGE(V142:V162,I142:I162)</f>
        <v>-6.840726042517205</v>
      </c>
      <c r="AV142" s="30">
        <v>2.4151618666554926</v>
      </c>
      <c r="AW142" s="237">
        <v>2.1377070319407601</v>
      </c>
      <c r="AX142" s="31">
        <v>0.94022415189312725</v>
      </c>
      <c r="AY142" s="27">
        <v>0.98108701918227614</v>
      </c>
      <c r="BI142" s="7">
        <v>3.8797894110793654</v>
      </c>
      <c r="BJ142" s="7">
        <v>2.7767507471206825</v>
      </c>
      <c r="BK142" s="7">
        <v>1.9137073084192511</v>
      </c>
      <c r="BL142" s="7">
        <v>2.1752362041124642</v>
      </c>
    </row>
    <row r="143" spans="2:76" x14ac:dyDescent="0.25">
      <c r="C143" s="32">
        <v>27.343081820484421</v>
      </c>
      <c r="D143" s="236">
        <v>18.177459678871962</v>
      </c>
      <c r="E143" s="33">
        <v>5.8401121904724604</v>
      </c>
      <c r="F143" s="8">
        <v>4.9228392824114868</v>
      </c>
      <c r="G143">
        <f t="shared" si="25"/>
        <v>33.520808670315702</v>
      </c>
      <c r="I143">
        <f t="shared" si="26"/>
        <v>15.706426146357423</v>
      </c>
      <c r="P143" s="33">
        <v>26.695882011642247</v>
      </c>
      <c r="Q143" s="236">
        <v>21.964036680709338</v>
      </c>
      <c r="R143" s="33">
        <v>12.892070039061224</v>
      </c>
      <c r="S143" s="8">
        <v>12.685944517505622</v>
      </c>
      <c r="T143">
        <f t="shared" ref="T143:T189" si="29">(P143-Q143)/P143*100</f>
        <v>17.725000915382083</v>
      </c>
      <c r="V143">
        <f t="shared" ref="V143:V189" si="30">(R143-S143)/R143*100</f>
        <v>1.5988551173789005</v>
      </c>
      <c r="AD143">
        <f>_xlfn.STDEV.S(T142:T162,G142:G162)</f>
        <v>11.987766529992875</v>
      </c>
      <c r="AF143">
        <f t="shared" ref="AF143" si="31">_xlfn.STDEV.S(V142:V162,I142:I162)</f>
        <v>10.710541890089999</v>
      </c>
      <c r="AV143" s="32">
        <v>2.3515050365616603</v>
      </c>
      <c r="AW143" s="236">
        <v>1.5632615323829886</v>
      </c>
      <c r="AX143" s="33">
        <v>0.50224964838063157</v>
      </c>
      <c r="AY143" s="8">
        <v>0.42336417828738787</v>
      </c>
      <c r="BI143" s="7">
        <v>2.2958458530012331</v>
      </c>
      <c r="BJ143" s="7">
        <v>1.8889071545410032</v>
      </c>
      <c r="BK143" s="7">
        <v>1.1087180233592653</v>
      </c>
      <c r="BL143" s="7">
        <v>1.0909912285054835</v>
      </c>
    </row>
    <row r="144" spans="2:76" x14ac:dyDescent="0.25">
      <c r="C144" s="32">
        <v>28.284404717512206</v>
      </c>
      <c r="D144" s="236">
        <v>22.106147272274253</v>
      </c>
      <c r="E144" s="33">
        <v>12.483479457452251</v>
      </c>
      <c r="F144" s="8">
        <v>12.49827144583784</v>
      </c>
      <c r="G144">
        <f t="shared" si="25"/>
        <v>21.843335601165059</v>
      </c>
      <c r="I144">
        <f t="shared" si="26"/>
        <v>-0.11849251193150952</v>
      </c>
      <c r="P144" s="33">
        <v>43.006476695116788</v>
      </c>
      <c r="Q144" s="236">
        <v>27.974249346111193</v>
      </c>
      <c r="R144" s="33">
        <v>23.065481619037435</v>
      </c>
      <c r="S144" s="8">
        <v>26.195181432089427</v>
      </c>
      <c r="T144">
        <f t="shared" si="29"/>
        <v>34.953403543314309</v>
      </c>
      <c r="V144">
        <f t="shared" si="30"/>
        <v>-13.568759866990371</v>
      </c>
      <c r="AV144" s="32">
        <v>2.5455964245760985</v>
      </c>
      <c r="AW144" s="236">
        <v>1.9895532545046828</v>
      </c>
      <c r="AX144" s="33">
        <v>1.1235131511707026</v>
      </c>
      <c r="AY144" s="8">
        <v>1.1248444301254057</v>
      </c>
      <c r="BI144" s="7">
        <v>3.8705829025605105</v>
      </c>
      <c r="BJ144" s="7">
        <v>2.5176824411500074</v>
      </c>
      <c r="BK144" s="7">
        <v>2.0758933457133688</v>
      </c>
      <c r="BL144" s="7">
        <v>2.3575663288880486</v>
      </c>
    </row>
    <row r="145" spans="3:64" x14ac:dyDescent="0.25">
      <c r="C145" s="32">
        <v>22.880000812500029</v>
      </c>
      <c r="D145" s="236">
        <v>22.647728076978979</v>
      </c>
      <c r="E145" s="33">
        <v>9.4016480611380686</v>
      </c>
      <c r="F145" s="8">
        <v>10.027386719722539</v>
      </c>
      <c r="G145">
        <f t="shared" si="25"/>
        <v>1.0151780038143738</v>
      </c>
      <c r="I145">
        <f t="shared" si="26"/>
        <v>-6.655627338051251</v>
      </c>
      <c r="P145" s="33">
        <v>39.02991773402001</v>
      </c>
      <c r="Q145" s="236">
        <v>36.540273902169119</v>
      </c>
      <c r="R145" s="33">
        <v>25.362173365133359</v>
      </c>
      <c r="S145" s="8">
        <v>25.820787432006728</v>
      </c>
      <c r="T145">
        <f t="shared" si="29"/>
        <v>6.3788088122994431</v>
      </c>
      <c r="V145">
        <f t="shared" si="30"/>
        <v>-1.8082601213658185</v>
      </c>
      <c r="AV145" s="32">
        <v>1.8304000650000023</v>
      </c>
      <c r="AW145" s="236">
        <v>1.8118182461583183</v>
      </c>
      <c r="AX145" s="33">
        <v>0.75213184489104556</v>
      </c>
      <c r="AY145" s="8">
        <v>0.80219093757780313</v>
      </c>
      <c r="BI145" s="7">
        <v>3.1223934187216011</v>
      </c>
      <c r="BJ145" s="7">
        <v>2.9232219121735299</v>
      </c>
      <c r="BK145" s="7">
        <v>2.0289738692106685</v>
      </c>
      <c r="BL145" s="7">
        <v>2.065662994560538</v>
      </c>
    </row>
    <row r="146" spans="3:64" x14ac:dyDescent="0.25">
      <c r="C146" s="32">
        <v>35.953615664904127</v>
      </c>
      <c r="D146" s="236">
        <v>31.480874652506174</v>
      </c>
      <c r="E146" s="33">
        <v>13.538457652318002</v>
      </c>
      <c r="F146" s="8">
        <v>15.812651409117283</v>
      </c>
      <c r="G146">
        <f t="shared" si="25"/>
        <v>12.440309353264821</v>
      </c>
      <c r="I146">
        <f t="shared" si="26"/>
        <v>-16.798026889051894</v>
      </c>
      <c r="P146" s="33">
        <v>43.14365573942186</v>
      </c>
      <c r="Q146" s="236">
        <v>36.538214809384158</v>
      </c>
      <c r="R146" s="33">
        <v>21.057354943443649</v>
      </c>
      <c r="S146" s="8">
        <v>22.823300691244235</v>
      </c>
      <c r="T146">
        <f t="shared" si="29"/>
        <v>15.310341269949641</v>
      </c>
      <c r="V146">
        <f t="shared" si="30"/>
        <v>-8.3863607397206614</v>
      </c>
      <c r="AV146" s="32">
        <v>3.1639181785115631</v>
      </c>
      <c r="AW146" s="236">
        <v>2.7703169694205432</v>
      </c>
      <c r="AX146" s="33">
        <v>1.1913842734039841</v>
      </c>
      <c r="AY146" s="8">
        <v>1.3915133240023208</v>
      </c>
      <c r="BI146" s="7">
        <v>3.7966417050691241</v>
      </c>
      <c r="BJ146" s="7">
        <v>3.215362903225806</v>
      </c>
      <c r="BK146" s="7">
        <v>1.8530472350230411</v>
      </c>
      <c r="BL146" s="7">
        <v>2.0084504608294926</v>
      </c>
    </row>
    <row r="147" spans="3:64" x14ac:dyDescent="0.25">
      <c r="C147" s="32">
        <v>25.878840060614412</v>
      </c>
      <c r="D147" s="236">
        <v>20.835721173715388</v>
      </c>
      <c r="E147" s="33">
        <v>14.475478716076594</v>
      </c>
      <c r="F147" s="8">
        <v>14.873536299765806</v>
      </c>
      <c r="G147">
        <f t="shared" si="25"/>
        <v>19.48742244662758</v>
      </c>
      <c r="I147">
        <f t="shared" si="26"/>
        <v>-2.7498750921938484</v>
      </c>
      <c r="P147" s="33">
        <v>36.252981837896442</v>
      </c>
      <c r="Q147" s="236">
        <v>29.477432908647327</v>
      </c>
      <c r="R147" s="33">
        <v>25.139129845486579</v>
      </c>
      <c r="S147" s="8">
        <v>23.370222282461373</v>
      </c>
      <c r="T147">
        <f t="shared" si="29"/>
        <v>18.68963209576987</v>
      </c>
      <c r="V147">
        <f t="shared" si="30"/>
        <v>7.0364709275838004</v>
      </c>
      <c r="AV147" s="32">
        <v>2.6396416861826699</v>
      </c>
      <c r="AW147" s="236">
        <v>2.1252435597189701</v>
      </c>
      <c r="AX147" s="33">
        <v>1.4764988290398127</v>
      </c>
      <c r="AY147" s="8">
        <v>1.5171007025761123</v>
      </c>
      <c r="BI147" s="7">
        <v>3.6978041474654377</v>
      </c>
      <c r="BJ147" s="7">
        <v>3.0066981566820274</v>
      </c>
      <c r="BK147" s="7">
        <v>2.5641912442396313</v>
      </c>
      <c r="BL147" s="7">
        <v>2.3837626728110601</v>
      </c>
    </row>
    <row r="148" spans="3:64" x14ac:dyDescent="0.25">
      <c r="C148" s="32"/>
      <c r="D148" s="236"/>
      <c r="E148" s="33"/>
      <c r="F148" s="8"/>
      <c r="P148" s="33"/>
      <c r="Q148" s="236"/>
      <c r="R148" s="33"/>
      <c r="S148" s="8"/>
      <c r="AV148" s="32"/>
      <c r="AW148" s="236"/>
      <c r="AX148" s="33"/>
      <c r="AY148" s="8"/>
      <c r="BI148" s="7"/>
      <c r="BJ148" s="7"/>
      <c r="BK148" s="7"/>
      <c r="BL148" s="7"/>
    </row>
    <row r="149" spans="3:64" x14ac:dyDescent="0.25">
      <c r="C149" s="32"/>
      <c r="D149" s="236"/>
      <c r="E149" s="33"/>
      <c r="F149" s="8"/>
      <c r="P149" s="33"/>
      <c r="Q149" s="236"/>
      <c r="R149" s="33"/>
      <c r="S149" s="8"/>
      <c r="AV149" s="32"/>
      <c r="AW149" s="236"/>
      <c r="AX149" s="33"/>
      <c r="AY149" s="8"/>
      <c r="BI149" s="7"/>
      <c r="BJ149" s="7"/>
      <c r="BK149" s="7"/>
      <c r="BL149" s="7"/>
    </row>
    <row r="150" spans="3:64" x14ac:dyDescent="0.25">
      <c r="C150" s="32">
        <v>20.309945917159435</v>
      </c>
      <c r="D150" s="236">
        <v>16.075077597951129</v>
      </c>
      <c r="E150" s="33">
        <v>9.8437178758898209</v>
      </c>
      <c r="F150" s="8">
        <v>11.755669481577433</v>
      </c>
      <c r="G150">
        <f t="shared" si="25"/>
        <v>20.851204313795623</v>
      </c>
      <c r="I150">
        <f t="shared" si="26"/>
        <v>-19.423063823990201</v>
      </c>
      <c r="P150" s="33">
        <v>22.908035427164485</v>
      </c>
      <c r="Q150" s="236">
        <v>16.254936456749739</v>
      </c>
      <c r="R150" s="33">
        <v>16.014440078492022</v>
      </c>
      <c r="S150" s="8">
        <v>16.509645510688575</v>
      </c>
      <c r="T150">
        <f t="shared" si="29"/>
        <v>29.042643100357097</v>
      </c>
      <c r="V150">
        <f t="shared" si="30"/>
        <v>-3.0922431865827869</v>
      </c>
      <c r="AV150" s="32">
        <v>1.9497548080473057</v>
      </c>
      <c r="AW150" s="236">
        <v>1.5432074494033086</v>
      </c>
      <c r="AX150" s="33">
        <v>0.9449969160854228</v>
      </c>
      <c r="AY150" s="8">
        <v>1.1285442702314337</v>
      </c>
      <c r="BI150" s="7">
        <v>2.1991714010077903</v>
      </c>
      <c r="BJ150" s="7">
        <v>1.5604738998479748</v>
      </c>
      <c r="BK150" s="7">
        <v>1.537386247535234</v>
      </c>
      <c r="BL150" s="7">
        <v>1.5849259690261031</v>
      </c>
    </row>
    <row r="151" spans="3:64" x14ac:dyDescent="0.25">
      <c r="C151" s="32"/>
      <c r="D151" s="236"/>
      <c r="E151" s="33">
        <v>14.337690275135206</v>
      </c>
      <c r="F151" s="8">
        <v>16.439709262687025</v>
      </c>
      <c r="I151">
        <f t="shared" si="26"/>
        <v>-14.66079226998783</v>
      </c>
      <c r="P151" s="33">
        <v>18.381492897032679</v>
      </c>
      <c r="Q151" s="236">
        <v>17.531464237810518</v>
      </c>
      <c r="R151" s="33">
        <v>17.789811117988116</v>
      </c>
      <c r="S151" s="8">
        <v>20.904390236343954</v>
      </c>
      <c r="T151">
        <f t="shared" si="29"/>
        <v>4.6243722639056228</v>
      </c>
      <c r="V151">
        <f t="shared" si="30"/>
        <v>-17.507657038621058</v>
      </c>
      <c r="AV151" s="32"/>
      <c r="AW151" s="236"/>
      <c r="AX151" s="33">
        <v>1.4481067177886557</v>
      </c>
      <c r="AY151" s="8">
        <v>1.6604106355313895</v>
      </c>
      <c r="BI151" s="7">
        <v>1.8565307826003006</v>
      </c>
      <c r="BJ151" s="7">
        <v>1.7706778880188621</v>
      </c>
      <c r="BK151" s="7">
        <v>1.7967709229167999</v>
      </c>
      <c r="BL151" s="7">
        <v>2.1113434138707392</v>
      </c>
    </row>
    <row r="152" spans="3:64" x14ac:dyDescent="0.25">
      <c r="C152" s="32">
        <v>75.143341942479992</v>
      </c>
      <c r="D152" s="236">
        <v>68.880233921805313</v>
      </c>
      <c r="E152" s="33">
        <v>17.009556295731805</v>
      </c>
      <c r="F152" s="8">
        <v>21.965709990404584</v>
      </c>
      <c r="G152">
        <f t="shared" si="25"/>
        <v>8.3348808540734094</v>
      </c>
      <c r="I152">
        <f t="shared" si="26"/>
        <v>-29.137466072036354</v>
      </c>
      <c r="P152" s="33">
        <v>90.765619733019108</v>
      </c>
      <c r="Q152" s="236">
        <v>70.100483380717037</v>
      </c>
      <c r="R152" s="33">
        <v>21.835088679614429</v>
      </c>
      <c r="S152" s="8">
        <v>24.728957174285281</v>
      </c>
      <c r="T152">
        <f t="shared" si="29"/>
        <v>22.767581396003422</v>
      </c>
      <c r="V152">
        <f t="shared" si="30"/>
        <v>-13.253293985348504</v>
      </c>
      <c r="AV152" s="32">
        <v>3.6820237551815191</v>
      </c>
      <c r="AW152" s="236">
        <v>3.3751314621684605</v>
      </c>
      <c r="AX152" s="33">
        <v>0.83346825849085837</v>
      </c>
      <c r="AY152" s="8">
        <v>1.0763197895298247</v>
      </c>
      <c r="BI152" s="7">
        <v>4.4475153669179353</v>
      </c>
      <c r="BJ152" s="7">
        <v>3.434923685655134</v>
      </c>
      <c r="BK152" s="7">
        <v>1.0699193453011071</v>
      </c>
      <c r="BL152" s="7">
        <v>1.2117189015399787</v>
      </c>
    </row>
    <row r="153" spans="3:64" x14ac:dyDescent="0.25">
      <c r="C153" s="32">
        <v>56.759109126406138</v>
      </c>
      <c r="D153" s="236">
        <v>44.919958528672566</v>
      </c>
      <c r="E153" s="33">
        <v>26.847920734035256</v>
      </c>
      <c r="F153" s="8">
        <v>30.940985866817687</v>
      </c>
      <c r="G153">
        <f t="shared" si="25"/>
        <v>20.858591299181654</v>
      </c>
      <c r="I153">
        <f t="shared" si="26"/>
        <v>-15.245371041317291</v>
      </c>
      <c r="P153" s="33">
        <v>61.112181070274296</v>
      </c>
      <c r="Q153" s="236">
        <v>46.501027026573354</v>
      </c>
      <c r="R153" s="33">
        <v>28.131548085797029</v>
      </c>
      <c r="S153" s="8">
        <v>30.863012328927759</v>
      </c>
      <c r="T153">
        <f t="shared" si="29"/>
        <v>23.908742558049504</v>
      </c>
      <c r="V153">
        <f t="shared" si="30"/>
        <v>-9.7096122644945524</v>
      </c>
      <c r="AV153" s="32">
        <v>2.8379554563203064</v>
      </c>
      <c r="AW153" s="236">
        <v>2.2459979264336281</v>
      </c>
      <c r="AX153" s="33">
        <v>1.3423960367017627</v>
      </c>
      <c r="AY153" s="8">
        <v>1.5470492933408844</v>
      </c>
      <c r="BI153" s="7">
        <v>3.0556090535137153</v>
      </c>
      <c r="BJ153" s="7">
        <v>2.3250513513286677</v>
      </c>
      <c r="BK153" s="7">
        <v>1.4065774042898513</v>
      </c>
      <c r="BL153" s="7">
        <v>1.543150616446388</v>
      </c>
    </row>
    <row r="154" spans="3:64" x14ac:dyDescent="0.25">
      <c r="C154" s="32">
        <v>35.836721372286782</v>
      </c>
      <c r="D154" s="236">
        <v>32.024467258692944</v>
      </c>
      <c r="E154" s="33">
        <v>15.195789807029108</v>
      </c>
      <c r="F154" s="8">
        <v>16.776426161729713</v>
      </c>
      <c r="G154">
        <f t="shared" si="25"/>
        <v>10.637842881860076</v>
      </c>
      <c r="I154">
        <f t="shared" si="26"/>
        <v>-10.40180454437091</v>
      </c>
      <c r="P154" s="33">
        <v>52.702875424223251</v>
      </c>
      <c r="Q154" s="236">
        <v>42.855182294505994</v>
      </c>
      <c r="R154" s="33">
        <v>22.886491255513285</v>
      </c>
      <c r="S154" s="8">
        <v>28.641455374114347</v>
      </c>
      <c r="T154">
        <f t="shared" si="29"/>
        <v>18.68530521427882</v>
      </c>
      <c r="V154">
        <f t="shared" si="30"/>
        <v>-25.145681154662402</v>
      </c>
      <c r="AV154" s="32">
        <v>1.7201626258697653</v>
      </c>
      <c r="AW154" s="236">
        <v>1.5371744284172613</v>
      </c>
      <c r="AX154" s="33">
        <v>0.72939791073739724</v>
      </c>
      <c r="AY154" s="8">
        <v>0.80526845576302619</v>
      </c>
      <c r="BI154" s="7">
        <v>2.529738020362716</v>
      </c>
      <c r="BJ154" s="7">
        <v>2.0570487501362877</v>
      </c>
      <c r="BK154" s="7">
        <v>1.0985515802646377</v>
      </c>
      <c r="BL154" s="7">
        <v>1.3747898579574886</v>
      </c>
    </row>
    <row r="155" spans="3:64" x14ac:dyDescent="0.25">
      <c r="C155" s="32"/>
      <c r="D155" s="236"/>
      <c r="E155" s="33">
        <v>14.232057770845184</v>
      </c>
      <c r="F155" s="8">
        <v>15.343306837045725</v>
      </c>
      <c r="I155">
        <f t="shared" si="26"/>
        <v>-7.8080702319587925</v>
      </c>
      <c r="P155" s="33"/>
      <c r="Q155" s="236"/>
      <c r="R155" s="33">
        <v>15.27963318638119</v>
      </c>
      <c r="S155" s="8">
        <v>15.642106567809739</v>
      </c>
      <c r="V155">
        <f t="shared" si="30"/>
        <v>-2.3722649425355513</v>
      </c>
      <c r="AV155" s="32"/>
      <c r="AW155" s="236"/>
      <c r="AX155" s="33">
        <v>1.2808851993760668</v>
      </c>
      <c r="AY155" s="8">
        <v>1.3808976153341153</v>
      </c>
      <c r="BI155" s="7"/>
      <c r="BJ155" s="7"/>
      <c r="BK155" s="7">
        <v>1.375166986774307</v>
      </c>
      <c r="BL155" s="7">
        <v>1.4077895911028766</v>
      </c>
    </row>
    <row r="156" spans="3:64" x14ac:dyDescent="0.25">
      <c r="C156" s="32">
        <v>36.967364658254915</v>
      </c>
      <c r="D156" s="236">
        <v>30.580969939359669</v>
      </c>
      <c r="E156" s="33">
        <v>16.3114243690476</v>
      </c>
      <c r="F156" s="8">
        <v>16.181969286810617</v>
      </c>
      <c r="G156">
        <f t="shared" si="25"/>
        <v>17.275764117713884</v>
      </c>
      <c r="I156">
        <f t="shared" si="26"/>
        <v>0.79364670618610256</v>
      </c>
      <c r="P156" s="33">
        <v>44.334388457090768</v>
      </c>
      <c r="Q156" s="236">
        <v>33.549184165082934</v>
      </c>
      <c r="R156" s="33">
        <v>22.6078194901303</v>
      </c>
      <c r="S156" s="8">
        <v>22.804066308482632</v>
      </c>
      <c r="T156">
        <f t="shared" si="29"/>
        <v>24.326949502069574</v>
      </c>
      <c r="V156">
        <f t="shared" si="30"/>
        <v>-0.86804841324040916</v>
      </c>
      <c r="AV156" s="32">
        <v>2.6246828907360991</v>
      </c>
      <c r="AW156" s="236">
        <v>2.1712488656945363</v>
      </c>
      <c r="AX156" s="33">
        <v>1.1581111302023774</v>
      </c>
      <c r="AY156" s="8">
        <v>1.1489198193635539</v>
      </c>
      <c r="BI156" s="7">
        <v>3.1477415804534448</v>
      </c>
      <c r="BJ156" s="7">
        <v>2.381992075720889</v>
      </c>
      <c r="BK156" s="7">
        <v>1.6051551837992513</v>
      </c>
      <c r="BL156" s="7">
        <v>1.6190887079022669</v>
      </c>
    </row>
    <row r="157" spans="3:64" x14ac:dyDescent="0.25">
      <c r="C157" s="32">
        <v>24.577721418447389</v>
      </c>
      <c r="D157" s="236">
        <v>18.777379626956773</v>
      </c>
      <c r="E157" s="33"/>
      <c r="F157" s="8"/>
      <c r="G157">
        <f t="shared" si="25"/>
        <v>23.599998115110189</v>
      </c>
      <c r="P157" s="33">
        <v>31.377437229181727</v>
      </c>
      <c r="Q157" s="236">
        <v>23.184805515162665</v>
      </c>
      <c r="R157" s="33"/>
      <c r="S157" s="8"/>
      <c r="T157">
        <f t="shared" si="29"/>
        <v>26.109945353981072</v>
      </c>
      <c r="AV157" s="32">
        <v>2.5315053061000818</v>
      </c>
      <c r="AW157" s="236">
        <v>1.9340701015765478</v>
      </c>
      <c r="AX157" s="33"/>
      <c r="AY157" s="8"/>
      <c r="BI157" s="7">
        <v>3.2318760346057172</v>
      </c>
      <c r="BJ157" s="7">
        <v>2.3880349680617545</v>
      </c>
      <c r="BK157" s="7"/>
      <c r="BL157" s="7"/>
    </row>
    <row r="158" spans="3:64" x14ac:dyDescent="0.25">
      <c r="C158" s="32">
        <v>30.897063795893086</v>
      </c>
      <c r="D158" s="236">
        <v>15.424114588888312</v>
      </c>
      <c r="E158" s="33">
        <v>12.634005868323538</v>
      </c>
      <c r="F158" s="8">
        <v>14.789899948033799</v>
      </c>
      <c r="G158">
        <f t="shared" si="25"/>
        <v>50.079027927118034</v>
      </c>
      <c r="I158">
        <f t="shared" si="26"/>
        <v>-17.064216228643691</v>
      </c>
      <c r="P158" s="33">
        <v>34.139655636513297</v>
      </c>
      <c r="Q158" s="236">
        <v>14.682570945525105</v>
      </c>
      <c r="R158" s="33">
        <v>15.089636485137301</v>
      </c>
      <c r="S158" s="8">
        <v>17.55090094192618</v>
      </c>
      <c r="T158">
        <f t="shared" si="29"/>
        <v>56.992621419936953</v>
      </c>
      <c r="V158">
        <f t="shared" si="30"/>
        <v>-16.310959241550499</v>
      </c>
      <c r="AV158" s="32">
        <v>2.9970151882016296</v>
      </c>
      <c r="AW158" s="236">
        <v>1.4961391151221661</v>
      </c>
      <c r="AX158" s="33">
        <v>1.225498569227383</v>
      </c>
      <c r="AY158" s="8">
        <v>1.4346202949592786</v>
      </c>
      <c r="BI158" s="7">
        <v>3.3115465967417901</v>
      </c>
      <c r="BJ158" s="7">
        <v>1.4242093817159351</v>
      </c>
      <c r="BK158" s="7">
        <v>1.4636947390583182</v>
      </c>
      <c r="BL158" s="7">
        <v>1.7024373913668394</v>
      </c>
    </row>
    <row r="159" spans="3:64" x14ac:dyDescent="0.25">
      <c r="C159" s="32">
        <v>52.875566886255136</v>
      </c>
      <c r="D159" s="236">
        <v>42.025583779900543</v>
      </c>
      <c r="E159" s="33"/>
      <c r="F159" s="8"/>
      <c r="G159">
        <f t="shared" si="25"/>
        <v>20.519842614065698</v>
      </c>
      <c r="P159" s="33">
        <v>61.123183427462905</v>
      </c>
      <c r="Q159" s="236">
        <v>46.198433399065159</v>
      </c>
      <c r="R159" s="33"/>
      <c r="S159" s="8"/>
      <c r="T159">
        <f t="shared" si="29"/>
        <v>24.417494625602227</v>
      </c>
      <c r="AV159" s="32">
        <v>3.2254095800615641</v>
      </c>
      <c r="AW159" s="236">
        <v>2.5635606105739326</v>
      </c>
      <c r="AX159" s="33"/>
      <c r="AY159" s="8"/>
      <c r="BI159" s="7">
        <v>3.7285141890752369</v>
      </c>
      <c r="BJ159" s="7">
        <v>2.8181044373429747</v>
      </c>
      <c r="BK159" s="7"/>
      <c r="BL159" s="7"/>
    </row>
    <row r="160" spans="3:64" x14ac:dyDescent="0.25">
      <c r="C160" s="32">
        <v>28.999955062782735</v>
      </c>
      <c r="D160" s="236">
        <v>25.226458718133557</v>
      </c>
      <c r="E160" s="33">
        <v>14.478204550030087</v>
      </c>
      <c r="F160" s="8">
        <v>12.825990841362218</v>
      </c>
      <c r="G160">
        <f t="shared" si="25"/>
        <v>13.012076523842333</v>
      </c>
      <c r="I160">
        <f t="shared" si="26"/>
        <v>11.411730667007571</v>
      </c>
      <c r="P160" s="33">
        <v>34.168072457556072</v>
      </c>
      <c r="Q160" s="236">
        <v>24.519948025952409</v>
      </c>
      <c r="R160" s="33">
        <v>18.476408027951912</v>
      </c>
      <c r="S160" s="8">
        <v>16.288004414319097</v>
      </c>
      <c r="T160">
        <f t="shared" si="29"/>
        <v>28.237251146047704</v>
      </c>
      <c r="V160">
        <f t="shared" si="30"/>
        <v>11.844313084675889</v>
      </c>
      <c r="AV160" s="32">
        <v>2.1169967195831392</v>
      </c>
      <c r="AW160" s="236">
        <v>1.84153148642375</v>
      </c>
      <c r="AX160" s="33">
        <v>1.0569089321521963</v>
      </c>
      <c r="AY160" s="8">
        <v>0.93629733141944194</v>
      </c>
      <c r="BI160" s="7">
        <v>2.4942692894015934</v>
      </c>
      <c r="BJ160" s="7">
        <v>1.789956205894526</v>
      </c>
      <c r="BK160" s="7">
        <v>1.3487777860404897</v>
      </c>
      <c r="BL160" s="7">
        <v>1.1890243222452941</v>
      </c>
    </row>
    <row r="161" spans="3:64" x14ac:dyDescent="0.25">
      <c r="C161" s="32">
        <v>36.675802310950218</v>
      </c>
      <c r="D161" s="236">
        <v>35.278157106726269</v>
      </c>
      <c r="E161" s="33">
        <v>10.114347931456219</v>
      </c>
      <c r="F161" s="8">
        <v>10.81500394312118</v>
      </c>
      <c r="G161">
        <f t="shared" si="25"/>
        <v>3.8108101695341965</v>
      </c>
      <c r="I161">
        <f t="shared" si="26"/>
        <v>-6.9273473328505881</v>
      </c>
      <c r="P161" s="33">
        <v>53.368780385047145</v>
      </c>
      <c r="Q161" s="236">
        <v>48.234106596643109</v>
      </c>
      <c r="R161" s="33">
        <v>21.978757507884378</v>
      </c>
      <c r="S161" s="8">
        <v>19.327303741332042</v>
      </c>
      <c r="T161">
        <f t="shared" si="29"/>
        <v>9.6211188476824709</v>
      </c>
      <c r="V161">
        <f t="shared" si="30"/>
        <v>12.063710906320285</v>
      </c>
      <c r="AV161" s="32">
        <v>1.9438175224803615</v>
      </c>
      <c r="AW161" s="236">
        <v>1.7403528889622661</v>
      </c>
      <c r="AX161" s="33">
        <v>0.53606044036717959</v>
      </c>
      <c r="AY161" s="8">
        <v>0.57319520898542253</v>
      </c>
      <c r="BI161" s="7">
        <v>2.8285453604074995</v>
      </c>
      <c r="BJ161" s="7">
        <v>2.5564076496220847</v>
      </c>
      <c r="BK161" s="7">
        <v>1.1648741479178721</v>
      </c>
      <c r="BL161" s="7">
        <v>1.0243470982905982</v>
      </c>
    </row>
    <row r="162" spans="3:64" ht="15.75" thickBot="1" x14ac:dyDescent="0.3">
      <c r="C162" s="24"/>
      <c r="D162" s="238"/>
      <c r="E162" s="15">
        <v>8.6246546026473467</v>
      </c>
      <c r="F162" s="16">
        <v>9.7989267330179342</v>
      </c>
      <c r="I162">
        <f t="shared" si="26"/>
        <v>-13.615294576667955</v>
      </c>
      <c r="P162" s="15"/>
      <c r="Q162" s="238"/>
      <c r="R162" s="15">
        <v>13.499579361199782</v>
      </c>
      <c r="S162" s="16">
        <v>13.823445938751645</v>
      </c>
      <c r="V162">
        <f t="shared" si="30"/>
        <v>-2.3990864373353271</v>
      </c>
      <c r="AV162" s="24"/>
      <c r="AW162" s="238"/>
      <c r="AX162" s="15">
        <v>0.8193421872514981</v>
      </c>
      <c r="AY162" s="16">
        <v>0.93089803963670381</v>
      </c>
      <c r="BI162" s="7"/>
      <c r="BJ162" s="7"/>
      <c r="BK162" s="7">
        <v>1.2824600393139796</v>
      </c>
      <c r="BL162" s="7">
        <v>1.3132273641814063</v>
      </c>
    </row>
    <row r="163" spans="3:64" x14ac:dyDescent="0.25">
      <c r="C163" s="30">
        <v>10.018916420387807</v>
      </c>
      <c r="D163" s="237">
        <v>9.7325064203979359</v>
      </c>
      <c r="E163" s="31">
        <v>7.7230480646510955</v>
      </c>
      <c r="F163" s="27">
        <v>8.413354122805444</v>
      </c>
      <c r="G163">
        <f t="shared" si="25"/>
        <v>2.8586923772220176</v>
      </c>
      <c r="I163">
        <f t="shared" si="26"/>
        <v>-8.9382592517315196</v>
      </c>
      <c r="P163" s="30">
        <v>12.740381911189036</v>
      </c>
      <c r="Q163" s="237">
        <v>10.158848096179064</v>
      </c>
      <c r="R163" s="31">
        <v>5.9461403332558458</v>
      </c>
      <c r="S163" s="27">
        <v>5.7870437872101395</v>
      </c>
      <c r="T163">
        <f t="shared" si="29"/>
        <v>20.262609339385516</v>
      </c>
      <c r="V163">
        <f t="shared" si="30"/>
        <v>2.6756271653378896</v>
      </c>
      <c r="AD163">
        <f>AVERAGE(T163:T168,G163:G168)</f>
        <v>7.7046206596944042</v>
      </c>
      <c r="AF163">
        <f>AVERAGE(V163:V168,I163:I168)</f>
        <v>-7.979309400827244</v>
      </c>
      <c r="AV163" s="30">
        <v>0.79149439721063675</v>
      </c>
      <c r="AW163" s="237">
        <v>0.76886800721143689</v>
      </c>
      <c r="AX163" s="31">
        <v>0.6101207971074365</v>
      </c>
      <c r="AY163" s="27">
        <v>0.66465497570163012</v>
      </c>
      <c r="BI163" s="7">
        <v>1.0064901709839342</v>
      </c>
      <c r="BJ163" s="7">
        <v>0.80254899959814596</v>
      </c>
      <c r="BK163" s="7">
        <v>0.4697450863272119</v>
      </c>
      <c r="BL163" s="7">
        <v>0.45717645918960104</v>
      </c>
    </row>
    <row r="164" spans="3:64" x14ac:dyDescent="0.25">
      <c r="C164" s="32"/>
      <c r="D164" s="236"/>
      <c r="E164" s="33">
        <v>18.272316336662485</v>
      </c>
      <c r="F164" s="8">
        <v>18.398684444797109</v>
      </c>
      <c r="I164">
        <f t="shared" si="26"/>
        <v>-0.6915823139569498</v>
      </c>
      <c r="P164" s="32"/>
      <c r="Q164" s="236"/>
      <c r="R164" s="33">
        <v>28.143979382541968</v>
      </c>
      <c r="S164" s="8">
        <v>25.445150003899862</v>
      </c>
      <c r="V164">
        <f t="shared" si="30"/>
        <v>9.5893666704297722</v>
      </c>
      <c r="AD164">
        <f>_xlfn.STDEV.S(T163:T168,G163:G168)</f>
        <v>17.327380876384719</v>
      </c>
      <c r="AF164">
        <f t="shared" ref="AF164" si="32">_xlfn.STDEV.S(V163:V183,I163:I183)</f>
        <v>13.802548805317295</v>
      </c>
      <c r="AV164" s="32"/>
      <c r="AW164" s="236"/>
      <c r="AX164" s="33">
        <v>0.84052655148647426</v>
      </c>
      <c r="AY164" s="8">
        <v>0.84633948446066698</v>
      </c>
      <c r="BI164" s="7"/>
      <c r="BJ164" s="7"/>
      <c r="BK164" s="7">
        <v>1.2946230515969306</v>
      </c>
      <c r="BL164" s="7">
        <v>1.1704769001793938</v>
      </c>
    </row>
    <row r="165" spans="3:64" x14ac:dyDescent="0.25">
      <c r="C165" s="32">
        <v>21.957599999999999</v>
      </c>
      <c r="D165" s="236">
        <v>25.500399999999999</v>
      </c>
      <c r="E165" s="33">
        <v>15.930533333333333</v>
      </c>
      <c r="F165" s="8">
        <v>20.317866666666671</v>
      </c>
      <c r="G165">
        <f t="shared" si="25"/>
        <v>-16.134732393339888</v>
      </c>
      <c r="I165">
        <f t="shared" si="26"/>
        <v>-27.540404589927963</v>
      </c>
      <c r="P165" s="32">
        <v>21.437795591182358</v>
      </c>
      <c r="Q165" s="236">
        <v>23.425490981963929</v>
      </c>
      <c r="R165" s="33">
        <v>15.544208416833667</v>
      </c>
      <c r="S165" s="8">
        <v>16.012905811623245</v>
      </c>
      <c r="T165">
        <f t="shared" si="29"/>
        <v>-9.2719206241482031</v>
      </c>
      <c r="V165">
        <f t="shared" si="30"/>
        <v>-3.0152541848448182</v>
      </c>
      <c r="AV165" s="32">
        <v>1.0978800000000002</v>
      </c>
      <c r="AW165" s="236">
        <v>1.27502</v>
      </c>
      <c r="AX165" s="33">
        <v>0.79652666666666661</v>
      </c>
      <c r="AY165" s="8">
        <v>1.0158933333333335</v>
      </c>
      <c r="BI165" s="7">
        <v>1.0718897795591182</v>
      </c>
      <c r="BJ165" s="7">
        <v>1.1712745490981964</v>
      </c>
      <c r="BK165" s="7">
        <v>0.77721042084168335</v>
      </c>
      <c r="BL165" s="7">
        <v>0.80064529058116229</v>
      </c>
    </row>
    <row r="166" spans="3:64" x14ac:dyDescent="0.25">
      <c r="C166" s="32">
        <v>33.778005562775327</v>
      </c>
      <c r="D166" s="236">
        <v>24.336855623267734</v>
      </c>
      <c r="E166" s="33">
        <v>21.54517877866104</v>
      </c>
      <c r="F166" s="8">
        <v>25.853023339526558</v>
      </c>
      <c r="G166">
        <f t="shared" si="25"/>
        <v>27.950584358693181</v>
      </c>
      <c r="I166">
        <f t="shared" si="26"/>
        <v>-19.994471176689103</v>
      </c>
      <c r="P166" s="32">
        <v>40.254585781493269</v>
      </c>
      <c r="Q166" s="236">
        <v>27.385761495784593</v>
      </c>
      <c r="R166" s="33">
        <v>33.901764347927426</v>
      </c>
      <c r="S166" s="8">
        <v>36.953703150302346</v>
      </c>
      <c r="T166">
        <f t="shared" si="29"/>
        <v>31.968591989897003</v>
      </c>
      <c r="V166">
        <f t="shared" si="30"/>
        <v>-9.0023007978388581</v>
      </c>
      <c r="AV166" s="32">
        <v>1.5875662614504407</v>
      </c>
      <c r="AW166" s="236">
        <v>1.1438322142935835</v>
      </c>
      <c r="AX166" s="33">
        <v>1.0126234025970688</v>
      </c>
      <c r="AY166" s="8">
        <v>1.2150920969577483</v>
      </c>
      <c r="BI166" s="7">
        <v>1.8919655317301833</v>
      </c>
      <c r="BJ166" s="7">
        <v>1.2871307903018758</v>
      </c>
      <c r="BK166" s="7">
        <v>1.5933829243525888</v>
      </c>
      <c r="BL166" s="7">
        <v>1.7368240480642101</v>
      </c>
    </row>
    <row r="167" spans="3:64" x14ac:dyDescent="0.25">
      <c r="C167" s="32">
        <v>20.445616289739917</v>
      </c>
      <c r="D167" s="236">
        <v>19.960683639686785</v>
      </c>
      <c r="E167" s="33">
        <v>13.422365244470482</v>
      </c>
      <c r="F167" s="8">
        <v>15.954212873122858</v>
      </c>
      <c r="G167">
        <f t="shared" si="25"/>
        <v>2.3718172305546119</v>
      </c>
      <c r="I167">
        <f t="shared" si="26"/>
        <v>-18.86290219747524</v>
      </c>
      <c r="P167" s="32">
        <v>22.588423862431327</v>
      </c>
      <c r="Q167" s="236">
        <v>22.219933708786151</v>
      </c>
      <c r="R167" s="33">
        <v>16.588297412452441</v>
      </c>
      <c r="S167" s="8">
        <v>18.945476520171297</v>
      </c>
      <c r="T167">
        <f t="shared" si="29"/>
        <v>1.6313229992909888</v>
      </c>
      <c r="V167">
        <f t="shared" si="30"/>
        <v>-14.209891763511415</v>
      </c>
      <c r="AV167" s="32">
        <v>1.3903019077023142</v>
      </c>
      <c r="AW167" s="236">
        <v>1.3573264874987014</v>
      </c>
      <c r="AX167" s="33">
        <v>0.91272083662399284</v>
      </c>
      <c r="AY167" s="8">
        <v>1.0848864753723544</v>
      </c>
      <c r="BI167" s="7">
        <v>1.5360128226453302</v>
      </c>
      <c r="BJ167" s="7">
        <v>1.5109554921974579</v>
      </c>
      <c r="BK167" s="7">
        <v>1.128004224046766</v>
      </c>
      <c r="BL167" s="7">
        <v>1.2882924033716483</v>
      </c>
    </row>
    <row r="168" spans="3:64" ht="15.75" thickBot="1" x14ac:dyDescent="0.3">
      <c r="C168" s="24"/>
      <c r="D168" s="238"/>
      <c r="E168" s="15">
        <v>18.521940828998083</v>
      </c>
      <c r="F168" s="16">
        <v>17.518054538511461</v>
      </c>
      <c r="I168">
        <f t="shared" si="26"/>
        <v>5.4199843296925518</v>
      </c>
      <c r="P168" s="24"/>
      <c r="Q168" s="238"/>
      <c r="R168" s="15">
        <v>19.387216669555336</v>
      </c>
      <c r="S168" s="16">
        <v>21.555022477206716</v>
      </c>
      <c r="V168">
        <f t="shared" si="30"/>
        <v>-11.181624699411277</v>
      </c>
      <c r="AV168" s="24"/>
      <c r="AW168" s="238"/>
      <c r="AX168" s="15">
        <v>1.7595843787548178</v>
      </c>
      <c r="AY168" s="16">
        <v>1.6642151811585886</v>
      </c>
      <c r="BI168" s="7"/>
      <c r="BJ168" s="7"/>
      <c r="BK168" s="7">
        <v>1.841785583607757</v>
      </c>
      <c r="BL168" s="7">
        <v>2.0477271353346378</v>
      </c>
    </row>
    <row r="169" spans="3:64" x14ac:dyDescent="0.25">
      <c r="C169" s="30"/>
      <c r="D169" s="237"/>
      <c r="E169" s="31"/>
      <c r="F169" s="27"/>
      <c r="P169" s="31"/>
      <c r="Q169" s="237"/>
      <c r="R169" s="31"/>
      <c r="S169" s="27"/>
      <c r="AD169">
        <f>AVERAGE(T169:T183,G169:G183)</f>
        <v>13.482726047996056</v>
      </c>
      <c r="AF169">
        <f>AVERAGE(V169:V183,I169:I183)</f>
        <v>-6.1828134330569871</v>
      </c>
      <c r="AV169" s="30">
        <v>2.0575518209250001</v>
      </c>
      <c r="AW169" s="237">
        <v>1.609767598635</v>
      </c>
      <c r="AX169" s="31">
        <v>0.88610786387999996</v>
      </c>
      <c r="AY169" s="27">
        <v>0.75909707835600004</v>
      </c>
      <c r="BI169" s="7">
        <v>3.6068903949690005</v>
      </c>
      <c r="BJ169" s="7">
        <v>2.9400127362539998</v>
      </c>
      <c r="BK169" s="7">
        <v>2.4542180828369999</v>
      </c>
      <c r="BL169" s="7">
        <v>2.378682805725</v>
      </c>
    </row>
    <row r="170" spans="3:64" x14ac:dyDescent="0.25">
      <c r="C170" s="32">
        <v>30.12532625172225</v>
      </c>
      <c r="D170" s="236">
        <v>25.839100705150088</v>
      </c>
      <c r="E170" s="33">
        <v>19.300404550544734</v>
      </c>
      <c r="F170" s="8">
        <v>21.748530433318702</v>
      </c>
      <c r="G170">
        <f t="shared" si="25"/>
        <v>14.227980506359231</v>
      </c>
      <c r="I170">
        <f t="shared" si="26"/>
        <v>-12.684324187934562</v>
      </c>
      <c r="P170" s="33">
        <v>37.007163513771062</v>
      </c>
      <c r="Q170" s="236">
        <v>23.15440942762536</v>
      </c>
      <c r="R170" s="33">
        <v>21.676429364208417</v>
      </c>
      <c r="S170" s="8">
        <v>24.983996204125084</v>
      </c>
      <c r="T170">
        <f t="shared" si="29"/>
        <v>37.432628634158441</v>
      </c>
      <c r="V170">
        <f t="shared" si="30"/>
        <v>-15.258817697060568</v>
      </c>
      <c r="AD170">
        <f>_xlfn.STDEV.S(T169:T183,G169:G183)</f>
        <v>17.61251962433191</v>
      </c>
      <c r="AF170">
        <f>_xlfn.STDEV.S(V169:V183,I169:I183)</f>
        <v>15.02851993443311</v>
      </c>
      <c r="AV170" s="32">
        <v>1.7773942488516126</v>
      </c>
      <c r="AW170" s="236">
        <v>1.524506941603855</v>
      </c>
      <c r="AX170" s="33">
        <v>1.1387238684821392</v>
      </c>
      <c r="AY170" s="8">
        <v>1.2831632955658034</v>
      </c>
      <c r="BI170" s="7">
        <v>2.1834226473124927</v>
      </c>
      <c r="BJ170" s="7">
        <v>1.3661101562298961</v>
      </c>
      <c r="BK170" s="7">
        <v>1.2789093324882965</v>
      </c>
      <c r="BL170" s="7">
        <v>1.4740557760433799</v>
      </c>
    </row>
    <row r="171" spans="3:64" x14ac:dyDescent="0.25">
      <c r="C171" s="32">
        <v>16.758302876211665</v>
      </c>
      <c r="D171" s="236">
        <v>19.974339507153747</v>
      </c>
      <c r="E171" s="33">
        <v>7.4490762811118749</v>
      </c>
      <c r="F171" s="8">
        <v>10.060443408608037</v>
      </c>
      <c r="G171">
        <f t="shared" si="25"/>
        <v>-19.190705972424158</v>
      </c>
      <c r="I171">
        <f t="shared" si="26"/>
        <v>-35.05625434549021</v>
      </c>
      <c r="P171" s="33">
        <v>20.976473201496759</v>
      </c>
      <c r="Q171" s="236">
        <v>22.905251694521159</v>
      </c>
      <c r="R171" s="33">
        <v>13.811447202668381</v>
      </c>
      <c r="S171" s="8">
        <v>14.685663172805336</v>
      </c>
      <c r="T171">
        <f t="shared" si="29"/>
        <v>-9.1949608234751921</v>
      </c>
      <c r="V171">
        <f t="shared" si="30"/>
        <v>-6.3296478443479565</v>
      </c>
      <c r="AV171" s="32">
        <v>0.97198156682027648</v>
      </c>
      <c r="AW171" s="236">
        <v>1.1585116914149172</v>
      </c>
      <c r="AX171" s="33">
        <v>0.43204642430448881</v>
      </c>
      <c r="AY171" s="8">
        <v>0.58350571769926618</v>
      </c>
      <c r="BI171" s="7">
        <v>1.216635445686812</v>
      </c>
      <c r="BJ171" s="7">
        <v>1.3285045982822272</v>
      </c>
      <c r="BK171" s="7">
        <v>0.80106393775476614</v>
      </c>
      <c r="BL171" s="7">
        <v>0.85176846402270945</v>
      </c>
    </row>
    <row r="172" spans="3:64" x14ac:dyDescent="0.25">
      <c r="C172" s="32">
        <v>21.198176680045833</v>
      </c>
      <c r="D172" s="236">
        <v>23.35003272664132</v>
      </c>
      <c r="E172" s="33">
        <v>9.3328882082305675</v>
      </c>
      <c r="F172" s="8">
        <v>9.2675374654494078</v>
      </c>
      <c r="G172">
        <f t="shared" si="25"/>
        <v>-10.151137425989386</v>
      </c>
      <c r="I172">
        <f t="shared" si="26"/>
        <v>0.70021992466948912</v>
      </c>
      <c r="P172" s="33">
        <v>34.605897225920863</v>
      </c>
      <c r="Q172" s="236">
        <v>34.249458146010682</v>
      </c>
      <c r="R172" s="33">
        <v>19.639391041086057</v>
      </c>
      <c r="S172" s="8">
        <v>21.029730818193975</v>
      </c>
      <c r="T172">
        <f t="shared" si="29"/>
        <v>1.0299951987466398</v>
      </c>
      <c r="V172">
        <f t="shared" si="30"/>
        <v>-7.0793426038480307</v>
      </c>
      <c r="AV172" s="32">
        <v>1.4414760142431169</v>
      </c>
      <c r="AW172" s="236">
        <v>1.5878022254116098</v>
      </c>
      <c r="AX172" s="33">
        <v>0.63463639815967854</v>
      </c>
      <c r="AY172" s="8">
        <v>0.63019254765055976</v>
      </c>
      <c r="BI172" s="7">
        <v>2.3532010113626187</v>
      </c>
      <c r="BJ172" s="7">
        <v>2.3289631539287265</v>
      </c>
      <c r="BK172" s="7">
        <v>1.3354785907938516</v>
      </c>
      <c r="BL172" s="7">
        <v>1.4300216956371903</v>
      </c>
    </row>
    <row r="173" spans="3:64" x14ac:dyDescent="0.25">
      <c r="C173" s="32"/>
      <c r="D173" s="236"/>
      <c r="E173" s="33">
        <v>12.131127229753986</v>
      </c>
      <c r="F173" s="8">
        <v>12.327881546071326</v>
      </c>
      <c r="I173">
        <f t="shared" si="26"/>
        <v>-1.6218964041096018</v>
      </c>
      <c r="P173" s="33"/>
      <c r="Q173" s="236"/>
      <c r="R173" s="33">
        <v>18.878001953671326</v>
      </c>
      <c r="S173" s="8">
        <v>19.915754328443217</v>
      </c>
      <c r="V173">
        <f t="shared" si="30"/>
        <v>-5.4971515381693914</v>
      </c>
      <c r="AV173" s="32"/>
      <c r="AW173" s="236"/>
      <c r="AX173" s="33">
        <v>0.95835905115056486</v>
      </c>
      <c r="AY173" s="8">
        <v>0.97390264213963473</v>
      </c>
      <c r="BI173" s="7"/>
      <c r="BJ173" s="7"/>
      <c r="BK173" s="7">
        <v>1.4913621543400348</v>
      </c>
      <c r="BL173" s="7">
        <v>1.5733445919470141</v>
      </c>
    </row>
    <row r="174" spans="3:64" x14ac:dyDescent="0.25">
      <c r="C174" s="32">
        <v>24.709520910647488</v>
      </c>
      <c r="D174" s="236">
        <v>23.21134924698331</v>
      </c>
      <c r="E174" s="33">
        <v>11.230802615879503</v>
      </c>
      <c r="F174" s="8">
        <v>11.629076699659404</v>
      </c>
      <c r="G174">
        <f t="shared" si="25"/>
        <v>6.0631352144857074</v>
      </c>
      <c r="I174">
        <f t="shared" si="26"/>
        <v>-3.5462655466562265</v>
      </c>
      <c r="P174" s="33">
        <v>38.727462701763699</v>
      </c>
      <c r="Q174" s="236">
        <v>23.460020160494384</v>
      </c>
      <c r="R174" s="33">
        <v>19.33944017426505</v>
      </c>
      <c r="S174" s="8">
        <v>22.552804446258456</v>
      </c>
      <c r="T174">
        <f t="shared" si="29"/>
        <v>39.422780311848356</v>
      </c>
      <c r="V174">
        <f t="shared" si="30"/>
        <v>-16.615601294754242</v>
      </c>
      <c r="AV174" s="32">
        <v>2.1250187983156836</v>
      </c>
      <c r="AW174" s="236">
        <v>1.9961760352405649</v>
      </c>
      <c r="AX174" s="33">
        <v>0.96584902496563729</v>
      </c>
      <c r="AY174" s="8">
        <v>1.0001005961707088</v>
      </c>
      <c r="BI174" s="7">
        <v>3.3305617923516779</v>
      </c>
      <c r="BJ174" s="7">
        <v>2.0175617338025171</v>
      </c>
      <c r="BK174" s="7">
        <v>1.6631918549867941</v>
      </c>
      <c r="BL174" s="7">
        <v>1.9395411823782274</v>
      </c>
    </row>
    <row r="175" spans="3:64" x14ac:dyDescent="0.25">
      <c r="C175" s="32">
        <v>30.31893004115226</v>
      </c>
      <c r="D175" s="236">
        <v>21.367181069958846</v>
      </c>
      <c r="E175" s="33">
        <v>5.4914609053497934</v>
      </c>
      <c r="F175" s="8">
        <v>7.8180041152263371</v>
      </c>
      <c r="G175">
        <f t="shared" si="25"/>
        <v>29.525279945707496</v>
      </c>
      <c r="I175">
        <f t="shared" si="26"/>
        <v>-42.366562377053803</v>
      </c>
      <c r="P175" s="33">
        <v>30.019191919191915</v>
      </c>
      <c r="Q175" s="236">
        <v>18.068911335578001</v>
      </c>
      <c r="R175" s="33">
        <v>10.278226711560045</v>
      </c>
      <c r="S175" s="8">
        <v>12.049158249158246</v>
      </c>
      <c r="T175">
        <f t="shared" si="29"/>
        <v>39.808801701866741</v>
      </c>
      <c r="V175">
        <f t="shared" si="30"/>
        <v>-17.229932626475474</v>
      </c>
      <c r="AV175" s="32">
        <v>2.4558333333333335</v>
      </c>
      <c r="AW175" s="236">
        <v>1.7307416666666666</v>
      </c>
      <c r="AX175" s="33">
        <v>0.44480833333333331</v>
      </c>
      <c r="AY175" s="8">
        <v>0.63325833333333337</v>
      </c>
      <c r="BI175" s="7">
        <v>2.4315545454545457</v>
      </c>
      <c r="BJ175" s="7">
        <v>1.4635818181818179</v>
      </c>
      <c r="BK175" s="7">
        <v>0.83253636363636363</v>
      </c>
      <c r="BL175" s="7">
        <v>0.97598181818181806</v>
      </c>
    </row>
    <row r="176" spans="3:64" x14ac:dyDescent="0.25">
      <c r="C176" s="32">
        <v>38.645564821804342</v>
      </c>
      <c r="D176" s="236">
        <v>36.535922805168525</v>
      </c>
      <c r="E176" s="33">
        <v>15.874732323700776</v>
      </c>
      <c r="F176" s="8">
        <v>15.590944940947651</v>
      </c>
      <c r="G176">
        <f t="shared" si="25"/>
        <v>5.4589498856167031</v>
      </c>
      <c r="I176">
        <f t="shared" si="26"/>
        <v>1.7876671994615896</v>
      </c>
      <c r="P176" s="33">
        <v>56.193133226435471</v>
      </c>
      <c r="Q176" s="236">
        <v>46.596910725299878</v>
      </c>
      <c r="R176" s="33">
        <v>29.678383496889573</v>
      </c>
      <c r="S176" s="8">
        <v>30.852080734031244</v>
      </c>
      <c r="T176">
        <f t="shared" si="29"/>
        <v>17.077215578043528</v>
      </c>
      <c r="V176">
        <f t="shared" si="30"/>
        <v>-3.9547209074398513</v>
      </c>
      <c r="AV176" s="32">
        <v>2.0868605003774348</v>
      </c>
      <c r="AW176" s="236">
        <v>1.9729398314791002</v>
      </c>
      <c r="AX176" s="33">
        <v>0.85723554547984193</v>
      </c>
      <c r="AY176" s="8">
        <v>0.84191102681117314</v>
      </c>
      <c r="BI176" s="7">
        <v>3.0344291942275157</v>
      </c>
      <c r="BJ176" s="7">
        <v>2.5162331791661932</v>
      </c>
      <c r="BK176" s="7">
        <v>1.6026327088320371</v>
      </c>
      <c r="BL176" s="7">
        <v>1.666012359637687</v>
      </c>
    </row>
    <row r="177" spans="3:64" x14ac:dyDescent="0.25">
      <c r="C177" s="32"/>
      <c r="D177" s="236"/>
      <c r="E177" s="33">
        <v>19.499683031799592</v>
      </c>
      <c r="F177" s="8">
        <v>19.741948529027798</v>
      </c>
      <c r="I177">
        <f t="shared" si="26"/>
        <v>-1.2424073603305568</v>
      </c>
      <c r="P177" s="33"/>
      <c r="Q177" s="236"/>
      <c r="R177" s="33">
        <v>24.880907467727166</v>
      </c>
      <c r="S177" s="8">
        <v>23.872334746822986</v>
      </c>
      <c r="V177">
        <f t="shared" si="30"/>
        <v>4.0536010280669696</v>
      </c>
      <c r="AV177" s="32"/>
      <c r="AW177" s="236"/>
      <c r="AX177" s="33">
        <v>1.0139835176535787</v>
      </c>
      <c r="AY177" s="8">
        <v>1.0265813235094456</v>
      </c>
      <c r="BI177" s="7"/>
      <c r="BJ177" s="7"/>
      <c r="BK177" s="7">
        <v>1.2938071883218125</v>
      </c>
      <c r="BL177" s="7">
        <v>1.2413614068347953</v>
      </c>
    </row>
    <row r="178" spans="3:64" x14ac:dyDescent="0.25">
      <c r="C178" s="32">
        <v>19.936196797563028</v>
      </c>
      <c r="D178" s="236">
        <v>17.783108350583483</v>
      </c>
      <c r="E178" s="33">
        <v>7.0746596333999143</v>
      </c>
      <c r="F178" s="8">
        <v>7.2634318137653482</v>
      </c>
      <c r="G178">
        <f t="shared" si="25"/>
        <v>10.799895631260702</v>
      </c>
      <c r="I178">
        <f t="shared" si="26"/>
        <v>-2.6682863932312517</v>
      </c>
      <c r="P178" s="33">
        <v>23.695187504120828</v>
      </c>
      <c r="Q178" s="236">
        <v>19.505279212252685</v>
      </c>
      <c r="R178" s="33">
        <v>19.682244505242842</v>
      </c>
      <c r="S178" s="8">
        <v>21.757784359681029</v>
      </c>
      <c r="T178">
        <f t="shared" si="29"/>
        <v>17.682528535127553</v>
      </c>
      <c r="V178">
        <f t="shared" si="30"/>
        <v>-10.545239664537835</v>
      </c>
      <c r="AV178" s="32">
        <v>2.0135558765538653</v>
      </c>
      <c r="AW178" s="236">
        <v>1.7960939434089318</v>
      </c>
      <c r="AX178" s="33">
        <v>0.71454062297339127</v>
      </c>
      <c r="AY178" s="8">
        <v>0.73360661319030018</v>
      </c>
      <c r="BI178" s="7">
        <v>2.3932139379162036</v>
      </c>
      <c r="BJ178" s="7">
        <v>1.9700332004375207</v>
      </c>
      <c r="BK178" s="7">
        <v>1.9879066950295272</v>
      </c>
      <c r="BL178" s="7">
        <v>2.197536220327784</v>
      </c>
    </row>
    <row r="179" spans="3:64" x14ac:dyDescent="0.25">
      <c r="C179" s="32"/>
      <c r="D179" s="236"/>
      <c r="E179" s="33"/>
      <c r="F179" s="8"/>
      <c r="P179" s="33"/>
      <c r="Q179" s="236"/>
      <c r="R179" s="33"/>
      <c r="S179" s="8"/>
      <c r="AV179" s="32">
        <v>1.4182035150931083</v>
      </c>
      <c r="AW179" s="236">
        <v>0.93060109396088342</v>
      </c>
      <c r="AX179" s="33">
        <v>0.4106019632543651</v>
      </c>
      <c r="AY179" s="8">
        <v>0.30706946928883555</v>
      </c>
      <c r="BI179" s="7">
        <v>3.4021227651125718</v>
      </c>
      <c r="BJ179" s="7">
        <v>2.3155504026636895</v>
      </c>
      <c r="BK179" s="7">
        <v>1.9872295950765573</v>
      </c>
      <c r="BL179" s="7">
        <v>2.2092204012250094</v>
      </c>
    </row>
    <row r="180" spans="3:64" x14ac:dyDescent="0.25">
      <c r="C180" s="32">
        <v>28.509027667603569</v>
      </c>
      <c r="D180" s="236">
        <v>21.811470989173571</v>
      </c>
      <c r="E180" s="33">
        <v>9.8552438122315635</v>
      </c>
      <c r="F180" s="8">
        <v>13.397338581959415</v>
      </c>
      <c r="G180">
        <f t="shared" si="25"/>
        <v>23.492757299614297</v>
      </c>
      <c r="I180">
        <f t="shared" si="26"/>
        <v>-35.941219083100499</v>
      </c>
      <c r="P180" s="33">
        <v>35.375058539177331</v>
      </c>
      <c r="Q180" s="236">
        <v>25.465503021863583</v>
      </c>
      <c r="R180" s="33">
        <v>17.581080731430692</v>
      </c>
      <c r="S180" s="8">
        <v>18.408266211437514</v>
      </c>
      <c r="T180">
        <f t="shared" si="29"/>
        <v>28.012831431329133</v>
      </c>
      <c r="V180">
        <f t="shared" si="30"/>
        <v>-4.7049751527960151</v>
      </c>
      <c r="AV180" s="32">
        <v>2.1096680474026641</v>
      </c>
      <c r="AW180" s="236">
        <v>1.6140488531988444</v>
      </c>
      <c r="AX180" s="33">
        <v>0.72928804210513576</v>
      </c>
      <c r="AY180" s="8">
        <v>0.99140305506499671</v>
      </c>
      <c r="BI180" s="7">
        <v>2.6177543318991225</v>
      </c>
      <c r="BJ180" s="7">
        <v>1.8844472236179051</v>
      </c>
      <c r="BK180" s="7">
        <v>1.3009999741258711</v>
      </c>
      <c r="BL180" s="7">
        <v>1.362211699646376</v>
      </c>
    </row>
    <row r="181" spans="3:64" x14ac:dyDescent="0.25">
      <c r="C181" s="32"/>
      <c r="D181" s="236"/>
      <c r="E181" s="33">
        <v>16.427930954304273</v>
      </c>
      <c r="F181" s="8">
        <v>16.053874241350272</v>
      </c>
      <c r="I181">
        <f t="shared" si="26"/>
        <v>2.2769557164226741</v>
      </c>
      <c r="P181" s="33"/>
      <c r="Q181" s="236"/>
      <c r="R181" s="33">
        <v>20.568112338018661</v>
      </c>
      <c r="S181" s="8">
        <v>20.813552772038936</v>
      </c>
      <c r="V181">
        <f t="shared" si="30"/>
        <v>-1.1933055887029334</v>
      </c>
      <c r="AV181" s="32"/>
      <c r="AW181" s="236"/>
      <c r="AX181" s="33">
        <v>1.5770813716132104</v>
      </c>
      <c r="AY181" s="8">
        <v>1.5411719271696263</v>
      </c>
      <c r="BI181" s="7"/>
      <c r="BJ181" s="7"/>
      <c r="BK181" s="7">
        <v>1.9745387844497915</v>
      </c>
      <c r="BL181" s="7">
        <v>1.9981010661157377</v>
      </c>
    </row>
    <row r="182" spans="3:64" x14ac:dyDescent="0.25">
      <c r="C182" s="32">
        <v>30.923840031636789</v>
      </c>
      <c r="D182" s="236">
        <v>33.661594702503507</v>
      </c>
      <c r="E182" s="33">
        <v>14.694046796088577</v>
      </c>
      <c r="F182" s="8">
        <v>13.314876200150346</v>
      </c>
      <c r="G182">
        <f t="shared" si="25"/>
        <v>-8.8532170263002392</v>
      </c>
      <c r="I182">
        <f t="shared" si="26"/>
        <v>9.3859140036586339</v>
      </c>
      <c r="P182" s="33">
        <v>38.36957780795899</v>
      </c>
      <c r="Q182" s="236">
        <v>32.177664868916366</v>
      </c>
      <c r="R182" s="33">
        <v>24.824518904809064</v>
      </c>
      <c r="S182" s="8">
        <v>24.321053536725515</v>
      </c>
      <c r="T182">
        <f t="shared" si="29"/>
        <v>16.137558171823922</v>
      </c>
      <c r="V182">
        <f t="shared" si="30"/>
        <v>2.0280971809126065</v>
      </c>
      <c r="AV182" s="32">
        <v>1.7626588818032967</v>
      </c>
      <c r="AW182" s="236">
        <v>1.9187108980426999</v>
      </c>
      <c r="AX182" s="33">
        <v>0.83756066737704882</v>
      </c>
      <c r="AY182" s="8">
        <v>0.75894794340856975</v>
      </c>
      <c r="BI182" s="7">
        <v>2.1870659350536625</v>
      </c>
      <c r="BJ182" s="7">
        <v>1.834126897528233</v>
      </c>
      <c r="BK182" s="7">
        <v>1.4149975775741166</v>
      </c>
      <c r="BL182" s="7">
        <v>1.3863000515933543</v>
      </c>
    </row>
    <row r="183" spans="3:64" ht="15.75" thickBot="1" x14ac:dyDescent="0.3">
      <c r="C183" s="24">
        <v>53.586773799524281</v>
      </c>
      <c r="D183" s="238">
        <v>53.069460504120244</v>
      </c>
      <c r="E183" s="15">
        <v>24.809552990108873</v>
      </c>
      <c r="F183" s="16">
        <v>18.414058781605732</v>
      </c>
      <c r="G183">
        <f t="shared" si="25"/>
        <v>0.96537495864068867</v>
      </c>
      <c r="I183">
        <f t="shared" si="26"/>
        <v>25.778353245836033</v>
      </c>
      <c r="P183" s="15">
        <v>83.248786790287284</v>
      </c>
      <c r="Q183" s="238">
        <v>58.351714310946001</v>
      </c>
      <c r="R183" s="15">
        <v>38.104077080025895</v>
      </c>
      <c r="S183" s="16">
        <v>31.713263917528309</v>
      </c>
      <c r="T183">
        <f t="shared" si="29"/>
        <v>29.906829203481017</v>
      </c>
      <c r="V183">
        <f t="shared" si="30"/>
        <v>16.771993057529379</v>
      </c>
      <c r="AV183" s="24">
        <v>2.5185783685776411</v>
      </c>
      <c r="AW183" s="238">
        <v>2.4942646436936511</v>
      </c>
      <c r="AX183" s="15">
        <v>1.166048990535117</v>
      </c>
      <c r="AY183" s="16">
        <v>0.86546076273546946</v>
      </c>
      <c r="BI183" s="7">
        <v>3.912692979143503</v>
      </c>
      <c r="BJ183" s="7">
        <v>2.742530572614462</v>
      </c>
      <c r="BK183" s="7">
        <v>1.7908916227612173</v>
      </c>
      <c r="BL183" s="7">
        <v>1.4905234041238307</v>
      </c>
    </row>
    <row r="184" spans="3:64" x14ac:dyDescent="0.25">
      <c r="C184" s="30">
        <v>20.867088271722864</v>
      </c>
      <c r="D184" s="237">
        <v>22.349005065230116</v>
      </c>
      <c r="E184" s="31">
        <v>9.1354227985077667</v>
      </c>
      <c r="F184" s="27">
        <v>12.908478795643671</v>
      </c>
      <c r="G184">
        <f t="shared" si="25"/>
        <v>-7.1016941808570797</v>
      </c>
      <c r="I184">
        <f t="shared" si="26"/>
        <v>-41.30138342094267</v>
      </c>
      <c r="P184" s="30">
        <v>29.835822252152717</v>
      </c>
      <c r="Q184" s="237">
        <v>27.940800623560477</v>
      </c>
      <c r="R184" s="31">
        <v>24.794372079410724</v>
      </c>
      <c r="S184" s="27">
        <v>25.70963181173537</v>
      </c>
      <c r="T184">
        <f t="shared" si="29"/>
        <v>6.3514979160847824</v>
      </c>
      <c r="V184">
        <f t="shared" si="30"/>
        <v>-3.6914011348755986</v>
      </c>
      <c r="AB184" s="7">
        <v>31.446439700669615</v>
      </c>
      <c r="AC184">
        <v>27.217627177566172</v>
      </c>
      <c r="AD184">
        <v>13.629353930639626</v>
      </c>
      <c r="AE184">
        <v>14.739204632274722</v>
      </c>
      <c r="AV184" s="30">
        <v>1.3146265611185404</v>
      </c>
      <c r="AW184" s="237">
        <v>1.4079873191094969</v>
      </c>
      <c r="AX184" s="31">
        <v>1.5620454410028757</v>
      </c>
      <c r="AY184" s="27">
        <v>1.6197068041393283</v>
      </c>
      <c r="BI184" s="7">
        <v>1.879656801885621</v>
      </c>
      <c r="BJ184" s="7">
        <v>1.76027043928431</v>
      </c>
      <c r="BK184" s="7">
        <v>1.5620454410028757</v>
      </c>
      <c r="BL184" s="7">
        <v>1.6197068041393283</v>
      </c>
    </row>
    <row r="185" spans="3:64" x14ac:dyDescent="0.25">
      <c r="C185" s="32"/>
      <c r="D185" s="236"/>
      <c r="E185" s="33"/>
      <c r="F185" s="8"/>
      <c r="P185" s="32"/>
      <c r="Q185" s="236"/>
      <c r="R185" s="33"/>
      <c r="S185" s="8"/>
      <c r="AB185">
        <v>12.660251147696615</v>
      </c>
      <c r="AC185">
        <v>11.532157572151545</v>
      </c>
      <c r="AD185">
        <v>4.9516847488942526</v>
      </c>
      <c r="AE185">
        <v>5.1921273488082047</v>
      </c>
      <c r="AV185" s="32"/>
      <c r="AW185" s="236"/>
      <c r="AX185" s="33"/>
      <c r="AY185" s="8"/>
      <c r="BI185" s="7"/>
      <c r="BJ185" s="7"/>
      <c r="BK185" s="7"/>
      <c r="BL185" s="7"/>
    </row>
    <row r="186" spans="3:64" x14ac:dyDescent="0.25">
      <c r="C186" s="32">
        <v>27.047385085723192</v>
      </c>
      <c r="D186" s="236">
        <v>20.124845254413973</v>
      </c>
      <c r="E186" s="33">
        <v>8.5595332182721204</v>
      </c>
      <c r="F186" s="8">
        <v>10.127162478668795</v>
      </c>
      <c r="G186">
        <f t="shared" si="25"/>
        <v>25.594118652761161</v>
      </c>
      <c r="I186">
        <f t="shared" si="26"/>
        <v>-18.314424635332234</v>
      </c>
      <c r="P186" s="32">
        <v>35.450578307966055</v>
      </c>
      <c r="Q186" s="236">
        <v>31.502262625448957</v>
      </c>
      <c r="R186" s="33">
        <v>21.962505984001385</v>
      </c>
      <c r="S186" s="8">
        <v>22.462064218222299</v>
      </c>
      <c r="T186">
        <f t="shared" si="29"/>
        <v>11.137521222410854</v>
      </c>
      <c r="V186">
        <f t="shared" si="30"/>
        <v>-2.2745957796656588</v>
      </c>
      <c r="AV186" s="32">
        <v>2.5154068129722571</v>
      </c>
      <c r="AW186" s="236">
        <v>1.8716106086604993</v>
      </c>
      <c r="AX186" s="33">
        <v>2.0425130565121301</v>
      </c>
      <c r="AY186" s="8">
        <v>2.0889719722946736</v>
      </c>
      <c r="BI186" s="7">
        <v>3.2969037826408432</v>
      </c>
      <c r="BJ186" s="7">
        <v>2.9297104241667524</v>
      </c>
      <c r="BK186" s="7">
        <v>2.0425130565121288</v>
      </c>
      <c r="BL186" s="7">
        <v>2.0889719722946736</v>
      </c>
    </row>
    <row r="187" spans="3:64" x14ac:dyDescent="0.25">
      <c r="C187" s="32">
        <v>44.039638496908204</v>
      </c>
      <c r="D187" s="236">
        <v>31.93630093546853</v>
      </c>
      <c r="E187" s="33">
        <v>9.8998335183129846</v>
      </c>
      <c r="F187" s="8">
        <v>11.46238306643412</v>
      </c>
      <c r="G187">
        <f t="shared" si="25"/>
        <v>27.482826777266546</v>
      </c>
      <c r="I187">
        <f t="shared" si="26"/>
        <v>-15.783594191060764</v>
      </c>
      <c r="P187" s="32">
        <v>61.007372235411715</v>
      </c>
      <c r="Q187" s="236">
        <v>46.435711608146939</v>
      </c>
      <c r="R187" s="33">
        <v>23.893539922529051</v>
      </c>
      <c r="S187" s="8">
        <v>31.260652255404224</v>
      </c>
      <c r="T187">
        <f t="shared" si="29"/>
        <v>23.885081578397603</v>
      </c>
      <c r="V187">
        <f t="shared" si="30"/>
        <v>-30.833071854408541</v>
      </c>
      <c r="AB187">
        <v>39.850411119049781</v>
      </c>
      <c r="AC187">
        <v>31.249484691788382</v>
      </c>
      <c r="AD187">
        <v>20.819337347737228</v>
      </c>
      <c r="AE187">
        <v>22.022570068234653</v>
      </c>
      <c r="AV187" s="32">
        <v>2.3341008403361347</v>
      </c>
      <c r="AW187" s="236">
        <v>1.6926239495798323</v>
      </c>
      <c r="AX187" s="33">
        <v>1.2663576158940395</v>
      </c>
      <c r="AY187" s="8">
        <v>1.6568145695364238</v>
      </c>
      <c r="BI187" s="7">
        <v>3.2333907284768211</v>
      </c>
      <c r="BJ187" s="7">
        <v>2.4610927152317879</v>
      </c>
      <c r="BK187" s="7">
        <v>1.2663576158940395</v>
      </c>
      <c r="BL187" s="7">
        <v>1.6568145695364238</v>
      </c>
    </row>
    <row r="188" spans="3:64" x14ac:dyDescent="0.25">
      <c r="C188" s="32">
        <v>28.079498759855994</v>
      </c>
      <c r="D188" s="236">
        <v>17.409533806074737</v>
      </c>
      <c r="E188" s="33">
        <v>14.937925458735007</v>
      </c>
      <c r="F188" s="8">
        <v>16.447029416418555</v>
      </c>
      <c r="G188">
        <f t="shared" si="25"/>
        <v>37.999128990990499</v>
      </c>
      <c r="I188">
        <f t="shared" si="26"/>
        <v>-10.102500255824305</v>
      </c>
      <c r="P188" s="32">
        <v>35.692249008140188</v>
      </c>
      <c r="Q188" s="236">
        <v>27.745565710092155</v>
      </c>
      <c r="R188" s="33">
        <v>20.641174911411792</v>
      </c>
      <c r="S188" s="8">
        <v>23.619111590709021</v>
      </c>
      <c r="T188">
        <f t="shared" si="29"/>
        <v>22.264451019143301</v>
      </c>
      <c r="V188">
        <f t="shared" si="30"/>
        <v>-14.427166535228727</v>
      </c>
      <c r="AB188">
        <v>16.866917709502268</v>
      </c>
      <c r="AC188">
        <v>12.812523835122526</v>
      </c>
      <c r="AD188">
        <v>6.0339751223844802</v>
      </c>
      <c r="AE188">
        <v>6.112014508025986</v>
      </c>
      <c r="AV188" s="32">
        <v>1.7448600529374514</v>
      </c>
      <c r="AW188" s="236">
        <v>1.0818284307094843</v>
      </c>
      <c r="AX188" s="33">
        <v>1.2826426089951286</v>
      </c>
      <c r="AY188" s="8">
        <v>1.4676915942466586</v>
      </c>
      <c r="BI188" s="7">
        <v>2.217916353365831</v>
      </c>
      <c r="BJ188" s="7">
        <v>1.7241094532251267</v>
      </c>
      <c r="BK188" s="7">
        <v>1.2826426089951286</v>
      </c>
      <c r="BL188" s="7">
        <v>1.4676915942466586</v>
      </c>
    </row>
    <row r="189" spans="3:64" ht="15.75" thickBot="1" x14ac:dyDescent="0.3">
      <c r="C189" s="24">
        <v>29.333831516410115</v>
      </c>
      <c r="D189" s="238">
        <v>32.796427531908833</v>
      </c>
      <c r="E189" s="15">
        <v>20.261102291986205</v>
      </c>
      <c r="F189" s="16">
        <v>21.932871206600787</v>
      </c>
      <c r="G189">
        <f t="shared" si="25"/>
        <v>-11.804104123123675</v>
      </c>
      <c r="I189">
        <f t="shared" si="26"/>
        <v>-8.2511251881681176</v>
      </c>
      <c r="P189" s="24">
        <v>35.138132857405324</v>
      </c>
      <c r="Q189" s="238">
        <v>32.526232907272771</v>
      </c>
      <c r="R189" s="15">
        <v>18.207238655153407</v>
      </c>
      <c r="S189" s="8">
        <v>22.352799139130205</v>
      </c>
      <c r="T189">
        <f t="shared" si="29"/>
        <v>7.4332348868164129</v>
      </c>
      <c r="V189">
        <f t="shared" si="30"/>
        <v>-22.768749081033391</v>
      </c>
      <c r="AV189" s="24">
        <v>1.5966404494382029</v>
      </c>
      <c r="AW189" s="238">
        <v>1.785109550561798</v>
      </c>
      <c r="AX189" s="15">
        <v>0.99102000000000001</v>
      </c>
      <c r="AY189" s="8">
        <v>1.216662857142857</v>
      </c>
      <c r="BI189" s="7">
        <v>1.9125685714285718</v>
      </c>
      <c r="BJ189" s="7">
        <v>1.7704028571428572</v>
      </c>
      <c r="BK189" s="7">
        <v>0.99102000000000001</v>
      </c>
      <c r="BL189" s="7">
        <v>1.216662857142857</v>
      </c>
    </row>
    <row r="190" spans="3:64" x14ac:dyDescent="0.25">
      <c r="C190" s="7">
        <f>AVERAGE(C142:C189)</f>
        <v>31.446439700669615</v>
      </c>
      <c r="D190">
        <f t="shared" ref="D190:F190" si="33">AVERAGE(D142:D189)</f>
        <v>27.217627177566172</v>
      </c>
      <c r="E190">
        <f t="shared" si="33"/>
        <v>13.629353930639626</v>
      </c>
      <c r="F190">
        <f t="shared" si="33"/>
        <v>14.739204632274722</v>
      </c>
      <c r="G190">
        <f>AVERAGE(G142:G189)</f>
        <v>12.295145332517459</v>
      </c>
      <c r="I190">
        <f t="shared" ref="I190:V190" si="34">AVERAGE(I142:I189)</f>
        <v>-9.6731339051452228</v>
      </c>
      <c r="P190">
        <f t="shared" si="34"/>
        <v>39.850411119049781</v>
      </c>
      <c r="Q190">
        <f t="shared" si="34"/>
        <v>31.249484691788382</v>
      </c>
      <c r="R190">
        <f t="shared" si="34"/>
        <v>20.819337347737228</v>
      </c>
      <c r="S190">
        <f t="shared" si="34"/>
        <v>22.022570068234653</v>
      </c>
      <c r="T190">
        <f t="shared" si="34"/>
        <v>20.088894026467798</v>
      </c>
      <c r="V190">
        <f t="shared" si="34"/>
        <v>-6.3472943775751087</v>
      </c>
      <c r="BI190" s="7"/>
      <c r="BJ190" s="7"/>
      <c r="BK190" s="7"/>
      <c r="BL190" s="7"/>
    </row>
    <row r="191" spans="3:64" x14ac:dyDescent="0.25">
      <c r="C191">
        <f t="shared" ref="C191:F191" si="35">_xlfn.STDEV.S(C142:C189)</f>
        <v>12.660251147696615</v>
      </c>
      <c r="D191">
        <f t="shared" si="35"/>
        <v>11.532157572151545</v>
      </c>
      <c r="E191">
        <f t="shared" si="35"/>
        <v>4.9516847488942526</v>
      </c>
      <c r="F191">
        <f t="shared" si="35"/>
        <v>5.1921273488082047</v>
      </c>
      <c r="G191">
        <f>_xlfn.STDEV.S(G142:G189)</f>
        <v>15.771716262887187</v>
      </c>
      <c r="I191">
        <f t="shared" ref="I191:V191" si="36">_xlfn.STDEV.S(I142:I189)</f>
        <v>14.669390830767574</v>
      </c>
      <c r="P191">
        <f t="shared" si="36"/>
        <v>16.866917709502268</v>
      </c>
      <c r="Q191">
        <f t="shared" si="36"/>
        <v>12.812523835122526</v>
      </c>
      <c r="R191">
        <f t="shared" si="36"/>
        <v>6.0339751223844802</v>
      </c>
      <c r="S191">
        <f t="shared" si="36"/>
        <v>6.112014508025986</v>
      </c>
      <c r="T191">
        <f t="shared" si="36"/>
        <v>13.86538722033146</v>
      </c>
      <c r="V191">
        <f t="shared" si="36"/>
        <v>10.268529920799333</v>
      </c>
      <c r="AB191">
        <f>_xlfn.T.TEST(P142:P189,C142:C189,2,1)</f>
        <v>2.5602868594316261E-9</v>
      </c>
      <c r="AC191">
        <f t="shared" ref="AC191:AE191" si="37">_xlfn.T.TEST(Q142:Q189,D142:D189,2,1)</f>
        <v>8.5280389935060291E-6</v>
      </c>
      <c r="AD191">
        <f t="shared" si="37"/>
        <v>6.897554296021827E-12</v>
      </c>
      <c r="AE191">
        <f t="shared" si="37"/>
        <v>1.2238546917277941E-10</v>
      </c>
    </row>
    <row r="192" spans="3:64" x14ac:dyDescent="0.25">
      <c r="AB192">
        <f>(P190-C190)/AVERAGE(C191,P191)</f>
        <v>0.56923651969641742</v>
      </c>
      <c r="AC192">
        <f t="shared" ref="AC192:AE192" si="38">(Q190-D190)/AVERAGE(D191,Q191)</f>
        <v>0.33123107645331606</v>
      </c>
      <c r="AD192">
        <f t="shared" si="38"/>
        <v>1.3089761564337759</v>
      </c>
      <c r="AE192">
        <f t="shared" si="38"/>
        <v>1.2886189023816252</v>
      </c>
    </row>
    <row r="194" spans="3:51" ht="15.75" thickBot="1" x14ac:dyDescent="0.3">
      <c r="C194" t="s">
        <v>396</v>
      </c>
      <c r="D194" t="s">
        <v>397</v>
      </c>
      <c r="E194" s="240" t="s">
        <v>398</v>
      </c>
      <c r="F194" t="s">
        <v>16</v>
      </c>
      <c r="AV194" t="s">
        <v>396</v>
      </c>
      <c r="AW194" t="s">
        <v>397</v>
      </c>
      <c r="AX194" s="240" t="s">
        <v>398</v>
      </c>
      <c r="AY194" t="s">
        <v>16</v>
      </c>
    </row>
    <row r="195" spans="3:51" x14ac:dyDescent="0.25">
      <c r="C195" s="30">
        <v>30.963613675070427</v>
      </c>
      <c r="D195" s="237">
        <v>27.406500409496925</v>
      </c>
      <c r="E195" s="31">
        <v>12.054155793501632</v>
      </c>
      <c r="F195" s="27">
        <v>12.57803870746508</v>
      </c>
      <c r="G195">
        <f>(C195-D195)/C195*100</f>
        <v>11.48804303949</v>
      </c>
      <c r="I195">
        <f>(E195-F195)/E195*100</f>
        <v>-4.3460771781784304</v>
      </c>
      <c r="AV195" s="30">
        <v>2.4151618666554926</v>
      </c>
      <c r="AW195" s="237">
        <v>2.1377070319407601</v>
      </c>
      <c r="AX195" s="31">
        <v>0.94022415189312725</v>
      </c>
      <c r="AY195" s="27">
        <v>0.98108701918227614</v>
      </c>
    </row>
    <row r="196" spans="3:51" x14ac:dyDescent="0.25">
      <c r="C196" s="32">
        <v>27.343081820484421</v>
      </c>
      <c r="D196" s="236">
        <v>18.177459678871962</v>
      </c>
      <c r="E196" s="33">
        <v>5.8401121904724604</v>
      </c>
      <c r="F196" s="8">
        <v>4.9228392824114868</v>
      </c>
      <c r="G196">
        <f t="shared" ref="G196:G259" si="39">(C196-D196)/C196*100</f>
        <v>33.520808670315702</v>
      </c>
      <c r="I196">
        <f t="shared" ref="I196:I259" si="40">(E196-F196)/E196*100</f>
        <v>15.706426146357423</v>
      </c>
      <c r="AV196" s="32">
        <v>2.3515050365616603</v>
      </c>
      <c r="AW196" s="236">
        <v>1.5632615323829886</v>
      </c>
      <c r="AX196" s="33">
        <v>0.50224964838063157</v>
      </c>
      <c r="AY196" s="8">
        <v>0.42336417828738787</v>
      </c>
    </row>
    <row r="197" spans="3:51" x14ac:dyDescent="0.25">
      <c r="C197" s="32">
        <v>28.284404717512206</v>
      </c>
      <c r="D197" s="236">
        <v>22.106147272274253</v>
      </c>
      <c r="E197" s="33">
        <v>12.483479457452251</v>
      </c>
      <c r="F197" s="8">
        <v>12.49827144583784</v>
      </c>
      <c r="G197">
        <f t="shared" si="39"/>
        <v>21.843335601165059</v>
      </c>
      <c r="I197">
        <f t="shared" si="40"/>
        <v>-0.11849251193150952</v>
      </c>
      <c r="AV197" s="32">
        <v>2.5455964245760985</v>
      </c>
      <c r="AW197" s="236">
        <v>1.9895532545046828</v>
      </c>
      <c r="AX197" s="33">
        <v>1.1235131511707026</v>
      </c>
      <c r="AY197" s="8">
        <v>1.1248444301254057</v>
      </c>
    </row>
    <row r="198" spans="3:51" x14ac:dyDescent="0.25">
      <c r="C198" s="32">
        <v>22.880000812500029</v>
      </c>
      <c r="D198" s="236">
        <v>22.647728076978979</v>
      </c>
      <c r="E198" s="33">
        <v>9.4016480611380686</v>
      </c>
      <c r="F198" s="8">
        <v>10.027386719722539</v>
      </c>
      <c r="G198">
        <f t="shared" si="39"/>
        <v>1.0151780038143738</v>
      </c>
      <c r="I198">
        <f t="shared" si="40"/>
        <v>-6.655627338051251</v>
      </c>
      <c r="AV198" s="32">
        <v>1.8304000650000023</v>
      </c>
      <c r="AW198" s="236">
        <v>1.8118182461583183</v>
      </c>
      <c r="AX198" s="33">
        <v>0.75213184489104556</v>
      </c>
      <c r="AY198" s="8">
        <v>0.80219093757780313</v>
      </c>
    </row>
    <row r="199" spans="3:51" x14ac:dyDescent="0.25">
      <c r="C199" s="32">
        <v>35.953615664904127</v>
      </c>
      <c r="D199" s="236">
        <v>31.480874652506174</v>
      </c>
      <c r="E199" s="33">
        <v>13.538457652318002</v>
      </c>
      <c r="F199" s="8">
        <v>15.812651409117283</v>
      </c>
      <c r="G199">
        <f t="shared" si="39"/>
        <v>12.440309353264821</v>
      </c>
      <c r="I199">
        <f t="shared" si="40"/>
        <v>-16.798026889051894</v>
      </c>
      <c r="AV199" s="32">
        <v>3.1639181785115631</v>
      </c>
      <c r="AW199" s="236">
        <v>2.7703169694205432</v>
      </c>
      <c r="AX199" s="33">
        <v>1.1913842734039841</v>
      </c>
      <c r="AY199" s="8">
        <v>1.3915133240023208</v>
      </c>
    </row>
    <row r="200" spans="3:51" x14ac:dyDescent="0.25">
      <c r="C200" s="32">
        <v>25.878840060614412</v>
      </c>
      <c r="D200" s="236">
        <v>20.835721173715388</v>
      </c>
      <c r="E200" s="33">
        <v>14.475478716076594</v>
      </c>
      <c r="F200" s="8">
        <v>14.873536299765806</v>
      </c>
      <c r="G200">
        <f t="shared" si="39"/>
        <v>19.48742244662758</v>
      </c>
      <c r="I200">
        <f t="shared" si="40"/>
        <v>-2.7498750921938484</v>
      </c>
      <c r="AV200" s="32">
        <v>2.6396416861826699</v>
      </c>
      <c r="AW200" s="236">
        <v>2.1252435597189701</v>
      </c>
      <c r="AX200" s="33">
        <v>1.4764988290398127</v>
      </c>
      <c r="AY200" s="8">
        <v>1.5171007025761123</v>
      </c>
    </row>
    <row r="201" spans="3:51" x14ac:dyDescent="0.25">
      <c r="C201" s="32"/>
      <c r="D201" s="236"/>
      <c r="E201" s="33"/>
      <c r="F201" s="8"/>
      <c r="AV201" s="32"/>
      <c r="AW201" s="236"/>
      <c r="AX201" s="33"/>
      <c r="AY201" s="8"/>
    </row>
    <row r="202" spans="3:51" x14ac:dyDescent="0.25">
      <c r="C202" s="32"/>
      <c r="D202" s="236"/>
      <c r="E202" s="33"/>
      <c r="F202" s="8"/>
      <c r="AV202" s="32"/>
      <c r="AW202" s="236"/>
      <c r="AX202" s="33"/>
      <c r="AY202" s="8"/>
    </row>
    <row r="203" spans="3:51" x14ac:dyDescent="0.25">
      <c r="C203" s="32">
        <v>20.309945917159435</v>
      </c>
      <c r="D203" s="236">
        <v>16.075077597951129</v>
      </c>
      <c r="E203" s="33">
        <v>9.8437178758898209</v>
      </c>
      <c r="F203" s="8">
        <v>11.755669481577433</v>
      </c>
      <c r="G203">
        <f t="shared" si="39"/>
        <v>20.851204313795623</v>
      </c>
      <c r="I203">
        <f t="shared" si="40"/>
        <v>-19.423063823990201</v>
      </c>
      <c r="AV203" s="32">
        <v>1.9497548080473057</v>
      </c>
      <c r="AW203" s="236">
        <v>1.5432074494033086</v>
      </c>
      <c r="AX203" s="33">
        <v>0.9449969160854228</v>
      </c>
      <c r="AY203" s="8">
        <v>1.1285442702314337</v>
      </c>
    </row>
    <row r="204" spans="3:51" x14ac:dyDescent="0.25">
      <c r="C204" s="32"/>
      <c r="D204" s="236"/>
      <c r="E204" s="33">
        <v>14.337690275135206</v>
      </c>
      <c r="F204" s="8">
        <v>16.439709262687025</v>
      </c>
      <c r="I204">
        <f t="shared" si="40"/>
        <v>-14.66079226998783</v>
      </c>
      <c r="AV204" s="32"/>
      <c r="AW204" s="236"/>
      <c r="AX204" s="33">
        <v>1.4481067177886557</v>
      </c>
      <c r="AY204" s="8">
        <v>1.6604106355313895</v>
      </c>
    </row>
    <row r="205" spans="3:51" x14ac:dyDescent="0.25">
      <c r="C205" s="32">
        <v>75.143341942479992</v>
      </c>
      <c r="D205" s="236">
        <v>68.880233921805313</v>
      </c>
      <c r="E205" s="33">
        <v>17.009556295731805</v>
      </c>
      <c r="F205" s="8">
        <v>21.965709990404584</v>
      </c>
      <c r="G205">
        <f t="shared" si="39"/>
        <v>8.3348808540734094</v>
      </c>
      <c r="I205">
        <f t="shared" si="40"/>
        <v>-29.137466072036354</v>
      </c>
      <c r="AV205" s="32">
        <v>3.6820237551815191</v>
      </c>
      <c r="AW205" s="236">
        <v>3.3751314621684605</v>
      </c>
      <c r="AX205" s="33">
        <v>0.83346825849085837</v>
      </c>
      <c r="AY205" s="8">
        <v>1.0763197895298247</v>
      </c>
    </row>
    <row r="206" spans="3:51" x14ac:dyDescent="0.25">
      <c r="C206" s="32">
        <v>56.759109126406138</v>
      </c>
      <c r="D206" s="236">
        <v>44.919958528672566</v>
      </c>
      <c r="E206" s="33">
        <v>26.847920734035256</v>
      </c>
      <c r="F206" s="8">
        <v>30.940985866817687</v>
      </c>
      <c r="G206">
        <f t="shared" si="39"/>
        <v>20.858591299181654</v>
      </c>
      <c r="I206">
        <f t="shared" si="40"/>
        <v>-15.245371041317291</v>
      </c>
      <c r="AV206" s="32">
        <v>2.8379554563203064</v>
      </c>
      <c r="AW206" s="236">
        <v>2.2459979264336281</v>
      </c>
      <c r="AX206" s="33">
        <v>1.3423960367017627</v>
      </c>
      <c r="AY206" s="8">
        <v>1.5470492933408844</v>
      </c>
    </row>
    <row r="207" spans="3:51" x14ac:dyDescent="0.25">
      <c r="C207" s="32">
        <v>35.836721372286782</v>
      </c>
      <c r="D207" s="236">
        <v>32.024467258692944</v>
      </c>
      <c r="E207" s="33">
        <v>15.195789807029108</v>
      </c>
      <c r="F207" s="8">
        <v>16.776426161729713</v>
      </c>
      <c r="G207">
        <f t="shared" si="39"/>
        <v>10.637842881860076</v>
      </c>
      <c r="I207">
        <f t="shared" si="40"/>
        <v>-10.40180454437091</v>
      </c>
      <c r="AV207" s="32">
        <v>1.7201626258697653</v>
      </c>
      <c r="AW207" s="236">
        <v>1.5371744284172613</v>
      </c>
      <c r="AX207" s="33">
        <v>0.72939791073739724</v>
      </c>
      <c r="AY207" s="8">
        <v>0.80526845576302619</v>
      </c>
    </row>
    <row r="208" spans="3:51" x14ac:dyDescent="0.25">
      <c r="C208" s="32"/>
      <c r="D208" s="236"/>
      <c r="E208" s="33">
        <v>14.232057770845184</v>
      </c>
      <c r="F208" s="8">
        <v>15.343306837045725</v>
      </c>
      <c r="I208">
        <f t="shared" si="40"/>
        <v>-7.8080702319587925</v>
      </c>
      <c r="AV208" s="32"/>
      <c r="AW208" s="236"/>
      <c r="AX208" s="33">
        <v>1.2808851993760668</v>
      </c>
      <c r="AY208" s="8">
        <v>1.3808976153341153</v>
      </c>
    </row>
    <row r="209" spans="3:51" x14ac:dyDescent="0.25">
      <c r="C209" s="32">
        <v>36.967364658254915</v>
      </c>
      <c r="D209" s="236">
        <v>30.580969939359669</v>
      </c>
      <c r="E209" s="33">
        <v>16.311424369047568</v>
      </c>
      <c r="F209" s="8">
        <v>16.181969286810617</v>
      </c>
      <c r="G209">
        <f t="shared" si="39"/>
        <v>17.275764117713884</v>
      </c>
      <c r="I209">
        <f t="shared" si="40"/>
        <v>0.79364670618590816</v>
      </c>
      <c r="AV209" s="32">
        <v>2.6246828907360991</v>
      </c>
      <c r="AW209" s="236">
        <v>2.1712488656945363</v>
      </c>
      <c r="AX209" s="33">
        <v>1.1581111302023774</v>
      </c>
      <c r="AY209" s="8">
        <v>1.1489198193635539</v>
      </c>
    </row>
    <row r="210" spans="3:51" x14ac:dyDescent="0.25">
      <c r="C210" s="32">
        <v>24.577721418447389</v>
      </c>
      <c r="D210" s="236">
        <v>18.777379626956773</v>
      </c>
      <c r="E210" s="33"/>
      <c r="F210" s="8"/>
      <c r="G210">
        <f t="shared" si="39"/>
        <v>23.599998115110189</v>
      </c>
      <c r="AV210" s="32">
        <v>2.5315053061000818</v>
      </c>
      <c r="AW210" s="236">
        <v>1.9340701015765478</v>
      </c>
      <c r="AX210" s="33"/>
      <c r="AY210" s="8"/>
    </row>
    <row r="211" spans="3:51" x14ac:dyDescent="0.25">
      <c r="C211" s="32">
        <v>30.897063795893086</v>
      </c>
      <c r="D211" s="236">
        <v>15.424114588888312</v>
      </c>
      <c r="E211" s="33">
        <v>12.634005868323538</v>
      </c>
      <c r="F211" s="8">
        <v>14.789899948033799</v>
      </c>
      <c r="G211">
        <f t="shared" si="39"/>
        <v>50.079027927118034</v>
      </c>
      <c r="I211">
        <f t="shared" si="40"/>
        <v>-17.064216228643691</v>
      </c>
      <c r="AV211" s="32">
        <v>2.9970151882016296</v>
      </c>
      <c r="AW211" s="236">
        <v>1.4961391151221661</v>
      </c>
      <c r="AX211" s="33">
        <v>1.225498569227383</v>
      </c>
      <c r="AY211" s="8">
        <v>1.4346202949592786</v>
      </c>
    </row>
    <row r="212" spans="3:51" x14ac:dyDescent="0.25">
      <c r="C212" s="32">
        <v>52.875566886255136</v>
      </c>
      <c r="D212" s="236">
        <v>42.025583779900543</v>
      </c>
      <c r="E212" s="33"/>
      <c r="F212" s="8"/>
      <c r="G212">
        <f t="shared" si="39"/>
        <v>20.519842614065698</v>
      </c>
      <c r="AV212" s="32">
        <v>3.2254095800615641</v>
      </c>
      <c r="AW212" s="236">
        <v>2.5635606105739326</v>
      </c>
      <c r="AX212" s="33"/>
      <c r="AY212" s="8"/>
    </row>
    <row r="213" spans="3:51" x14ac:dyDescent="0.25">
      <c r="C213" s="32">
        <v>28.999955062782735</v>
      </c>
      <c r="D213" s="236">
        <v>25.226458718133557</v>
      </c>
      <c r="E213" s="33">
        <v>14.478204550030087</v>
      </c>
      <c r="F213" s="8">
        <v>12.825990841362218</v>
      </c>
      <c r="G213">
        <f t="shared" si="39"/>
        <v>13.012076523842333</v>
      </c>
      <c r="I213">
        <f t="shared" si="40"/>
        <v>11.411730667007571</v>
      </c>
      <c r="AV213" s="32">
        <v>2.1169967195831392</v>
      </c>
      <c r="AW213" s="236">
        <v>1.84153148642375</v>
      </c>
      <c r="AX213" s="33">
        <v>1.0569089321521963</v>
      </c>
      <c r="AY213" s="8">
        <v>0.93629733141944194</v>
      </c>
    </row>
    <row r="214" spans="3:51" x14ac:dyDescent="0.25">
      <c r="C214" s="32">
        <v>36.675802310950218</v>
      </c>
      <c r="D214" s="236">
        <v>35.278157106726269</v>
      </c>
      <c r="E214" s="33">
        <v>10.114347931456219</v>
      </c>
      <c r="F214" s="8">
        <v>10.81500394312118</v>
      </c>
      <c r="G214">
        <f t="shared" si="39"/>
        <v>3.8108101695341965</v>
      </c>
      <c r="I214">
        <f t="shared" si="40"/>
        <v>-6.9273473328505881</v>
      </c>
      <c r="AV214" s="32">
        <v>1.9438175224803615</v>
      </c>
      <c r="AW214" s="236">
        <v>1.7403528889622661</v>
      </c>
      <c r="AX214" s="33">
        <v>0.53606044036717959</v>
      </c>
      <c r="AY214" s="8">
        <v>0.57319520898542253</v>
      </c>
    </row>
    <row r="215" spans="3:51" ht="15.75" thickBot="1" x14ac:dyDescent="0.3">
      <c r="C215" s="24"/>
      <c r="D215" s="238"/>
      <c r="E215" s="15">
        <v>8.6246546026473467</v>
      </c>
      <c r="F215" s="16">
        <v>9.7989267330179342</v>
      </c>
      <c r="I215">
        <f t="shared" si="40"/>
        <v>-13.615294576667955</v>
      </c>
      <c r="AV215" s="24"/>
      <c r="AW215" s="238"/>
      <c r="AX215" s="15">
        <v>0.8193421872514981</v>
      </c>
      <c r="AY215" s="16">
        <v>0.93089803963670381</v>
      </c>
    </row>
    <row r="216" spans="3:51" x14ac:dyDescent="0.25">
      <c r="C216" s="30">
        <v>10.018916420387807</v>
      </c>
      <c r="D216" s="237">
        <v>9.7325064203979359</v>
      </c>
      <c r="E216" s="31">
        <v>7.7230480646510955</v>
      </c>
      <c r="F216" s="27">
        <v>8.413354122805444</v>
      </c>
      <c r="G216">
        <f t="shared" si="39"/>
        <v>2.8586923772220176</v>
      </c>
      <c r="I216">
        <f t="shared" si="40"/>
        <v>-8.9382592517315196</v>
      </c>
      <c r="AV216" s="30">
        <v>0.79149439721063675</v>
      </c>
      <c r="AW216" s="237">
        <v>0.76886800721143689</v>
      </c>
      <c r="AX216" s="31">
        <v>0.6101207971074365</v>
      </c>
      <c r="AY216" s="27">
        <v>0.66465497570163012</v>
      </c>
    </row>
    <row r="217" spans="3:51" x14ac:dyDescent="0.25">
      <c r="C217" s="32"/>
      <c r="D217" s="236"/>
      <c r="E217" s="33">
        <v>18.272316336662485</v>
      </c>
      <c r="F217" s="8">
        <v>18.398684444797109</v>
      </c>
      <c r="I217">
        <f t="shared" si="40"/>
        <v>-0.6915823139569498</v>
      </c>
      <c r="AV217" s="32"/>
      <c r="AW217" s="236"/>
      <c r="AX217" s="33">
        <v>0.84052655148647426</v>
      </c>
      <c r="AY217" s="8">
        <v>0.84633948446066698</v>
      </c>
    </row>
    <row r="218" spans="3:51" x14ac:dyDescent="0.25">
      <c r="C218" s="32">
        <v>21.957599999999999</v>
      </c>
      <c r="D218" s="236">
        <v>25.500399999999999</v>
      </c>
      <c r="E218" s="33">
        <v>15.930533333333333</v>
      </c>
      <c r="F218" s="8">
        <v>20.317866666666671</v>
      </c>
      <c r="G218">
        <f t="shared" si="39"/>
        <v>-16.134732393339888</v>
      </c>
      <c r="I218">
        <f t="shared" si="40"/>
        <v>-27.540404589927963</v>
      </c>
      <c r="AV218" s="32">
        <v>1.0978800000000002</v>
      </c>
      <c r="AW218" s="236">
        <v>1.27502</v>
      </c>
      <c r="AX218" s="33">
        <v>0.79652666666666661</v>
      </c>
      <c r="AY218" s="8">
        <v>1.0158933333333335</v>
      </c>
    </row>
    <row r="219" spans="3:51" x14ac:dyDescent="0.25">
      <c r="C219" s="32">
        <v>33.778005562775327</v>
      </c>
      <c r="D219" s="236">
        <v>24.336855623267734</v>
      </c>
      <c r="E219" s="33">
        <v>21.54517877866104</v>
      </c>
      <c r="F219" s="8">
        <v>25.853023339526558</v>
      </c>
      <c r="G219">
        <f t="shared" si="39"/>
        <v>27.950584358693181</v>
      </c>
      <c r="I219">
        <f t="shared" si="40"/>
        <v>-19.994471176689103</v>
      </c>
      <c r="AV219" s="32">
        <v>1.5875662614504407</v>
      </c>
      <c r="AW219" s="236">
        <v>1.1438322142935835</v>
      </c>
      <c r="AX219" s="33">
        <v>1.0126234025970688</v>
      </c>
      <c r="AY219" s="8">
        <v>1.2150920969577483</v>
      </c>
    </row>
    <row r="220" spans="3:51" x14ac:dyDescent="0.25">
      <c r="C220" s="32">
        <v>20.445616289739917</v>
      </c>
      <c r="D220" s="236">
        <v>19.960683639686785</v>
      </c>
      <c r="E220" s="33">
        <v>13.422365244470482</v>
      </c>
      <c r="F220" s="8">
        <v>15.954212873122858</v>
      </c>
      <c r="G220">
        <f t="shared" si="39"/>
        <v>2.3718172305546119</v>
      </c>
      <c r="I220">
        <f t="shared" si="40"/>
        <v>-18.86290219747524</v>
      </c>
      <c r="AV220" s="32">
        <v>1.3903019077023142</v>
      </c>
      <c r="AW220" s="236">
        <v>1.3573264874987014</v>
      </c>
      <c r="AX220" s="33">
        <v>0.91272083662399284</v>
      </c>
      <c r="AY220" s="8">
        <v>1.0848864753723544</v>
      </c>
    </row>
    <row r="221" spans="3:51" ht="15.75" thickBot="1" x14ac:dyDescent="0.3">
      <c r="C221" s="24"/>
      <c r="D221" s="238"/>
      <c r="E221" s="15">
        <v>18.521940828998083</v>
      </c>
      <c r="F221" s="16">
        <v>17.518054538511461</v>
      </c>
      <c r="I221">
        <f t="shared" si="40"/>
        <v>5.4199843296925518</v>
      </c>
      <c r="AV221" s="24"/>
      <c r="AW221" s="238"/>
      <c r="AX221" s="15">
        <v>1.7595843787548178</v>
      </c>
      <c r="AY221" s="16">
        <v>1.6642151811585886</v>
      </c>
    </row>
    <row r="222" spans="3:51" x14ac:dyDescent="0.25">
      <c r="C222" s="30"/>
      <c r="D222" s="237"/>
      <c r="E222" s="31"/>
      <c r="F222" s="27"/>
      <c r="AV222" s="30">
        <v>2.0575518209250001</v>
      </c>
      <c r="AW222" s="237">
        <v>1.609767598635</v>
      </c>
      <c r="AX222" s="31">
        <v>0.88610786387999996</v>
      </c>
      <c r="AY222" s="27">
        <v>0.75909707835600004</v>
      </c>
    </row>
    <row r="223" spans="3:51" x14ac:dyDescent="0.25">
      <c r="C223" s="32">
        <v>30.12532625172225</v>
      </c>
      <c r="D223" s="236">
        <v>25.839100705150088</v>
      </c>
      <c r="E223" s="33">
        <v>19.300404550544734</v>
      </c>
      <c r="F223" s="8">
        <v>21.748530433318702</v>
      </c>
      <c r="G223">
        <f t="shared" si="39"/>
        <v>14.227980506359231</v>
      </c>
      <c r="I223">
        <f t="shared" si="40"/>
        <v>-12.684324187934562</v>
      </c>
      <c r="AV223" s="32">
        <v>1.7773942488516126</v>
      </c>
      <c r="AW223" s="236">
        <v>1.524506941603855</v>
      </c>
      <c r="AX223" s="33">
        <v>1.1387238684821392</v>
      </c>
      <c r="AY223" s="8">
        <v>1.2831632955658034</v>
      </c>
    </row>
    <row r="224" spans="3:51" x14ac:dyDescent="0.25">
      <c r="C224" s="32">
        <v>16.758302876211665</v>
      </c>
      <c r="D224" s="236">
        <v>19.974339507153747</v>
      </c>
      <c r="E224" s="33">
        <v>7.4490762811118749</v>
      </c>
      <c r="F224" s="8">
        <v>10.060443408608037</v>
      </c>
      <c r="G224">
        <f t="shared" si="39"/>
        <v>-19.190705972424158</v>
      </c>
      <c r="I224">
        <f t="shared" si="40"/>
        <v>-35.05625434549021</v>
      </c>
      <c r="AV224" s="32">
        <v>0.97198156682027648</v>
      </c>
      <c r="AW224" s="236">
        <v>1.1585116914149172</v>
      </c>
      <c r="AX224" s="33">
        <v>0.43204642430448881</v>
      </c>
      <c r="AY224" s="8">
        <v>0.58350571769926618</v>
      </c>
    </row>
    <row r="225" spans="3:51" x14ac:dyDescent="0.25">
      <c r="C225" s="32">
        <v>21.198176680045833</v>
      </c>
      <c r="D225" s="236">
        <v>23.35003272664132</v>
      </c>
      <c r="E225" s="33">
        <v>9.3328882082305675</v>
      </c>
      <c r="F225" s="8">
        <v>9.2675374654494078</v>
      </c>
      <c r="G225">
        <f t="shared" si="39"/>
        <v>-10.151137425989386</v>
      </c>
      <c r="I225">
        <f t="shared" si="40"/>
        <v>0.70021992466948912</v>
      </c>
      <c r="AV225" s="32">
        <v>1.4414760142431169</v>
      </c>
      <c r="AW225" s="236">
        <v>1.5878022254116098</v>
      </c>
      <c r="AX225" s="33">
        <v>0.63463639815967854</v>
      </c>
      <c r="AY225" s="8">
        <v>0.63019254765055976</v>
      </c>
    </row>
    <row r="226" spans="3:51" x14ac:dyDescent="0.25">
      <c r="C226" s="32"/>
      <c r="D226" s="236"/>
      <c r="E226" s="33">
        <v>12.131127229753986</v>
      </c>
      <c r="F226" s="8">
        <v>12.327881546071326</v>
      </c>
      <c r="I226">
        <f t="shared" si="40"/>
        <v>-1.6218964041096018</v>
      </c>
      <c r="AV226" s="32"/>
      <c r="AW226" s="236"/>
      <c r="AX226" s="33">
        <v>0.95835905115056486</v>
      </c>
      <c r="AY226" s="8">
        <v>0.97390264213963473</v>
      </c>
    </row>
    <row r="227" spans="3:51" x14ac:dyDescent="0.25">
      <c r="C227" s="32">
        <v>24.709520910647488</v>
      </c>
      <c r="D227" s="236">
        <v>23.21134924698331</v>
      </c>
      <c r="E227" s="33">
        <v>11.230802615879503</v>
      </c>
      <c r="F227" s="8">
        <v>11.629076699659404</v>
      </c>
      <c r="G227">
        <f t="shared" si="39"/>
        <v>6.0631352144857074</v>
      </c>
      <c r="I227">
        <f t="shared" si="40"/>
        <v>-3.5462655466562265</v>
      </c>
      <c r="AV227" s="32">
        <v>2.1250187983156836</v>
      </c>
      <c r="AW227" s="236">
        <v>1.9961760352405649</v>
      </c>
      <c r="AX227" s="33">
        <v>0.96584902496563729</v>
      </c>
      <c r="AY227" s="8">
        <v>1.0001005961707088</v>
      </c>
    </row>
    <row r="228" spans="3:51" x14ac:dyDescent="0.25">
      <c r="C228" s="32">
        <v>30.31893004115226</v>
      </c>
      <c r="D228" s="236">
        <v>21.367181069958846</v>
      </c>
      <c r="E228" s="33">
        <v>5.4914609053497934</v>
      </c>
      <c r="F228" s="8">
        <v>7.8180041152263371</v>
      </c>
      <c r="G228">
        <f t="shared" si="39"/>
        <v>29.525279945707496</v>
      </c>
      <c r="I228">
        <f t="shared" si="40"/>
        <v>-42.366562377053803</v>
      </c>
      <c r="AV228" s="32">
        <v>2.4558333333333335</v>
      </c>
      <c r="AW228" s="236">
        <v>1.7307416666666666</v>
      </c>
      <c r="AX228" s="33">
        <v>0.44480833333333331</v>
      </c>
      <c r="AY228" s="8">
        <v>0.63325833333333337</v>
      </c>
    </row>
    <row r="229" spans="3:51" x14ac:dyDescent="0.25">
      <c r="C229" s="32">
        <v>38.645564821804342</v>
      </c>
      <c r="D229" s="236">
        <v>36.535922805168525</v>
      </c>
      <c r="E229" s="33">
        <v>15.874732323700776</v>
      </c>
      <c r="F229" s="8">
        <v>15.590944940947651</v>
      </c>
      <c r="G229">
        <f t="shared" si="39"/>
        <v>5.4589498856167031</v>
      </c>
      <c r="I229">
        <f t="shared" si="40"/>
        <v>1.7876671994615896</v>
      </c>
      <c r="AV229" s="32">
        <v>2.0868605003774348</v>
      </c>
      <c r="AW229" s="236">
        <v>1.9729398314791002</v>
      </c>
      <c r="AX229" s="33">
        <v>0.85723554547984193</v>
      </c>
      <c r="AY229" s="8">
        <v>0.84191102681117314</v>
      </c>
    </row>
    <row r="230" spans="3:51" x14ac:dyDescent="0.25">
      <c r="C230" s="32"/>
      <c r="D230" s="236"/>
      <c r="E230" s="33">
        <v>19.499683031799592</v>
      </c>
      <c r="F230" s="8">
        <v>19.741948529027798</v>
      </c>
      <c r="I230">
        <f t="shared" si="40"/>
        <v>-1.2424073603305568</v>
      </c>
      <c r="AV230" s="32"/>
      <c r="AW230" s="236"/>
      <c r="AX230" s="33">
        <v>1.0139835176535787</v>
      </c>
      <c r="AY230" s="8">
        <v>1.0265813235094456</v>
      </c>
    </row>
    <row r="231" spans="3:51" x14ac:dyDescent="0.25">
      <c r="C231" s="32">
        <v>19.936196797563028</v>
      </c>
      <c r="D231" s="236">
        <v>17.783108350583483</v>
      </c>
      <c r="E231" s="33">
        <v>7.0746596333999143</v>
      </c>
      <c r="F231" s="8">
        <v>7.2634318137653482</v>
      </c>
      <c r="G231">
        <f t="shared" si="39"/>
        <v>10.799895631260702</v>
      </c>
      <c r="I231">
        <f t="shared" si="40"/>
        <v>-2.6682863932312517</v>
      </c>
      <c r="AV231" s="32">
        <v>2.0135558765538653</v>
      </c>
      <c r="AW231" s="236">
        <v>1.7960939434089318</v>
      </c>
      <c r="AX231" s="33">
        <v>0.71454062297339127</v>
      </c>
      <c r="AY231" s="8">
        <v>0.73360661319030018</v>
      </c>
    </row>
    <row r="232" spans="3:51" x14ac:dyDescent="0.25">
      <c r="C232" s="32"/>
      <c r="D232" s="236"/>
      <c r="E232" s="33"/>
      <c r="F232" s="8"/>
      <c r="AV232" s="32">
        <v>1.4182035150931083</v>
      </c>
      <c r="AW232" s="236">
        <v>0.93060109396088342</v>
      </c>
      <c r="AX232" s="33">
        <v>0.4106019632543651</v>
      </c>
      <c r="AY232" s="8">
        <v>0.30706946928883555</v>
      </c>
    </row>
    <row r="233" spans="3:51" x14ac:dyDescent="0.25">
      <c r="C233" s="32">
        <v>28.509027667603569</v>
      </c>
      <c r="D233" s="236">
        <v>21.811470989173571</v>
      </c>
      <c r="E233" s="33">
        <v>9.8552438122315635</v>
      </c>
      <c r="F233" s="8">
        <v>13.397338581959415</v>
      </c>
      <c r="G233">
        <f t="shared" si="39"/>
        <v>23.492757299614297</v>
      </c>
      <c r="I233">
        <f t="shared" si="40"/>
        <v>-35.941219083100499</v>
      </c>
      <c r="AV233" s="32">
        <v>2.1096680474026641</v>
      </c>
      <c r="AW233" s="236">
        <v>1.6140488531988444</v>
      </c>
      <c r="AX233" s="33">
        <v>0.72928804210513576</v>
      </c>
      <c r="AY233" s="8">
        <v>0.99140305506499671</v>
      </c>
    </row>
    <row r="234" spans="3:51" x14ac:dyDescent="0.25">
      <c r="C234" s="32"/>
      <c r="D234" s="236"/>
      <c r="E234" s="33">
        <v>16.427930954304273</v>
      </c>
      <c r="F234" s="8">
        <v>16.053874241350272</v>
      </c>
      <c r="I234">
        <f t="shared" si="40"/>
        <v>2.2769557164226741</v>
      </c>
      <c r="AV234" s="32"/>
      <c r="AW234" s="236"/>
      <c r="AX234" s="33">
        <v>1.5770813716132104</v>
      </c>
      <c r="AY234" s="8">
        <v>1.5411719271696263</v>
      </c>
    </row>
    <row r="235" spans="3:51" x14ac:dyDescent="0.25">
      <c r="C235" s="32">
        <v>30.923840031636789</v>
      </c>
      <c r="D235" s="236">
        <v>33.661594702503507</v>
      </c>
      <c r="E235" s="33">
        <v>14.694046796088577</v>
      </c>
      <c r="F235" s="8">
        <v>13.314876200150346</v>
      </c>
      <c r="G235">
        <f t="shared" si="39"/>
        <v>-8.8532170263002392</v>
      </c>
      <c r="I235">
        <f t="shared" si="40"/>
        <v>9.3859140036586339</v>
      </c>
      <c r="AV235" s="32">
        <v>1.7626588818032967</v>
      </c>
      <c r="AW235" s="236">
        <v>1.9187108980426999</v>
      </c>
      <c r="AX235" s="33">
        <v>0.83756066737704882</v>
      </c>
      <c r="AY235" s="8">
        <v>0.75894794340856975</v>
      </c>
    </row>
    <row r="236" spans="3:51" ht="15.75" thickBot="1" x14ac:dyDescent="0.3">
      <c r="C236" s="24">
        <v>53.586773799524281</v>
      </c>
      <c r="D236" s="238">
        <v>53.069460504120244</v>
      </c>
      <c r="E236" s="15">
        <v>24.809552990108873</v>
      </c>
      <c r="F236" s="16">
        <v>18.414058781605732</v>
      </c>
      <c r="G236">
        <f t="shared" si="39"/>
        <v>0.96537495864068867</v>
      </c>
      <c r="I236">
        <f t="shared" si="40"/>
        <v>25.778353245836033</v>
      </c>
      <c r="AV236" s="24">
        <v>2.5185783685776411</v>
      </c>
      <c r="AW236" s="238">
        <v>2.4942646436936511</v>
      </c>
      <c r="AX236" s="15">
        <v>1.166048990535117</v>
      </c>
      <c r="AY236" s="16">
        <v>0.86546076273546946</v>
      </c>
    </row>
    <row r="237" spans="3:51" x14ac:dyDescent="0.25">
      <c r="C237" s="30">
        <v>20.867088271722864</v>
      </c>
      <c r="D237" s="237">
        <v>22.349005065230116</v>
      </c>
      <c r="E237" s="31">
        <v>9.1354227985077667</v>
      </c>
      <c r="F237" s="27">
        <v>12.908478795643671</v>
      </c>
      <c r="G237">
        <f t="shared" si="39"/>
        <v>-7.1016941808570797</v>
      </c>
      <c r="I237">
        <f t="shared" si="40"/>
        <v>-41.30138342094267</v>
      </c>
      <c r="AV237" s="30">
        <v>1.3146265611185404</v>
      </c>
      <c r="AW237" s="237">
        <v>1.4079873191094969</v>
      </c>
      <c r="AX237" s="31">
        <v>1.5620454410028757</v>
      </c>
      <c r="AY237" s="27">
        <v>1.6197068041393283</v>
      </c>
    </row>
    <row r="238" spans="3:51" x14ac:dyDescent="0.25">
      <c r="C238" s="32"/>
      <c r="D238" s="236"/>
      <c r="E238" s="33"/>
      <c r="F238" s="8"/>
      <c r="AV238" s="32"/>
      <c r="AW238" s="236"/>
      <c r="AX238" s="33"/>
      <c r="AY238" s="8"/>
    </row>
    <row r="239" spans="3:51" x14ac:dyDescent="0.25">
      <c r="C239" s="32">
        <v>27.047385085723192</v>
      </c>
      <c r="D239" s="236">
        <v>20.124845254413973</v>
      </c>
      <c r="E239" s="33">
        <v>8.5595332182721204</v>
      </c>
      <c r="F239" s="8">
        <v>10.127162478668795</v>
      </c>
      <c r="G239">
        <f t="shared" si="39"/>
        <v>25.594118652761161</v>
      </c>
      <c r="I239">
        <f t="shared" si="40"/>
        <v>-18.314424635332234</v>
      </c>
      <c r="AV239" s="32">
        <v>2.5154068129722571</v>
      </c>
      <c r="AW239" s="236">
        <v>1.8716106086604993</v>
      </c>
      <c r="AX239" s="33">
        <v>2.0425130565121301</v>
      </c>
      <c r="AY239" s="8">
        <v>2.0889719722946736</v>
      </c>
    </row>
    <row r="240" spans="3:51" x14ac:dyDescent="0.25">
      <c r="C240" s="32">
        <v>44.039638496908204</v>
      </c>
      <c r="D240" s="236">
        <v>31.93630093546853</v>
      </c>
      <c r="E240" s="33">
        <v>9.8998335183129846</v>
      </c>
      <c r="F240" s="8">
        <v>11.46238306643412</v>
      </c>
      <c r="G240">
        <f t="shared" si="39"/>
        <v>27.482826777266546</v>
      </c>
      <c r="I240">
        <f t="shared" si="40"/>
        <v>-15.783594191060764</v>
      </c>
      <c r="AV240" s="32">
        <v>2.3341008403361347</v>
      </c>
      <c r="AW240" s="236">
        <v>1.6926239495798323</v>
      </c>
      <c r="AX240" s="33">
        <v>1.2663576158940395</v>
      </c>
      <c r="AY240" s="8">
        <v>1.6568145695364238</v>
      </c>
    </row>
    <row r="241" spans="3:51" x14ac:dyDescent="0.25">
      <c r="C241" s="32">
        <v>28.079498759855994</v>
      </c>
      <c r="D241" s="236">
        <v>17.409533806074737</v>
      </c>
      <c r="E241" s="33">
        <v>14.937925458735007</v>
      </c>
      <c r="F241" s="8">
        <v>16.447029416418555</v>
      </c>
      <c r="G241">
        <f t="shared" si="39"/>
        <v>37.999128990990499</v>
      </c>
      <c r="I241">
        <f t="shared" si="40"/>
        <v>-10.102500255824305</v>
      </c>
      <c r="AV241" s="32">
        <v>1.7448600529374514</v>
      </c>
      <c r="AW241" s="236">
        <v>1.0818284307094843</v>
      </c>
      <c r="AX241" s="33">
        <v>1.2826426089951286</v>
      </c>
      <c r="AY241" s="8">
        <v>1.4676915942466586</v>
      </c>
    </row>
    <row r="242" spans="3:51" ht="15.75" thickBot="1" x14ac:dyDescent="0.3">
      <c r="C242" s="24">
        <v>29.333831516410115</v>
      </c>
      <c r="D242" s="238">
        <v>32.796427531908833</v>
      </c>
      <c r="E242" s="15">
        <v>20.261102291986205</v>
      </c>
      <c r="F242" s="16">
        <v>21.932871206600787</v>
      </c>
      <c r="G242">
        <f t="shared" si="39"/>
        <v>-11.804104123123675</v>
      </c>
      <c r="I242">
        <f t="shared" si="40"/>
        <v>-8.2511251881681176</v>
      </c>
      <c r="AV242" s="24">
        <v>1.5966404494382029</v>
      </c>
      <c r="AW242" s="238">
        <v>1.785109550561798</v>
      </c>
      <c r="AX242" s="15">
        <v>0.99102000000000001</v>
      </c>
      <c r="AY242" s="8">
        <v>1.216662857142857</v>
      </c>
    </row>
    <row r="243" spans="3:51" x14ac:dyDescent="0.25">
      <c r="C243" s="31">
        <v>49.740889885632889</v>
      </c>
      <c r="D243" s="237">
        <v>35.599368552829262</v>
      </c>
      <c r="E243" s="31">
        <v>24.534709082298093</v>
      </c>
      <c r="F243" s="27">
        <v>27.887643642467488</v>
      </c>
      <c r="G243">
        <f t="shared" si="39"/>
        <v>28.430374617982562</v>
      </c>
      <c r="I243">
        <f t="shared" si="40"/>
        <v>-13.666086477416407</v>
      </c>
      <c r="AV243" s="7">
        <v>3.8797894110793654</v>
      </c>
      <c r="AW243" s="7">
        <v>2.7767507471206825</v>
      </c>
      <c r="AX243" s="7">
        <v>1.9137073084192511</v>
      </c>
      <c r="AY243" s="7">
        <v>2.1752362041124642</v>
      </c>
    </row>
    <row r="244" spans="3:51" x14ac:dyDescent="0.25">
      <c r="C244" s="33">
        <v>26.695882011642247</v>
      </c>
      <c r="D244" s="236">
        <v>21.964036680709338</v>
      </c>
      <c r="E244" s="33">
        <v>12.892070039061224</v>
      </c>
      <c r="F244" s="8">
        <v>12.685944517505622</v>
      </c>
      <c r="G244">
        <f t="shared" si="39"/>
        <v>17.725000915382083</v>
      </c>
      <c r="I244">
        <f t="shared" si="40"/>
        <v>1.5988551173789005</v>
      </c>
      <c r="AV244" s="7">
        <v>2.2958458530012331</v>
      </c>
      <c r="AW244" s="7">
        <v>1.8889071545410032</v>
      </c>
      <c r="AX244" s="7">
        <v>1.1087180233592653</v>
      </c>
      <c r="AY244" s="7">
        <v>1.0909912285054835</v>
      </c>
    </row>
    <row r="245" spans="3:51" x14ac:dyDescent="0.25">
      <c r="C245" s="33">
        <v>43.006476695116788</v>
      </c>
      <c r="D245" s="236">
        <v>27.974249346111193</v>
      </c>
      <c r="E245" s="33">
        <v>23.065481619037435</v>
      </c>
      <c r="F245" s="8">
        <v>26.195181432089427</v>
      </c>
      <c r="G245">
        <f t="shared" si="39"/>
        <v>34.953403543314309</v>
      </c>
      <c r="I245">
        <f t="shared" si="40"/>
        <v>-13.568759866990371</v>
      </c>
      <c r="AV245" s="7">
        <v>3.8705829025605105</v>
      </c>
      <c r="AW245" s="7">
        <v>2.5176824411500074</v>
      </c>
      <c r="AX245" s="7">
        <v>2.0758933457133688</v>
      </c>
      <c r="AY245" s="7">
        <v>2.3575663288880486</v>
      </c>
    </row>
    <row r="246" spans="3:51" x14ac:dyDescent="0.25">
      <c r="C246" s="33">
        <v>39.02991773402001</v>
      </c>
      <c r="D246" s="236">
        <v>36.540273902169119</v>
      </c>
      <c r="E246" s="33">
        <v>25.362173365133359</v>
      </c>
      <c r="F246" s="8">
        <v>25.820787432006728</v>
      </c>
      <c r="G246">
        <f t="shared" si="39"/>
        <v>6.3788088122994431</v>
      </c>
      <c r="I246">
        <f t="shared" si="40"/>
        <v>-1.8082601213658185</v>
      </c>
      <c r="AV246" s="7">
        <v>3.1223934187216011</v>
      </c>
      <c r="AW246" s="7">
        <v>2.9232219121735299</v>
      </c>
      <c r="AX246" s="7">
        <v>2.0289738692106685</v>
      </c>
      <c r="AY246" s="7">
        <v>2.065662994560538</v>
      </c>
    </row>
    <row r="247" spans="3:51" x14ac:dyDescent="0.25">
      <c r="C247" s="33">
        <v>43.14365573942186</v>
      </c>
      <c r="D247" s="236">
        <v>36.538214809384158</v>
      </c>
      <c r="E247" s="33">
        <v>21.057354943443649</v>
      </c>
      <c r="F247" s="8">
        <v>22.823300691244235</v>
      </c>
      <c r="G247">
        <f t="shared" si="39"/>
        <v>15.310341269949641</v>
      </c>
      <c r="I247">
        <f t="shared" si="40"/>
        <v>-8.3863607397206614</v>
      </c>
      <c r="AV247" s="7">
        <v>3.7966417050691241</v>
      </c>
      <c r="AW247" s="7">
        <v>3.215362903225806</v>
      </c>
      <c r="AX247" s="7">
        <v>1.8530472350230411</v>
      </c>
      <c r="AY247" s="7">
        <v>2.0084504608294926</v>
      </c>
    </row>
    <row r="248" spans="3:51" x14ac:dyDescent="0.25">
      <c r="C248" s="33">
        <v>36.252981837896442</v>
      </c>
      <c r="D248" s="236">
        <v>29.477432908647327</v>
      </c>
      <c r="E248" s="33">
        <v>25.139129845486579</v>
      </c>
      <c r="F248" s="8">
        <v>23.370222282461373</v>
      </c>
      <c r="G248">
        <f t="shared" si="39"/>
        <v>18.68963209576987</v>
      </c>
      <c r="I248">
        <f t="shared" si="40"/>
        <v>7.0364709275838004</v>
      </c>
      <c r="AV248" s="7">
        <v>3.6978041474654377</v>
      </c>
      <c r="AW248" s="7">
        <v>3.0066981566820274</v>
      </c>
      <c r="AX248" s="7">
        <v>2.5641912442396313</v>
      </c>
      <c r="AY248" s="7">
        <v>2.3837626728110601</v>
      </c>
    </row>
    <row r="249" spans="3:51" x14ac:dyDescent="0.25">
      <c r="C249" s="33"/>
      <c r="D249" s="236"/>
      <c r="E249" s="33"/>
      <c r="F249" s="8"/>
      <c r="AV249" s="7"/>
      <c r="AW249" s="7"/>
      <c r="AX249" s="7"/>
      <c r="AY249" s="7"/>
    </row>
    <row r="250" spans="3:51" x14ac:dyDescent="0.25">
      <c r="C250" s="33"/>
      <c r="D250" s="236"/>
      <c r="E250" s="33"/>
      <c r="F250" s="8"/>
      <c r="AV250" s="7"/>
      <c r="AW250" s="7"/>
      <c r="AX250" s="7"/>
      <c r="AY250" s="7"/>
    </row>
    <row r="251" spans="3:51" x14ac:dyDescent="0.25">
      <c r="C251" s="33">
        <v>22.908035427164485</v>
      </c>
      <c r="D251" s="236">
        <v>16.254936456749739</v>
      </c>
      <c r="E251" s="33">
        <v>16.014440078492022</v>
      </c>
      <c r="F251" s="8">
        <v>16.509645510688575</v>
      </c>
      <c r="G251">
        <f t="shared" si="39"/>
        <v>29.042643100357097</v>
      </c>
      <c r="I251">
        <f t="shared" si="40"/>
        <v>-3.0922431865827869</v>
      </c>
      <c r="AV251" s="7">
        <v>2.1991714010077903</v>
      </c>
      <c r="AW251" s="7">
        <v>1.5604738998479748</v>
      </c>
      <c r="AX251" s="7">
        <v>1.537386247535234</v>
      </c>
      <c r="AY251" s="7">
        <v>1.5849259690261031</v>
      </c>
    </row>
    <row r="252" spans="3:51" x14ac:dyDescent="0.25">
      <c r="C252" s="33">
        <v>18.381492897032679</v>
      </c>
      <c r="D252" s="236">
        <v>17.531464237810518</v>
      </c>
      <c r="E252" s="33">
        <v>17.789811117988116</v>
      </c>
      <c r="F252" s="8">
        <v>20.904390236343954</v>
      </c>
      <c r="G252">
        <f t="shared" si="39"/>
        <v>4.6243722639056228</v>
      </c>
      <c r="I252">
        <f t="shared" si="40"/>
        <v>-17.507657038621058</v>
      </c>
      <c r="AV252" s="7">
        <v>1.8565307826003006</v>
      </c>
      <c r="AW252" s="7">
        <v>1.7706778880188621</v>
      </c>
      <c r="AX252" s="7">
        <v>1.7967709229167999</v>
      </c>
      <c r="AY252" s="7">
        <v>2.1113434138707392</v>
      </c>
    </row>
    <row r="253" spans="3:51" x14ac:dyDescent="0.25">
      <c r="C253" s="33">
        <v>90.765619733019108</v>
      </c>
      <c r="D253" s="236">
        <v>70.100483380717037</v>
      </c>
      <c r="E253" s="33">
        <v>21.835088679614429</v>
      </c>
      <c r="F253" s="8">
        <v>24.728957174285281</v>
      </c>
      <c r="G253">
        <f t="shared" si="39"/>
        <v>22.767581396003422</v>
      </c>
      <c r="I253">
        <f t="shared" si="40"/>
        <v>-13.253293985348504</v>
      </c>
      <c r="AV253" s="7">
        <v>4.4475153669179353</v>
      </c>
      <c r="AW253" s="7">
        <v>3.434923685655134</v>
      </c>
      <c r="AX253" s="7">
        <v>1.0699193453011071</v>
      </c>
      <c r="AY253" s="7">
        <v>1.2117189015399787</v>
      </c>
    </row>
    <row r="254" spans="3:51" x14ac:dyDescent="0.25">
      <c r="C254" s="33">
        <v>61.112181070274296</v>
      </c>
      <c r="D254" s="236">
        <v>46.501027026573354</v>
      </c>
      <c r="E254" s="33">
        <v>28.131548085797029</v>
      </c>
      <c r="F254" s="8">
        <v>30.863012328927759</v>
      </c>
      <c r="G254">
        <f t="shared" si="39"/>
        <v>23.908742558049504</v>
      </c>
      <c r="I254">
        <f t="shared" si="40"/>
        <v>-9.7096122644945524</v>
      </c>
      <c r="AV254" s="7">
        <v>3.0556090535137153</v>
      </c>
      <c r="AW254" s="7">
        <v>2.3250513513286677</v>
      </c>
      <c r="AX254" s="7">
        <v>1.4065774042898513</v>
      </c>
      <c r="AY254" s="7">
        <v>1.543150616446388</v>
      </c>
    </row>
    <row r="255" spans="3:51" x14ac:dyDescent="0.25">
      <c r="C255" s="33">
        <v>52.702875424223251</v>
      </c>
      <c r="D255" s="236">
        <v>42.855182294505994</v>
      </c>
      <c r="E255" s="33">
        <v>22.886491255513285</v>
      </c>
      <c r="F255" s="8">
        <v>28.641455374114347</v>
      </c>
      <c r="G255">
        <f t="shared" si="39"/>
        <v>18.68530521427882</v>
      </c>
      <c r="I255">
        <f t="shared" si="40"/>
        <v>-25.145681154662402</v>
      </c>
      <c r="R255">
        <v>-1</v>
      </c>
      <c r="S255">
        <v>-1</v>
      </c>
      <c r="AV255" s="7">
        <v>2.529738020362716</v>
      </c>
      <c r="AW255" s="7">
        <v>2.0570487501362877</v>
      </c>
      <c r="AX255" s="7">
        <v>1.0985515802646377</v>
      </c>
      <c r="AY255" s="7">
        <v>1.3747898579574886</v>
      </c>
    </row>
    <row r="256" spans="3:51" x14ac:dyDescent="0.25">
      <c r="C256" s="33"/>
      <c r="D256" s="236"/>
      <c r="E256" s="33">
        <v>15.27963318638119</v>
      </c>
      <c r="F256" s="8">
        <v>15.642106567809739</v>
      </c>
      <c r="I256">
        <f t="shared" si="40"/>
        <v>-2.3722649425355513</v>
      </c>
      <c r="R256">
        <v>101</v>
      </c>
      <c r="S256">
        <v>101</v>
      </c>
      <c r="AV256" s="7"/>
      <c r="AW256" s="7"/>
      <c r="AX256" s="7">
        <v>1.375166986774307</v>
      </c>
      <c r="AY256" s="7">
        <v>1.4077895911028766</v>
      </c>
    </row>
    <row r="257" spans="3:51" x14ac:dyDescent="0.25">
      <c r="C257" s="33">
        <v>44.334388457090768</v>
      </c>
      <c r="D257" s="236">
        <v>33.549184165082934</v>
      </c>
      <c r="E257" s="33">
        <v>22.6078194901303</v>
      </c>
      <c r="F257" s="8">
        <v>22.804066308482632</v>
      </c>
      <c r="G257">
        <f t="shared" si="39"/>
        <v>24.326949502069574</v>
      </c>
      <c r="I257">
        <f t="shared" si="40"/>
        <v>-0.86804841324040916</v>
      </c>
      <c r="AV257" s="7">
        <v>3.1477415804534448</v>
      </c>
      <c r="AW257" s="7">
        <v>2.381992075720889</v>
      </c>
      <c r="AX257" s="7">
        <v>1.6051551837992513</v>
      </c>
      <c r="AY257" s="7">
        <v>1.6190887079022669</v>
      </c>
    </row>
    <row r="258" spans="3:51" x14ac:dyDescent="0.25">
      <c r="C258" s="33">
        <v>31.377437229181727</v>
      </c>
      <c r="D258" s="236">
        <v>23.184805515162665</v>
      </c>
      <c r="E258" s="33"/>
      <c r="F258" s="8"/>
      <c r="G258">
        <f t="shared" si="39"/>
        <v>26.109945353981072</v>
      </c>
      <c r="AV258" s="7">
        <v>3.2318760346057172</v>
      </c>
      <c r="AW258" s="7">
        <v>2.3880349680617545</v>
      </c>
      <c r="AX258" s="7"/>
      <c r="AY258" s="7"/>
    </row>
    <row r="259" spans="3:51" x14ac:dyDescent="0.25">
      <c r="C259" s="33">
        <v>34.139655636513297</v>
      </c>
      <c r="D259" s="236">
        <v>14.682570945525105</v>
      </c>
      <c r="E259" s="33">
        <v>15.089636485137301</v>
      </c>
      <c r="F259" s="8">
        <v>17.55090094192618</v>
      </c>
      <c r="G259">
        <f t="shared" si="39"/>
        <v>56.992621419936953</v>
      </c>
      <c r="I259">
        <f t="shared" si="40"/>
        <v>-16.310959241550499</v>
      </c>
      <c r="AV259" s="7">
        <v>3.3115465967417901</v>
      </c>
      <c r="AW259" s="7">
        <v>1.4242093817159351</v>
      </c>
      <c r="AX259" s="7">
        <v>1.4636947390583182</v>
      </c>
      <c r="AY259" s="7">
        <v>1.7024373913668394</v>
      </c>
    </row>
    <row r="260" spans="3:51" x14ac:dyDescent="0.25">
      <c r="C260" s="33">
        <v>61.123183427462905</v>
      </c>
      <c r="D260" s="236">
        <v>46.198433399065159</v>
      </c>
      <c r="E260" s="33"/>
      <c r="F260" s="8"/>
      <c r="G260">
        <f t="shared" ref="G260:G290" si="41">(C260-D260)/C260*100</f>
        <v>24.417494625602227</v>
      </c>
      <c r="AV260" s="7">
        <v>3.7285141890752369</v>
      </c>
      <c r="AW260" s="7">
        <v>2.8181044373429747</v>
      </c>
      <c r="AX260" s="7"/>
      <c r="AY260" s="7"/>
    </row>
    <row r="261" spans="3:51" x14ac:dyDescent="0.25">
      <c r="C261" s="33">
        <v>34.168072457556072</v>
      </c>
      <c r="D261" s="236">
        <v>24.519948025952409</v>
      </c>
      <c r="E261" s="33">
        <v>18.476408027951912</v>
      </c>
      <c r="F261" s="8">
        <v>16.288004414319097</v>
      </c>
      <c r="G261">
        <f t="shared" si="41"/>
        <v>28.237251146047704</v>
      </c>
      <c r="I261">
        <f t="shared" ref="I261:I290" si="42">(E261-F261)/E261*100</f>
        <v>11.844313084675889</v>
      </c>
      <c r="AV261" s="7">
        <v>2.4942692894015934</v>
      </c>
      <c r="AW261" s="7">
        <v>1.789956205894526</v>
      </c>
      <c r="AX261" s="7">
        <v>1.3487777860404897</v>
      </c>
      <c r="AY261" s="7">
        <v>1.1890243222452941</v>
      </c>
    </row>
    <row r="262" spans="3:51" x14ac:dyDescent="0.25">
      <c r="C262" s="33">
        <v>53.368780385047145</v>
      </c>
      <c r="D262" s="236">
        <v>48.234106596643109</v>
      </c>
      <c r="E262" s="33">
        <v>21.978757507884378</v>
      </c>
      <c r="F262" s="8">
        <v>19.327303741332042</v>
      </c>
      <c r="G262">
        <f t="shared" si="41"/>
        <v>9.6211188476824709</v>
      </c>
      <c r="I262">
        <f t="shared" si="42"/>
        <v>12.063710906320285</v>
      </c>
      <c r="AV262" s="7">
        <v>2.8285453604074995</v>
      </c>
      <c r="AW262" s="7">
        <v>2.5564076496220847</v>
      </c>
      <c r="AX262" s="7">
        <v>1.1648741479178721</v>
      </c>
      <c r="AY262" s="7">
        <v>1.0243470982905982</v>
      </c>
    </row>
    <row r="263" spans="3:51" ht="15.75" thickBot="1" x14ac:dyDescent="0.3">
      <c r="C263" s="15"/>
      <c r="D263" s="238"/>
      <c r="E263" s="15">
        <v>13.499579361199782</v>
      </c>
      <c r="F263" s="16">
        <v>13.823445938751645</v>
      </c>
      <c r="I263">
        <f t="shared" si="42"/>
        <v>-2.3990864373353271</v>
      </c>
      <c r="AV263" s="7"/>
      <c r="AW263" s="7"/>
      <c r="AX263" s="7">
        <v>1.2824600393139796</v>
      </c>
      <c r="AY263" s="7">
        <v>1.3132273641814063</v>
      </c>
    </row>
    <row r="264" spans="3:51" x14ac:dyDescent="0.25">
      <c r="C264" s="30">
        <v>12.740381911189036</v>
      </c>
      <c r="D264" s="237">
        <v>10.158848096179064</v>
      </c>
      <c r="E264" s="31">
        <v>5.9461403332558458</v>
      </c>
      <c r="F264" s="27">
        <v>5.7870437872101395</v>
      </c>
      <c r="G264">
        <f t="shared" si="41"/>
        <v>20.262609339385516</v>
      </c>
      <c r="I264">
        <f t="shared" si="42"/>
        <v>2.6756271653378896</v>
      </c>
      <c r="AV264" s="7">
        <v>1.0064901709839342</v>
      </c>
      <c r="AW264" s="7">
        <v>0.80254899959814596</v>
      </c>
      <c r="AX264" s="7">
        <v>0.4697450863272119</v>
      </c>
      <c r="AY264" s="7">
        <v>0.45717645918960104</v>
      </c>
    </row>
    <row r="265" spans="3:51" x14ac:dyDescent="0.25">
      <c r="C265" s="32"/>
      <c r="D265" s="236"/>
      <c r="E265" s="33">
        <v>28.143979382541968</v>
      </c>
      <c r="F265" s="8">
        <v>25.445150003899862</v>
      </c>
      <c r="I265">
        <f t="shared" si="42"/>
        <v>9.5893666704297722</v>
      </c>
      <c r="AV265" s="7"/>
      <c r="AW265" s="7"/>
      <c r="AX265" s="7">
        <v>1.2946230515969306</v>
      </c>
      <c r="AY265" s="7">
        <v>1.1704769001793938</v>
      </c>
    </row>
    <row r="266" spans="3:51" x14ac:dyDescent="0.25">
      <c r="C266" s="32">
        <v>21.437795591182358</v>
      </c>
      <c r="D266" s="236">
        <v>23.425490981963929</v>
      </c>
      <c r="E266" s="33">
        <v>15.544208416833667</v>
      </c>
      <c r="F266" s="8">
        <v>16.012905811623245</v>
      </c>
      <c r="G266">
        <f t="shared" si="41"/>
        <v>-9.2719206241482031</v>
      </c>
      <c r="I266">
        <f t="shared" si="42"/>
        <v>-3.0152541848448182</v>
      </c>
      <c r="AV266" s="7">
        <v>1.0718897795591182</v>
      </c>
      <c r="AW266" s="7">
        <v>1.1712745490981964</v>
      </c>
      <c r="AX266" s="7">
        <v>0.77721042084168335</v>
      </c>
      <c r="AY266" s="7">
        <v>0.80064529058116229</v>
      </c>
    </row>
    <row r="267" spans="3:51" x14ac:dyDescent="0.25">
      <c r="C267" s="32">
        <v>40.254585781493269</v>
      </c>
      <c r="D267" s="236">
        <v>27.385761495784593</v>
      </c>
      <c r="E267" s="33">
        <v>33.901764347927426</v>
      </c>
      <c r="F267" s="8">
        <v>36.953703150302346</v>
      </c>
      <c r="G267">
        <f t="shared" si="41"/>
        <v>31.968591989897003</v>
      </c>
      <c r="I267">
        <f t="shared" si="42"/>
        <v>-9.0023007978388581</v>
      </c>
      <c r="AV267" s="7">
        <v>1.8919655317301833</v>
      </c>
      <c r="AW267" s="7">
        <v>1.2871307903018758</v>
      </c>
      <c r="AX267" s="7">
        <v>1.5933829243525888</v>
      </c>
      <c r="AY267" s="7">
        <v>1.7368240480642101</v>
      </c>
    </row>
    <row r="268" spans="3:51" x14ac:dyDescent="0.25">
      <c r="C268" s="32">
        <v>22.588423862431327</v>
      </c>
      <c r="D268" s="236">
        <v>22.219933708786151</v>
      </c>
      <c r="E268" s="33">
        <v>16.588297412452441</v>
      </c>
      <c r="F268" s="8">
        <v>18.945476520171297</v>
      </c>
      <c r="G268">
        <f t="shared" si="41"/>
        <v>1.6313229992909888</v>
      </c>
      <c r="I268">
        <f t="shared" si="42"/>
        <v>-14.209891763511415</v>
      </c>
      <c r="AV268" s="7">
        <v>1.5360128226453302</v>
      </c>
      <c r="AW268" s="7">
        <v>1.5109554921974579</v>
      </c>
      <c r="AX268" s="7">
        <v>1.128004224046766</v>
      </c>
      <c r="AY268" s="7">
        <v>1.2882924033716483</v>
      </c>
    </row>
    <row r="269" spans="3:51" ht="15.75" thickBot="1" x14ac:dyDescent="0.3">
      <c r="C269" s="24"/>
      <c r="D269" s="238"/>
      <c r="E269" s="15">
        <v>19.387216669555336</v>
      </c>
      <c r="F269" s="16">
        <v>21.555022477206716</v>
      </c>
      <c r="I269">
        <f t="shared" si="42"/>
        <v>-11.181624699411277</v>
      </c>
      <c r="AV269" s="7"/>
      <c r="AW269" s="7"/>
      <c r="AX269" s="7">
        <v>1.841785583607757</v>
      </c>
      <c r="AY269" s="7">
        <v>2.0477271353346378</v>
      </c>
    </row>
    <row r="270" spans="3:51" x14ac:dyDescent="0.25">
      <c r="C270" s="31"/>
      <c r="D270" s="237"/>
      <c r="E270" s="31"/>
      <c r="F270" s="27"/>
      <c r="AV270" s="7">
        <v>3.6068903949690005</v>
      </c>
      <c r="AW270" s="7">
        <v>2.9400127362539998</v>
      </c>
      <c r="AX270" s="7">
        <v>2.4542180828369999</v>
      </c>
      <c r="AY270" s="7">
        <v>2.378682805725</v>
      </c>
    </row>
    <row r="271" spans="3:51" x14ac:dyDescent="0.25">
      <c r="C271" s="33">
        <v>37.007163513771062</v>
      </c>
      <c r="D271" s="236">
        <v>23.15440942762536</v>
      </c>
      <c r="E271" s="33">
        <v>21.676429364208417</v>
      </c>
      <c r="F271" s="8">
        <v>24.983996204125084</v>
      </c>
      <c r="G271">
        <f t="shared" si="41"/>
        <v>37.432628634158441</v>
      </c>
      <c r="I271">
        <f t="shared" si="42"/>
        <v>-15.258817697060568</v>
      </c>
      <c r="AV271" s="7">
        <v>2.1834226473124927</v>
      </c>
      <c r="AW271" s="7">
        <v>1.3661101562298961</v>
      </c>
      <c r="AX271" s="7">
        <v>1.2789093324882965</v>
      </c>
      <c r="AY271" s="7">
        <v>1.4740557760433799</v>
      </c>
    </row>
    <row r="272" spans="3:51" x14ac:dyDescent="0.25">
      <c r="C272" s="33">
        <v>20.976473201496759</v>
      </c>
      <c r="D272" s="236">
        <v>22.905251694521159</v>
      </c>
      <c r="E272" s="33">
        <v>13.811447202668381</v>
      </c>
      <c r="F272" s="8">
        <v>14.685663172805336</v>
      </c>
      <c r="G272">
        <f t="shared" si="41"/>
        <v>-9.1949608234751921</v>
      </c>
      <c r="I272">
        <f t="shared" si="42"/>
        <v>-6.3296478443479565</v>
      </c>
      <c r="AV272" s="7">
        <v>1.216635445686812</v>
      </c>
      <c r="AW272" s="7">
        <v>1.3285045982822272</v>
      </c>
      <c r="AX272" s="7">
        <v>0.80106393775476614</v>
      </c>
      <c r="AY272" s="7">
        <v>0.85176846402270945</v>
      </c>
    </row>
    <row r="273" spans="3:51" x14ac:dyDescent="0.25">
      <c r="C273" s="33">
        <v>34.605897225920863</v>
      </c>
      <c r="D273" s="236">
        <v>34.249458146010682</v>
      </c>
      <c r="E273" s="33">
        <v>19.639391041086057</v>
      </c>
      <c r="F273" s="8">
        <v>21.029730818193975</v>
      </c>
      <c r="G273">
        <f t="shared" si="41"/>
        <v>1.0299951987466398</v>
      </c>
      <c r="I273">
        <f t="shared" si="42"/>
        <v>-7.0793426038480307</v>
      </c>
      <c r="AV273" s="7">
        <v>2.3532010113626187</v>
      </c>
      <c r="AW273" s="7">
        <v>2.3289631539287265</v>
      </c>
      <c r="AX273" s="7">
        <v>1.3354785907938516</v>
      </c>
      <c r="AY273" s="7">
        <v>1.4300216956371903</v>
      </c>
    </row>
    <row r="274" spans="3:51" x14ac:dyDescent="0.25">
      <c r="C274" s="33"/>
      <c r="D274" s="236"/>
      <c r="E274" s="33">
        <v>18.878001953671326</v>
      </c>
      <c r="F274" s="8">
        <v>19.915754328443217</v>
      </c>
      <c r="I274">
        <f t="shared" si="42"/>
        <v>-5.4971515381693914</v>
      </c>
      <c r="AV274" s="7"/>
      <c r="AW274" s="7"/>
      <c r="AX274" s="7">
        <v>1.4913621543400348</v>
      </c>
      <c r="AY274" s="7">
        <v>1.5733445919470141</v>
      </c>
    </row>
    <row r="275" spans="3:51" x14ac:dyDescent="0.25">
      <c r="C275" s="33">
        <v>38.727462701763699</v>
      </c>
      <c r="D275" s="236">
        <v>23.460020160494384</v>
      </c>
      <c r="E275" s="33">
        <v>19.33944017426505</v>
      </c>
      <c r="F275" s="8">
        <v>22.552804446258456</v>
      </c>
      <c r="G275">
        <f t="shared" si="41"/>
        <v>39.422780311848356</v>
      </c>
      <c r="I275">
        <f t="shared" si="42"/>
        <v>-16.615601294754242</v>
      </c>
      <c r="AV275" s="7">
        <v>3.3305617923516779</v>
      </c>
      <c r="AW275" s="7">
        <v>2.0175617338025171</v>
      </c>
      <c r="AX275" s="7">
        <v>1.6631918549867941</v>
      </c>
      <c r="AY275" s="7">
        <v>1.9395411823782274</v>
      </c>
    </row>
    <row r="276" spans="3:51" x14ac:dyDescent="0.25">
      <c r="C276" s="33">
        <v>30.019191919191915</v>
      </c>
      <c r="D276" s="236">
        <v>18.068911335578001</v>
      </c>
      <c r="E276" s="33">
        <v>10.278226711560045</v>
      </c>
      <c r="F276" s="8">
        <v>12.049158249158246</v>
      </c>
      <c r="G276">
        <f t="shared" si="41"/>
        <v>39.808801701866741</v>
      </c>
      <c r="I276">
        <f t="shared" si="42"/>
        <v>-17.229932626475474</v>
      </c>
      <c r="AV276" s="7">
        <v>2.4315545454545457</v>
      </c>
      <c r="AW276" s="7">
        <v>1.4635818181818179</v>
      </c>
      <c r="AX276" s="7">
        <v>0.83253636363636363</v>
      </c>
      <c r="AY276" s="7">
        <v>0.97598181818181806</v>
      </c>
    </row>
    <row r="277" spans="3:51" x14ac:dyDescent="0.25">
      <c r="C277" s="33">
        <v>56.193133226435471</v>
      </c>
      <c r="D277" s="236">
        <v>46.596910725299878</v>
      </c>
      <c r="E277" s="33">
        <v>29.678383496889573</v>
      </c>
      <c r="F277" s="8">
        <v>30.852080734031244</v>
      </c>
      <c r="G277">
        <f t="shared" si="41"/>
        <v>17.077215578043528</v>
      </c>
      <c r="I277">
        <f t="shared" si="42"/>
        <v>-3.9547209074398513</v>
      </c>
      <c r="AV277" s="7">
        <v>3.0344291942275157</v>
      </c>
      <c r="AW277" s="7">
        <v>2.5162331791661932</v>
      </c>
      <c r="AX277" s="7">
        <v>1.6026327088320371</v>
      </c>
      <c r="AY277" s="7">
        <v>1.666012359637687</v>
      </c>
    </row>
    <row r="278" spans="3:51" x14ac:dyDescent="0.25">
      <c r="C278" s="33"/>
      <c r="D278" s="236"/>
      <c r="E278" s="33">
        <v>24.880907467727166</v>
      </c>
      <c r="F278" s="8">
        <v>23.872334746822986</v>
      </c>
      <c r="I278">
        <f t="shared" si="42"/>
        <v>4.0536010280669696</v>
      </c>
      <c r="AV278" s="7"/>
      <c r="AW278" s="7"/>
      <c r="AX278" s="7">
        <v>1.2938071883218125</v>
      </c>
      <c r="AY278" s="7">
        <v>1.2413614068347953</v>
      </c>
    </row>
    <row r="279" spans="3:51" x14ac:dyDescent="0.25">
      <c r="C279" s="33">
        <v>23.695187504120828</v>
      </c>
      <c r="D279" s="236">
        <v>19.505279212252685</v>
      </c>
      <c r="E279" s="33">
        <v>19.682244505242842</v>
      </c>
      <c r="F279" s="8">
        <v>21.757784359681029</v>
      </c>
      <c r="G279">
        <f t="shared" si="41"/>
        <v>17.682528535127553</v>
      </c>
      <c r="I279">
        <f t="shared" si="42"/>
        <v>-10.545239664537835</v>
      </c>
      <c r="AV279" s="7">
        <v>2.3932139379162036</v>
      </c>
      <c r="AW279" s="7">
        <v>1.9700332004375207</v>
      </c>
      <c r="AX279" s="7">
        <v>1.9879066950295272</v>
      </c>
      <c r="AY279" s="7">
        <v>2.197536220327784</v>
      </c>
    </row>
    <row r="280" spans="3:51" x14ac:dyDescent="0.25">
      <c r="C280" s="33"/>
      <c r="D280" s="236"/>
      <c r="E280" s="33"/>
      <c r="F280" s="8"/>
      <c r="AV280" s="7">
        <v>3.4021227651125718</v>
      </c>
      <c r="AW280" s="7">
        <v>2.3155504026636895</v>
      </c>
      <c r="AX280" s="7">
        <v>1.9872295950765573</v>
      </c>
      <c r="AY280" s="7">
        <v>2.2092204012250094</v>
      </c>
    </row>
    <row r="281" spans="3:51" x14ac:dyDescent="0.25">
      <c r="C281" s="33">
        <v>35.375058539177331</v>
      </c>
      <c r="D281" s="236">
        <v>25.465503021863583</v>
      </c>
      <c r="E281" s="33">
        <v>17.581080731430692</v>
      </c>
      <c r="F281" s="8">
        <v>18.408266211437514</v>
      </c>
      <c r="G281">
        <f t="shared" si="41"/>
        <v>28.012831431329133</v>
      </c>
      <c r="I281">
        <f t="shared" si="42"/>
        <v>-4.7049751527960151</v>
      </c>
      <c r="AV281" s="7">
        <v>2.6177543318991225</v>
      </c>
      <c r="AW281" s="7">
        <v>1.8844472236179051</v>
      </c>
      <c r="AX281" s="7">
        <v>1.3009999741258711</v>
      </c>
      <c r="AY281" s="7">
        <v>1.362211699646376</v>
      </c>
    </row>
    <row r="282" spans="3:51" x14ac:dyDescent="0.25">
      <c r="C282" s="33"/>
      <c r="D282" s="236"/>
      <c r="E282" s="33">
        <v>20.568112338018661</v>
      </c>
      <c r="F282" s="8">
        <v>20.813552772038936</v>
      </c>
      <c r="I282">
        <f t="shared" si="42"/>
        <v>-1.1933055887029334</v>
      </c>
      <c r="AV282" s="7"/>
      <c r="AW282" s="7"/>
      <c r="AX282" s="7">
        <v>1.9745387844497915</v>
      </c>
      <c r="AY282" s="7">
        <v>1.9981010661157377</v>
      </c>
    </row>
    <row r="283" spans="3:51" x14ac:dyDescent="0.25">
      <c r="C283" s="33">
        <v>38.36957780795899</v>
      </c>
      <c r="D283" s="236">
        <v>32.177664868916366</v>
      </c>
      <c r="E283" s="33">
        <v>24.824518904809064</v>
      </c>
      <c r="F283" s="8">
        <v>24.321053536725515</v>
      </c>
      <c r="G283">
        <f t="shared" si="41"/>
        <v>16.137558171823922</v>
      </c>
      <c r="I283">
        <f t="shared" si="42"/>
        <v>2.0280971809126065</v>
      </c>
      <c r="AV283" s="7">
        <v>2.1870659350536625</v>
      </c>
      <c r="AW283" s="7">
        <v>1.834126897528233</v>
      </c>
      <c r="AX283" s="7">
        <v>1.4149975775741166</v>
      </c>
      <c r="AY283" s="7">
        <v>1.3863000515933543</v>
      </c>
    </row>
    <row r="284" spans="3:51" ht="15.75" thickBot="1" x14ac:dyDescent="0.3">
      <c r="C284" s="15">
        <v>83.248786790287284</v>
      </c>
      <c r="D284" s="238">
        <v>58.351714310946001</v>
      </c>
      <c r="E284" s="15">
        <v>38.104077080025895</v>
      </c>
      <c r="F284" s="16">
        <v>31.713263917528309</v>
      </c>
      <c r="G284">
        <f t="shared" si="41"/>
        <v>29.906829203481017</v>
      </c>
      <c r="I284">
        <f t="shared" si="42"/>
        <v>16.771993057529379</v>
      </c>
      <c r="AV284" s="7">
        <v>3.912692979143503</v>
      </c>
      <c r="AW284" s="7">
        <v>2.742530572614462</v>
      </c>
      <c r="AX284" s="7">
        <v>1.7908916227612173</v>
      </c>
      <c r="AY284" s="7">
        <v>1.4905234041238307</v>
      </c>
    </row>
    <row r="285" spans="3:51" x14ac:dyDescent="0.25">
      <c r="C285" s="30">
        <v>29.835822252152717</v>
      </c>
      <c r="D285" s="237">
        <v>27.940800623560477</v>
      </c>
      <c r="E285" s="31">
        <v>24.794372079410724</v>
      </c>
      <c r="F285" s="27">
        <v>25.70963181173537</v>
      </c>
      <c r="G285">
        <f t="shared" si="41"/>
        <v>6.3514979160847824</v>
      </c>
      <c r="I285">
        <f t="shared" si="42"/>
        <v>-3.6914011348755986</v>
      </c>
      <c r="AV285" s="7">
        <v>1.879656801885621</v>
      </c>
      <c r="AW285" s="7">
        <v>1.76027043928431</v>
      </c>
      <c r="AX285" s="7">
        <v>1.5620454410028757</v>
      </c>
      <c r="AY285" s="7">
        <v>1.6197068041393283</v>
      </c>
    </row>
    <row r="286" spans="3:51" x14ac:dyDescent="0.25">
      <c r="C286" s="32"/>
      <c r="D286" s="236"/>
      <c r="E286" s="33"/>
      <c r="F286" s="8"/>
      <c r="AV286" s="7"/>
      <c r="AW286" s="7"/>
      <c r="AX286" s="7"/>
      <c r="AY286" s="7"/>
    </row>
    <row r="287" spans="3:51" x14ac:dyDescent="0.25">
      <c r="C287" s="32">
        <v>35.450578307966055</v>
      </c>
      <c r="D287" s="236">
        <v>31.502262625448957</v>
      </c>
      <c r="E287" s="33">
        <v>21.962505984001385</v>
      </c>
      <c r="F287" s="8">
        <v>22.462064218222299</v>
      </c>
      <c r="G287">
        <f t="shared" si="41"/>
        <v>11.137521222410854</v>
      </c>
      <c r="I287">
        <f t="shared" si="42"/>
        <v>-2.2745957796656588</v>
      </c>
      <c r="AV287" s="7">
        <v>3.2969037826408432</v>
      </c>
      <c r="AW287" s="7">
        <v>2.9297104241667524</v>
      </c>
      <c r="AX287" s="7">
        <v>2.0425130565121288</v>
      </c>
      <c r="AY287" s="7">
        <v>2.0889719722946736</v>
      </c>
    </row>
    <row r="288" spans="3:51" x14ac:dyDescent="0.25">
      <c r="C288" s="32">
        <v>61.007372235411715</v>
      </c>
      <c r="D288" s="236">
        <v>46.435711608146939</v>
      </c>
      <c r="E288" s="33">
        <v>23.893539922529051</v>
      </c>
      <c r="F288" s="8">
        <v>31.260652255404224</v>
      </c>
      <c r="G288">
        <f t="shared" si="41"/>
        <v>23.885081578397603</v>
      </c>
      <c r="I288">
        <f t="shared" si="42"/>
        <v>-30.833071854408541</v>
      </c>
      <c r="AV288" s="7">
        <v>3.2333907284768211</v>
      </c>
      <c r="AW288" s="7">
        <v>2.4610927152317879</v>
      </c>
      <c r="AX288" s="7">
        <v>1.2663576158940395</v>
      </c>
      <c r="AY288" s="7">
        <v>1.6568145695364238</v>
      </c>
    </row>
    <row r="289" spans="3:51" x14ac:dyDescent="0.25">
      <c r="C289" s="32">
        <v>35.692249008140188</v>
      </c>
      <c r="D289" s="236">
        <v>27.745565710092155</v>
      </c>
      <c r="E289" s="33">
        <v>20.641174911411792</v>
      </c>
      <c r="F289" s="8">
        <v>23.619111590709021</v>
      </c>
      <c r="G289">
        <f t="shared" si="41"/>
        <v>22.264451019143301</v>
      </c>
      <c r="I289">
        <f t="shared" si="42"/>
        <v>-14.427166535228727</v>
      </c>
      <c r="AV289" s="7">
        <v>2.217916353365831</v>
      </c>
      <c r="AW289" s="7">
        <v>1.7241094532251267</v>
      </c>
      <c r="AX289" s="7">
        <v>1.2826426089951286</v>
      </c>
      <c r="AY289" s="7">
        <v>1.4676915942466586</v>
      </c>
    </row>
    <row r="290" spans="3:51" ht="15.75" thickBot="1" x14ac:dyDescent="0.3">
      <c r="C290" s="24">
        <v>35.138132857405324</v>
      </c>
      <c r="D290" s="238">
        <v>32.526232907272771</v>
      </c>
      <c r="E290" s="15">
        <v>18.207238655153407</v>
      </c>
      <c r="F290" s="8">
        <v>22.352799139130205</v>
      </c>
      <c r="G290">
        <f t="shared" si="41"/>
        <v>7.4332348868164129</v>
      </c>
      <c r="I290">
        <f t="shared" si="42"/>
        <v>-22.768749081033391</v>
      </c>
      <c r="AV290" s="7">
        <v>1.9125685714285718</v>
      </c>
      <c r="AW290" s="7">
        <v>1.7704028571428572</v>
      </c>
      <c r="AX290" s="7">
        <v>0.99102000000000001</v>
      </c>
      <c r="AY290" s="7">
        <v>1.216662857142857</v>
      </c>
    </row>
    <row r="291" spans="3:51" x14ac:dyDescent="0.25">
      <c r="C291">
        <f>COUNT(C195:C290)</f>
        <v>71</v>
      </c>
      <c r="D291">
        <f t="shared" ref="D291:F291" si="43">COUNT(D195:D290)</f>
        <v>71</v>
      </c>
      <c r="E291">
        <f t="shared" si="43"/>
        <v>82</v>
      </c>
      <c r="F291">
        <f t="shared" si="43"/>
        <v>82</v>
      </c>
    </row>
    <row r="292" spans="3:51" x14ac:dyDescent="0.25">
      <c r="G292">
        <f>AVERAGE(G195:G290)</f>
        <v>16.246905233675381</v>
      </c>
      <c r="I292">
        <f>ABS(AVERAGE(I195:I290))</f>
        <v>8.0102141413601657</v>
      </c>
    </row>
    <row r="293" spans="3:51" x14ac:dyDescent="0.25">
      <c r="G293">
        <f>_xlfn.STDEV.S(G195:G290)</f>
        <v>15.242833760564896</v>
      </c>
      <c r="I293">
        <f>_xlfn.STDEV.S(I195:I290)</f>
        <v>12.693978420208815</v>
      </c>
    </row>
  </sheetData>
  <conditionalFormatting sqref="AB78:AJ78 P69:X69 C84:K84">
    <cfRule type="colorScale" priority="3">
      <colorScale>
        <cfvo type="num" val="-100"/>
        <cfvo type="num" val="0"/>
        <cfvo type="num" val="100"/>
        <color rgb="FFF8696B"/>
        <color theme="0"/>
        <color rgb="FF63BE7B"/>
      </colorScale>
    </cfRule>
  </conditionalFormatting>
  <conditionalFormatting sqref="AB26:AJ26">
    <cfRule type="colorScale" priority="4">
      <colorScale>
        <cfvo type="num" val="-100"/>
        <cfvo type="num" val="0"/>
        <cfvo type="num" val="100"/>
        <color rgb="FFF8696B"/>
        <color theme="0"/>
        <color rgb="FF63BE7B"/>
      </colorScale>
    </cfRule>
  </conditionalFormatting>
  <conditionalFormatting sqref="P76:X76">
    <cfRule type="colorScale" priority="2">
      <colorScale>
        <cfvo type="num" val="-100"/>
        <cfvo type="num" val="0"/>
        <cfvo type="num" val="100"/>
        <color rgb="FFF8696B"/>
        <color theme="0"/>
        <color rgb="FF63BE7B"/>
      </colorScale>
    </cfRule>
  </conditionalFormatting>
  <conditionalFormatting sqref="AN69:AV69">
    <cfRule type="colorScale" priority="1">
      <colorScale>
        <cfvo type="num" val="-100"/>
        <cfvo type="num" val="0"/>
        <cfvo type="num" val="100"/>
        <color rgb="FFF8696B"/>
        <color theme="0"/>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Controls</vt:lpstr>
      <vt:lpstr>Ischemia</vt:lpstr>
      <vt:lpstr>Negative Diagnosis</vt:lpstr>
      <vt:lpstr>Unknown</vt:lpstr>
      <vt:lpstr>....</vt:lpstr>
      <vt:lpstr>Scan Info</vt:lpstr>
      <vt:lpstr>T-test (kg)</vt:lpstr>
      <vt:lpstr>Reliability</vt:lpstr>
      <vt:lpstr>Linear Regression</vt:lpstr>
      <vt:lpstr>1D plotting</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Grant Roberts</cp:lastModifiedBy>
  <dcterms:created xsi:type="dcterms:W3CDTF">2018-06-04T15:54:00Z</dcterms:created>
  <dcterms:modified xsi:type="dcterms:W3CDTF">2019-01-08T00:11:02Z</dcterms:modified>
</cp:coreProperties>
</file>