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19020" windowHeight="11640" tabRatio="808" firstSheet="20" activeTab="26"/>
  </bookViews>
  <sheets>
    <sheet name="Лист1" sheetId="1" r:id="rId1"/>
    <sheet name="Лист2" sheetId="2" r:id="rId2"/>
    <sheet name="Лист3" sheetId="3" r:id="rId3"/>
    <sheet name="73521" sheetId="4" r:id="rId4"/>
    <sheet name="Лист4" sheetId="5" r:id="rId5"/>
    <sheet name="Лист5" sheetId="6" r:id="rId6"/>
    <sheet name="Лист6" sheetId="7" r:id="rId7"/>
    <sheet name="Comiss" sheetId="8" r:id="rId8"/>
    <sheet name="Лист7" sheetId="9" r:id="rId9"/>
    <sheet name="Лист8" sheetId="10" r:id="rId10"/>
    <sheet name="RI_Cms" sheetId="11" r:id="rId11"/>
    <sheet name="Лист10" sheetId="12" r:id="rId12"/>
    <sheet name="Лист9" sheetId="13" r:id="rId13"/>
    <sheet name="Лист11" sheetId="14" r:id="rId14"/>
    <sheet name="Лист12" sheetId="15" r:id="rId15"/>
    <sheet name="A72" sheetId="17" r:id="rId16"/>
    <sheet name="Лист14" sheetId="18" r:id="rId17"/>
    <sheet name="Лист15" sheetId="19" r:id="rId18"/>
    <sheet name="Лист16" sheetId="20" r:id="rId19"/>
    <sheet name="Лист17" sheetId="21" r:id="rId20"/>
    <sheet name="Лист18" sheetId="22" r:id="rId21"/>
    <sheet name="Лист19" sheetId="23" r:id="rId22"/>
    <sheet name="Лист20" sheetId="24" r:id="rId23"/>
    <sheet name="Лист21" sheetId="25" r:id="rId24"/>
    <sheet name="Лист22" sheetId="26" r:id="rId25"/>
    <sheet name="Лист23" sheetId="27" r:id="rId26"/>
    <sheet name="Лист24" sheetId="28" r:id="rId27"/>
    <sheet name="Лист25" sheetId="29" r:id="rId28"/>
    <sheet name="Лист26" sheetId="30" r:id="rId29"/>
    <sheet name="Лист27" sheetId="31" r:id="rId30"/>
    <sheet name="Лист28" sheetId="32" r:id="rId31"/>
    <sheet name="Лист29" sheetId="33" r:id="rId32"/>
    <sheet name="Лист30" sheetId="34" r:id="rId33"/>
    <sheet name="Лист31" sheetId="35" r:id="rId34"/>
    <sheet name="Лист32" sheetId="36" r:id="rId35"/>
    <sheet name="Лист33" sheetId="37" r:id="rId36"/>
    <sheet name="Лист34" sheetId="38" r:id="rId37"/>
    <sheet name="Rubbers35" sheetId="39" r:id="rId38"/>
    <sheet name="Лист35" sheetId="40" r:id="rId39"/>
    <sheet name="Лист36" sheetId="41" r:id="rId40"/>
    <sheet name="Лист37" sheetId="42" r:id="rId41"/>
    <sheet name="Rttf_Rubbers" sheetId="43" r:id="rId42"/>
    <sheet name="Blades" sheetId="44" r:id="rId43"/>
    <sheet name="Rubbers" sheetId="45" r:id="rId44"/>
    <sheet name="Rubbers2" sheetId="54" r:id="rId45"/>
    <sheet name="Search" sheetId="46" r:id="rId46"/>
    <sheet name="Лист39" sheetId="47" r:id="rId47"/>
    <sheet name="Hurricane" sheetId="48" r:id="rId48"/>
    <sheet name="Set_Rubber" sheetId="49" r:id="rId49"/>
    <sheet name="Лист40" sheetId="50" r:id="rId50"/>
    <sheet name="Blades_Par" sheetId="51" r:id="rId51"/>
    <sheet name="Lemuria" sheetId="52" r:id="rId52"/>
    <sheet name="Лист38" sheetId="53" r:id="rId53"/>
    <sheet name="Trade" sheetId="55" r:id="rId54"/>
    <sheet name="Лист41" sheetId="56" r:id="rId55"/>
    <sheet name="Лист42" sheetId="57" r:id="rId56"/>
  </sheets>
  <calcPr calcId="125725"/>
</workbook>
</file>

<file path=xl/calcChain.xml><?xml version="1.0" encoding="utf-8"?>
<calcChain xmlns="http://schemas.openxmlformats.org/spreadsheetml/2006/main">
  <c r="M6" i="51"/>
  <c r="K6"/>
  <c r="L6" s="1"/>
  <c r="J6"/>
  <c r="M5"/>
  <c r="L5"/>
  <c r="K5"/>
  <c r="J5"/>
  <c r="K21"/>
  <c r="L21" s="1"/>
  <c r="M21"/>
  <c r="J21"/>
  <c r="K4"/>
  <c r="L4" s="1"/>
  <c r="M4"/>
  <c r="J4"/>
  <c r="P162" i="54"/>
  <c r="R159"/>
  <c r="V159"/>
  <c r="U159"/>
  <c r="T159"/>
  <c r="S159"/>
  <c r="M20" i="51"/>
  <c r="L20"/>
  <c r="K20"/>
  <c r="J20"/>
  <c r="M19"/>
  <c r="K19"/>
  <c r="L19" s="1"/>
  <c r="J19"/>
  <c r="L2" l="1"/>
  <c r="O147" i="45"/>
  <c r="M147"/>
  <c r="P147"/>
  <c r="M137" l="1"/>
  <c r="M117"/>
  <c r="M3" i="51"/>
  <c r="L3"/>
  <c r="K3"/>
  <c r="J3"/>
  <c r="M2"/>
  <c r="K2"/>
  <c r="J2"/>
  <c r="M148" i="45"/>
  <c r="M135" l="1"/>
  <c r="M120"/>
  <c r="M139" l="1"/>
  <c r="N139" s="1"/>
  <c r="M140"/>
  <c r="N140" s="1"/>
  <c r="M141"/>
  <c r="N141" s="1"/>
  <c r="M142"/>
  <c r="N142" s="1"/>
  <c r="M143"/>
  <c r="M144"/>
  <c r="N144" s="1"/>
  <c r="M145"/>
  <c r="M146"/>
  <c r="N148"/>
  <c r="M149"/>
  <c r="N149" s="1"/>
  <c r="M138"/>
  <c r="N138" s="1"/>
  <c r="N146"/>
  <c r="N145"/>
  <c r="N143"/>
  <c r="N128"/>
  <c r="N132"/>
  <c r="N133"/>
  <c r="N135"/>
  <c r="N127"/>
  <c r="N116"/>
  <c r="N117"/>
  <c r="N118"/>
  <c r="N119"/>
  <c r="N120"/>
  <c r="N121"/>
  <c r="M119"/>
  <c r="M121"/>
  <c r="M122"/>
  <c r="N122" s="1"/>
  <c r="M123"/>
  <c r="N123" s="1"/>
  <c r="M124"/>
  <c r="N124" s="1"/>
  <c r="M125"/>
  <c r="N125" s="1"/>
  <c r="M126"/>
  <c r="N126" s="1"/>
  <c r="M127"/>
  <c r="M128"/>
  <c r="M129"/>
  <c r="N129" s="1"/>
  <c r="M130"/>
  <c r="N130" s="1"/>
  <c r="M131"/>
  <c r="N131" s="1"/>
  <c r="M132"/>
  <c r="M133"/>
  <c r="M134"/>
  <c r="N134" s="1"/>
  <c r="M118"/>
  <c r="M116"/>
  <c r="M115"/>
  <c r="N115" s="1"/>
  <c r="M114"/>
  <c r="N114" s="1"/>
  <c r="O153"/>
  <c r="F149"/>
  <c r="E149"/>
  <c r="D149"/>
  <c r="O149" s="1"/>
  <c r="F150"/>
  <c r="E150"/>
  <c r="D150"/>
  <c r="O150" s="1"/>
  <c r="AL174"/>
  <c r="AL173"/>
  <c r="E164"/>
  <c r="E163"/>
  <c r="M156"/>
  <c r="M157"/>
  <c r="M158"/>
  <c r="M159"/>
  <c r="M160"/>
  <c r="M155"/>
  <c r="P139"/>
  <c r="O139"/>
  <c r="P138"/>
  <c r="O138"/>
  <c r="O148"/>
  <c r="P148"/>
  <c r="O146"/>
  <c r="P146"/>
  <c r="P145"/>
  <c r="O145"/>
  <c r="P144"/>
  <c r="O144"/>
  <c r="P143"/>
  <c r="O143"/>
  <c r="P142"/>
  <c r="O142"/>
  <c r="P51"/>
  <c r="O51"/>
  <c r="P52"/>
  <c r="O52"/>
  <c r="P53"/>
  <c r="O53"/>
  <c r="P45"/>
  <c r="O45"/>
  <c r="P50"/>
  <c r="O50"/>
  <c r="P33"/>
  <c r="O33"/>
  <c r="P32"/>
  <c r="O32"/>
  <c r="O49"/>
  <c r="P49"/>
  <c r="K192" i="54"/>
  <c r="I192"/>
  <c r="D2" i="55"/>
  <c r="H189" i="54"/>
  <c r="E33"/>
  <c r="D33"/>
  <c r="M150" i="45" l="1"/>
  <c r="N150" s="1"/>
  <c r="AY155"/>
  <c r="AT155"/>
  <c r="AN155"/>
  <c r="AO155"/>
  <c r="AQ155" s="1"/>
  <c r="AL155"/>
  <c r="AI155"/>
  <c r="AK155" s="1"/>
  <c r="AI149"/>
  <c r="AY152"/>
  <c r="AY154"/>
  <c r="AT154"/>
  <c r="AQ154"/>
  <c r="AN154"/>
  <c r="AK154"/>
  <c r="AY150"/>
  <c r="AT150"/>
  <c r="AQ150"/>
  <c r="AN150"/>
  <c r="AK150"/>
  <c r="AY151"/>
  <c r="AY148"/>
  <c r="AY145"/>
  <c r="AY146"/>
  <c r="AY149"/>
  <c r="AT152"/>
  <c r="AT151"/>
  <c r="AS149"/>
  <c r="AT149" s="1"/>
  <c r="AT148"/>
  <c r="AT146"/>
  <c r="AT145"/>
  <c r="AQ152"/>
  <c r="AN152"/>
  <c r="AK152"/>
  <c r="AQ127"/>
  <c r="AQ151"/>
  <c r="AN151"/>
  <c r="AK151"/>
  <c r="AP149" l="1"/>
  <c r="AQ149" s="1"/>
  <c r="AO149"/>
  <c r="AO145"/>
  <c r="AM149"/>
  <c r="AL149"/>
  <c r="AL145"/>
  <c r="AP148"/>
  <c r="AO148"/>
  <c r="AN148"/>
  <c r="AM148"/>
  <c r="AL148"/>
  <c r="AJ148"/>
  <c r="AK148" s="1"/>
  <c r="AI148"/>
  <c r="AP146"/>
  <c r="AM146"/>
  <c r="AN146" s="1"/>
  <c r="AJ146"/>
  <c r="AO146"/>
  <c r="AL146"/>
  <c r="AI146"/>
  <c r="AP145"/>
  <c r="AM145"/>
  <c r="AJ145"/>
  <c r="AI145"/>
  <c r="AE154"/>
  <c r="K57" i="51"/>
  <c r="L57" s="1"/>
  <c r="M57"/>
  <c r="J57"/>
  <c r="B1" i="53"/>
  <c r="AQ145" i="45" l="1"/>
  <c r="AN145"/>
  <c r="AK145"/>
  <c r="AQ148"/>
  <c r="AN149"/>
  <c r="AK146"/>
  <c r="AJ149"/>
  <c r="AK149" s="1"/>
  <c r="AQ146"/>
  <c r="K115" i="51"/>
  <c r="L115" s="1"/>
  <c r="M115"/>
  <c r="J115"/>
  <c r="M60"/>
  <c r="K60"/>
  <c r="L60" s="1"/>
  <c r="J60"/>
  <c r="AF120" i="45"/>
  <c r="AB120"/>
  <c r="AF119"/>
  <c r="AB119"/>
  <c r="AF90"/>
  <c r="AF122"/>
  <c r="AB122"/>
  <c r="AF121"/>
  <c r="AB121"/>
  <c r="AF116"/>
  <c r="AF118"/>
  <c r="AF117"/>
  <c r="AB118"/>
  <c r="AB117"/>
  <c r="AB116"/>
  <c r="AF112"/>
  <c r="AB112"/>
  <c r="AF111"/>
  <c r="AB111"/>
  <c r="AF109"/>
  <c r="AB109"/>
  <c r="AF108"/>
  <c r="AB108"/>
  <c r="AF106"/>
  <c r="AB106"/>
  <c r="AF107"/>
  <c r="AB107"/>
  <c r="AF92"/>
  <c r="AF103"/>
  <c r="AF101"/>
  <c r="AF93"/>
  <c r="AF97"/>
  <c r="AB103"/>
  <c r="AB102"/>
  <c r="AB100"/>
  <c r="AB101"/>
  <c r="AB98"/>
  <c r="AB99"/>
  <c r="AB97"/>
  <c r="AB96"/>
  <c r="AB95"/>
  <c r="AB94"/>
  <c r="AB93"/>
  <c r="AB92"/>
  <c r="AB89"/>
  <c r="AB90"/>
  <c r="AB81"/>
  <c r="AB82"/>
  <c r="AB83"/>
  <c r="AB84"/>
  <c r="AB85"/>
  <c r="AB86"/>
  <c r="AB87"/>
  <c r="AB88"/>
  <c r="AB80"/>
  <c r="M27" i="51"/>
  <c r="AK118" l="1"/>
  <c r="AK117"/>
  <c r="AK116"/>
  <c r="AK114"/>
  <c r="AK113"/>
  <c r="X35" i="45"/>
  <c r="X36"/>
  <c r="X34"/>
  <c r="X33"/>
  <c r="X32"/>
  <c r="X38" s="1"/>
  <c r="AK120" i="51" l="1"/>
  <c r="T140"/>
  <c r="T141" s="1"/>
  <c r="T142" s="1"/>
  <c r="T143" s="1"/>
  <c r="T144" s="1"/>
  <c r="T145" s="1"/>
  <c r="T146" s="1"/>
  <c r="T147" s="1"/>
  <c r="M114"/>
  <c r="L114"/>
  <c r="K114"/>
  <c r="J114"/>
  <c r="K113"/>
  <c r="L113" s="1"/>
  <c r="M113"/>
  <c r="J113"/>
  <c r="M78"/>
  <c r="K78"/>
  <c r="L78" s="1"/>
  <c r="J78"/>
  <c r="J111"/>
  <c r="K111"/>
  <c r="L111" s="1"/>
  <c r="M111"/>
  <c r="J112"/>
  <c r="K112"/>
  <c r="L112" s="1"/>
  <c r="M112"/>
  <c r="K50"/>
  <c r="L50" s="1"/>
  <c r="M50"/>
  <c r="J50"/>
  <c r="M68"/>
  <c r="K68"/>
  <c r="L68" s="1"/>
  <c r="J68"/>
  <c r="M65"/>
  <c r="K65"/>
  <c r="L65" s="1"/>
  <c r="J65"/>
  <c r="M77"/>
  <c r="K77"/>
  <c r="L77" s="1"/>
  <c r="J77"/>
  <c r="M67"/>
  <c r="K67"/>
  <c r="L67" s="1"/>
  <c r="J67"/>
  <c r="M76"/>
  <c r="K76"/>
  <c r="L76" s="1"/>
  <c r="J76"/>
  <c r="K64"/>
  <c r="L64" s="1"/>
  <c r="M64"/>
  <c r="J64"/>
  <c r="K63"/>
  <c r="L63" s="1"/>
  <c r="M63"/>
  <c r="J63"/>
  <c r="M81"/>
  <c r="K81"/>
  <c r="L81" s="1"/>
  <c r="J81"/>
  <c r="M80"/>
  <c r="K80"/>
  <c r="L80" s="1"/>
  <c r="J80"/>
  <c r="J75"/>
  <c r="K75"/>
  <c r="L75" s="1"/>
  <c r="M75"/>
  <c r="M48"/>
  <c r="K48"/>
  <c r="L48" s="1"/>
  <c r="J48"/>
  <c r="K62"/>
  <c r="L62" s="1"/>
  <c r="M62"/>
  <c r="J62"/>
  <c r="K59"/>
  <c r="L59" s="1"/>
  <c r="M59"/>
  <c r="J59"/>
  <c r="K55"/>
  <c r="L55" s="1"/>
  <c r="M55"/>
  <c r="J55"/>
  <c r="M73"/>
  <c r="K73"/>
  <c r="L73" s="1"/>
  <c r="J73"/>
  <c r="M18"/>
  <c r="K18"/>
  <c r="L18" s="1"/>
  <c r="J18"/>
  <c r="M17"/>
  <c r="K17"/>
  <c r="L17" s="1"/>
  <c r="J17"/>
  <c r="M110"/>
  <c r="K110"/>
  <c r="L110" s="1"/>
  <c r="J110"/>
  <c r="M109"/>
  <c r="K109"/>
  <c r="L109" s="1"/>
  <c r="J109"/>
  <c r="L11" i="50"/>
  <c r="K11"/>
  <c r="K10"/>
  <c r="I10"/>
  <c r="I6"/>
  <c r="I5"/>
  <c r="G10"/>
  <c r="M8" i="51"/>
  <c r="M9"/>
  <c r="M10"/>
  <c r="M11"/>
  <c r="M12"/>
  <c r="M13"/>
  <c r="M14"/>
  <c r="M15"/>
  <c r="M22"/>
  <c r="M23"/>
  <c r="M24"/>
  <c r="M26"/>
  <c r="M28"/>
  <c r="M30"/>
  <c r="M31"/>
  <c r="M32"/>
  <c r="M33"/>
  <c r="M36"/>
  <c r="M38"/>
  <c r="M39"/>
  <c r="M40"/>
  <c r="M41"/>
  <c r="M43"/>
  <c r="M44"/>
  <c r="M45"/>
  <c r="M46"/>
  <c r="M49"/>
  <c r="M52"/>
  <c r="M53"/>
  <c r="M54"/>
  <c r="M56"/>
  <c r="M70"/>
  <c r="M71"/>
  <c r="M83"/>
  <c r="M84"/>
  <c r="M85"/>
  <c r="M86"/>
  <c r="M87"/>
  <c r="M89"/>
  <c r="M90"/>
  <c r="M91"/>
  <c r="M92"/>
  <c r="M93"/>
  <c r="M95"/>
  <c r="M96"/>
  <c r="M98"/>
  <c r="M99"/>
  <c r="M100"/>
  <c r="M102"/>
  <c r="M106"/>
  <c r="M107"/>
  <c r="M7"/>
  <c r="K107"/>
  <c r="L107" s="1"/>
  <c r="J107"/>
  <c r="K106"/>
  <c r="L106" s="1"/>
  <c r="J106"/>
  <c r="K38"/>
  <c r="L38" s="1"/>
  <c r="K8"/>
  <c r="L8" s="1"/>
  <c r="K9"/>
  <c r="L9" s="1"/>
  <c r="K10"/>
  <c r="L10" s="1"/>
  <c r="K11"/>
  <c r="L11" s="1"/>
  <c r="K12"/>
  <c r="L12" s="1"/>
  <c r="K13"/>
  <c r="L13" s="1"/>
  <c r="K14"/>
  <c r="L14" s="1"/>
  <c r="K15"/>
  <c r="L15" s="1"/>
  <c r="K16"/>
  <c r="L16" s="1"/>
  <c r="K22"/>
  <c r="L22" s="1"/>
  <c r="K23"/>
  <c r="L23" s="1"/>
  <c r="K24"/>
  <c r="L24" s="1"/>
  <c r="K26"/>
  <c r="L26" s="1"/>
  <c r="K27"/>
  <c r="L27" s="1"/>
  <c r="K28"/>
  <c r="L28" s="1"/>
  <c r="K30"/>
  <c r="L30" s="1"/>
  <c r="K31"/>
  <c r="L31" s="1"/>
  <c r="K32"/>
  <c r="L32" s="1"/>
  <c r="K33"/>
  <c r="L33" s="1"/>
  <c r="K34"/>
  <c r="L34" s="1"/>
  <c r="K35"/>
  <c r="L35" s="1"/>
  <c r="K36"/>
  <c r="L36" s="1"/>
  <c r="K37"/>
  <c r="L37" s="1"/>
  <c r="K39"/>
  <c r="L39" s="1"/>
  <c r="K40"/>
  <c r="L40" s="1"/>
  <c r="K41"/>
  <c r="L41" s="1"/>
  <c r="K42"/>
  <c r="L42" s="1"/>
  <c r="K43"/>
  <c r="L43" s="1"/>
  <c r="K44"/>
  <c r="L44" s="1"/>
  <c r="K45"/>
  <c r="L45" s="1"/>
  <c r="K46"/>
  <c r="L46" s="1"/>
  <c r="K47"/>
  <c r="L47" s="1"/>
  <c r="K49"/>
  <c r="L49" s="1"/>
  <c r="K52"/>
  <c r="L52" s="1"/>
  <c r="K53"/>
  <c r="L53" s="1"/>
  <c r="K54"/>
  <c r="L54" s="1"/>
  <c r="K56"/>
  <c r="L56" s="1"/>
  <c r="K70"/>
  <c r="L70" s="1"/>
  <c r="K71"/>
  <c r="L71" s="1"/>
  <c r="K82"/>
  <c r="L82" s="1"/>
  <c r="K83"/>
  <c r="L83" s="1"/>
  <c r="K84"/>
  <c r="L84" s="1"/>
  <c r="K85"/>
  <c r="L85" s="1"/>
  <c r="K86"/>
  <c r="L86" s="1"/>
  <c r="K87"/>
  <c r="L87" s="1"/>
  <c r="K88"/>
  <c r="L88" s="1"/>
  <c r="K89"/>
  <c r="L89" s="1"/>
  <c r="K90"/>
  <c r="L90" s="1"/>
  <c r="K91"/>
  <c r="L91" s="1"/>
  <c r="K92"/>
  <c r="L92" s="1"/>
  <c r="K93"/>
  <c r="L93" s="1"/>
  <c r="K94"/>
  <c r="L94" s="1"/>
  <c r="K95"/>
  <c r="L95" s="1"/>
  <c r="K96"/>
  <c r="L96" s="1"/>
  <c r="K98"/>
  <c r="L98" s="1"/>
  <c r="K99"/>
  <c r="L99" s="1"/>
  <c r="K100"/>
  <c r="L100" s="1"/>
  <c r="K101"/>
  <c r="L101" s="1"/>
  <c r="K102"/>
  <c r="L102" s="1"/>
  <c r="K103"/>
  <c r="L103" s="1"/>
  <c r="K104"/>
  <c r="L104" s="1"/>
  <c r="K7"/>
  <c r="L7" s="1"/>
  <c r="J41"/>
  <c r="J40"/>
  <c r="J39"/>
  <c r="J38"/>
  <c r="J36"/>
  <c r="J104"/>
  <c r="J102"/>
  <c r="J10" l="1"/>
  <c r="J33"/>
  <c r="J32"/>
  <c r="J31"/>
  <c r="J30"/>
  <c r="J23"/>
  <c r="J26"/>
  <c r="J93"/>
  <c r="J92"/>
  <c r="J91"/>
  <c r="J87"/>
  <c r="J86"/>
  <c r="J85"/>
  <c r="J100"/>
  <c r="J99"/>
  <c r="J98"/>
  <c r="J96"/>
  <c r="J95"/>
  <c r="J84"/>
  <c r="J89"/>
  <c r="J90"/>
  <c r="J83"/>
  <c r="J54"/>
  <c r="J24"/>
  <c r="J22"/>
  <c r="J8"/>
  <c r="J9"/>
  <c r="J12"/>
  <c r="J11"/>
  <c r="J13"/>
  <c r="J14"/>
  <c r="J15"/>
  <c r="J27"/>
  <c r="J28"/>
  <c r="J43"/>
  <c r="J44"/>
  <c r="J45"/>
  <c r="J46"/>
  <c r="J49"/>
  <c r="J52"/>
  <c r="J53"/>
  <c r="J56"/>
  <c r="J70"/>
  <c r="J71"/>
  <c r="J7"/>
  <c r="H16" i="49"/>
  <c r="C16" i="45"/>
  <c r="C17" s="1"/>
  <c r="C18" s="1"/>
  <c r="C19" s="1"/>
  <c r="C20" s="1"/>
  <c r="C21" s="1"/>
  <c r="C22" s="1"/>
  <c r="G16" i="42"/>
  <c r="R78" i="38" l="1"/>
  <c r="P78"/>
  <c r="N76"/>
  <c r="L69"/>
  <c r="H16" i="40"/>
  <c r="F17"/>
  <c r="K5" i="41"/>
  <c r="L5" s="1"/>
  <c r="J5"/>
  <c r="Q22" i="40"/>
  <c r="Q23"/>
  <c r="Q20"/>
  <c r="Q21"/>
  <c r="Q24"/>
  <c r="K8"/>
  <c r="K7"/>
  <c r="K6"/>
  <c r="H70" i="39"/>
  <c r="H69"/>
  <c r="H56"/>
  <c r="H57"/>
  <c r="H58"/>
  <c r="H59"/>
  <c r="H60"/>
  <c r="H61"/>
  <c r="H62"/>
  <c r="H63"/>
  <c r="H64"/>
  <c r="H65"/>
  <c r="H66"/>
  <c r="H67"/>
  <c r="H68"/>
  <c r="H55"/>
  <c r="H54"/>
  <c r="H53"/>
  <c r="H52"/>
  <c r="H51"/>
  <c r="H50"/>
  <c r="H49"/>
  <c r="A81"/>
  <c r="A82" s="1"/>
  <c r="A83" s="1"/>
  <c r="A80"/>
  <c r="D40"/>
  <c r="D41" s="1"/>
  <c r="D42" s="1"/>
  <c r="D43" s="1"/>
  <c r="D44" s="1"/>
  <c r="D45" s="1"/>
  <c r="D46" s="1"/>
  <c r="D47" s="1"/>
  <c r="D48" s="1"/>
  <c r="D49" s="1"/>
  <c r="D50" s="1"/>
  <c r="D51" s="1"/>
  <c r="D52" s="1"/>
  <c r="D53" s="1"/>
  <c r="D54" s="1"/>
  <c r="D55" s="1"/>
  <c r="D56" s="1"/>
  <c r="D57" s="1"/>
  <c r="D58" s="1"/>
  <c r="D59" s="1"/>
  <c r="D60" s="1"/>
  <c r="D61" s="1"/>
  <c r="D62" s="1"/>
  <c r="D63" s="1"/>
  <c r="D64" s="1"/>
  <c r="D65" s="1"/>
  <c r="D66" s="1"/>
  <c r="H40"/>
  <c r="H41"/>
  <c r="H42"/>
  <c r="H43"/>
  <c r="H44"/>
  <c r="H45"/>
  <c r="H46"/>
  <c r="H47"/>
  <c r="H48"/>
  <c r="H39"/>
  <c r="H15" l="1"/>
  <c r="C56"/>
  <c r="J9" i="38" l="1"/>
  <c r="J11"/>
  <c r="J12"/>
  <c r="J10"/>
  <c r="N4"/>
  <c r="N5"/>
  <c r="N6"/>
  <c r="N7"/>
  <c r="N3"/>
  <c r="L4"/>
  <c r="L5"/>
  <c r="L6"/>
  <c r="L7"/>
  <c r="L3"/>
  <c r="J4"/>
  <c r="J5"/>
  <c r="J6"/>
  <c r="J7"/>
  <c r="J3"/>
  <c r="Z9" i="36"/>
  <c r="AD9"/>
  <c r="AD8"/>
  <c r="AD4"/>
  <c r="AD5"/>
  <c r="AD6"/>
  <c r="AD7"/>
  <c r="AD3"/>
  <c r="Z8"/>
  <c r="Z7"/>
  <c r="Z4"/>
  <c r="Z5"/>
  <c r="Z6"/>
  <c r="Z3"/>
  <c r="H6"/>
  <c r="H7"/>
  <c r="H8"/>
  <c r="H9"/>
  <c r="H10"/>
  <c r="H5"/>
  <c r="R5"/>
  <c r="Q5"/>
  <c r="R4"/>
  <c r="Q4"/>
  <c r="J4"/>
  <c r="J10"/>
  <c r="J9"/>
  <c r="J6"/>
  <c r="J7"/>
  <c r="J8"/>
  <c r="J5"/>
  <c r="AA74" i="35"/>
  <c r="Z74"/>
  <c r="AA73"/>
  <c r="Z73"/>
  <c r="AA72"/>
  <c r="Z72"/>
  <c r="AA71"/>
  <c r="Z71"/>
  <c r="AA69"/>
  <c r="Z69"/>
  <c r="AA68"/>
  <c r="Z68"/>
  <c r="AA67"/>
  <c r="Z67"/>
  <c r="AA66"/>
  <c r="Z66"/>
  <c r="AA65"/>
  <c r="Z65"/>
  <c r="AA64"/>
  <c r="Z64"/>
  <c r="AA62"/>
  <c r="Z62"/>
  <c r="AA61"/>
  <c r="Z61"/>
  <c r="AA60"/>
  <c r="Z60"/>
  <c r="AA59"/>
  <c r="Z59"/>
  <c r="AA58"/>
  <c r="Z58"/>
  <c r="AA57"/>
  <c r="Z57"/>
  <c r="AA56"/>
  <c r="Z56"/>
  <c r="AA55"/>
  <c r="Z55"/>
  <c r="AA54"/>
  <c r="Z54"/>
  <c r="AA53"/>
  <c r="Z53"/>
  <c r="AA51"/>
  <c r="Z51"/>
  <c r="AA50"/>
  <c r="Z50"/>
  <c r="AA49"/>
  <c r="Z49"/>
  <c r="AA48"/>
  <c r="Z48"/>
  <c r="AA47"/>
  <c r="Z47"/>
  <c r="AA46"/>
  <c r="Z46"/>
  <c r="AA45"/>
  <c r="Z45"/>
  <c r="AA44"/>
  <c r="Z44"/>
  <c r="AA43"/>
  <c r="Z43"/>
  <c r="X34"/>
  <c r="H75"/>
  <c r="G75"/>
  <c r="AA39"/>
  <c r="AA40"/>
  <c r="AA41"/>
  <c r="AA42"/>
  <c r="Z39"/>
  <c r="Z40"/>
  <c r="Z41"/>
  <c r="Z42"/>
  <c r="F69"/>
  <c r="F68"/>
  <c r="F67"/>
  <c r="F66"/>
  <c r="L16" i="34"/>
  <c r="J16"/>
  <c r="C14"/>
  <c r="C13"/>
  <c r="A4"/>
  <c r="A6" l="1"/>
  <c r="E11"/>
  <c r="A11"/>
  <c r="E10"/>
  <c r="D8"/>
  <c r="D9"/>
  <c r="A10"/>
  <c r="M79" i="27"/>
  <c r="G79"/>
  <c r="H79" s="1"/>
  <c r="I79" s="1"/>
  <c r="J79" s="1"/>
  <c r="K79" s="1"/>
  <c r="R79" s="1"/>
  <c r="A3" i="34"/>
  <c r="A7"/>
  <c r="A5"/>
  <c r="Q57" i="27"/>
  <c r="O57"/>
  <c r="M57"/>
  <c r="G57"/>
  <c r="H57" s="1"/>
  <c r="I57" s="1"/>
  <c r="J57" s="1"/>
  <c r="K57" s="1"/>
  <c r="R57" s="1"/>
  <c r="A57"/>
  <c r="M67"/>
  <c r="Q67" s="1"/>
  <c r="G67"/>
  <c r="H67" s="1"/>
  <c r="I67" s="1"/>
  <c r="J67" s="1"/>
  <c r="K67" s="1"/>
  <c r="R67" s="1"/>
  <c r="A67"/>
  <c r="M28"/>
  <c r="Q28" s="1"/>
  <c r="G28"/>
  <c r="H28" s="1"/>
  <c r="I28" s="1"/>
  <c r="J28" s="1"/>
  <c r="K28" s="1"/>
  <c r="Q88"/>
  <c r="O88"/>
  <c r="M88"/>
  <c r="G88"/>
  <c r="H88" s="1"/>
  <c r="I88" s="1"/>
  <c r="J88" s="1"/>
  <c r="K88" s="1"/>
  <c r="R88" s="1"/>
  <c r="A88"/>
  <c r="O87"/>
  <c r="M87"/>
  <c r="Q87" s="1"/>
  <c r="G87"/>
  <c r="H87" s="1"/>
  <c r="I87" s="1"/>
  <c r="J87" s="1"/>
  <c r="K87" s="1"/>
  <c r="R87" s="1"/>
  <c r="A87"/>
  <c r="M86"/>
  <c r="Q86" s="1"/>
  <c r="G86"/>
  <c r="H86" s="1"/>
  <c r="I86" s="1"/>
  <c r="J86" s="1"/>
  <c r="K86" s="1"/>
  <c r="R86" s="1"/>
  <c r="A86"/>
  <c r="D96"/>
  <c r="P40"/>
  <c r="M40"/>
  <c r="O40" s="1"/>
  <c r="G40"/>
  <c r="H40" s="1"/>
  <c r="I40" s="1"/>
  <c r="J40" s="1"/>
  <c r="K40" s="1"/>
  <c r="R40" s="1"/>
  <c r="P39"/>
  <c r="M39"/>
  <c r="O39" s="1"/>
  <c r="G39"/>
  <c r="H39" s="1"/>
  <c r="I39" s="1"/>
  <c r="J39" s="1"/>
  <c r="K39" s="1"/>
  <c r="R39" s="1"/>
  <c r="D2" i="33"/>
  <c r="P32" i="27"/>
  <c r="M32"/>
  <c r="O32" s="1"/>
  <c r="G32"/>
  <c r="H32" s="1"/>
  <c r="I32" s="1"/>
  <c r="J32" s="1"/>
  <c r="K32" s="1"/>
  <c r="R32" s="1"/>
  <c r="P34"/>
  <c r="M34"/>
  <c r="O34" s="1"/>
  <c r="G34"/>
  <c r="H34" s="1"/>
  <c r="I34" s="1"/>
  <c r="J34" s="1"/>
  <c r="K34" s="1"/>
  <c r="R34" s="1"/>
  <c r="P38"/>
  <c r="M38"/>
  <c r="O38" s="1"/>
  <c r="G38"/>
  <c r="H38" s="1"/>
  <c r="I38" s="1"/>
  <c r="J38" s="1"/>
  <c r="K38" s="1"/>
  <c r="R38" s="1"/>
  <c r="P37"/>
  <c r="M37"/>
  <c r="O37" s="1"/>
  <c r="G37"/>
  <c r="H37" s="1"/>
  <c r="I37" s="1"/>
  <c r="J37" s="1"/>
  <c r="K37" s="1"/>
  <c r="R37" s="1"/>
  <c r="P35"/>
  <c r="M35"/>
  <c r="Q35" s="1"/>
  <c r="G35"/>
  <c r="H35" s="1"/>
  <c r="I35" s="1"/>
  <c r="J35" s="1"/>
  <c r="K35" s="1"/>
  <c r="R35" s="1"/>
  <c r="P33"/>
  <c r="M33"/>
  <c r="O33" s="1"/>
  <c r="G33"/>
  <c r="H33" s="1"/>
  <c r="I33" s="1"/>
  <c r="J33" s="1"/>
  <c r="K33" s="1"/>
  <c r="R33" s="1"/>
  <c r="P36"/>
  <c r="M36"/>
  <c r="O36" s="1"/>
  <c r="G36"/>
  <c r="H36" s="1"/>
  <c r="I36" s="1"/>
  <c r="J36" s="1"/>
  <c r="K36" s="1"/>
  <c r="R36" s="1"/>
  <c r="M31"/>
  <c r="Q31" s="1"/>
  <c r="G31"/>
  <c r="H31" s="1"/>
  <c r="I31" s="1"/>
  <c r="J31" s="1"/>
  <c r="K31" s="1"/>
  <c r="R31" s="1"/>
  <c r="M27"/>
  <c r="O27" s="1"/>
  <c r="G27"/>
  <c r="H27" s="1"/>
  <c r="I27" s="1"/>
  <c r="J27" s="1"/>
  <c r="K27" s="1"/>
  <c r="R27" s="1"/>
  <c r="O85"/>
  <c r="M85"/>
  <c r="Q85" s="1"/>
  <c r="G85"/>
  <c r="H85" s="1"/>
  <c r="I85" s="1"/>
  <c r="J85" s="1"/>
  <c r="K85" s="1"/>
  <c r="R85" s="1"/>
  <c r="A85"/>
  <c r="M84"/>
  <c r="O84" s="1"/>
  <c r="G84"/>
  <c r="H84" s="1"/>
  <c r="I84" s="1"/>
  <c r="J84" s="1"/>
  <c r="K84" s="1"/>
  <c r="R84" s="1"/>
  <c r="A84"/>
  <c r="M83"/>
  <c r="O83" s="1"/>
  <c r="G83"/>
  <c r="H83" s="1"/>
  <c r="I83" s="1"/>
  <c r="J83" s="1"/>
  <c r="K83" s="1"/>
  <c r="R83" s="1"/>
  <c r="A83"/>
  <c r="M82"/>
  <c r="G82"/>
  <c r="H82" s="1"/>
  <c r="I82" s="1"/>
  <c r="J82" s="1"/>
  <c r="K82" s="1"/>
  <c r="R82" s="1"/>
  <c r="M81"/>
  <c r="G81"/>
  <c r="H81" s="1"/>
  <c r="I81" s="1"/>
  <c r="J81" s="1"/>
  <c r="K81" s="1"/>
  <c r="R81" s="1"/>
  <c r="M80"/>
  <c r="G80"/>
  <c r="H80" s="1"/>
  <c r="I80" s="1"/>
  <c r="J80" s="1"/>
  <c r="K80" s="1"/>
  <c r="R80" s="1"/>
  <c r="M78"/>
  <c r="O78" s="1"/>
  <c r="G78"/>
  <c r="H78" s="1"/>
  <c r="I78" s="1"/>
  <c r="J78" s="1"/>
  <c r="K78" s="1"/>
  <c r="R78" s="1"/>
  <c r="A78"/>
  <c r="M77"/>
  <c r="G77"/>
  <c r="H77" s="1"/>
  <c r="I77" s="1"/>
  <c r="J77" s="1"/>
  <c r="K77" s="1"/>
  <c r="R77" s="1"/>
  <c r="M12" i="32"/>
  <c r="F12"/>
  <c r="G12"/>
  <c r="H12"/>
  <c r="I12"/>
  <c r="J12"/>
  <c r="E12"/>
  <c r="D12"/>
  <c r="E11"/>
  <c r="F11"/>
  <c r="G11"/>
  <c r="H11"/>
  <c r="I11"/>
  <c r="J11"/>
  <c r="D11"/>
  <c r="E4"/>
  <c r="E5"/>
  <c r="E6"/>
  <c r="E7"/>
  <c r="E8"/>
  <c r="E3"/>
  <c r="M63" i="27"/>
  <c r="O63" s="1"/>
  <c r="G63"/>
  <c r="H63" s="1"/>
  <c r="I63" s="1"/>
  <c r="J63" s="1"/>
  <c r="K63" s="1"/>
  <c r="R63" s="1"/>
  <c r="A63"/>
  <c r="G76"/>
  <c r="H76" s="1"/>
  <c r="I76" s="1"/>
  <c r="J76" s="1"/>
  <c r="K76" s="1"/>
  <c r="R76" s="1"/>
  <c r="M76"/>
  <c r="M75"/>
  <c r="O75" s="1"/>
  <c r="G75"/>
  <c r="H75" s="1"/>
  <c r="I75" s="1"/>
  <c r="J75" s="1"/>
  <c r="K75" s="1"/>
  <c r="R75" s="1"/>
  <c r="A75"/>
  <c r="M74"/>
  <c r="G74"/>
  <c r="H74" s="1"/>
  <c r="I74" s="1"/>
  <c r="J74" s="1"/>
  <c r="K74" s="1"/>
  <c r="R74" s="1"/>
  <c r="D2" i="31"/>
  <c r="M66" i="27"/>
  <c r="O66" s="1"/>
  <c r="G66"/>
  <c r="H66" s="1"/>
  <c r="I66" s="1"/>
  <c r="J66" s="1"/>
  <c r="K66" s="1"/>
  <c r="R66" s="1"/>
  <c r="A66"/>
  <c r="M65"/>
  <c r="Q65" s="1"/>
  <c r="G65"/>
  <c r="H65" s="1"/>
  <c r="I65" s="1"/>
  <c r="J65" s="1"/>
  <c r="K65" s="1"/>
  <c r="R65" s="1"/>
  <c r="A65"/>
  <c r="C2" i="31"/>
  <c r="O25" i="27"/>
  <c r="M25"/>
  <c r="Q25" s="1"/>
  <c r="G25"/>
  <c r="H25" s="1"/>
  <c r="I25" s="1"/>
  <c r="J25" s="1"/>
  <c r="K25" s="1"/>
  <c r="P6"/>
  <c r="M6"/>
  <c r="O6" s="1"/>
  <c r="G6"/>
  <c r="H6" s="1"/>
  <c r="I6" s="1"/>
  <c r="J6" s="1"/>
  <c r="K6" s="1"/>
  <c r="M73"/>
  <c r="Q73" s="1"/>
  <c r="G73"/>
  <c r="H73" s="1"/>
  <c r="I73" s="1"/>
  <c r="J73" s="1"/>
  <c r="K73" s="1"/>
  <c r="R73" s="1"/>
  <c r="A73"/>
  <c r="O72"/>
  <c r="M72"/>
  <c r="Q72" s="1"/>
  <c r="G72"/>
  <c r="H72" s="1"/>
  <c r="I72" s="1"/>
  <c r="J72" s="1"/>
  <c r="K72" s="1"/>
  <c r="R72" s="1"/>
  <c r="A72"/>
  <c r="M71"/>
  <c r="O71" s="1"/>
  <c r="G71"/>
  <c r="H71" s="1"/>
  <c r="I71" s="1"/>
  <c r="J71" s="1"/>
  <c r="K71" s="1"/>
  <c r="R71" s="1"/>
  <c r="A71"/>
  <c r="M70"/>
  <c r="G70"/>
  <c r="H70" s="1"/>
  <c r="I70" s="1"/>
  <c r="J70" s="1"/>
  <c r="K70" s="1"/>
  <c r="R70" s="1"/>
  <c r="M69"/>
  <c r="G69"/>
  <c r="H69" s="1"/>
  <c r="I69" s="1"/>
  <c r="J69" s="1"/>
  <c r="K69" s="1"/>
  <c r="R69" s="1"/>
  <c r="M68"/>
  <c r="G68"/>
  <c r="H68" s="1"/>
  <c r="I68" s="1"/>
  <c r="J68" s="1"/>
  <c r="K68" s="1"/>
  <c r="R68" s="1"/>
  <c r="G92"/>
  <c r="L92" s="1"/>
  <c r="M92" s="1"/>
  <c r="N92" s="1"/>
  <c r="O92" s="1"/>
  <c r="G93"/>
  <c r="L93" s="1"/>
  <c r="M93" s="1"/>
  <c r="N93" s="1"/>
  <c r="O93" s="1"/>
  <c r="G94"/>
  <c r="L94" s="1"/>
  <c r="M94" s="1"/>
  <c r="N94" s="1"/>
  <c r="O94" s="1"/>
  <c r="G95"/>
  <c r="H95" s="1"/>
  <c r="I95" s="1"/>
  <c r="J95" s="1"/>
  <c r="K95" s="1"/>
  <c r="M64"/>
  <c r="Q64" s="1"/>
  <c r="G64"/>
  <c r="H64" s="1"/>
  <c r="I64" s="1"/>
  <c r="J64" s="1"/>
  <c r="K64" s="1"/>
  <c r="R64" s="1"/>
  <c r="A64"/>
  <c r="M62"/>
  <c r="O62" s="1"/>
  <c r="G62"/>
  <c r="H62" s="1"/>
  <c r="I62" s="1"/>
  <c r="J62" s="1"/>
  <c r="K62" s="1"/>
  <c r="R62" s="1"/>
  <c r="A62"/>
  <c r="M61"/>
  <c r="Q61" s="1"/>
  <c r="G61"/>
  <c r="H61" s="1"/>
  <c r="I61" s="1"/>
  <c r="J61" s="1"/>
  <c r="K61" s="1"/>
  <c r="R61" s="1"/>
  <c r="A61"/>
  <c r="M60"/>
  <c r="G60"/>
  <c r="H60" s="1"/>
  <c r="I60" s="1"/>
  <c r="J60" s="1"/>
  <c r="K60" s="1"/>
  <c r="R60" s="1"/>
  <c r="M59"/>
  <c r="G59"/>
  <c r="H59" s="1"/>
  <c r="I59" s="1"/>
  <c r="J59" s="1"/>
  <c r="K59" s="1"/>
  <c r="R59" s="1"/>
  <c r="M58"/>
  <c r="G58"/>
  <c r="H58" s="1"/>
  <c r="I58" s="1"/>
  <c r="J58" s="1"/>
  <c r="K58" s="1"/>
  <c r="R58" s="1"/>
  <c r="O56"/>
  <c r="M56"/>
  <c r="Q56" s="1"/>
  <c r="G56"/>
  <c r="H56" s="1"/>
  <c r="I56" s="1"/>
  <c r="J56" s="1"/>
  <c r="K56" s="1"/>
  <c r="R56" s="1"/>
  <c r="A56"/>
  <c r="O55"/>
  <c r="M55"/>
  <c r="Q55" s="1"/>
  <c r="G55"/>
  <c r="H55" s="1"/>
  <c r="I55" s="1"/>
  <c r="J55" s="1"/>
  <c r="K55" s="1"/>
  <c r="R55" s="1"/>
  <c r="A55"/>
  <c r="M54"/>
  <c r="Q54" s="1"/>
  <c r="G54"/>
  <c r="H54" s="1"/>
  <c r="I54" s="1"/>
  <c r="J54" s="1"/>
  <c r="K54" s="1"/>
  <c r="R54" s="1"/>
  <c r="A54"/>
  <c r="M53"/>
  <c r="G53"/>
  <c r="H53" s="1"/>
  <c r="I53" s="1"/>
  <c r="J53" s="1"/>
  <c r="K53" s="1"/>
  <c r="R53" s="1"/>
  <c r="M52"/>
  <c r="G52"/>
  <c r="H52" s="1"/>
  <c r="I52" s="1"/>
  <c r="J52" s="1"/>
  <c r="K52" s="1"/>
  <c r="R52" s="1"/>
  <c r="G51"/>
  <c r="H51" s="1"/>
  <c r="I51" s="1"/>
  <c r="J51" s="1"/>
  <c r="K51" s="1"/>
  <c r="R51" s="1"/>
  <c r="M51"/>
  <c r="M30"/>
  <c r="O30" s="1"/>
  <c r="G30"/>
  <c r="H30" s="1"/>
  <c r="I30" s="1"/>
  <c r="J30" s="1"/>
  <c r="K30" s="1"/>
  <c r="R30" s="1"/>
  <c r="M29"/>
  <c r="O29" s="1"/>
  <c r="G29"/>
  <c r="H29" s="1"/>
  <c r="I29" s="1"/>
  <c r="J29" s="1"/>
  <c r="K29" s="1"/>
  <c r="R29" s="1"/>
  <c r="M48"/>
  <c r="G48"/>
  <c r="H48" s="1"/>
  <c r="I48" s="1"/>
  <c r="J48" s="1"/>
  <c r="K48" s="1"/>
  <c r="R48" s="1"/>
  <c r="N2" i="28"/>
  <c r="L4"/>
  <c r="N4"/>
  <c r="L2"/>
  <c r="N6"/>
  <c r="L6"/>
  <c r="P9"/>
  <c r="N9"/>
  <c r="L9"/>
  <c r="P8"/>
  <c r="N8"/>
  <c r="L8"/>
  <c r="P7"/>
  <c r="N7"/>
  <c r="L7"/>
  <c r="N5"/>
  <c r="L5"/>
  <c r="N3"/>
  <c r="L3"/>
  <c r="M50" i="27"/>
  <c r="O50" s="1"/>
  <c r="G50"/>
  <c r="H50" s="1"/>
  <c r="I50" s="1"/>
  <c r="J50" s="1"/>
  <c r="K50" s="1"/>
  <c r="R50" s="1"/>
  <c r="A50"/>
  <c r="M49"/>
  <c r="G49"/>
  <c r="H49" s="1"/>
  <c r="I49" s="1"/>
  <c r="J49" s="1"/>
  <c r="K49" s="1"/>
  <c r="R49" s="1"/>
  <c r="M47"/>
  <c r="G47"/>
  <c r="H47" s="1"/>
  <c r="I47" s="1"/>
  <c r="J47" s="1"/>
  <c r="K47" s="1"/>
  <c r="R47" s="1"/>
  <c r="A46"/>
  <c r="O46"/>
  <c r="M46"/>
  <c r="Q46" s="1"/>
  <c r="G46"/>
  <c r="H46" s="1"/>
  <c r="I46" s="1"/>
  <c r="J46" s="1"/>
  <c r="K46" s="1"/>
  <c r="R46" s="1"/>
  <c r="M45"/>
  <c r="G45"/>
  <c r="H45" s="1"/>
  <c r="I45" s="1"/>
  <c r="J45" s="1"/>
  <c r="K45" s="1"/>
  <c r="R45" s="1"/>
  <c r="F3" i="28"/>
  <c r="D3"/>
  <c r="D5"/>
  <c r="F5"/>
  <c r="F6"/>
  <c r="F4"/>
  <c r="D4"/>
  <c r="F2"/>
  <c r="D2"/>
  <c r="Q44" i="27"/>
  <c r="M44"/>
  <c r="O44" s="1"/>
  <c r="G44"/>
  <c r="H44" s="1"/>
  <c r="I44" s="1"/>
  <c r="J44" s="1"/>
  <c r="K44" s="1"/>
  <c r="R44" s="1"/>
  <c r="J9" i="28"/>
  <c r="H9"/>
  <c r="J8"/>
  <c r="H8"/>
  <c r="J7"/>
  <c r="H7"/>
  <c r="M26" i="27"/>
  <c r="O26" s="1"/>
  <c r="G26"/>
  <c r="H26" s="1"/>
  <c r="I26" s="1"/>
  <c r="J26" s="1"/>
  <c r="K26" s="1"/>
  <c r="R26" s="1"/>
  <c r="F7" i="28"/>
  <c r="D7"/>
  <c r="F9"/>
  <c r="D9"/>
  <c r="F8"/>
  <c r="D8"/>
  <c r="D6"/>
  <c r="G43" i="27"/>
  <c r="G42"/>
  <c r="H42" s="1"/>
  <c r="I42" s="1"/>
  <c r="J42" s="1"/>
  <c r="K42" s="1"/>
  <c r="R42" s="1"/>
  <c r="G41"/>
  <c r="H41" s="1"/>
  <c r="M41"/>
  <c r="M23"/>
  <c r="Q23" s="1"/>
  <c r="G109"/>
  <c r="L109" s="1"/>
  <c r="M109" s="1"/>
  <c r="N109" s="1"/>
  <c r="O109" s="1"/>
  <c r="G107"/>
  <c r="L107" s="1"/>
  <c r="M107" s="1"/>
  <c r="N107" s="1"/>
  <c r="O107" s="1"/>
  <c r="G23"/>
  <c r="H23" s="1"/>
  <c r="G108"/>
  <c r="H108" s="1"/>
  <c r="I108" s="1"/>
  <c r="J108" s="1"/>
  <c r="K108" s="1"/>
  <c r="G96"/>
  <c r="H96" s="1"/>
  <c r="I96" s="1"/>
  <c r="G97"/>
  <c r="H97" s="1"/>
  <c r="I97" s="1"/>
  <c r="G98"/>
  <c r="H98" s="1"/>
  <c r="I98" s="1"/>
  <c r="G99"/>
  <c r="L99" s="1"/>
  <c r="M99" s="1"/>
  <c r="N99" s="1"/>
  <c r="O99" s="1"/>
  <c r="G100"/>
  <c r="H100" s="1"/>
  <c r="I100" s="1"/>
  <c r="G101"/>
  <c r="L101" s="1"/>
  <c r="M101" s="1"/>
  <c r="N101" s="1"/>
  <c r="O101" s="1"/>
  <c r="G102"/>
  <c r="L102" s="1"/>
  <c r="G103"/>
  <c r="L103" s="1"/>
  <c r="M103" s="1"/>
  <c r="N103" s="1"/>
  <c r="O103" s="1"/>
  <c r="G104"/>
  <c r="L104" s="1"/>
  <c r="G105"/>
  <c r="H105" s="1"/>
  <c r="I105" s="1"/>
  <c r="G106"/>
  <c r="H106" s="1"/>
  <c r="I106" s="1"/>
  <c r="M24"/>
  <c r="Q24" s="1"/>
  <c r="G24"/>
  <c r="M22"/>
  <c r="O22" s="1"/>
  <c r="G22"/>
  <c r="H22" s="1"/>
  <c r="O20"/>
  <c r="Q20"/>
  <c r="M21"/>
  <c r="O21" s="1"/>
  <c r="G21"/>
  <c r="H21" s="1"/>
  <c r="I21" s="1"/>
  <c r="M20"/>
  <c r="G20"/>
  <c r="H20" s="1"/>
  <c r="G19"/>
  <c r="H19" s="1"/>
  <c r="M19"/>
  <c r="O19" s="1"/>
  <c r="P15"/>
  <c r="M15"/>
  <c r="Q15" s="1"/>
  <c r="G15"/>
  <c r="H15" s="1"/>
  <c r="P4"/>
  <c r="P5"/>
  <c r="P7"/>
  <c r="P8"/>
  <c r="P9"/>
  <c r="P10"/>
  <c r="P11"/>
  <c r="P12"/>
  <c r="P13"/>
  <c r="P14"/>
  <c r="P16"/>
  <c r="P17"/>
  <c r="P18"/>
  <c r="P3"/>
  <c r="G16"/>
  <c r="M16"/>
  <c r="O16" s="1"/>
  <c r="M14"/>
  <c r="Q14" s="1"/>
  <c r="G14"/>
  <c r="H14" s="1"/>
  <c r="I14" s="1"/>
  <c r="M4"/>
  <c r="O4" s="1"/>
  <c r="M5"/>
  <c r="O5" s="1"/>
  <c r="M7"/>
  <c r="O7" s="1"/>
  <c r="M8"/>
  <c r="O8" s="1"/>
  <c r="M9"/>
  <c r="O9" s="1"/>
  <c r="M10"/>
  <c r="O10" s="1"/>
  <c r="M11"/>
  <c r="O11" s="1"/>
  <c r="M12"/>
  <c r="O12" s="1"/>
  <c r="M13"/>
  <c r="O13" s="1"/>
  <c r="M17"/>
  <c r="O17" s="1"/>
  <c r="M18"/>
  <c r="O18" s="1"/>
  <c r="M3"/>
  <c r="O3" s="1"/>
  <c r="G18"/>
  <c r="H18" s="1"/>
  <c r="G13"/>
  <c r="H13" s="1"/>
  <c r="I13" s="1"/>
  <c r="G9"/>
  <c r="H9" s="1"/>
  <c r="G10"/>
  <c r="H10" s="1"/>
  <c r="I10" s="1"/>
  <c r="G11"/>
  <c r="H11" s="1"/>
  <c r="G4"/>
  <c r="H4" s="1"/>
  <c r="G5"/>
  <c r="H5" s="1"/>
  <c r="G7"/>
  <c r="H7" s="1"/>
  <c r="G8"/>
  <c r="G12"/>
  <c r="H12" s="1"/>
  <c r="G17"/>
  <c r="H17" s="1"/>
  <c r="G3"/>
  <c r="H3" s="1"/>
  <c r="G1"/>
  <c r="E8" i="26"/>
  <c r="D8"/>
  <c r="C8"/>
  <c r="D6" i="25"/>
  <c r="D5"/>
  <c r="D4"/>
  <c r="D8"/>
  <c r="D7"/>
  <c r="D3"/>
  <c r="D2"/>
  <c r="L1" i="24"/>
  <c r="L3"/>
  <c r="L4"/>
  <c r="L5"/>
  <c r="L2"/>
  <c r="C2"/>
  <c r="F2"/>
  <c r="E2"/>
  <c r="D2"/>
  <c r="E18" i="21"/>
  <c r="E1" s="1"/>
  <c r="C5" i="23"/>
  <c r="E10" i="21"/>
  <c r="Q3"/>
  <c r="P8"/>
  <c r="O8"/>
  <c r="M8"/>
  <c r="P3"/>
  <c r="E3"/>
  <c r="K2"/>
  <c r="K4"/>
  <c r="K5"/>
  <c r="K6"/>
  <c r="K7"/>
  <c r="K8"/>
  <c r="K9"/>
  <c r="K10"/>
  <c r="K3"/>
  <c r="B1"/>
  <c r="B25"/>
  <c r="B18"/>
  <c r="B10"/>
  <c r="B3"/>
  <c r="AN4" i="20"/>
  <c r="AL4"/>
  <c r="AK4"/>
  <c r="AJ4"/>
  <c r="AI4"/>
  <c r="AM4" s="1"/>
  <c r="AJ2"/>
  <c r="AA4"/>
  <c r="AE4" s="1"/>
  <c r="AB2"/>
  <c r="B13"/>
  <c r="B14" s="1"/>
  <c r="B15" s="1"/>
  <c r="B16" s="1"/>
  <c r="B17" s="1"/>
  <c r="R4"/>
  <c r="V4" s="1"/>
  <c r="S2"/>
  <c r="K4"/>
  <c r="L4" s="1"/>
  <c r="P4" s="1"/>
  <c r="K2"/>
  <c r="C2"/>
  <c r="L34" i="19"/>
  <c r="N34"/>
  <c r="W41"/>
  <c r="V41"/>
  <c r="W40"/>
  <c r="V40"/>
  <c r="W39"/>
  <c r="V39"/>
  <c r="W38"/>
  <c r="V38"/>
  <c r="W37"/>
  <c r="V37"/>
  <c r="W36"/>
  <c r="V36"/>
  <c r="W35"/>
  <c r="V35"/>
  <c r="W34"/>
  <c r="V34"/>
  <c r="W33"/>
  <c r="V33"/>
  <c r="W32"/>
  <c r="V32"/>
  <c r="W31"/>
  <c r="V31"/>
  <c r="W30"/>
  <c r="V30"/>
  <c r="W29"/>
  <c r="V29"/>
  <c r="W28"/>
  <c r="V28"/>
  <c r="W27"/>
  <c r="V27"/>
  <c r="W26"/>
  <c r="V26"/>
  <c r="W25"/>
  <c r="V25"/>
  <c r="W24"/>
  <c r="V24"/>
  <c r="S24"/>
  <c r="T24" s="1"/>
  <c r="W5"/>
  <c r="W6"/>
  <c r="W7"/>
  <c r="W8"/>
  <c r="W9"/>
  <c r="W10"/>
  <c r="W11"/>
  <c r="W12"/>
  <c r="W13"/>
  <c r="W14"/>
  <c r="W15"/>
  <c r="W16"/>
  <c r="W17"/>
  <c r="W18"/>
  <c r="W19"/>
  <c r="W20"/>
  <c r="W21"/>
  <c r="W4"/>
  <c r="V5"/>
  <c r="V6"/>
  <c r="V7"/>
  <c r="V8"/>
  <c r="V9"/>
  <c r="V10"/>
  <c r="V11"/>
  <c r="V12"/>
  <c r="V13"/>
  <c r="V14"/>
  <c r="V15"/>
  <c r="V16"/>
  <c r="V17"/>
  <c r="V18"/>
  <c r="V19"/>
  <c r="V20"/>
  <c r="V21"/>
  <c r="V4"/>
  <c r="S4"/>
  <c r="T4" s="1"/>
  <c r="Q3"/>
  <c r="N22"/>
  <c r="N23" s="1"/>
  <c r="N24" s="1"/>
  <c r="N25" s="1"/>
  <c r="N26" s="1"/>
  <c r="N27" s="1"/>
  <c r="N28" s="1"/>
  <c r="N29" s="1"/>
  <c r="N30" s="1"/>
  <c r="O20"/>
  <c r="H4"/>
  <c r="AC11"/>
  <c r="AC12" s="1"/>
  <c r="AC13" s="1"/>
  <c r="AC14" s="1"/>
  <c r="AC15" s="1"/>
  <c r="AC16" s="1"/>
  <c r="AC17" s="1"/>
  <c r="J11"/>
  <c r="J12" s="1"/>
  <c r="J13" s="1"/>
  <c r="J14" s="1"/>
  <c r="J15" s="1"/>
  <c r="J16" s="1"/>
  <c r="J17" s="1"/>
  <c r="L22"/>
  <c r="L23" s="1"/>
  <c r="L24" s="1"/>
  <c r="L25" s="1"/>
  <c r="L26" s="1"/>
  <c r="L27" s="1"/>
  <c r="L28" s="1"/>
  <c r="L29" s="1"/>
  <c r="L30" s="1"/>
  <c r="M20"/>
  <c r="J22"/>
  <c r="J23" s="1"/>
  <c r="J24" s="1"/>
  <c r="J25" s="1"/>
  <c r="J26" s="1"/>
  <c r="J27" s="1"/>
  <c r="J28" s="1"/>
  <c r="J29" s="1"/>
  <c r="J30" s="1"/>
  <c r="K20"/>
  <c r="H23"/>
  <c r="H24" s="1"/>
  <c r="H25" s="1"/>
  <c r="H26" s="1"/>
  <c r="H27" s="1"/>
  <c r="H28" s="1"/>
  <c r="H29" s="1"/>
  <c r="H30" s="1"/>
  <c r="H22"/>
  <c r="I20"/>
  <c r="F22"/>
  <c r="F23" s="1"/>
  <c r="F24" s="1"/>
  <c r="F25" s="1"/>
  <c r="F26" s="1"/>
  <c r="F27" s="1"/>
  <c r="F28" s="1"/>
  <c r="F29" s="1"/>
  <c r="F30" s="1"/>
  <c r="G20"/>
  <c r="D23"/>
  <c r="D24" s="1"/>
  <c r="D25" s="1"/>
  <c r="D26" s="1"/>
  <c r="D27" s="1"/>
  <c r="D28" s="1"/>
  <c r="D29" s="1"/>
  <c r="D30" s="1"/>
  <c r="D22"/>
  <c r="E20"/>
  <c r="B22"/>
  <c r="B23" s="1"/>
  <c r="B24" s="1"/>
  <c r="B25" s="1"/>
  <c r="B26" s="1"/>
  <c r="B27" s="1"/>
  <c r="B28" s="1"/>
  <c r="B29" s="1"/>
  <c r="B30" s="1"/>
  <c r="C20"/>
  <c r="H5"/>
  <c r="H6" s="1"/>
  <c r="H7" s="1"/>
  <c r="H8" s="1"/>
  <c r="H9" s="1"/>
  <c r="H10" s="1"/>
  <c r="H11" s="1"/>
  <c r="H12" s="1"/>
  <c r="H13" s="1"/>
  <c r="H14" s="1"/>
  <c r="H15" s="1"/>
  <c r="H16" s="1"/>
  <c r="H17" s="1"/>
  <c r="I2"/>
  <c r="AG4"/>
  <c r="AG5" s="1"/>
  <c r="AG6" s="1"/>
  <c r="AG7" s="1"/>
  <c r="AG8" s="1"/>
  <c r="AG9" s="1"/>
  <c r="AG10" s="1"/>
  <c r="AE4"/>
  <c r="AE5" s="1"/>
  <c r="AE6" s="1"/>
  <c r="AE7" s="1"/>
  <c r="AE8" s="1"/>
  <c r="AE9" s="1"/>
  <c r="AE10" s="1"/>
  <c r="AC4"/>
  <c r="AC5" s="1"/>
  <c r="AC6" s="1"/>
  <c r="AC7" s="1"/>
  <c r="AC8" s="1"/>
  <c r="AC9" s="1"/>
  <c r="AC10" s="1"/>
  <c r="AA4"/>
  <c r="AA5" s="1"/>
  <c r="AA6" s="1"/>
  <c r="AA7" s="1"/>
  <c r="AA8" s="1"/>
  <c r="AA9" s="1"/>
  <c r="AA10" s="1"/>
  <c r="AA11" s="1"/>
  <c r="AA12" s="1"/>
  <c r="AA13" s="1"/>
  <c r="AA14" s="1"/>
  <c r="AA15" s="1"/>
  <c r="AA16" s="1"/>
  <c r="AA17" s="1"/>
  <c r="AH2"/>
  <c r="AF2"/>
  <c r="AD2"/>
  <c r="AB2"/>
  <c r="F4"/>
  <c r="F5" s="1"/>
  <c r="F6" s="1"/>
  <c r="F7" s="1"/>
  <c r="F8" s="1"/>
  <c r="F9" s="1"/>
  <c r="F10" s="1"/>
  <c r="F11" s="1"/>
  <c r="F12" s="1"/>
  <c r="F13" s="1"/>
  <c r="F14" s="1"/>
  <c r="F15" s="1"/>
  <c r="F16" s="1"/>
  <c r="F17" s="1"/>
  <c r="G2"/>
  <c r="J4"/>
  <c r="J5" s="1"/>
  <c r="J6" s="1"/>
  <c r="J7" s="1"/>
  <c r="J8" s="1"/>
  <c r="J9" s="1"/>
  <c r="J10" s="1"/>
  <c r="K2"/>
  <c r="L4"/>
  <c r="L5" s="1"/>
  <c r="L6" s="1"/>
  <c r="L7" s="1"/>
  <c r="L8" s="1"/>
  <c r="L9" s="1"/>
  <c r="L10" s="1"/>
  <c r="L11" s="1"/>
  <c r="L12" s="1"/>
  <c r="L13" s="1"/>
  <c r="L14" s="1"/>
  <c r="L15" s="1"/>
  <c r="L16" s="1"/>
  <c r="L17" s="1"/>
  <c r="M2"/>
  <c r="X4"/>
  <c r="X5" s="1"/>
  <c r="X6" s="1"/>
  <c r="X7" s="1"/>
  <c r="X8" s="1"/>
  <c r="X9" s="1"/>
  <c r="X10" s="1"/>
  <c r="X11" s="1"/>
  <c r="X12" s="1"/>
  <c r="X13" s="1"/>
  <c r="X14" s="1"/>
  <c r="X15" s="1"/>
  <c r="X16" s="1"/>
  <c r="X17" s="1"/>
  <c r="Y2"/>
  <c r="B5"/>
  <c r="B6" s="1"/>
  <c r="B7" s="1"/>
  <c r="B8" s="1"/>
  <c r="B9" s="1"/>
  <c r="B10" s="1"/>
  <c r="B11" s="1"/>
  <c r="B12" s="1"/>
  <c r="B13" s="1"/>
  <c r="B14" s="1"/>
  <c r="B15" s="1"/>
  <c r="B16" s="1"/>
  <c r="B17" s="1"/>
  <c r="B4"/>
  <c r="C2"/>
  <c r="N4"/>
  <c r="N5" s="1"/>
  <c r="D4"/>
  <c r="D5" s="1"/>
  <c r="D6" s="1"/>
  <c r="D7" s="1"/>
  <c r="D8" s="1"/>
  <c r="D9" s="1"/>
  <c r="D10" s="1"/>
  <c r="D11" s="1"/>
  <c r="D12" s="1"/>
  <c r="D13" s="1"/>
  <c r="D14" s="1"/>
  <c r="D15" s="1"/>
  <c r="D16" s="1"/>
  <c r="D17" s="1"/>
  <c r="E2"/>
  <c r="Q18" i="18"/>
  <c r="Q17"/>
  <c r="Q16"/>
  <c r="Q15"/>
  <c r="Q14"/>
  <c r="Q13"/>
  <c r="M18"/>
  <c r="M17"/>
  <c r="M16"/>
  <c r="M15"/>
  <c r="M14"/>
  <c r="M13"/>
  <c r="I12"/>
  <c r="I18"/>
  <c r="E18"/>
  <c r="I17"/>
  <c r="I16"/>
  <c r="I15"/>
  <c r="I14"/>
  <c r="I13"/>
  <c r="E17"/>
  <c r="E16"/>
  <c r="E15"/>
  <c r="E14"/>
  <c r="E13"/>
  <c r="D2"/>
  <c r="D4"/>
  <c r="D5"/>
  <c r="D6"/>
  <c r="D7"/>
  <c r="D8"/>
  <c r="D3"/>
  <c r="C4" i="17"/>
  <c r="C5"/>
  <c r="C6"/>
  <c r="C7"/>
  <c r="C8"/>
  <c r="C9"/>
  <c r="C10"/>
  <c r="C11"/>
  <c r="C12"/>
  <c r="C13"/>
  <c r="C14"/>
  <c r="C15"/>
  <c r="C16"/>
  <c r="C17"/>
  <c r="C18"/>
  <c r="C3"/>
  <c r="B4"/>
  <c r="B5"/>
  <c r="B6"/>
  <c r="B7"/>
  <c r="B8"/>
  <c r="B9"/>
  <c r="B10"/>
  <c r="B11"/>
  <c r="B12"/>
  <c r="B13"/>
  <c r="B14"/>
  <c r="B15"/>
  <c r="B16"/>
  <c r="B17"/>
  <c r="B18"/>
  <c r="B3"/>
  <c r="A4"/>
  <c r="A5"/>
  <c r="A6"/>
  <c r="A7"/>
  <c r="A8"/>
  <c r="A9"/>
  <c r="A10"/>
  <c r="A11"/>
  <c r="A12"/>
  <c r="A13"/>
  <c r="A14"/>
  <c r="A15"/>
  <c r="A16"/>
  <c r="A17"/>
  <c r="A18"/>
  <c r="A3"/>
  <c r="I4"/>
  <c r="I5"/>
  <c r="I6"/>
  <c r="I7"/>
  <c r="I8"/>
  <c r="I9"/>
  <c r="I10"/>
  <c r="I11"/>
  <c r="I12"/>
  <c r="I13"/>
  <c r="I14"/>
  <c r="I15"/>
  <c r="I16"/>
  <c r="I17"/>
  <c r="I18"/>
  <c r="P19"/>
  <c r="K18"/>
  <c r="J18" s="1"/>
  <c r="K17"/>
  <c r="K16"/>
  <c r="J16" s="1"/>
  <c r="K15"/>
  <c r="J15" s="1"/>
  <c r="K14"/>
  <c r="K13"/>
  <c r="K12"/>
  <c r="K11"/>
  <c r="K10"/>
  <c r="J10" s="1"/>
  <c r="K9"/>
  <c r="J9"/>
  <c r="K8"/>
  <c r="K7"/>
  <c r="K6"/>
  <c r="K5"/>
  <c r="K4"/>
  <c r="J4"/>
  <c r="K3"/>
  <c r="I3"/>
  <c r="N4"/>
  <c r="N5"/>
  <c r="N6"/>
  <c r="N7"/>
  <c r="N8"/>
  <c r="N9"/>
  <c r="N10"/>
  <c r="N11"/>
  <c r="N12"/>
  <c r="O12" s="1"/>
  <c r="N13"/>
  <c r="N14"/>
  <c r="N15"/>
  <c r="O15" s="1"/>
  <c r="N16"/>
  <c r="N17"/>
  <c r="N18"/>
  <c r="P18"/>
  <c r="P17"/>
  <c r="O17" s="1"/>
  <c r="P16"/>
  <c r="P15"/>
  <c r="P14"/>
  <c r="P13"/>
  <c r="P12"/>
  <c r="P11"/>
  <c r="P10"/>
  <c r="P9"/>
  <c r="P8"/>
  <c r="O8" s="1"/>
  <c r="P7"/>
  <c r="P6"/>
  <c r="P5"/>
  <c r="O5"/>
  <c r="P4"/>
  <c r="P3"/>
  <c r="O3" s="1"/>
  <c r="N3"/>
  <c r="C55"/>
  <c r="C50"/>
  <c r="C51"/>
  <c r="C52"/>
  <c r="C53"/>
  <c r="C54"/>
  <c r="C56"/>
  <c r="C57"/>
  <c r="C58"/>
  <c r="C59"/>
  <c r="C60"/>
  <c r="C61"/>
  <c r="C62"/>
  <c r="C63"/>
  <c r="C64"/>
  <c r="C49"/>
  <c r="B50"/>
  <c r="B51"/>
  <c r="B52"/>
  <c r="B53"/>
  <c r="B54"/>
  <c r="B55"/>
  <c r="B56"/>
  <c r="B57"/>
  <c r="B58"/>
  <c r="B59"/>
  <c r="B60"/>
  <c r="B61"/>
  <c r="B62"/>
  <c r="B63"/>
  <c r="B64"/>
  <c r="B49"/>
  <c r="A50"/>
  <c r="A51"/>
  <c r="A52"/>
  <c r="A53"/>
  <c r="A54"/>
  <c r="A55"/>
  <c r="A56"/>
  <c r="A57"/>
  <c r="A58"/>
  <c r="A59"/>
  <c r="A60"/>
  <c r="A61"/>
  <c r="A62"/>
  <c r="A63"/>
  <c r="A64"/>
  <c r="A49"/>
  <c r="P64"/>
  <c r="N64"/>
  <c r="P63"/>
  <c r="O63" s="1"/>
  <c r="N63"/>
  <c r="P62"/>
  <c r="N62"/>
  <c r="P61"/>
  <c r="N61"/>
  <c r="P60"/>
  <c r="O60" s="1"/>
  <c r="N60"/>
  <c r="P59"/>
  <c r="O59"/>
  <c r="N59"/>
  <c r="P58"/>
  <c r="O58" s="1"/>
  <c r="N58"/>
  <c r="P57"/>
  <c r="O57" s="1"/>
  <c r="N57"/>
  <c r="P56"/>
  <c r="O56" s="1"/>
  <c r="N56"/>
  <c r="P55"/>
  <c r="N55"/>
  <c r="P54"/>
  <c r="N54"/>
  <c r="P53"/>
  <c r="N53"/>
  <c r="P52"/>
  <c r="O52" s="1"/>
  <c r="N52"/>
  <c r="P51"/>
  <c r="O51"/>
  <c r="N51"/>
  <c r="P50"/>
  <c r="N50"/>
  <c r="O50" s="1"/>
  <c r="P49"/>
  <c r="N49"/>
  <c r="AE64"/>
  <c r="AC64"/>
  <c r="Z64"/>
  <c r="Y64" s="1"/>
  <c r="X64"/>
  <c r="U64"/>
  <c r="S64"/>
  <c r="AE63"/>
  <c r="AC63"/>
  <c r="Z63"/>
  <c r="Y63" s="1"/>
  <c r="X63"/>
  <c r="U63"/>
  <c r="T63" s="1"/>
  <c r="S63"/>
  <c r="AE62"/>
  <c r="AC62"/>
  <c r="AD62" s="1"/>
  <c r="Z62"/>
  <c r="Y62" s="1"/>
  <c r="X62"/>
  <c r="U62"/>
  <c r="S62"/>
  <c r="AE61"/>
  <c r="AC61"/>
  <c r="Z61"/>
  <c r="X61"/>
  <c r="U61"/>
  <c r="T61" s="1"/>
  <c r="S61"/>
  <c r="AE60"/>
  <c r="AC60"/>
  <c r="Z60"/>
  <c r="Y60" s="1"/>
  <c r="X60"/>
  <c r="U60"/>
  <c r="S60"/>
  <c r="AE59"/>
  <c r="AC59"/>
  <c r="Z59"/>
  <c r="Y59" s="1"/>
  <c r="X59"/>
  <c r="U59"/>
  <c r="T59" s="1"/>
  <c r="S59"/>
  <c r="AE58"/>
  <c r="AC58"/>
  <c r="AD58" s="1"/>
  <c r="Z58"/>
  <c r="Y58" s="1"/>
  <c r="X58"/>
  <c r="U58"/>
  <c r="S58"/>
  <c r="AE57"/>
  <c r="AC57"/>
  <c r="Z57"/>
  <c r="Y57" s="1"/>
  <c r="X57"/>
  <c r="U57"/>
  <c r="S57"/>
  <c r="AE56"/>
  <c r="AC56"/>
  <c r="Z56"/>
  <c r="Y56" s="1"/>
  <c r="X56"/>
  <c r="U56"/>
  <c r="S56"/>
  <c r="AE55"/>
  <c r="AC55"/>
  <c r="Z55"/>
  <c r="X55"/>
  <c r="U55"/>
  <c r="T55" s="1"/>
  <c r="S55"/>
  <c r="AE54"/>
  <c r="AC54"/>
  <c r="Z54"/>
  <c r="X54"/>
  <c r="U54"/>
  <c r="S54"/>
  <c r="AE53"/>
  <c r="AC53"/>
  <c r="AD53" s="1"/>
  <c r="Z53"/>
  <c r="Y53" s="1"/>
  <c r="X53"/>
  <c r="U53"/>
  <c r="T53" s="1"/>
  <c r="S53"/>
  <c r="AE52"/>
  <c r="AC52"/>
  <c r="Z52"/>
  <c r="Y52" s="1"/>
  <c r="X52"/>
  <c r="U52"/>
  <c r="S52"/>
  <c r="AE51"/>
  <c r="AC51"/>
  <c r="Z51"/>
  <c r="X51"/>
  <c r="U51"/>
  <c r="T51" s="1"/>
  <c r="S51"/>
  <c r="AE50"/>
  <c r="AC50"/>
  <c r="Z50"/>
  <c r="X50"/>
  <c r="U50"/>
  <c r="S50"/>
  <c r="AE49"/>
  <c r="AC49"/>
  <c r="Z49"/>
  <c r="Y49" s="1"/>
  <c r="X49"/>
  <c r="U49"/>
  <c r="S49"/>
  <c r="A42"/>
  <c r="AE41"/>
  <c r="AC41"/>
  <c r="Z41"/>
  <c r="X41"/>
  <c r="U41"/>
  <c r="S41"/>
  <c r="AE40"/>
  <c r="AC40"/>
  <c r="AD40" s="1"/>
  <c r="Z40"/>
  <c r="B40" s="1"/>
  <c r="Y40"/>
  <c r="X40"/>
  <c r="U40"/>
  <c r="C40" s="1"/>
  <c r="T40"/>
  <c r="S40"/>
  <c r="A40"/>
  <c r="AE39"/>
  <c r="AC39"/>
  <c r="Z39"/>
  <c r="C39" s="1"/>
  <c r="X39"/>
  <c r="U39"/>
  <c r="S39"/>
  <c r="T39" s="1"/>
  <c r="AE38"/>
  <c r="AC38"/>
  <c r="AD38" s="1"/>
  <c r="Z38"/>
  <c r="B38" s="1"/>
  <c r="Y38"/>
  <c r="X38"/>
  <c r="U38"/>
  <c r="C38" s="1"/>
  <c r="T38"/>
  <c r="S38"/>
  <c r="A38"/>
  <c r="AE37"/>
  <c r="AC37"/>
  <c r="Z37"/>
  <c r="C37" s="1"/>
  <c r="X37"/>
  <c r="U37"/>
  <c r="S37"/>
  <c r="AE36"/>
  <c r="AC36"/>
  <c r="AD36" s="1"/>
  <c r="Z36"/>
  <c r="B36" s="1"/>
  <c r="Y36"/>
  <c r="X36"/>
  <c r="U36"/>
  <c r="C36" s="1"/>
  <c r="T36"/>
  <c r="S36"/>
  <c r="A36"/>
  <c r="AE35"/>
  <c r="AD35" s="1"/>
  <c r="AC35"/>
  <c r="Z35"/>
  <c r="X35"/>
  <c r="U35"/>
  <c r="B35" s="1"/>
  <c r="S35"/>
  <c r="AE34"/>
  <c r="AC34"/>
  <c r="AD34" s="1"/>
  <c r="Z34"/>
  <c r="B34" s="1"/>
  <c r="Y34"/>
  <c r="X34"/>
  <c r="U34"/>
  <c r="C34" s="1"/>
  <c r="T34"/>
  <c r="S34"/>
  <c r="A34"/>
  <c r="AE33"/>
  <c r="AC33"/>
  <c r="Z33"/>
  <c r="X33"/>
  <c r="U33"/>
  <c r="B33" s="1"/>
  <c r="S33"/>
  <c r="AE32"/>
  <c r="AC32"/>
  <c r="AD32" s="1"/>
  <c r="Z32"/>
  <c r="B32" s="1"/>
  <c r="Y32"/>
  <c r="X32"/>
  <c r="U32"/>
  <c r="C32" s="1"/>
  <c r="T32"/>
  <c r="S32"/>
  <c r="A32"/>
  <c r="AE31"/>
  <c r="AD31" s="1"/>
  <c r="AC31"/>
  <c r="Z31"/>
  <c r="X31"/>
  <c r="U31"/>
  <c r="S31"/>
  <c r="AE30"/>
  <c r="AC30"/>
  <c r="AD30" s="1"/>
  <c r="Z30"/>
  <c r="B30" s="1"/>
  <c r="Y30"/>
  <c r="X30"/>
  <c r="U30"/>
  <c r="C30" s="1"/>
  <c r="T30"/>
  <c r="S30"/>
  <c r="A30"/>
  <c r="AE29"/>
  <c r="AD29" s="1"/>
  <c r="AC29"/>
  <c r="Z29"/>
  <c r="X29"/>
  <c r="U29"/>
  <c r="S29"/>
  <c r="T29" s="1"/>
  <c r="AE28"/>
  <c r="AC28"/>
  <c r="AD28" s="1"/>
  <c r="Z28"/>
  <c r="B28" s="1"/>
  <c r="Y28"/>
  <c r="X28"/>
  <c r="U28"/>
  <c r="T28"/>
  <c r="S28"/>
  <c r="A28"/>
  <c r="AE27"/>
  <c r="AD27" s="1"/>
  <c r="AC27"/>
  <c r="Z27"/>
  <c r="X27"/>
  <c r="U27"/>
  <c r="S27"/>
  <c r="AE26"/>
  <c r="AC26"/>
  <c r="AD26" s="1"/>
  <c r="Z26"/>
  <c r="Y26"/>
  <c r="X26"/>
  <c r="U26"/>
  <c r="T26"/>
  <c r="S26"/>
  <c r="A26"/>
  <c r="AE19"/>
  <c r="Z19"/>
  <c r="U19"/>
  <c r="AC4"/>
  <c r="AD4" s="1"/>
  <c r="AC5"/>
  <c r="AD5" s="1"/>
  <c r="AC6"/>
  <c r="AD6" s="1"/>
  <c r="AC7"/>
  <c r="AD7" s="1"/>
  <c r="AC8"/>
  <c r="AD8" s="1"/>
  <c r="AC9"/>
  <c r="AD9" s="1"/>
  <c r="AC10"/>
  <c r="AD10" s="1"/>
  <c r="AC11"/>
  <c r="AD11" s="1"/>
  <c r="AC12"/>
  <c r="AD12" s="1"/>
  <c r="AC13"/>
  <c r="AD13" s="1"/>
  <c r="AC14"/>
  <c r="AD14" s="1"/>
  <c r="AC15"/>
  <c r="AD15" s="1"/>
  <c r="AC16"/>
  <c r="AD16" s="1"/>
  <c r="AC17"/>
  <c r="AD17" s="1"/>
  <c r="AC18"/>
  <c r="AD18" s="1"/>
  <c r="AD3"/>
  <c r="AC3"/>
  <c r="X4"/>
  <c r="Y4" s="1"/>
  <c r="X5"/>
  <c r="Y5" s="1"/>
  <c r="X6"/>
  <c r="Y6"/>
  <c r="X7"/>
  <c r="Y7" s="1"/>
  <c r="X8"/>
  <c r="Y8" s="1"/>
  <c r="X9"/>
  <c r="Y9" s="1"/>
  <c r="X10"/>
  <c r="Y10"/>
  <c r="X11"/>
  <c r="Y11" s="1"/>
  <c r="X12"/>
  <c r="Y12" s="1"/>
  <c r="X13"/>
  <c r="Y13" s="1"/>
  <c r="X14"/>
  <c r="Y14"/>
  <c r="X15"/>
  <c r="Y15" s="1"/>
  <c r="X16"/>
  <c r="Y16" s="1"/>
  <c r="X17"/>
  <c r="Y17" s="1"/>
  <c r="X18"/>
  <c r="Y18"/>
  <c r="Y3"/>
  <c r="X3"/>
  <c r="S4"/>
  <c r="T4" s="1"/>
  <c r="S5"/>
  <c r="S6"/>
  <c r="S7"/>
  <c r="T7" s="1"/>
  <c r="S8"/>
  <c r="S9"/>
  <c r="T9" s="1"/>
  <c r="S10"/>
  <c r="S11"/>
  <c r="S12"/>
  <c r="T12" s="1"/>
  <c r="S13"/>
  <c r="S14"/>
  <c r="S15"/>
  <c r="T15" s="1"/>
  <c r="S16"/>
  <c r="S17"/>
  <c r="T17" s="1"/>
  <c r="S18"/>
  <c r="T5"/>
  <c r="T6"/>
  <c r="T8"/>
  <c r="T10"/>
  <c r="T11"/>
  <c r="T13"/>
  <c r="T14"/>
  <c r="T16"/>
  <c r="T18"/>
  <c r="T3"/>
  <c r="S3"/>
  <c r="U3"/>
  <c r="AE4"/>
  <c r="AE5"/>
  <c r="AE6"/>
  <c r="AE7"/>
  <c r="AE8"/>
  <c r="AE9"/>
  <c r="AE10"/>
  <c r="AE11"/>
  <c r="AE12"/>
  <c r="AE13"/>
  <c r="AE14"/>
  <c r="AE15"/>
  <c r="AE16"/>
  <c r="AE17"/>
  <c r="AE18"/>
  <c r="AE3"/>
  <c r="Z4"/>
  <c r="Z5"/>
  <c r="Z6"/>
  <c r="Z7"/>
  <c r="Z8"/>
  <c r="Z9"/>
  <c r="Z10"/>
  <c r="Z11"/>
  <c r="Z12"/>
  <c r="Z13"/>
  <c r="Z14"/>
  <c r="Z15"/>
  <c r="Z16"/>
  <c r="Z17"/>
  <c r="Z18"/>
  <c r="Z3"/>
  <c r="U4"/>
  <c r="U5"/>
  <c r="U6"/>
  <c r="U7"/>
  <c r="U8"/>
  <c r="U9"/>
  <c r="U10"/>
  <c r="U11"/>
  <c r="U12"/>
  <c r="U13"/>
  <c r="U14"/>
  <c r="U15"/>
  <c r="U16"/>
  <c r="U17"/>
  <c r="U18"/>
  <c r="W99" i="15"/>
  <c r="V99"/>
  <c r="W98"/>
  <c r="V98"/>
  <c r="W97"/>
  <c r="V97"/>
  <c r="W96"/>
  <c r="V96"/>
  <c r="W95"/>
  <c r="V95"/>
  <c r="W94"/>
  <c r="V94"/>
  <c r="X91"/>
  <c r="X90"/>
  <c r="W88"/>
  <c r="V88"/>
  <c r="W87"/>
  <c r="V87"/>
  <c r="W86"/>
  <c r="V86"/>
  <c r="X85"/>
  <c r="X84"/>
  <c r="X83"/>
  <c r="X82"/>
  <c r="X87" s="1"/>
  <c r="W81"/>
  <c r="V81"/>
  <c r="W80"/>
  <c r="V80"/>
  <c r="W79"/>
  <c r="V79"/>
  <c r="X78"/>
  <c r="X77"/>
  <c r="X76"/>
  <c r="X75"/>
  <c r="AF99"/>
  <c r="AE99"/>
  <c r="AF98"/>
  <c r="AE98"/>
  <c r="AF97"/>
  <c r="AE97"/>
  <c r="AF96"/>
  <c r="AE96"/>
  <c r="AF95"/>
  <c r="AE95"/>
  <c r="AF94"/>
  <c r="AE94"/>
  <c r="AG91"/>
  <c r="AG90"/>
  <c r="AG94" s="1"/>
  <c r="AF88"/>
  <c r="AE88"/>
  <c r="AF87"/>
  <c r="AE87"/>
  <c r="AF86"/>
  <c r="AE86"/>
  <c r="AG85"/>
  <c r="AG84"/>
  <c r="AG83"/>
  <c r="AG82"/>
  <c r="AG87" s="1"/>
  <c r="AF81"/>
  <c r="AE81"/>
  <c r="AF80"/>
  <c r="AE80"/>
  <c r="AF79"/>
  <c r="AE79"/>
  <c r="AG78"/>
  <c r="AG77"/>
  <c r="AG76"/>
  <c r="AG75"/>
  <c r="AB99"/>
  <c r="AA99"/>
  <c r="AB98"/>
  <c r="AA98"/>
  <c r="AB97"/>
  <c r="AA97"/>
  <c r="AB96"/>
  <c r="AA96"/>
  <c r="AB95"/>
  <c r="AA95"/>
  <c r="AB94"/>
  <c r="AA94"/>
  <c r="AC91"/>
  <c r="AC90"/>
  <c r="AC94" s="1"/>
  <c r="AB88"/>
  <c r="AA88"/>
  <c r="AB87"/>
  <c r="AA87"/>
  <c r="AB86"/>
  <c r="AA86"/>
  <c r="AC85"/>
  <c r="AC84"/>
  <c r="AC83"/>
  <c r="AC82"/>
  <c r="AB81"/>
  <c r="AA81"/>
  <c r="AB80"/>
  <c r="AA80"/>
  <c r="AB79"/>
  <c r="AA79"/>
  <c r="AC78"/>
  <c r="AC77"/>
  <c r="AC76"/>
  <c r="AC75"/>
  <c r="S97"/>
  <c r="S94"/>
  <c r="T99"/>
  <c r="S99"/>
  <c r="R99"/>
  <c r="T98"/>
  <c r="S98"/>
  <c r="R98"/>
  <c r="T97"/>
  <c r="R97"/>
  <c r="S96"/>
  <c r="R96"/>
  <c r="S95"/>
  <c r="R95"/>
  <c r="R94"/>
  <c r="T91"/>
  <c r="T96" s="1"/>
  <c r="T90"/>
  <c r="S88"/>
  <c r="R88"/>
  <c r="S87"/>
  <c r="R87"/>
  <c r="S86"/>
  <c r="R86"/>
  <c r="T85"/>
  <c r="T84"/>
  <c r="T83"/>
  <c r="T82"/>
  <c r="S81"/>
  <c r="R81"/>
  <c r="S80"/>
  <c r="R80"/>
  <c r="S79"/>
  <c r="R79"/>
  <c r="T78"/>
  <c r="T77"/>
  <c r="T76"/>
  <c r="T75"/>
  <c r="O99"/>
  <c r="N99"/>
  <c r="O98"/>
  <c r="N98"/>
  <c r="O97"/>
  <c r="N97"/>
  <c r="O96"/>
  <c r="N96"/>
  <c r="J96"/>
  <c r="O95"/>
  <c r="N95"/>
  <c r="J95"/>
  <c r="O94"/>
  <c r="N94"/>
  <c r="L94"/>
  <c r="K94"/>
  <c r="P93"/>
  <c r="L93"/>
  <c r="K93"/>
  <c r="J93"/>
  <c r="P92"/>
  <c r="L92"/>
  <c r="K92"/>
  <c r="J92"/>
  <c r="P91"/>
  <c r="L91"/>
  <c r="K91"/>
  <c r="J91"/>
  <c r="P90"/>
  <c r="L90"/>
  <c r="K90"/>
  <c r="J90"/>
  <c r="J94" s="1"/>
  <c r="O88"/>
  <c r="N88"/>
  <c r="O87"/>
  <c r="N87"/>
  <c r="O86"/>
  <c r="N86"/>
  <c r="L86"/>
  <c r="K86"/>
  <c r="P85"/>
  <c r="L85"/>
  <c r="K85"/>
  <c r="J85"/>
  <c r="P84"/>
  <c r="L84"/>
  <c r="K84"/>
  <c r="J84"/>
  <c r="P83"/>
  <c r="L83"/>
  <c r="K83"/>
  <c r="J83"/>
  <c r="P82"/>
  <c r="L82"/>
  <c r="K82"/>
  <c r="J82"/>
  <c r="J87" s="1"/>
  <c r="O81"/>
  <c r="N81"/>
  <c r="J81"/>
  <c r="O80"/>
  <c r="N80"/>
  <c r="J80"/>
  <c r="O79"/>
  <c r="N79"/>
  <c r="L79"/>
  <c r="K79"/>
  <c r="P78"/>
  <c r="L78"/>
  <c r="K78"/>
  <c r="J78"/>
  <c r="P77"/>
  <c r="L77"/>
  <c r="K77"/>
  <c r="J77"/>
  <c r="P76"/>
  <c r="P81" s="1"/>
  <c r="L76"/>
  <c r="K76"/>
  <c r="J76"/>
  <c r="P75"/>
  <c r="L75"/>
  <c r="K75"/>
  <c r="J75"/>
  <c r="J79" s="1"/>
  <c r="O70"/>
  <c r="N70"/>
  <c r="O69"/>
  <c r="N69"/>
  <c r="O68"/>
  <c r="N68"/>
  <c r="O67"/>
  <c r="N67"/>
  <c r="J67"/>
  <c r="O66"/>
  <c r="N66"/>
  <c r="J66"/>
  <c r="O65"/>
  <c r="N65"/>
  <c r="L65"/>
  <c r="K65"/>
  <c r="P64"/>
  <c r="L64"/>
  <c r="K64"/>
  <c r="J64"/>
  <c r="P63"/>
  <c r="L63"/>
  <c r="K63"/>
  <c r="J63"/>
  <c r="P62"/>
  <c r="L62"/>
  <c r="K62"/>
  <c r="J62"/>
  <c r="P61"/>
  <c r="L61"/>
  <c r="K61"/>
  <c r="J61"/>
  <c r="J65" s="1"/>
  <c r="O59"/>
  <c r="N59"/>
  <c r="O58"/>
  <c r="N58"/>
  <c r="O57"/>
  <c r="N57"/>
  <c r="L57"/>
  <c r="K57"/>
  <c r="P56"/>
  <c r="L56"/>
  <c r="K56"/>
  <c r="J56"/>
  <c r="P55"/>
  <c r="L55"/>
  <c r="K55"/>
  <c r="J55"/>
  <c r="P54"/>
  <c r="L54"/>
  <c r="K54"/>
  <c r="J54"/>
  <c r="P53"/>
  <c r="L53"/>
  <c r="K53"/>
  <c r="J53"/>
  <c r="J58" s="1"/>
  <c r="O52"/>
  <c r="N52"/>
  <c r="J52"/>
  <c r="O51"/>
  <c r="N51"/>
  <c r="J51"/>
  <c r="O50"/>
  <c r="N50"/>
  <c r="L50"/>
  <c r="K50"/>
  <c r="P49"/>
  <c r="L49"/>
  <c r="K49"/>
  <c r="J49"/>
  <c r="P48"/>
  <c r="L48"/>
  <c r="K48"/>
  <c r="J48"/>
  <c r="P47"/>
  <c r="L47"/>
  <c r="K47"/>
  <c r="J47"/>
  <c r="P46"/>
  <c r="L46"/>
  <c r="K46"/>
  <c r="J46"/>
  <c r="J50" s="1"/>
  <c r="G79"/>
  <c r="F79"/>
  <c r="G78"/>
  <c r="F78"/>
  <c r="G77"/>
  <c r="F77"/>
  <c r="H76"/>
  <c r="H75"/>
  <c r="H74"/>
  <c r="H73"/>
  <c r="I43"/>
  <c r="G70"/>
  <c r="F70"/>
  <c r="G69"/>
  <c r="F69"/>
  <c r="G68"/>
  <c r="F68"/>
  <c r="G67"/>
  <c r="F67"/>
  <c r="G66"/>
  <c r="F66"/>
  <c r="G65"/>
  <c r="F65"/>
  <c r="D65"/>
  <c r="C65"/>
  <c r="H64"/>
  <c r="D64"/>
  <c r="C64"/>
  <c r="B64"/>
  <c r="H63"/>
  <c r="D63"/>
  <c r="C63"/>
  <c r="B63"/>
  <c r="B65" s="1"/>
  <c r="H62"/>
  <c r="D62"/>
  <c r="C62"/>
  <c r="B62"/>
  <c r="H61"/>
  <c r="D61"/>
  <c r="C61"/>
  <c r="B61"/>
  <c r="B67" s="1"/>
  <c r="G59"/>
  <c r="F59"/>
  <c r="B59"/>
  <c r="G58"/>
  <c r="F58"/>
  <c r="B58"/>
  <c r="G57"/>
  <c r="F57"/>
  <c r="D57"/>
  <c r="C57"/>
  <c r="H56"/>
  <c r="D56"/>
  <c r="C56"/>
  <c r="B56"/>
  <c r="H55"/>
  <c r="D55"/>
  <c r="C55"/>
  <c r="B55"/>
  <c r="H54"/>
  <c r="D54"/>
  <c r="C54"/>
  <c r="B54"/>
  <c r="H53"/>
  <c r="D53"/>
  <c r="C53"/>
  <c r="B53"/>
  <c r="B57" s="1"/>
  <c r="G52"/>
  <c r="F52"/>
  <c r="G51"/>
  <c r="F51"/>
  <c r="G50"/>
  <c r="F50"/>
  <c r="D50"/>
  <c r="C50"/>
  <c r="H49"/>
  <c r="D49"/>
  <c r="C49"/>
  <c r="B49"/>
  <c r="H48"/>
  <c r="D48"/>
  <c r="C48"/>
  <c r="B48"/>
  <c r="H47"/>
  <c r="D47"/>
  <c r="C47"/>
  <c r="B47"/>
  <c r="H46"/>
  <c r="D46"/>
  <c r="C46"/>
  <c r="B46"/>
  <c r="B51" s="1"/>
  <c r="G43"/>
  <c r="H43"/>
  <c r="F43"/>
  <c r="E43"/>
  <c r="D43"/>
  <c r="N5"/>
  <c r="O34"/>
  <c r="N34"/>
  <c r="O33"/>
  <c r="N33"/>
  <c r="O32"/>
  <c r="N32"/>
  <c r="O31"/>
  <c r="N31"/>
  <c r="O30"/>
  <c r="N30"/>
  <c r="J30"/>
  <c r="O29"/>
  <c r="N29"/>
  <c r="L29"/>
  <c r="K29"/>
  <c r="P28"/>
  <c r="L28"/>
  <c r="K28"/>
  <c r="J28"/>
  <c r="P27"/>
  <c r="L27"/>
  <c r="K27"/>
  <c r="J27"/>
  <c r="P26"/>
  <c r="L26"/>
  <c r="K26"/>
  <c r="J26"/>
  <c r="P25"/>
  <c r="P30" s="1"/>
  <c r="L25"/>
  <c r="K25"/>
  <c r="J25"/>
  <c r="J29" s="1"/>
  <c r="O23"/>
  <c r="N23"/>
  <c r="O22"/>
  <c r="N22"/>
  <c r="O21"/>
  <c r="N21"/>
  <c r="L21"/>
  <c r="K21"/>
  <c r="P20"/>
  <c r="L20"/>
  <c r="K20"/>
  <c r="J20"/>
  <c r="P19"/>
  <c r="L19"/>
  <c r="K19"/>
  <c r="J19"/>
  <c r="P18"/>
  <c r="L18"/>
  <c r="K18"/>
  <c r="J18"/>
  <c r="J22" s="1"/>
  <c r="P17"/>
  <c r="L17"/>
  <c r="K17"/>
  <c r="J17"/>
  <c r="J21" s="1"/>
  <c r="O16"/>
  <c r="N16"/>
  <c r="J16"/>
  <c r="O15"/>
  <c r="N15"/>
  <c r="O14"/>
  <c r="N14"/>
  <c r="L14"/>
  <c r="K14"/>
  <c r="P13"/>
  <c r="L13"/>
  <c r="K13"/>
  <c r="J13"/>
  <c r="P12"/>
  <c r="L12"/>
  <c r="K12"/>
  <c r="J12"/>
  <c r="P11"/>
  <c r="L11"/>
  <c r="K11"/>
  <c r="J11"/>
  <c r="J15" s="1"/>
  <c r="P10"/>
  <c r="L10"/>
  <c r="K10"/>
  <c r="J10"/>
  <c r="J14" s="1"/>
  <c r="H1"/>
  <c r="J1" s="1"/>
  <c r="G1"/>
  <c r="E1"/>
  <c r="F1" s="1"/>
  <c r="G34"/>
  <c r="F34"/>
  <c r="G33"/>
  <c r="F33"/>
  <c r="G32"/>
  <c r="F32"/>
  <c r="G31"/>
  <c r="F31"/>
  <c r="G30"/>
  <c r="F30"/>
  <c r="G29"/>
  <c r="F29"/>
  <c r="D29"/>
  <c r="C29"/>
  <c r="D28"/>
  <c r="C28"/>
  <c r="B28"/>
  <c r="D27"/>
  <c r="C27"/>
  <c r="B27"/>
  <c r="D26"/>
  <c r="C26"/>
  <c r="B26"/>
  <c r="D25"/>
  <c r="C25"/>
  <c r="B25"/>
  <c r="B29" s="1"/>
  <c r="G23"/>
  <c r="F23"/>
  <c r="G22"/>
  <c r="F22"/>
  <c r="G21"/>
  <c r="F21"/>
  <c r="D21"/>
  <c r="C21"/>
  <c r="D20"/>
  <c r="C20"/>
  <c r="B20"/>
  <c r="D19"/>
  <c r="C19"/>
  <c r="B19"/>
  <c r="D18"/>
  <c r="C18"/>
  <c r="B18"/>
  <c r="B22" s="1"/>
  <c r="D17"/>
  <c r="C17"/>
  <c r="B17"/>
  <c r="B21" s="1"/>
  <c r="G16"/>
  <c r="F16"/>
  <c r="B16"/>
  <c r="G15"/>
  <c r="F15"/>
  <c r="G14"/>
  <c r="F14"/>
  <c r="D14"/>
  <c r="C14"/>
  <c r="D13"/>
  <c r="C13"/>
  <c r="B13"/>
  <c r="D12"/>
  <c r="C12"/>
  <c r="B12"/>
  <c r="D11"/>
  <c r="C11"/>
  <c r="B11"/>
  <c r="D10"/>
  <c r="C10"/>
  <c r="B10"/>
  <c r="B15" s="1"/>
  <c r="J23" i="14"/>
  <c r="H23"/>
  <c r="G23"/>
  <c r="F23"/>
  <c r="E23"/>
  <c r="D23"/>
  <c r="G12"/>
  <c r="G13"/>
  <c r="G14"/>
  <c r="G15"/>
  <c r="G16"/>
  <c r="G17"/>
  <c r="G11"/>
  <c r="F9"/>
  <c r="F10"/>
  <c r="F11"/>
  <c r="F12"/>
  <c r="F13"/>
  <c r="F14"/>
  <c r="F15"/>
  <c r="F16"/>
  <c r="F17"/>
  <c r="G8"/>
  <c r="G7"/>
  <c r="F5"/>
  <c r="F6"/>
  <c r="F7"/>
  <c r="F8"/>
  <c r="G4"/>
  <c r="G5"/>
  <c r="G6"/>
  <c r="F4"/>
  <c r="F3"/>
  <c r="G3"/>
  <c r="AU59" i="13"/>
  <c r="AT59"/>
  <c r="AU58"/>
  <c r="AT58"/>
  <c r="AU57"/>
  <c r="AT57"/>
  <c r="AU56"/>
  <c r="AT56"/>
  <c r="AU55"/>
  <c r="AT55"/>
  <c r="AP55"/>
  <c r="AU54"/>
  <c r="AT54"/>
  <c r="AR54"/>
  <c r="AQ54"/>
  <c r="AV53"/>
  <c r="AR53"/>
  <c r="AQ53"/>
  <c r="AP53"/>
  <c r="AV52"/>
  <c r="AR52"/>
  <c r="AQ52"/>
  <c r="AP52"/>
  <c r="AV51"/>
  <c r="AR51"/>
  <c r="AQ51"/>
  <c r="AP51"/>
  <c r="AV50"/>
  <c r="AR50"/>
  <c r="AQ50"/>
  <c r="AP50"/>
  <c r="AP54" s="1"/>
  <c r="AU48"/>
  <c r="AT48"/>
  <c r="AU47"/>
  <c r="AT47"/>
  <c r="AU46"/>
  <c r="AT46"/>
  <c r="AR46"/>
  <c r="AQ46"/>
  <c r="AV45"/>
  <c r="AR45"/>
  <c r="AQ45"/>
  <c r="AP45"/>
  <c r="AV44"/>
  <c r="AR44"/>
  <c r="AQ44"/>
  <c r="AP44"/>
  <c r="AV43"/>
  <c r="AR43"/>
  <c r="AQ43"/>
  <c r="AP43"/>
  <c r="AP47" s="1"/>
  <c r="AV42"/>
  <c r="AR42"/>
  <c r="AQ42"/>
  <c r="AP42"/>
  <c r="AP46" s="1"/>
  <c r="AU41"/>
  <c r="AT41"/>
  <c r="AP41"/>
  <c r="AU40"/>
  <c r="AT40"/>
  <c r="AU39"/>
  <c r="AT39"/>
  <c r="AR39"/>
  <c r="AQ39"/>
  <c r="AV38"/>
  <c r="AR38"/>
  <c r="AQ38"/>
  <c r="AP38"/>
  <c r="AV37"/>
  <c r="AR37"/>
  <c r="AQ37"/>
  <c r="AP37"/>
  <c r="AV36"/>
  <c r="AR36"/>
  <c r="AQ36"/>
  <c r="AP36"/>
  <c r="AV35"/>
  <c r="AR35"/>
  <c r="AQ35"/>
  <c r="AP35"/>
  <c r="AP40" s="1"/>
  <c r="AU31"/>
  <c r="AT31"/>
  <c r="AU30"/>
  <c r="AT30"/>
  <c r="AU29"/>
  <c r="AT29"/>
  <c r="AU28"/>
  <c r="AT28"/>
  <c r="AU27"/>
  <c r="AT27"/>
  <c r="AU26"/>
  <c r="AT26"/>
  <c r="AR26"/>
  <c r="AQ26"/>
  <c r="AV25"/>
  <c r="AR25"/>
  <c r="AQ25"/>
  <c r="AP25"/>
  <c r="AV24"/>
  <c r="AR24"/>
  <c r="AQ24"/>
  <c r="AP24"/>
  <c r="AV23"/>
  <c r="AR23"/>
  <c r="AQ23"/>
  <c r="AP23"/>
  <c r="AV22"/>
  <c r="AR22"/>
  <c r="AQ22"/>
  <c r="AP22"/>
  <c r="AP28" s="1"/>
  <c r="AU20"/>
  <c r="AT20"/>
  <c r="AP20"/>
  <c r="AU19"/>
  <c r="AT19"/>
  <c r="AP19"/>
  <c r="AU18"/>
  <c r="AT18"/>
  <c r="AR18"/>
  <c r="AQ18"/>
  <c r="AV17"/>
  <c r="AR17"/>
  <c r="AQ17"/>
  <c r="AP17"/>
  <c r="AV16"/>
  <c r="AR16"/>
  <c r="AQ16"/>
  <c r="AP16"/>
  <c r="AV15"/>
  <c r="AR15"/>
  <c r="AQ15"/>
  <c r="AP15"/>
  <c r="AV14"/>
  <c r="AR14"/>
  <c r="AQ14"/>
  <c r="AP14"/>
  <c r="AP18" s="1"/>
  <c r="AU13"/>
  <c r="AT13"/>
  <c r="AU12"/>
  <c r="AT12"/>
  <c r="AU11"/>
  <c r="AT11"/>
  <c r="AR11"/>
  <c r="AQ11"/>
  <c r="AV10"/>
  <c r="AR10"/>
  <c r="AQ10"/>
  <c r="AP10"/>
  <c r="AV9"/>
  <c r="AR9"/>
  <c r="AQ9"/>
  <c r="AP9"/>
  <c r="AV8"/>
  <c r="AR8"/>
  <c r="AQ8"/>
  <c r="AP8"/>
  <c r="AV7"/>
  <c r="AR7"/>
  <c r="AQ7"/>
  <c r="AP7"/>
  <c r="AP12" s="1"/>
  <c r="AM59"/>
  <c r="AL59"/>
  <c r="AM58"/>
  <c r="AL58"/>
  <c r="AM57"/>
  <c r="AL57"/>
  <c r="AM56"/>
  <c r="AL56"/>
  <c r="AH56"/>
  <c r="AM55"/>
  <c r="AL55"/>
  <c r="AH55"/>
  <c r="AM54"/>
  <c r="AL54"/>
  <c r="AJ54"/>
  <c r="AI54"/>
  <c r="AN53"/>
  <c r="AJ53"/>
  <c r="AI53"/>
  <c r="AH53"/>
  <c r="AN52"/>
  <c r="AJ52"/>
  <c r="AI52"/>
  <c r="AH52"/>
  <c r="AN51"/>
  <c r="AJ51"/>
  <c r="AI51"/>
  <c r="AH51"/>
  <c r="AN50"/>
  <c r="AJ50"/>
  <c r="AI50"/>
  <c r="AH50"/>
  <c r="AH54" s="1"/>
  <c r="AM48"/>
  <c r="AL48"/>
  <c r="AM47"/>
  <c r="AL47"/>
  <c r="AM46"/>
  <c r="AL46"/>
  <c r="AJ46"/>
  <c r="AI46"/>
  <c r="AN45"/>
  <c r="AJ45"/>
  <c r="AI45"/>
  <c r="AH45"/>
  <c r="AN44"/>
  <c r="AJ44"/>
  <c r="AI44"/>
  <c r="AH44"/>
  <c r="AN43"/>
  <c r="AJ43"/>
  <c r="AI43"/>
  <c r="AH43"/>
  <c r="AN42"/>
  <c r="AJ42"/>
  <c r="AI42"/>
  <c r="AH42"/>
  <c r="AH47" s="1"/>
  <c r="AM41"/>
  <c r="AL41"/>
  <c r="AH41"/>
  <c r="AM40"/>
  <c r="AL40"/>
  <c r="AH40"/>
  <c r="AM39"/>
  <c r="AL39"/>
  <c r="AJ39"/>
  <c r="AI39"/>
  <c r="AN38"/>
  <c r="AJ38"/>
  <c r="AI38"/>
  <c r="AH38"/>
  <c r="AN37"/>
  <c r="AJ37"/>
  <c r="AI37"/>
  <c r="AH37"/>
  <c r="AN36"/>
  <c r="AJ36"/>
  <c r="AI36"/>
  <c r="AH36"/>
  <c r="AN35"/>
  <c r="AJ35"/>
  <c r="AI35"/>
  <c r="AH35"/>
  <c r="AH39" s="1"/>
  <c r="AM31"/>
  <c r="AL31"/>
  <c r="AM30"/>
  <c r="AL30"/>
  <c r="AM29"/>
  <c r="AL29"/>
  <c r="AM28"/>
  <c r="AL28"/>
  <c r="AM27"/>
  <c r="AL27"/>
  <c r="AH27"/>
  <c r="AM26"/>
  <c r="AL26"/>
  <c r="AJ26"/>
  <c r="AI26"/>
  <c r="AN25"/>
  <c r="AJ25"/>
  <c r="AI25"/>
  <c r="AH25"/>
  <c r="AN24"/>
  <c r="AJ24"/>
  <c r="AI24"/>
  <c r="AH24"/>
  <c r="AN23"/>
  <c r="AJ23"/>
  <c r="AI23"/>
  <c r="AH23"/>
  <c r="AN22"/>
  <c r="AJ22"/>
  <c r="AI22"/>
  <c r="AH22"/>
  <c r="AH28" s="1"/>
  <c r="AM20"/>
  <c r="AL20"/>
  <c r="AM19"/>
  <c r="AL19"/>
  <c r="AM18"/>
  <c r="AL18"/>
  <c r="AJ18"/>
  <c r="AI18"/>
  <c r="AN17"/>
  <c r="AJ17"/>
  <c r="AI17"/>
  <c r="AH17"/>
  <c r="AN16"/>
  <c r="AJ16"/>
  <c r="AI16"/>
  <c r="AH16"/>
  <c r="AN15"/>
  <c r="AJ15"/>
  <c r="AI15"/>
  <c r="AH15"/>
  <c r="AH19" s="1"/>
  <c r="AN14"/>
  <c r="AJ14"/>
  <c r="AI14"/>
  <c r="AH14"/>
  <c r="AH18" s="1"/>
  <c r="AM13"/>
  <c r="AL13"/>
  <c r="AH13"/>
  <c r="AM12"/>
  <c r="AL12"/>
  <c r="AM11"/>
  <c r="AL11"/>
  <c r="AJ11"/>
  <c r="AI11"/>
  <c r="AN10"/>
  <c r="AJ10"/>
  <c r="AI10"/>
  <c r="AH10"/>
  <c r="AN9"/>
  <c r="AJ9"/>
  <c r="AI9"/>
  <c r="AH9"/>
  <c r="AN8"/>
  <c r="AJ8"/>
  <c r="AI8"/>
  <c r="AH8"/>
  <c r="AN7"/>
  <c r="AJ7"/>
  <c r="AI7"/>
  <c r="AH7"/>
  <c r="AH12" s="1"/>
  <c r="AE59"/>
  <c r="AD59"/>
  <c r="AE58"/>
  <c r="AD58"/>
  <c r="AE57"/>
  <c r="AD57"/>
  <c r="AF56"/>
  <c r="AE56"/>
  <c r="AD56"/>
  <c r="AE55"/>
  <c r="AD55"/>
  <c r="AF54"/>
  <c r="AE54"/>
  <c r="AD54"/>
  <c r="AB54"/>
  <c r="AA54"/>
  <c r="AF53"/>
  <c r="AB53"/>
  <c r="AA53"/>
  <c r="Z53"/>
  <c r="AF52"/>
  <c r="AB52"/>
  <c r="AA52"/>
  <c r="Z52"/>
  <c r="AF51"/>
  <c r="AB51"/>
  <c r="AA51"/>
  <c r="Z51"/>
  <c r="Z56" s="1"/>
  <c r="AF50"/>
  <c r="AF55" s="1"/>
  <c r="AB50"/>
  <c r="AA50"/>
  <c r="Z50"/>
  <c r="Z54" s="1"/>
  <c r="AE48"/>
  <c r="AD48"/>
  <c r="Z48"/>
  <c r="AE47"/>
  <c r="AD47"/>
  <c r="AE46"/>
  <c r="AD46"/>
  <c r="AB46"/>
  <c r="AA46"/>
  <c r="AF45"/>
  <c r="AB45"/>
  <c r="AA45"/>
  <c r="Z45"/>
  <c r="AF44"/>
  <c r="AB44"/>
  <c r="AA44"/>
  <c r="Z44"/>
  <c r="AF43"/>
  <c r="AB43"/>
  <c r="AA43"/>
  <c r="Z43"/>
  <c r="AF42"/>
  <c r="AF48" s="1"/>
  <c r="AB42"/>
  <c r="AA42"/>
  <c r="Z42"/>
  <c r="Z47" s="1"/>
  <c r="AE41"/>
  <c r="AD41"/>
  <c r="AF40"/>
  <c r="AE40"/>
  <c r="AD40"/>
  <c r="AE39"/>
  <c r="AD39"/>
  <c r="AB39"/>
  <c r="AA39"/>
  <c r="AF38"/>
  <c r="AB38"/>
  <c r="AA38"/>
  <c r="Z38"/>
  <c r="AF37"/>
  <c r="AB37"/>
  <c r="AA37"/>
  <c r="Z37"/>
  <c r="AF36"/>
  <c r="AF41" s="1"/>
  <c r="AB36"/>
  <c r="AA36"/>
  <c r="Z36"/>
  <c r="AF35"/>
  <c r="AF57" s="1"/>
  <c r="AB35"/>
  <c r="AA35"/>
  <c r="Z35"/>
  <c r="Z41" s="1"/>
  <c r="AE31"/>
  <c r="AD31"/>
  <c r="AE30"/>
  <c r="AD30"/>
  <c r="AE29"/>
  <c r="AD29"/>
  <c r="AE28"/>
  <c r="AD28"/>
  <c r="AE27"/>
  <c r="AD27"/>
  <c r="AE26"/>
  <c r="AD26"/>
  <c r="AB26"/>
  <c r="AA26"/>
  <c r="AF25"/>
  <c r="AB25"/>
  <c r="AA25"/>
  <c r="Z25"/>
  <c r="AF24"/>
  <c r="AB24"/>
  <c r="AA24"/>
  <c r="Z24"/>
  <c r="AF23"/>
  <c r="AB23"/>
  <c r="AA23"/>
  <c r="Z23"/>
  <c r="AF22"/>
  <c r="AB22"/>
  <c r="AA22"/>
  <c r="Z22"/>
  <c r="Z28" s="1"/>
  <c r="AE20"/>
  <c r="AD20"/>
  <c r="AE19"/>
  <c r="AD19"/>
  <c r="Z19"/>
  <c r="AE18"/>
  <c r="AD18"/>
  <c r="AB18"/>
  <c r="AA18"/>
  <c r="AF17"/>
  <c r="AB17"/>
  <c r="AA17"/>
  <c r="Z17"/>
  <c r="AF16"/>
  <c r="AB16"/>
  <c r="AA16"/>
  <c r="Z16"/>
  <c r="AF15"/>
  <c r="AB15"/>
  <c r="AA15"/>
  <c r="Z15"/>
  <c r="Z20" s="1"/>
  <c r="AF14"/>
  <c r="AB14"/>
  <c r="AA14"/>
  <c r="Z14"/>
  <c r="Z18" s="1"/>
  <c r="AE13"/>
  <c r="AD13"/>
  <c r="AE12"/>
  <c r="AD12"/>
  <c r="AE11"/>
  <c r="AD11"/>
  <c r="AB11"/>
  <c r="AA11"/>
  <c r="AF10"/>
  <c r="AB10"/>
  <c r="AA10"/>
  <c r="Z10"/>
  <c r="AF9"/>
  <c r="AB9"/>
  <c r="AA9"/>
  <c r="Z9"/>
  <c r="AF8"/>
  <c r="AB8"/>
  <c r="AA8"/>
  <c r="Z8"/>
  <c r="Z13" s="1"/>
  <c r="AF7"/>
  <c r="AB7"/>
  <c r="AA7"/>
  <c r="Z7"/>
  <c r="Z12" s="1"/>
  <c r="X15"/>
  <c r="W59"/>
  <c r="V59"/>
  <c r="W58"/>
  <c r="V58"/>
  <c r="W57"/>
  <c r="V57"/>
  <c r="W56"/>
  <c r="V56"/>
  <c r="W55"/>
  <c r="V55"/>
  <c r="W54"/>
  <c r="V54"/>
  <c r="T54"/>
  <c r="S54"/>
  <c r="R54"/>
  <c r="X53"/>
  <c r="T53"/>
  <c r="S53"/>
  <c r="R53"/>
  <c r="X52"/>
  <c r="T52"/>
  <c r="S52"/>
  <c r="R52"/>
  <c r="X51"/>
  <c r="T51"/>
  <c r="S51"/>
  <c r="R51"/>
  <c r="X50"/>
  <c r="T50"/>
  <c r="S50"/>
  <c r="R50"/>
  <c r="R56" s="1"/>
  <c r="W48"/>
  <c r="V48"/>
  <c r="W47"/>
  <c r="V47"/>
  <c r="R47"/>
  <c r="W46"/>
  <c r="V46"/>
  <c r="T46"/>
  <c r="S46"/>
  <c r="X45"/>
  <c r="T45"/>
  <c r="S45"/>
  <c r="R45"/>
  <c r="X44"/>
  <c r="T44"/>
  <c r="S44"/>
  <c r="R44"/>
  <c r="X43"/>
  <c r="T43"/>
  <c r="S43"/>
  <c r="R43"/>
  <c r="X42"/>
  <c r="T42"/>
  <c r="S42"/>
  <c r="R42"/>
  <c r="R46" s="1"/>
  <c r="W41"/>
  <c r="V41"/>
  <c r="W40"/>
  <c r="V40"/>
  <c r="W39"/>
  <c r="V39"/>
  <c r="T39"/>
  <c r="S39"/>
  <c r="X38"/>
  <c r="T38"/>
  <c r="S38"/>
  <c r="R38"/>
  <c r="X37"/>
  <c r="T37"/>
  <c r="S37"/>
  <c r="R37"/>
  <c r="X36"/>
  <c r="T36"/>
  <c r="S36"/>
  <c r="R36"/>
  <c r="X35"/>
  <c r="T35"/>
  <c r="S35"/>
  <c r="R35"/>
  <c r="R40" s="1"/>
  <c r="W31"/>
  <c r="V31"/>
  <c r="W30"/>
  <c r="V30"/>
  <c r="W29"/>
  <c r="V29"/>
  <c r="W28"/>
  <c r="V28"/>
  <c r="R28"/>
  <c r="W27"/>
  <c r="V27"/>
  <c r="R27"/>
  <c r="W26"/>
  <c r="V26"/>
  <c r="T26"/>
  <c r="S26"/>
  <c r="X25"/>
  <c r="T25"/>
  <c r="S25"/>
  <c r="R25"/>
  <c r="X24"/>
  <c r="T24"/>
  <c r="S24"/>
  <c r="R24"/>
  <c r="X23"/>
  <c r="T23"/>
  <c r="S23"/>
  <c r="R23"/>
  <c r="X22"/>
  <c r="T22"/>
  <c r="S22"/>
  <c r="R22"/>
  <c r="R26" s="1"/>
  <c r="W20"/>
  <c r="V20"/>
  <c r="W19"/>
  <c r="V19"/>
  <c r="W18"/>
  <c r="V18"/>
  <c r="T18"/>
  <c r="S18"/>
  <c r="X17"/>
  <c r="T17"/>
  <c r="S17"/>
  <c r="R17"/>
  <c r="X16"/>
  <c r="T16"/>
  <c r="S16"/>
  <c r="R16"/>
  <c r="T15"/>
  <c r="S15"/>
  <c r="R15"/>
  <c r="X14"/>
  <c r="T14"/>
  <c r="S14"/>
  <c r="R14"/>
  <c r="R20" s="1"/>
  <c r="W13"/>
  <c r="V13"/>
  <c r="R13"/>
  <c r="W12"/>
  <c r="V12"/>
  <c r="R12"/>
  <c r="W11"/>
  <c r="V11"/>
  <c r="T11"/>
  <c r="S11"/>
  <c r="X10"/>
  <c r="T10"/>
  <c r="S10"/>
  <c r="R10"/>
  <c r="X9"/>
  <c r="T9"/>
  <c r="S9"/>
  <c r="R9"/>
  <c r="X8"/>
  <c r="T8"/>
  <c r="S8"/>
  <c r="R8"/>
  <c r="X7"/>
  <c r="T7"/>
  <c r="S7"/>
  <c r="R7"/>
  <c r="R11" s="1"/>
  <c r="O59"/>
  <c r="N59"/>
  <c r="O58"/>
  <c r="N58"/>
  <c r="O57"/>
  <c r="N57"/>
  <c r="O56"/>
  <c r="N56"/>
  <c r="O55"/>
  <c r="N55"/>
  <c r="J55"/>
  <c r="O54"/>
  <c r="N54"/>
  <c r="L54"/>
  <c r="K54"/>
  <c r="P53"/>
  <c r="L53"/>
  <c r="K53"/>
  <c r="J53"/>
  <c r="P52"/>
  <c r="L52"/>
  <c r="K52"/>
  <c r="J52"/>
  <c r="P51"/>
  <c r="L51"/>
  <c r="K51"/>
  <c r="J51"/>
  <c r="P50"/>
  <c r="L50"/>
  <c r="K50"/>
  <c r="J50"/>
  <c r="J54" s="1"/>
  <c r="O48"/>
  <c r="N48"/>
  <c r="O47"/>
  <c r="N47"/>
  <c r="O46"/>
  <c r="N46"/>
  <c r="L46"/>
  <c r="K46"/>
  <c r="P45"/>
  <c r="L45"/>
  <c r="K45"/>
  <c r="J45"/>
  <c r="P44"/>
  <c r="L44"/>
  <c r="K44"/>
  <c r="J44"/>
  <c r="P43"/>
  <c r="L43"/>
  <c r="K43"/>
  <c r="J43"/>
  <c r="J48" s="1"/>
  <c r="P42"/>
  <c r="L42"/>
  <c r="K42"/>
  <c r="J42"/>
  <c r="J47" s="1"/>
  <c r="O41"/>
  <c r="N41"/>
  <c r="J41"/>
  <c r="O40"/>
  <c r="N40"/>
  <c r="O39"/>
  <c r="N39"/>
  <c r="L39"/>
  <c r="K39"/>
  <c r="P38"/>
  <c r="L38"/>
  <c r="K38"/>
  <c r="J38"/>
  <c r="P37"/>
  <c r="L37"/>
  <c r="K37"/>
  <c r="J37"/>
  <c r="P36"/>
  <c r="L36"/>
  <c r="K36"/>
  <c r="J36"/>
  <c r="P35"/>
  <c r="L35"/>
  <c r="K35"/>
  <c r="J35"/>
  <c r="J40" s="1"/>
  <c r="O31"/>
  <c r="N31"/>
  <c r="O30"/>
  <c r="N30"/>
  <c r="O29"/>
  <c r="N29"/>
  <c r="O28"/>
  <c r="N28"/>
  <c r="O27"/>
  <c r="N27"/>
  <c r="O26"/>
  <c r="N26"/>
  <c r="L26"/>
  <c r="K26"/>
  <c r="P25"/>
  <c r="L25"/>
  <c r="K25"/>
  <c r="J25"/>
  <c r="P24"/>
  <c r="L24"/>
  <c r="K24"/>
  <c r="J24"/>
  <c r="P23"/>
  <c r="L23"/>
  <c r="K23"/>
  <c r="J23"/>
  <c r="P22"/>
  <c r="L22"/>
  <c r="K22"/>
  <c r="J22"/>
  <c r="J28" s="1"/>
  <c r="O20"/>
  <c r="N20"/>
  <c r="O19"/>
  <c r="N19"/>
  <c r="J19"/>
  <c r="O18"/>
  <c r="N18"/>
  <c r="L18"/>
  <c r="K18"/>
  <c r="P17"/>
  <c r="L17"/>
  <c r="K17"/>
  <c r="J17"/>
  <c r="P16"/>
  <c r="L16"/>
  <c r="K16"/>
  <c r="J16"/>
  <c r="P15"/>
  <c r="L15"/>
  <c r="K15"/>
  <c r="J15"/>
  <c r="J20" s="1"/>
  <c r="P14"/>
  <c r="L14"/>
  <c r="K14"/>
  <c r="J14"/>
  <c r="J18" s="1"/>
  <c r="O13"/>
  <c r="N13"/>
  <c r="O12"/>
  <c r="N12"/>
  <c r="O11"/>
  <c r="N11"/>
  <c r="L11"/>
  <c r="K11"/>
  <c r="P10"/>
  <c r="L10"/>
  <c r="K10"/>
  <c r="J10"/>
  <c r="P9"/>
  <c r="L9"/>
  <c r="K9"/>
  <c r="J9"/>
  <c r="P8"/>
  <c r="L8"/>
  <c r="K8"/>
  <c r="J8"/>
  <c r="J13" s="1"/>
  <c r="P7"/>
  <c r="L7"/>
  <c r="K7"/>
  <c r="J7"/>
  <c r="J12" s="1"/>
  <c r="H53"/>
  <c r="H52"/>
  <c r="H51"/>
  <c r="H50"/>
  <c r="H45"/>
  <c r="H44"/>
  <c r="H48" s="1"/>
  <c r="H43"/>
  <c r="H42"/>
  <c r="H38"/>
  <c r="H37"/>
  <c r="H36"/>
  <c r="H35"/>
  <c r="H25"/>
  <c r="H24"/>
  <c r="H23"/>
  <c r="H22"/>
  <c r="H17"/>
  <c r="H16"/>
  <c r="H15"/>
  <c r="H14"/>
  <c r="H8"/>
  <c r="H11" s="1"/>
  <c r="H9"/>
  <c r="H10"/>
  <c r="H7"/>
  <c r="H1"/>
  <c r="J1" s="1"/>
  <c r="F1"/>
  <c r="E1"/>
  <c r="G1" s="1"/>
  <c r="G59"/>
  <c r="F59"/>
  <c r="G58"/>
  <c r="F58"/>
  <c r="G57"/>
  <c r="F57"/>
  <c r="G56"/>
  <c r="F56"/>
  <c r="B56"/>
  <c r="G55"/>
  <c r="F55"/>
  <c r="B55"/>
  <c r="G54"/>
  <c r="F54"/>
  <c r="D54"/>
  <c r="C54"/>
  <c r="D53"/>
  <c r="C53"/>
  <c r="B53"/>
  <c r="D52"/>
  <c r="C52"/>
  <c r="B52"/>
  <c r="D51"/>
  <c r="C51"/>
  <c r="B51"/>
  <c r="D50"/>
  <c r="C50"/>
  <c r="B50"/>
  <c r="B54" s="1"/>
  <c r="G48"/>
  <c r="F48"/>
  <c r="G47"/>
  <c r="F47"/>
  <c r="G46"/>
  <c r="F46"/>
  <c r="D46"/>
  <c r="C46"/>
  <c r="D45"/>
  <c r="C45"/>
  <c r="B45"/>
  <c r="D44"/>
  <c r="C44"/>
  <c r="B44"/>
  <c r="D43"/>
  <c r="C43"/>
  <c r="B43"/>
  <c r="D42"/>
  <c r="C42"/>
  <c r="B42"/>
  <c r="B47" s="1"/>
  <c r="G41"/>
  <c r="F41"/>
  <c r="B41"/>
  <c r="G40"/>
  <c r="F40"/>
  <c r="B40"/>
  <c r="G39"/>
  <c r="F39"/>
  <c r="D39"/>
  <c r="C39"/>
  <c r="D38"/>
  <c r="C38"/>
  <c r="B38"/>
  <c r="D37"/>
  <c r="C37"/>
  <c r="B37"/>
  <c r="D36"/>
  <c r="C36"/>
  <c r="B36"/>
  <c r="D35"/>
  <c r="C35"/>
  <c r="B35"/>
  <c r="B39" s="1"/>
  <c r="G31"/>
  <c r="F31"/>
  <c r="G30"/>
  <c r="F30"/>
  <c r="G29"/>
  <c r="F29"/>
  <c r="G28"/>
  <c r="F28"/>
  <c r="G27"/>
  <c r="F27"/>
  <c r="B27"/>
  <c r="G26"/>
  <c r="F26"/>
  <c r="D26"/>
  <c r="C26"/>
  <c r="D25"/>
  <c r="C25"/>
  <c r="B25"/>
  <c r="D24"/>
  <c r="C24"/>
  <c r="B24"/>
  <c r="D23"/>
  <c r="C23"/>
  <c r="B23"/>
  <c r="D22"/>
  <c r="C22"/>
  <c r="B22"/>
  <c r="B28" s="1"/>
  <c r="G20"/>
  <c r="F20"/>
  <c r="G19"/>
  <c r="F19"/>
  <c r="G18"/>
  <c r="F18"/>
  <c r="D18"/>
  <c r="C18"/>
  <c r="D17"/>
  <c r="C17"/>
  <c r="B17"/>
  <c r="D16"/>
  <c r="C16"/>
  <c r="B16"/>
  <c r="D15"/>
  <c r="C15"/>
  <c r="B15"/>
  <c r="B19" s="1"/>
  <c r="D14"/>
  <c r="C14"/>
  <c r="B14"/>
  <c r="B18" s="1"/>
  <c r="G13"/>
  <c r="F13"/>
  <c r="B13"/>
  <c r="G12"/>
  <c r="F12"/>
  <c r="G11"/>
  <c r="F11"/>
  <c r="D11"/>
  <c r="C11"/>
  <c r="D10"/>
  <c r="C10"/>
  <c r="B10"/>
  <c r="D9"/>
  <c r="C9"/>
  <c r="B9"/>
  <c r="D8"/>
  <c r="C8"/>
  <c r="B8"/>
  <c r="D7"/>
  <c r="C7"/>
  <c r="B7"/>
  <c r="B12" s="1"/>
  <c r="BN118" i="11"/>
  <c r="BM118"/>
  <c r="BN117"/>
  <c r="BM117"/>
  <c r="BN116"/>
  <c r="BM116"/>
  <c r="BN115"/>
  <c r="BM115"/>
  <c r="BI115"/>
  <c r="BN114"/>
  <c r="BM114"/>
  <c r="BI114"/>
  <c r="BN113"/>
  <c r="BM113"/>
  <c r="BK113"/>
  <c r="BJ113"/>
  <c r="BO112"/>
  <c r="BK112"/>
  <c r="BJ112"/>
  <c r="BI112"/>
  <c r="BO111"/>
  <c r="BK111"/>
  <c r="BJ111"/>
  <c r="BI111"/>
  <c r="BO110"/>
  <c r="BO114" s="1"/>
  <c r="BK110"/>
  <c r="BJ110"/>
  <c r="BI110"/>
  <c r="BO109"/>
  <c r="BK109"/>
  <c r="BJ109"/>
  <c r="BI109"/>
  <c r="BI113" s="1"/>
  <c r="BN107"/>
  <c r="BM107"/>
  <c r="BN106"/>
  <c r="BM106"/>
  <c r="BN105"/>
  <c r="BM105"/>
  <c r="BK105"/>
  <c r="BJ105"/>
  <c r="BO104"/>
  <c r="BK104"/>
  <c r="BJ104"/>
  <c r="BI104"/>
  <c r="BO103"/>
  <c r="BK103"/>
  <c r="BJ103"/>
  <c r="BI103"/>
  <c r="BO102"/>
  <c r="BK102"/>
  <c r="BJ102"/>
  <c r="BI102"/>
  <c r="BO101"/>
  <c r="BK101"/>
  <c r="BJ101"/>
  <c r="BI101"/>
  <c r="BI106" s="1"/>
  <c r="BN100"/>
  <c r="BM100"/>
  <c r="BI100"/>
  <c r="BN99"/>
  <c r="BM99"/>
  <c r="BI99"/>
  <c r="BN98"/>
  <c r="BM98"/>
  <c r="BK98"/>
  <c r="BJ98"/>
  <c r="BO97"/>
  <c r="BK97"/>
  <c r="BJ97"/>
  <c r="BI97"/>
  <c r="BO96"/>
  <c r="BK96"/>
  <c r="BJ96"/>
  <c r="BI96"/>
  <c r="BO95"/>
  <c r="BK95"/>
  <c r="BJ95"/>
  <c r="BI95"/>
  <c r="BO94"/>
  <c r="BK94"/>
  <c r="BJ94"/>
  <c r="BI94"/>
  <c r="BI98" s="1"/>
  <c r="BN90"/>
  <c r="BM90"/>
  <c r="BN89"/>
  <c r="BM89"/>
  <c r="BN88"/>
  <c r="BM88"/>
  <c r="BN87"/>
  <c r="BM87"/>
  <c r="BN86"/>
  <c r="BM86"/>
  <c r="BN85"/>
  <c r="BM85"/>
  <c r="BK85"/>
  <c r="BJ85"/>
  <c r="BO84"/>
  <c r="BK84"/>
  <c r="BJ84"/>
  <c r="BI84"/>
  <c r="BO83"/>
  <c r="BK83"/>
  <c r="BJ83"/>
  <c r="BI83"/>
  <c r="BO82"/>
  <c r="BK82"/>
  <c r="BJ82"/>
  <c r="BI82"/>
  <c r="BO81"/>
  <c r="BK81"/>
  <c r="BJ81"/>
  <c r="BI81"/>
  <c r="BI87" s="1"/>
  <c r="BN79"/>
  <c r="BM79"/>
  <c r="BI79"/>
  <c r="BN78"/>
  <c r="BM78"/>
  <c r="BI78"/>
  <c r="BN77"/>
  <c r="BM77"/>
  <c r="BK77"/>
  <c r="BJ77"/>
  <c r="BO76"/>
  <c r="BK76"/>
  <c r="BJ76"/>
  <c r="BI76"/>
  <c r="BO75"/>
  <c r="BK75"/>
  <c r="BJ75"/>
  <c r="BI75"/>
  <c r="BO74"/>
  <c r="BK74"/>
  <c r="BJ74"/>
  <c r="BI74"/>
  <c r="BO73"/>
  <c r="BK73"/>
  <c r="BJ73"/>
  <c r="BI73"/>
  <c r="BI77" s="1"/>
  <c r="BN72"/>
  <c r="BM72"/>
  <c r="BN71"/>
  <c r="BM71"/>
  <c r="BN70"/>
  <c r="BM70"/>
  <c r="BK70"/>
  <c r="BJ70"/>
  <c r="BO69"/>
  <c r="BK69"/>
  <c r="BJ69"/>
  <c r="BI69"/>
  <c r="BO68"/>
  <c r="BK68"/>
  <c r="BJ68"/>
  <c r="BI68"/>
  <c r="BO67"/>
  <c r="BK67"/>
  <c r="BJ67"/>
  <c r="BI67"/>
  <c r="BO66"/>
  <c r="BK66"/>
  <c r="BJ66"/>
  <c r="BI66"/>
  <c r="BI71" s="1"/>
  <c r="BF118"/>
  <c r="BE118"/>
  <c r="BF117"/>
  <c r="BE117"/>
  <c r="BF116"/>
  <c r="BE116"/>
  <c r="BF115"/>
  <c r="BE115"/>
  <c r="BG114"/>
  <c r="BF114"/>
  <c r="BE114"/>
  <c r="BF113"/>
  <c r="BE113"/>
  <c r="BC113"/>
  <c r="BB113"/>
  <c r="BG112"/>
  <c r="BC112"/>
  <c r="BB112"/>
  <c r="BA112"/>
  <c r="BG111"/>
  <c r="BC111"/>
  <c r="BB111"/>
  <c r="BA111"/>
  <c r="BG110"/>
  <c r="BC110"/>
  <c r="BB110"/>
  <c r="BA110"/>
  <c r="BG109"/>
  <c r="BC109"/>
  <c r="BB109"/>
  <c r="BA109"/>
  <c r="BA115" s="1"/>
  <c r="BF107"/>
  <c r="BE107"/>
  <c r="BF106"/>
  <c r="BE106"/>
  <c r="BA106"/>
  <c r="BF105"/>
  <c r="BE105"/>
  <c r="BC105"/>
  <c r="BB105"/>
  <c r="BG104"/>
  <c r="BC104"/>
  <c r="BB104"/>
  <c r="BA104"/>
  <c r="BG103"/>
  <c r="BC103"/>
  <c r="BB103"/>
  <c r="BA103"/>
  <c r="BG102"/>
  <c r="BC102"/>
  <c r="BB102"/>
  <c r="BA102"/>
  <c r="BG101"/>
  <c r="BC101"/>
  <c r="BB101"/>
  <c r="BA101"/>
  <c r="BA105" s="1"/>
  <c r="BF100"/>
  <c r="BE100"/>
  <c r="BF99"/>
  <c r="BE99"/>
  <c r="BF98"/>
  <c r="BE98"/>
  <c r="BC98"/>
  <c r="BB98"/>
  <c r="BG97"/>
  <c r="BG100" s="1"/>
  <c r="BC97"/>
  <c r="BB97"/>
  <c r="BA97"/>
  <c r="BG96"/>
  <c r="BC96"/>
  <c r="BB96"/>
  <c r="BA96"/>
  <c r="BG95"/>
  <c r="BC95"/>
  <c r="BB95"/>
  <c r="BA95"/>
  <c r="BG94"/>
  <c r="BC94"/>
  <c r="BB94"/>
  <c r="BA94"/>
  <c r="BA99" s="1"/>
  <c r="BF90"/>
  <c r="BE90"/>
  <c r="BF89"/>
  <c r="BE89"/>
  <c r="BF88"/>
  <c r="BE88"/>
  <c r="BF87"/>
  <c r="BE87"/>
  <c r="BF86"/>
  <c r="BE86"/>
  <c r="BF85"/>
  <c r="BE85"/>
  <c r="BC85"/>
  <c r="BB85"/>
  <c r="BG84"/>
  <c r="BC84"/>
  <c r="BB84"/>
  <c r="BA84"/>
  <c r="BG83"/>
  <c r="BC83"/>
  <c r="BB83"/>
  <c r="BA83"/>
  <c r="BG82"/>
  <c r="BC82"/>
  <c r="BB82"/>
  <c r="BA82"/>
  <c r="BA86" s="1"/>
  <c r="BG81"/>
  <c r="BC81"/>
  <c r="BB81"/>
  <c r="BA81"/>
  <c r="BA85" s="1"/>
  <c r="BF79"/>
  <c r="BE79"/>
  <c r="BA79"/>
  <c r="BF78"/>
  <c r="BE78"/>
  <c r="BF77"/>
  <c r="BE77"/>
  <c r="BC77"/>
  <c r="BB77"/>
  <c r="BG76"/>
  <c r="BC76"/>
  <c r="BB76"/>
  <c r="BA76"/>
  <c r="BG75"/>
  <c r="BC75"/>
  <c r="BB75"/>
  <c r="BA75"/>
  <c r="BG74"/>
  <c r="BC74"/>
  <c r="BB74"/>
  <c r="BA74"/>
  <c r="BG73"/>
  <c r="BC73"/>
  <c r="BB73"/>
  <c r="BA73"/>
  <c r="BA78" s="1"/>
  <c r="BF72"/>
  <c r="BE72"/>
  <c r="BF71"/>
  <c r="BE71"/>
  <c r="BF70"/>
  <c r="BE70"/>
  <c r="BC70"/>
  <c r="BB70"/>
  <c r="BA70"/>
  <c r="BG69"/>
  <c r="BC69"/>
  <c r="BB69"/>
  <c r="BA69"/>
  <c r="BG68"/>
  <c r="BC68"/>
  <c r="BB68"/>
  <c r="BA68"/>
  <c r="BG67"/>
  <c r="BC67"/>
  <c r="BB67"/>
  <c r="BA67"/>
  <c r="BG66"/>
  <c r="BG71" s="1"/>
  <c r="BC66"/>
  <c r="BB66"/>
  <c r="BA66"/>
  <c r="BA72" s="1"/>
  <c r="AX118"/>
  <c r="AW118"/>
  <c r="AX117"/>
  <c r="AW117"/>
  <c r="AX116"/>
  <c r="AW116"/>
  <c r="AX115"/>
  <c r="AW115"/>
  <c r="AS115"/>
  <c r="AX114"/>
  <c r="AW114"/>
  <c r="AX113"/>
  <c r="AW113"/>
  <c r="AU113"/>
  <c r="AT113"/>
  <c r="AY112"/>
  <c r="AU112"/>
  <c r="AT112"/>
  <c r="AS112"/>
  <c r="AY111"/>
  <c r="AU111"/>
  <c r="AT111"/>
  <c r="AS111"/>
  <c r="AS113" s="1"/>
  <c r="AY110"/>
  <c r="AU110"/>
  <c r="AT110"/>
  <c r="AS110"/>
  <c r="AY109"/>
  <c r="AU109"/>
  <c r="AT109"/>
  <c r="AS109"/>
  <c r="AS114" s="1"/>
  <c r="AX107"/>
  <c r="AW107"/>
  <c r="AX106"/>
  <c r="AW106"/>
  <c r="AX105"/>
  <c r="AW105"/>
  <c r="AU105"/>
  <c r="AT105"/>
  <c r="AY104"/>
  <c r="AU104"/>
  <c r="AT104"/>
  <c r="AS104"/>
  <c r="AY103"/>
  <c r="AU103"/>
  <c r="AT103"/>
  <c r="AS103"/>
  <c r="AY102"/>
  <c r="AU102"/>
  <c r="AT102"/>
  <c r="AS102"/>
  <c r="AY101"/>
  <c r="AU101"/>
  <c r="AT101"/>
  <c r="AS101"/>
  <c r="AS107" s="1"/>
  <c r="AX100"/>
  <c r="AW100"/>
  <c r="AX99"/>
  <c r="AW99"/>
  <c r="AS99"/>
  <c r="AX98"/>
  <c r="AW98"/>
  <c r="AU98"/>
  <c r="AT98"/>
  <c r="AY97"/>
  <c r="AU97"/>
  <c r="AT97"/>
  <c r="AS97"/>
  <c r="AY96"/>
  <c r="AU96"/>
  <c r="AT96"/>
  <c r="AS96"/>
  <c r="AY95"/>
  <c r="AU95"/>
  <c r="AT95"/>
  <c r="AS95"/>
  <c r="AY94"/>
  <c r="AU94"/>
  <c r="AT94"/>
  <c r="AS94"/>
  <c r="AS98" s="1"/>
  <c r="AX90"/>
  <c r="AW90"/>
  <c r="AX89"/>
  <c r="AW89"/>
  <c r="AX88"/>
  <c r="AW88"/>
  <c r="AX87"/>
  <c r="AW87"/>
  <c r="AX86"/>
  <c r="AW86"/>
  <c r="AX85"/>
  <c r="AW85"/>
  <c r="AU85"/>
  <c r="AT85"/>
  <c r="AY84"/>
  <c r="AU84"/>
  <c r="AT84"/>
  <c r="AS84"/>
  <c r="AY83"/>
  <c r="AU83"/>
  <c r="AT83"/>
  <c r="AS83"/>
  <c r="AY82"/>
  <c r="AU82"/>
  <c r="AT82"/>
  <c r="AS82"/>
  <c r="AY81"/>
  <c r="AU81"/>
  <c r="AT81"/>
  <c r="AS81"/>
  <c r="AS86" s="1"/>
  <c r="AX79"/>
  <c r="AW79"/>
  <c r="AX78"/>
  <c r="AW78"/>
  <c r="AX77"/>
  <c r="AW77"/>
  <c r="AU77"/>
  <c r="AT77"/>
  <c r="AY76"/>
  <c r="AU76"/>
  <c r="AT76"/>
  <c r="AS76"/>
  <c r="AY75"/>
  <c r="AU75"/>
  <c r="AT75"/>
  <c r="AS75"/>
  <c r="AY74"/>
  <c r="AU74"/>
  <c r="AT74"/>
  <c r="AS74"/>
  <c r="AY73"/>
  <c r="AU73"/>
  <c r="AT73"/>
  <c r="AS73"/>
  <c r="AS79" s="1"/>
  <c r="AX72"/>
  <c r="AW72"/>
  <c r="AX71"/>
  <c r="AW71"/>
  <c r="AX70"/>
  <c r="AW70"/>
  <c r="AU70"/>
  <c r="AT70"/>
  <c r="AY69"/>
  <c r="AU69"/>
  <c r="AT69"/>
  <c r="AS69"/>
  <c r="AY68"/>
  <c r="AU68"/>
  <c r="AT68"/>
  <c r="AS68"/>
  <c r="AY67"/>
  <c r="AU67"/>
  <c r="AT67"/>
  <c r="AS67"/>
  <c r="AY66"/>
  <c r="AU66"/>
  <c r="AT66"/>
  <c r="AS66"/>
  <c r="AS70" s="1"/>
  <c r="AG62"/>
  <c r="AF62"/>
  <c r="AG61"/>
  <c r="AF61"/>
  <c r="AG60"/>
  <c r="AF60"/>
  <c r="AG59"/>
  <c r="AF59"/>
  <c r="AG58"/>
  <c r="AF58"/>
  <c r="AG57"/>
  <c r="AF57"/>
  <c r="AD57"/>
  <c r="AC57"/>
  <c r="AH56"/>
  <c r="AD56"/>
  <c r="AC56"/>
  <c r="AB56"/>
  <c r="AH55"/>
  <c r="AD55"/>
  <c r="AC55"/>
  <c r="AB55"/>
  <c r="AH54"/>
  <c r="AD54"/>
  <c r="AC54"/>
  <c r="AB54"/>
  <c r="AH53"/>
  <c r="AD53"/>
  <c r="AC53"/>
  <c r="AB53"/>
  <c r="AB57" s="1"/>
  <c r="AG51"/>
  <c r="AF51"/>
  <c r="AG50"/>
  <c r="AF50"/>
  <c r="AG49"/>
  <c r="AF49"/>
  <c r="AD49"/>
  <c r="AC49"/>
  <c r="AH48"/>
  <c r="AD48"/>
  <c r="AC48"/>
  <c r="AB48"/>
  <c r="AH47"/>
  <c r="AD47"/>
  <c r="AC47"/>
  <c r="AB47"/>
  <c r="AH46"/>
  <c r="AD46"/>
  <c r="AC46"/>
  <c r="AB46"/>
  <c r="AH45"/>
  <c r="AD45"/>
  <c r="AC45"/>
  <c r="AB45"/>
  <c r="AB50" s="1"/>
  <c r="AG44"/>
  <c r="AF44"/>
  <c r="AG43"/>
  <c r="AF43"/>
  <c r="AG42"/>
  <c r="AF42"/>
  <c r="AD42"/>
  <c r="AC42"/>
  <c r="AD41"/>
  <c r="AC41"/>
  <c r="AB41"/>
  <c r="AD40"/>
  <c r="AC40"/>
  <c r="AB40"/>
  <c r="AD39"/>
  <c r="AC39"/>
  <c r="AB39"/>
  <c r="AD38"/>
  <c r="AC38"/>
  <c r="AB38"/>
  <c r="AB42" s="1"/>
  <c r="AP90"/>
  <c r="AO90"/>
  <c r="AP89"/>
  <c r="AO89"/>
  <c r="AP88"/>
  <c r="AO88"/>
  <c r="AP87"/>
  <c r="AO87"/>
  <c r="AP86"/>
  <c r="AO86"/>
  <c r="AP85"/>
  <c r="AO85"/>
  <c r="AM85"/>
  <c r="AL85"/>
  <c r="AQ84"/>
  <c r="AM84"/>
  <c r="AL84"/>
  <c r="AK84"/>
  <c r="AQ83"/>
  <c r="AM83"/>
  <c r="AL83"/>
  <c r="AK83"/>
  <c r="AQ82"/>
  <c r="AM82"/>
  <c r="AL82"/>
  <c r="AK82"/>
  <c r="AQ81"/>
  <c r="AM81"/>
  <c r="AL81"/>
  <c r="AK81"/>
  <c r="AP79"/>
  <c r="AO79"/>
  <c r="AP78"/>
  <c r="AO78"/>
  <c r="AP77"/>
  <c r="AO77"/>
  <c r="AM77"/>
  <c r="AL77"/>
  <c r="AM76"/>
  <c r="AL76"/>
  <c r="AK76"/>
  <c r="AM75"/>
  <c r="AL75"/>
  <c r="AK75"/>
  <c r="AM74"/>
  <c r="AL74"/>
  <c r="AK74"/>
  <c r="AM73"/>
  <c r="AL73"/>
  <c r="AK73"/>
  <c r="AK77" s="1"/>
  <c r="AP72"/>
  <c r="AO72"/>
  <c r="AP71"/>
  <c r="AO71"/>
  <c r="AP70"/>
  <c r="AO70"/>
  <c r="AM70"/>
  <c r="AL70"/>
  <c r="AM69"/>
  <c r="AL69"/>
  <c r="AK69"/>
  <c r="AM68"/>
  <c r="AL68"/>
  <c r="AK68"/>
  <c r="AM67"/>
  <c r="AL67"/>
  <c r="AK67"/>
  <c r="AM66"/>
  <c r="AL66"/>
  <c r="AK66"/>
  <c r="AK70" s="1"/>
  <c r="AP62"/>
  <c r="AO62"/>
  <c r="AP61"/>
  <c r="AO61"/>
  <c r="AP60"/>
  <c r="AO60"/>
  <c r="AP59"/>
  <c r="AO59"/>
  <c r="AP58"/>
  <c r="AO58"/>
  <c r="AP57"/>
  <c r="AO57"/>
  <c r="AM57"/>
  <c r="AL57"/>
  <c r="AQ56"/>
  <c r="AM56"/>
  <c r="AL56"/>
  <c r="AK56"/>
  <c r="AQ55"/>
  <c r="AM55"/>
  <c r="AL55"/>
  <c r="AK55"/>
  <c r="AQ54"/>
  <c r="AM54"/>
  <c r="AL54"/>
  <c r="AK54"/>
  <c r="AK58" s="1"/>
  <c r="AQ53"/>
  <c r="AM53"/>
  <c r="AL53"/>
  <c r="AK53"/>
  <c r="AP51"/>
  <c r="AO51"/>
  <c r="AP50"/>
  <c r="AO50"/>
  <c r="AP49"/>
  <c r="AO49"/>
  <c r="AM49"/>
  <c r="AL49"/>
  <c r="AQ48"/>
  <c r="AM48"/>
  <c r="AL48"/>
  <c r="AK48"/>
  <c r="AQ47"/>
  <c r="AM47"/>
  <c r="AL47"/>
  <c r="AK47"/>
  <c r="AQ46"/>
  <c r="AM46"/>
  <c r="AL46"/>
  <c r="AK46"/>
  <c r="AK50" s="1"/>
  <c r="AQ45"/>
  <c r="AM45"/>
  <c r="AL45"/>
  <c r="AK45"/>
  <c r="AP44"/>
  <c r="AO44"/>
  <c r="AP43"/>
  <c r="AO43"/>
  <c r="AP42"/>
  <c r="AO42"/>
  <c r="AM42"/>
  <c r="AL42"/>
  <c r="AM41"/>
  <c r="AL41"/>
  <c r="AK41"/>
  <c r="AM40"/>
  <c r="AL40"/>
  <c r="AK40"/>
  <c r="AM39"/>
  <c r="AL39"/>
  <c r="AK39"/>
  <c r="AM38"/>
  <c r="AL38"/>
  <c r="AK38"/>
  <c r="AK43" s="1"/>
  <c r="AG90"/>
  <c r="AF90"/>
  <c r="AG89"/>
  <c r="AF89"/>
  <c r="AG88"/>
  <c r="AF88"/>
  <c r="AG87"/>
  <c r="AF87"/>
  <c r="AG86"/>
  <c r="AF86"/>
  <c r="AG85"/>
  <c r="AF85"/>
  <c r="AD85"/>
  <c r="AC85"/>
  <c r="AH84"/>
  <c r="AD84"/>
  <c r="AC84"/>
  <c r="AB84"/>
  <c r="AH83"/>
  <c r="AD83"/>
  <c r="AC83"/>
  <c r="AB83"/>
  <c r="AH82"/>
  <c r="AD82"/>
  <c r="AC82"/>
  <c r="AB82"/>
  <c r="AH81"/>
  <c r="AD81"/>
  <c r="AC81"/>
  <c r="AB81"/>
  <c r="AB87" s="1"/>
  <c r="AG79"/>
  <c r="AF79"/>
  <c r="AG78"/>
  <c r="AF78"/>
  <c r="AG77"/>
  <c r="AF77"/>
  <c r="AD77"/>
  <c r="AC77"/>
  <c r="AH76"/>
  <c r="AD76"/>
  <c r="AC76"/>
  <c r="AB76"/>
  <c r="AH75"/>
  <c r="AD75"/>
  <c r="AC75"/>
  <c r="AB75"/>
  <c r="AH74"/>
  <c r="AH79" s="1"/>
  <c r="AD74"/>
  <c r="AC74"/>
  <c r="AB74"/>
  <c r="AH73"/>
  <c r="AD73"/>
  <c r="AC73"/>
  <c r="AB73"/>
  <c r="AG72"/>
  <c r="AF72"/>
  <c r="AG71"/>
  <c r="AF71"/>
  <c r="AG70"/>
  <c r="AF70"/>
  <c r="AD70"/>
  <c r="AC70"/>
  <c r="AD69"/>
  <c r="AC69"/>
  <c r="AB69"/>
  <c r="AH68"/>
  <c r="AD68"/>
  <c r="AC68"/>
  <c r="AB68"/>
  <c r="AD67"/>
  <c r="AC67"/>
  <c r="AB67"/>
  <c r="AH66"/>
  <c r="AD66"/>
  <c r="AC66"/>
  <c r="AB66"/>
  <c r="AB70" s="1"/>
  <c r="X90"/>
  <c r="W90"/>
  <c r="X89"/>
  <c r="W89"/>
  <c r="X88"/>
  <c r="W88"/>
  <c r="X87"/>
  <c r="W87"/>
  <c r="X86"/>
  <c r="W86"/>
  <c r="X85"/>
  <c r="W85"/>
  <c r="U85"/>
  <c r="T85"/>
  <c r="Y84"/>
  <c r="U84"/>
  <c r="T84"/>
  <c r="S84"/>
  <c r="J84" s="1"/>
  <c r="C84" s="1"/>
  <c r="Y83"/>
  <c r="U83"/>
  <c r="T83"/>
  <c r="S83"/>
  <c r="Y82"/>
  <c r="U82"/>
  <c r="T82"/>
  <c r="S82"/>
  <c r="L82" s="1"/>
  <c r="Y81"/>
  <c r="U81"/>
  <c r="T81"/>
  <c r="S81"/>
  <c r="X79"/>
  <c r="W79"/>
  <c r="X78"/>
  <c r="W78"/>
  <c r="X77"/>
  <c r="W77"/>
  <c r="U77"/>
  <c r="T77"/>
  <c r="Y76"/>
  <c r="U76"/>
  <c r="T76"/>
  <c r="S76"/>
  <c r="J76" s="1"/>
  <c r="Y75"/>
  <c r="U75"/>
  <c r="T75"/>
  <c r="J75" s="1"/>
  <c r="S75"/>
  <c r="Y74"/>
  <c r="U74"/>
  <c r="T74"/>
  <c r="S74"/>
  <c r="J74" s="1"/>
  <c r="Y73"/>
  <c r="U73"/>
  <c r="T73"/>
  <c r="K77" s="1"/>
  <c r="S73"/>
  <c r="X72"/>
  <c r="W72"/>
  <c r="X71"/>
  <c r="W71"/>
  <c r="X70"/>
  <c r="W70"/>
  <c r="U70"/>
  <c r="T70"/>
  <c r="U69"/>
  <c r="T69"/>
  <c r="L69" s="1"/>
  <c r="S69"/>
  <c r="K69" s="1"/>
  <c r="B69" s="1"/>
  <c r="U68"/>
  <c r="T68"/>
  <c r="L68" s="1"/>
  <c r="S68"/>
  <c r="J68" s="1"/>
  <c r="B68" s="1"/>
  <c r="U67"/>
  <c r="T67"/>
  <c r="K67" s="1"/>
  <c r="S67"/>
  <c r="S71" s="1"/>
  <c r="U66"/>
  <c r="T66"/>
  <c r="L66" s="1"/>
  <c r="S66"/>
  <c r="X62"/>
  <c r="W62"/>
  <c r="X61"/>
  <c r="W61"/>
  <c r="X60"/>
  <c r="W60"/>
  <c r="X59"/>
  <c r="W59"/>
  <c r="X58"/>
  <c r="W58"/>
  <c r="X57"/>
  <c r="W57"/>
  <c r="U57"/>
  <c r="T57"/>
  <c r="Y56"/>
  <c r="U56"/>
  <c r="T56"/>
  <c r="S56"/>
  <c r="Y55"/>
  <c r="U55"/>
  <c r="T55"/>
  <c r="S55"/>
  <c r="Y54"/>
  <c r="U54"/>
  <c r="T54"/>
  <c r="S54"/>
  <c r="Y53"/>
  <c r="U53"/>
  <c r="T53"/>
  <c r="S53"/>
  <c r="S57" s="1"/>
  <c r="X51"/>
  <c r="W51"/>
  <c r="X50"/>
  <c r="W50"/>
  <c r="X49"/>
  <c r="W49"/>
  <c r="U49"/>
  <c r="T49"/>
  <c r="Y48"/>
  <c r="U48"/>
  <c r="T48"/>
  <c r="S48"/>
  <c r="Y47"/>
  <c r="U47"/>
  <c r="T47"/>
  <c r="S47"/>
  <c r="Y46"/>
  <c r="U46"/>
  <c r="T46"/>
  <c r="S46"/>
  <c r="Y45"/>
  <c r="U45"/>
  <c r="T45"/>
  <c r="S45"/>
  <c r="S50" s="1"/>
  <c r="X44"/>
  <c r="W44"/>
  <c r="X43"/>
  <c r="W43"/>
  <c r="X42"/>
  <c r="W42"/>
  <c r="U42"/>
  <c r="T42"/>
  <c r="Y41"/>
  <c r="U41"/>
  <c r="T41"/>
  <c r="S41"/>
  <c r="U40"/>
  <c r="T40"/>
  <c r="S40"/>
  <c r="Y39"/>
  <c r="U39"/>
  <c r="T39"/>
  <c r="S39"/>
  <c r="S43" s="1"/>
  <c r="U38"/>
  <c r="T38"/>
  <c r="S38"/>
  <c r="G146"/>
  <c r="F146"/>
  <c r="G145"/>
  <c r="F145"/>
  <c r="G144"/>
  <c r="F144"/>
  <c r="O146"/>
  <c r="N146"/>
  <c r="O145"/>
  <c r="N145"/>
  <c r="O144"/>
  <c r="N144"/>
  <c r="G118"/>
  <c r="F118"/>
  <c r="G117"/>
  <c r="F117"/>
  <c r="G116"/>
  <c r="F116"/>
  <c r="O118"/>
  <c r="N118"/>
  <c r="O117"/>
  <c r="N117"/>
  <c r="O116"/>
  <c r="N116"/>
  <c r="G90"/>
  <c r="F90"/>
  <c r="G89"/>
  <c r="F89"/>
  <c r="G88"/>
  <c r="F88"/>
  <c r="O90"/>
  <c r="N90"/>
  <c r="O89"/>
  <c r="N89"/>
  <c r="O88"/>
  <c r="N88"/>
  <c r="O62"/>
  <c r="N62"/>
  <c r="O61"/>
  <c r="N61"/>
  <c r="O60"/>
  <c r="N60"/>
  <c r="G62"/>
  <c r="F62"/>
  <c r="G61"/>
  <c r="F61"/>
  <c r="G60"/>
  <c r="F60"/>
  <c r="O143"/>
  <c r="N143"/>
  <c r="O142"/>
  <c r="N142"/>
  <c r="O141"/>
  <c r="N141"/>
  <c r="L141"/>
  <c r="K141"/>
  <c r="L140"/>
  <c r="K140"/>
  <c r="J140"/>
  <c r="D140" s="1"/>
  <c r="L139"/>
  <c r="K139"/>
  <c r="J139"/>
  <c r="L138"/>
  <c r="K138"/>
  <c r="D138" s="1"/>
  <c r="J138"/>
  <c r="B138" s="1"/>
  <c r="L137"/>
  <c r="K137"/>
  <c r="D137" s="1"/>
  <c r="J137"/>
  <c r="O135"/>
  <c r="N135"/>
  <c r="O134"/>
  <c r="N134"/>
  <c r="O133"/>
  <c r="N133"/>
  <c r="L133"/>
  <c r="K133"/>
  <c r="P132"/>
  <c r="L132"/>
  <c r="K132"/>
  <c r="J132"/>
  <c r="L131"/>
  <c r="K131"/>
  <c r="B131" s="1"/>
  <c r="J131"/>
  <c r="P130"/>
  <c r="L130"/>
  <c r="K130"/>
  <c r="C130" s="1"/>
  <c r="J130"/>
  <c r="L129"/>
  <c r="K129"/>
  <c r="C133" s="1"/>
  <c r="J129"/>
  <c r="O128"/>
  <c r="N128"/>
  <c r="O127"/>
  <c r="N127"/>
  <c r="O126"/>
  <c r="N126"/>
  <c r="L126"/>
  <c r="K126"/>
  <c r="P125"/>
  <c r="L125"/>
  <c r="K125"/>
  <c r="D125" s="1"/>
  <c r="J125"/>
  <c r="L124"/>
  <c r="K124"/>
  <c r="B124" s="1"/>
  <c r="J124"/>
  <c r="P123"/>
  <c r="L123"/>
  <c r="K123"/>
  <c r="C123" s="1"/>
  <c r="J123"/>
  <c r="J127" s="1"/>
  <c r="L122"/>
  <c r="K122"/>
  <c r="B122" s="1"/>
  <c r="B128" s="1"/>
  <c r="J122"/>
  <c r="O115"/>
  <c r="N115"/>
  <c r="O114"/>
  <c r="N114"/>
  <c r="O113"/>
  <c r="N113"/>
  <c r="L113"/>
  <c r="K113"/>
  <c r="P112"/>
  <c r="L112"/>
  <c r="K112"/>
  <c r="C112" s="1"/>
  <c r="J112"/>
  <c r="L111"/>
  <c r="K111"/>
  <c r="D111" s="1"/>
  <c r="J111"/>
  <c r="P110"/>
  <c r="L110"/>
  <c r="K110"/>
  <c r="C110" s="1"/>
  <c r="J110"/>
  <c r="L109"/>
  <c r="K109"/>
  <c r="B109" s="1"/>
  <c r="J109"/>
  <c r="O107"/>
  <c r="N107"/>
  <c r="O106"/>
  <c r="N106"/>
  <c r="O105"/>
  <c r="N105"/>
  <c r="L105"/>
  <c r="K105"/>
  <c r="P104"/>
  <c r="L104"/>
  <c r="K104"/>
  <c r="C104" s="1"/>
  <c r="J104"/>
  <c r="P103"/>
  <c r="L103"/>
  <c r="K103"/>
  <c r="J103"/>
  <c r="C103" s="1"/>
  <c r="P102"/>
  <c r="L102"/>
  <c r="K102"/>
  <c r="J102"/>
  <c r="P101"/>
  <c r="L101"/>
  <c r="K101"/>
  <c r="J101"/>
  <c r="J105" s="1"/>
  <c r="O100"/>
  <c r="N100"/>
  <c r="O99"/>
  <c r="N99"/>
  <c r="O98"/>
  <c r="N98"/>
  <c r="L98"/>
  <c r="K98"/>
  <c r="P97"/>
  <c r="L97"/>
  <c r="K97"/>
  <c r="J97"/>
  <c r="P96"/>
  <c r="L96"/>
  <c r="K96"/>
  <c r="J96"/>
  <c r="C96" s="1"/>
  <c r="P95"/>
  <c r="L95"/>
  <c r="K95"/>
  <c r="J95"/>
  <c r="P94"/>
  <c r="L94"/>
  <c r="K94"/>
  <c r="J94"/>
  <c r="J98" s="1"/>
  <c r="O87"/>
  <c r="N87"/>
  <c r="J87"/>
  <c r="O86"/>
  <c r="N86"/>
  <c r="O85"/>
  <c r="N85"/>
  <c r="L85"/>
  <c r="K85"/>
  <c r="P84"/>
  <c r="P83"/>
  <c r="L83"/>
  <c r="K83"/>
  <c r="J83"/>
  <c r="B83" s="1"/>
  <c r="P82"/>
  <c r="L81"/>
  <c r="K81"/>
  <c r="J81"/>
  <c r="J86" s="1"/>
  <c r="O79"/>
  <c r="N79"/>
  <c r="O78"/>
  <c r="N78"/>
  <c r="O77"/>
  <c r="N77"/>
  <c r="K76"/>
  <c r="P75"/>
  <c r="P74"/>
  <c r="O72"/>
  <c r="N72"/>
  <c r="O71"/>
  <c r="N71"/>
  <c r="O70"/>
  <c r="N70"/>
  <c r="P69"/>
  <c r="J69"/>
  <c r="C69" s="1"/>
  <c r="P68"/>
  <c r="L67"/>
  <c r="P66"/>
  <c r="K66"/>
  <c r="O59"/>
  <c r="N59"/>
  <c r="O58"/>
  <c r="N58"/>
  <c r="O57"/>
  <c r="N57"/>
  <c r="L57"/>
  <c r="K57"/>
  <c r="L56"/>
  <c r="K56"/>
  <c r="J56"/>
  <c r="L55"/>
  <c r="K55"/>
  <c r="J55"/>
  <c r="B55" s="1"/>
  <c r="L54"/>
  <c r="K54"/>
  <c r="J54"/>
  <c r="L53"/>
  <c r="K53"/>
  <c r="J53"/>
  <c r="C57" s="1"/>
  <c r="O51"/>
  <c r="N51"/>
  <c r="O50"/>
  <c r="N50"/>
  <c r="O49"/>
  <c r="N49"/>
  <c r="L49"/>
  <c r="K49"/>
  <c r="L48"/>
  <c r="K48"/>
  <c r="D48" s="1"/>
  <c r="J48"/>
  <c r="C48" s="1"/>
  <c r="L47"/>
  <c r="K47"/>
  <c r="J47"/>
  <c r="C47" s="1"/>
  <c r="P46"/>
  <c r="L46"/>
  <c r="K46"/>
  <c r="C46" s="1"/>
  <c r="J46"/>
  <c r="B46" s="1"/>
  <c r="L45"/>
  <c r="K45"/>
  <c r="J45"/>
  <c r="D45" s="1"/>
  <c r="O44"/>
  <c r="N44"/>
  <c r="O43"/>
  <c r="N43"/>
  <c r="O42"/>
  <c r="N42"/>
  <c r="L42"/>
  <c r="K42"/>
  <c r="L41"/>
  <c r="K41"/>
  <c r="J41"/>
  <c r="L40"/>
  <c r="K40"/>
  <c r="D40" s="1"/>
  <c r="J40"/>
  <c r="B40" s="1"/>
  <c r="L39"/>
  <c r="K39"/>
  <c r="J39"/>
  <c r="B39" s="1"/>
  <c r="L38"/>
  <c r="K38"/>
  <c r="J38"/>
  <c r="J43" s="1"/>
  <c r="G143"/>
  <c r="F143"/>
  <c r="G142"/>
  <c r="F142"/>
  <c r="G141"/>
  <c r="F141"/>
  <c r="C140"/>
  <c r="B140"/>
  <c r="G135"/>
  <c r="F135"/>
  <c r="G134"/>
  <c r="F134"/>
  <c r="G133"/>
  <c r="F133"/>
  <c r="D131"/>
  <c r="C131"/>
  <c r="D130"/>
  <c r="D129"/>
  <c r="C129"/>
  <c r="G128"/>
  <c r="F128"/>
  <c r="G127"/>
  <c r="F127"/>
  <c r="G126"/>
  <c r="F126"/>
  <c r="D126"/>
  <c r="D124"/>
  <c r="C124"/>
  <c r="D123"/>
  <c r="H122"/>
  <c r="D122"/>
  <c r="G115"/>
  <c r="F115"/>
  <c r="G114"/>
  <c r="F114"/>
  <c r="G113"/>
  <c r="F113"/>
  <c r="B112"/>
  <c r="D110"/>
  <c r="B110"/>
  <c r="C109"/>
  <c r="G107"/>
  <c r="F107"/>
  <c r="G106"/>
  <c r="F106"/>
  <c r="G105"/>
  <c r="F105"/>
  <c r="D105"/>
  <c r="D104"/>
  <c r="D102"/>
  <c r="C102"/>
  <c r="B102"/>
  <c r="G100"/>
  <c r="F100"/>
  <c r="G99"/>
  <c r="F99"/>
  <c r="G98"/>
  <c r="F98"/>
  <c r="B97"/>
  <c r="G87"/>
  <c r="F87"/>
  <c r="G86"/>
  <c r="F86"/>
  <c r="G85"/>
  <c r="F85"/>
  <c r="G79"/>
  <c r="F79"/>
  <c r="G78"/>
  <c r="F78"/>
  <c r="G77"/>
  <c r="F77"/>
  <c r="G72"/>
  <c r="F72"/>
  <c r="G71"/>
  <c r="F71"/>
  <c r="G70"/>
  <c r="F70"/>
  <c r="G59"/>
  <c r="F59"/>
  <c r="G58"/>
  <c r="F58"/>
  <c r="G57"/>
  <c r="F57"/>
  <c r="D54"/>
  <c r="C54"/>
  <c r="B54"/>
  <c r="B53"/>
  <c r="G51"/>
  <c r="F51"/>
  <c r="G50"/>
  <c r="F50"/>
  <c r="G49"/>
  <c r="F49"/>
  <c r="D49"/>
  <c r="C49"/>
  <c r="B48"/>
  <c r="C45"/>
  <c r="B45"/>
  <c r="B50" s="1"/>
  <c r="G44"/>
  <c r="F44"/>
  <c r="G43"/>
  <c r="F43"/>
  <c r="G42"/>
  <c r="F42"/>
  <c r="D42"/>
  <c r="D39"/>
  <c r="D38"/>
  <c r="G161" i="12"/>
  <c r="O3"/>
  <c r="G78"/>
  <c r="G77"/>
  <c r="G76"/>
  <c r="G50"/>
  <c r="G49"/>
  <c r="G48"/>
  <c r="H112"/>
  <c r="H111"/>
  <c r="H110"/>
  <c r="H109"/>
  <c r="J174"/>
  <c r="I174"/>
  <c r="G174"/>
  <c r="F174"/>
  <c r="J173"/>
  <c r="I173"/>
  <c r="G173"/>
  <c r="F173"/>
  <c r="D173"/>
  <c r="C173"/>
  <c r="B173"/>
  <c r="J172"/>
  <c r="I172"/>
  <c r="C172" s="1"/>
  <c r="G172"/>
  <c r="F172"/>
  <c r="B172"/>
  <c r="J171"/>
  <c r="I171"/>
  <c r="G171"/>
  <c r="F171"/>
  <c r="J170"/>
  <c r="I170"/>
  <c r="G170"/>
  <c r="F170"/>
  <c r="J169"/>
  <c r="I169"/>
  <c r="G169"/>
  <c r="F169"/>
  <c r="D169"/>
  <c r="C169"/>
  <c r="H168"/>
  <c r="D168"/>
  <c r="C168"/>
  <c r="B168"/>
  <c r="H167"/>
  <c r="D167"/>
  <c r="C167"/>
  <c r="B167"/>
  <c r="H166"/>
  <c r="D166"/>
  <c r="C166"/>
  <c r="B166"/>
  <c r="H165"/>
  <c r="D165"/>
  <c r="C165"/>
  <c r="B165"/>
  <c r="B171" s="1"/>
  <c r="J163"/>
  <c r="I163"/>
  <c r="F163"/>
  <c r="J162"/>
  <c r="I162"/>
  <c r="F162"/>
  <c r="J161"/>
  <c r="I161"/>
  <c r="F161"/>
  <c r="D161"/>
  <c r="C161"/>
  <c r="H160"/>
  <c r="D160"/>
  <c r="C160"/>
  <c r="B160"/>
  <c r="H159"/>
  <c r="D159"/>
  <c r="C159"/>
  <c r="B159"/>
  <c r="H158"/>
  <c r="D158"/>
  <c r="C158"/>
  <c r="B158"/>
  <c r="B163" s="1"/>
  <c r="H157"/>
  <c r="D157"/>
  <c r="C157"/>
  <c r="B157"/>
  <c r="B162" s="1"/>
  <c r="J156"/>
  <c r="I156"/>
  <c r="G156"/>
  <c r="F156"/>
  <c r="J155"/>
  <c r="I155"/>
  <c r="G155"/>
  <c r="F155"/>
  <c r="J154"/>
  <c r="I154"/>
  <c r="G154"/>
  <c r="F154"/>
  <c r="D154"/>
  <c r="C154"/>
  <c r="H153"/>
  <c r="D153"/>
  <c r="C153"/>
  <c r="B153"/>
  <c r="H152"/>
  <c r="D152"/>
  <c r="C152"/>
  <c r="B152"/>
  <c r="H151"/>
  <c r="D151"/>
  <c r="C151"/>
  <c r="B151"/>
  <c r="H150"/>
  <c r="D150"/>
  <c r="C150"/>
  <c r="B150"/>
  <c r="B155" s="1"/>
  <c r="J146"/>
  <c r="I146"/>
  <c r="G146"/>
  <c r="F146"/>
  <c r="J145"/>
  <c r="I145"/>
  <c r="G145"/>
  <c r="F145"/>
  <c r="D145"/>
  <c r="C145"/>
  <c r="B145"/>
  <c r="J144"/>
  <c r="I144"/>
  <c r="B144" s="1"/>
  <c r="G144"/>
  <c r="F144"/>
  <c r="J143"/>
  <c r="I143"/>
  <c r="G143"/>
  <c r="F143"/>
  <c r="J142"/>
  <c r="I142"/>
  <c r="G142"/>
  <c r="F142"/>
  <c r="J141"/>
  <c r="I141"/>
  <c r="G141"/>
  <c r="F141"/>
  <c r="D141"/>
  <c r="C141"/>
  <c r="H140"/>
  <c r="D140"/>
  <c r="C140"/>
  <c r="B140"/>
  <c r="H139"/>
  <c r="D139"/>
  <c r="C139"/>
  <c r="B139"/>
  <c r="H138"/>
  <c r="H143" s="1"/>
  <c r="D138"/>
  <c r="C138"/>
  <c r="B138"/>
  <c r="H137"/>
  <c r="D137"/>
  <c r="C137"/>
  <c r="B137"/>
  <c r="B141" s="1"/>
  <c r="J135"/>
  <c r="I135"/>
  <c r="F135"/>
  <c r="J134"/>
  <c r="I134"/>
  <c r="F134"/>
  <c r="J133"/>
  <c r="I133"/>
  <c r="F133"/>
  <c r="D133"/>
  <c r="C133"/>
  <c r="B133"/>
  <c r="H132"/>
  <c r="D132"/>
  <c r="C132"/>
  <c r="B132"/>
  <c r="H131"/>
  <c r="D131"/>
  <c r="C131"/>
  <c r="B131"/>
  <c r="H130"/>
  <c r="D130"/>
  <c r="C130"/>
  <c r="B130"/>
  <c r="H129"/>
  <c r="D129"/>
  <c r="C129"/>
  <c r="B129"/>
  <c r="B135" s="1"/>
  <c r="J128"/>
  <c r="I128"/>
  <c r="G128"/>
  <c r="F128"/>
  <c r="B128"/>
  <c r="J127"/>
  <c r="I127"/>
  <c r="G127"/>
  <c r="F127"/>
  <c r="J126"/>
  <c r="I126"/>
  <c r="G126"/>
  <c r="F126"/>
  <c r="D126"/>
  <c r="C126"/>
  <c r="H125"/>
  <c r="D125"/>
  <c r="C125"/>
  <c r="B125"/>
  <c r="H124"/>
  <c r="D124"/>
  <c r="C124"/>
  <c r="B124"/>
  <c r="H123"/>
  <c r="D123"/>
  <c r="C123"/>
  <c r="B123"/>
  <c r="H122"/>
  <c r="D122"/>
  <c r="C122"/>
  <c r="B122"/>
  <c r="B127" s="1"/>
  <c r="J118"/>
  <c r="I118"/>
  <c r="G118"/>
  <c r="F118"/>
  <c r="J117"/>
  <c r="I117"/>
  <c r="G117"/>
  <c r="F117"/>
  <c r="D117"/>
  <c r="C117"/>
  <c r="B117"/>
  <c r="J116"/>
  <c r="I116"/>
  <c r="G116"/>
  <c r="F116"/>
  <c r="D116"/>
  <c r="C116"/>
  <c r="B116"/>
  <c r="J115"/>
  <c r="I115"/>
  <c r="G115"/>
  <c r="F115"/>
  <c r="J114"/>
  <c r="I114"/>
  <c r="G114"/>
  <c r="F114"/>
  <c r="J113"/>
  <c r="I113"/>
  <c r="G113"/>
  <c r="F113"/>
  <c r="D113"/>
  <c r="C113"/>
  <c r="D112"/>
  <c r="C112"/>
  <c r="B112"/>
  <c r="D111"/>
  <c r="C111"/>
  <c r="B111"/>
  <c r="D110"/>
  <c r="C110"/>
  <c r="B110"/>
  <c r="D109"/>
  <c r="C109"/>
  <c r="B109"/>
  <c r="B115" s="1"/>
  <c r="J107"/>
  <c r="I107"/>
  <c r="G107"/>
  <c r="F107"/>
  <c r="J106"/>
  <c r="I106"/>
  <c r="G106"/>
  <c r="F106"/>
  <c r="J105"/>
  <c r="I105"/>
  <c r="G105"/>
  <c r="F105"/>
  <c r="D105"/>
  <c r="C105"/>
  <c r="H104"/>
  <c r="D104"/>
  <c r="C104"/>
  <c r="B104"/>
  <c r="H103"/>
  <c r="D103"/>
  <c r="C103"/>
  <c r="B103"/>
  <c r="H102"/>
  <c r="D102"/>
  <c r="C102"/>
  <c r="B102"/>
  <c r="H101"/>
  <c r="H105" s="1"/>
  <c r="D101"/>
  <c r="C101"/>
  <c r="B101"/>
  <c r="B107" s="1"/>
  <c r="J100"/>
  <c r="I100"/>
  <c r="G100"/>
  <c r="F100"/>
  <c r="J99"/>
  <c r="I99"/>
  <c r="G99"/>
  <c r="F99"/>
  <c r="J98"/>
  <c r="I98"/>
  <c r="G98"/>
  <c r="F98"/>
  <c r="D98"/>
  <c r="C98"/>
  <c r="H97"/>
  <c r="D97"/>
  <c r="C97"/>
  <c r="B97"/>
  <c r="H96"/>
  <c r="D96"/>
  <c r="C96"/>
  <c r="B96"/>
  <c r="H95"/>
  <c r="D95"/>
  <c r="C95"/>
  <c r="B95"/>
  <c r="H94"/>
  <c r="D94"/>
  <c r="C94"/>
  <c r="B94"/>
  <c r="B98" s="1"/>
  <c r="J89"/>
  <c r="I89"/>
  <c r="G89"/>
  <c r="F89"/>
  <c r="J88"/>
  <c r="I88"/>
  <c r="G88"/>
  <c r="F88"/>
  <c r="D88"/>
  <c r="C88"/>
  <c r="B88"/>
  <c r="J87"/>
  <c r="I87"/>
  <c r="G87"/>
  <c r="F87"/>
  <c r="D87"/>
  <c r="C87"/>
  <c r="B87"/>
  <c r="J86"/>
  <c r="I86"/>
  <c r="G86"/>
  <c r="F86"/>
  <c r="B86"/>
  <c r="J85"/>
  <c r="I85"/>
  <c r="G85"/>
  <c r="F85"/>
  <c r="J84"/>
  <c r="I84"/>
  <c r="G84"/>
  <c r="F84"/>
  <c r="D84"/>
  <c r="C84"/>
  <c r="H83"/>
  <c r="D83"/>
  <c r="C83"/>
  <c r="B83"/>
  <c r="H82"/>
  <c r="D82"/>
  <c r="C82"/>
  <c r="B82"/>
  <c r="H81"/>
  <c r="D81"/>
  <c r="C81"/>
  <c r="B81"/>
  <c r="H80"/>
  <c r="D80"/>
  <c r="C80"/>
  <c r="B80"/>
  <c r="B85" s="1"/>
  <c r="J78"/>
  <c r="I78"/>
  <c r="F78"/>
  <c r="J77"/>
  <c r="I77"/>
  <c r="F77"/>
  <c r="J76"/>
  <c r="I76"/>
  <c r="F76"/>
  <c r="D76"/>
  <c r="C76"/>
  <c r="H75"/>
  <c r="D75"/>
  <c r="C75"/>
  <c r="B75"/>
  <c r="H74"/>
  <c r="D74"/>
  <c r="C74"/>
  <c r="B74"/>
  <c r="H73"/>
  <c r="H78" s="1"/>
  <c r="D73"/>
  <c r="C73"/>
  <c r="B73"/>
  <c r="H72"/>
  <c r="D72"/>
  <c r="C72"/>
  <c r="B72"/>
  <c r="B76" s="1"/>
  <c r="J71"/>
  <c r="I71"/>
  <c r="G71"/>
  <c r="F71"/>
  <c r="J70"/>
  <c r="I70"/>
  <c r="G70"/>
  <c r="F70"/>
  <c r="J69"/>
  <c r="I69"/>
  <c r="G69"/>
  <c r="F69"/>
  <c r="D69"/>
  <c r="C69"/>
  <c r="H68"/>
  <c r="D68"/>
  <c r="C68"/>
  <c r="B68"/>
  <c r="H67"/>
  <c r="D67"/>
  <c r="C67"/>
  <c r="B67"/>
  <c r="H66"/>
  <c r="D66"/>
  <c r="C66"/>
  <c r="B66"/>
  <c r="H65"/>
  <c r="D65"/>
  <c r="C65"/>
  <c r="B65"/>
  <c r="B71" s="1"/>
  <c r="J61"/>
  <c r="I61"/>
  <c r="G61"/>
  <c r="F61"/>
  <c r="J60"/>
  <c r="I60"/>
  <c r="G60"/>
  <c r="F60"/>
  <c r="D60"/>
  <c r="C60"/>
  <c r="B60"/>
  <c r="J59"/>
  <c r="I59"/>
  <c r="C59" s="1"/>
  <c r="G59"/>
  <c r="F59"/>
  <c r="B59"/>
  <c r="J58"/>
  <c r="I58"/>
  <c r="G58"/>
  <c r="F58"/>
  <c r="J57"/>
  <c r="I57"/>
  <c r="G57"/>
  <c r="F57"/>
  <c r="J56"/>
  <c r="I56"/>
  <c r="G56"/>
  <c r="F56"/>
  <c r="D56"/>
  <c r="C56"/>
  <c r="H55"/>
  <c r="D55"/>
  <c r="C55"/>
  <c r="B55"/>
  <c r="H54"/>
  <c r="D54"/>
  <c r="C54"/>
  <c r="B54"/>
  <c r="H53"/>
  <c r="D53"/>
  <c r="C53"/>
  <c r="B53"/>
  <c r="B58" s="1"/>
  <c r="H52"/>
  <c r="D52"/>
  <c r="C52"/>
  <c r="B52"/>
  <c r="B57" s="1"/>
  <c r="J50"/>
  <c r="I50"/>
  <c r="F50"/>
  <c r="J49"/>
  <c r="I49"/>
  <c r="F49"/>
  <c r="J48"/>
  <c r="I48"/>
  <c r="F48"/>
  <c r="D48"/>
  <c r="C48"/>
  <c r="H47"/>
  <c r="D47"/>
  <c r="C47"/>
  <c r="B47"/>
  <c r="H46"/>
  <c r="D46"/>
  <c r="C46"/>
  <c r="B46"/>
  <c r="H45"/>
  <c r="D45"/>
  <c r="C45"/>
  <c r="B45"/>
  <c r="H44"/>
  <c r="D44"/>
  <c r="C44"/>
  <c r="B44"/>
  <c r="B50" s="1"/>
  <c r="J43"/>
  <c r="I43"/>
  <c r="G43"/>
  <c r="F43"/>
  <c r="J42"/>
  <c r="I42"/>
  <c r="G42"/>
  <c r="F42"/>
  <c r="J41"/>
  <c r="I41"/>
  <c r="G41"/>
  <c r="F41"/>
  <c r="D41"/>
  <c r="C41"/>
  <c r="H40"/>
  <c r="D40"/>
  <c r="C40"/>
  <c r="B40"/>
  <c r="H39"/>
  <c r="D39"/>
  <c r="C39"/>
  <c r="B39"/>
  <c r="H38"/>
  <c r="D38"/>
  <c r="C38"/>
  <c r="B38"/>
  <c r="H37"/>
  <c r="D37"/>
  <c r="C37"/>
  <c r="B37"/>
  <c r="B43" s="1"/>
  <c r="H27"/>
  <c r="H26"/>
  <c r="H25"/>
  <c r="H24"/>
  <c r="H19"/>
  <c r="H18"/>
  <c r="H17"/>
  <c r="H16"/>
  <c r="H12"/>
  <c r="H11"/>
  <c r="H10"/>
  <c r="H9"/>
  <c r="J33"/>
  <c r="I33"/>
  <c r="G33"/>
  <c r="F33"/>
  <c r="J32"/>
  <c r="I32"/>
  <c r="G32"/>
  <c r="F32"/>
  <c r="D32"/>
  <c r="C32"/>
  <c r="B32"/>
  <c r="J31"/>
  <c r="I31"/>
  <c r="G31"/>
  <c r="F31"/>
  <c r="D31"/>
  <c r="C31"/>
  <c r="B31"/>
  <c r="J30"/>
  <c r="I30"/>
  <c r="G30"/>
  <c r="F30"/>
  <c r="B30"/>
  <c r="J29"/>
  <c r="I29"/>
  <c r="G29"/>
  <c r="F29"/>
  <c r="J28"/>
  <c r="I28"/>
  <c r="G28"/>
  <c r="F28"/>
  <c r="D28"/>
  <c r="C28"/>
  <c r="D27"/>
  <c r="C27"/>
  <c r="B27"/>
  <c r="D26"/>
  <c r="C26"/>
  <c r="B26"/>
  <c r="D25"/>
  <c r="C25"/>
  <c r="B25"/>
  <c r="D24"/>
  <c r="C24"/>
  <c r="B24"/>
  <c r="B29" s="1"/>
  <c r="J22"/>
  <c r="I22"/>
  <c r="G22"/>
  <c r="F22"/>
  <c r="J21"/>
  <c r="I21"/>
  <c r="G21"/>
  <c r="F21"/>
  <c r="J20"/>
  <c r="I20"/>
  <c r="G20"/>
  <c r="F20"/>
  <c r="D20"/>
  <c r="C20"/>
  <c r="B20"/>
  <c r="D19"/>
  <c r="C19"/>
  <c r="B19"/>
  <c r="D18"/>
  <c r="C18"/>
  <c r="B18"/>
  <c r="D17"/>
  <c r="C17"/>
  <c r="B17"/>
  <c r="H20"/>
  <c r="D16"/>
  <c r="C16"/>
  <c r="B16"/>
  <c r="B22" s="1"/>
  <c r="J15"/>
  <c r="I15"/>
  <c r="G15"/>
  <c r="F15"/>
  <c r="B15"/>
  <c r="J14"/>
  <c r="I14"/>
  <c r="G14"/>
  <c r="F14"/>
  <c r="J13"/>
  <c r="I13"/>
  <c r="G13"/>
  <c r="F13"/>
  <c r="D13"/>
  <c r="C13"/>
  <c r="D12"/>
  <c r="C12"/>
  <c r="B12"/>
  <c r="D11"/>
  <c r="C11"/>
  <c r="B11"/>
  <c r="D10"/>
  <c r="C10"/>
  <c r="B10"/>
  <c r="D9"/>
  <c r="C9"/>
  <c r="B9"/>
  <c r="B14" s="1"/>
  <c r="H6"/>
  <c r="J6" s="1"/>
  <c r="G6"/>
  <c r="F6"/>
  <c r="E6"/>
  <c r="H5"/>
  <c r="J5" s="1"/>
  <c r="F5"/>
  <c r="E5"/>
  <c r="G5" s="1"/>
  <c r="H4"/>
  <c r="J4" s="1"/>
  <c r="E4"/>
  <c r="F4" s="1"/>
  <c r="G33" i="11"/>
  <c r="F33"/>
  <c r="G32"/>
  <c r="F32"/>
  <c r="G31"/>
  <c r="F31"/>
  <c r="G30"/>
  <c r="F30"/>
  <c r="G29"/>
  <c r="F29"/>
  <c r="G28"/>
  <c r="F28"/>
  <c r="G22"/>
  <c r="F22"/>
  <c r="G21"/>
  <c r="F21"/>
  <c r="G20"/>
  <c r="F20"/>
  <c r="G15"/>
  <c r="F15"/>
  <c r="G14"/>
  <c r="F14"/>
  <c r="G13"/>
  <c r="F13"/>
  <c r="H10"/>
  <c r="J33"/>
  <c r="J32"/>
  <c r="J31"/>
  <c r="J30"/>
  <c r="J29"/>
  <c r="J28"/>
  <c r="J22"/>
  <c r="J21"/>
  <c r="J20"/>
  <c r="J15"/>
  <c r="J14"/>
  <c r="J13"/>
  <c r="S33"/>
  <c r="R33"/>
  <c r="Q33"/>
  <c r="P33"/>
  <c r="O33"/>
  <c r="N33"/>
  <c r="M33"/>
  <c r="L33"/>
  <c r="I33"/>
  <c r="S32"/>
  <c r="R32"/>
  <c r="Q32"/>
  <c r="P32"/>
  <c r="O32"/>
  <c r="N32"/>
  <c r="M32"/>
  <c r="L32"/>
  <c r="I32"/>
  <c r="S31"/>
  <c r="R31"/>
  <c r="Q31"/>
  <c r="P31"/>
  <c r="O31"/>
  <c r="N31"/>
  <c r="M31"/>
  <c r="L31"/>
  <c r="I31"/>
  <c r="S30"/>
  <c r="R30"/>
  <c r="Q30"/>
  <c r="P30"/>
  <c r="O30"/>
  <c r="N30"/>
  <c r="M30"/>
  <c r="L30"/>
  <c r="I30"/>
  <c r="S29"/>
  <c r="R29"/>
  <c r="Q29"/>
  <c r="P29"/>
  <c r="O29"/>
  <c r="N29"/>
  <c r="M29"/>
  <c r="L29"/>
  <c r="I29"/>
  <c r="S28"/>
  <c r="R28"/>
  <c r="Q28"/>
  <c r="P28"/>
  <c r="O28"/>
  <c r="N28"/>
  <c r="M28"/>
  <c r="L28"/>
  <c r="I28"/>
  <c r="S22"/>
  <c r="R22"/>
  <c r="Q22"/>
  <c r="P22"/>
  <c r="O22"/>
  <c r="N22"/>
  <c r="M22"/>
  <c r="L22"/>
  <c r="I22"/>
  <c r="S21"/>
  <c r="R21"/>
  <c r="Q21"/>
  <c r="P21"/>
  <c r="O21"/>
  <c r="N21"/>
  <c r="M21"/>
  <c r="L21"/>
  <c r="I21"/>
  <c r="S20"/>
  <c r="R20"/>
  <c r="Q20"/>
  <c r="P20"/>
  <c r="O20"/>
  <c r="N20"/>
  <c r="M20"/>
  <c r="L20"/>
  <c r="I20"/>
  <c r="S15"/>
  <c r="R15"/>
  <c r="Q15"/>
  <c r="P15"/>
  <c r="O15"/>
  <c r="N15"/>
  <c r="M15"/>
  <c r="L15"/>
  <c r="I15"/>
  <c r="S14"/>
  <c r="R14"/>
  <c r="Q14"/>
  <c r="P14"/>
  <c r="O14"/>
  <c r="N14"/>
  <c r="M14"/>
  <c r="L14"/>
  <c r="I14"/>
  <c r="S13"/>
  <c r="R13"/>
  <c r="Q13"/>
  <c r="P13"/>
  <c r="O13"/>
  <c r="N13"/>
  <c r="M13"/>
  <c r="L13"/>
  <c r="I13"/>
  <c r="H6"/>
  <c r="J6" s="1"/>
  <c r="L6" s="1"/>
  <c r="H24" s="1"/>
  <c r="E6"/>
  <c r="F6" s="1"/>
  <c r="H5"/>
  <c r="J5" s="1"/>
  <c r="L5" s="1"/>
  <c r="O5" s="1"/>
  <c r="E5"/>
  <c r="F5" s="1"/>
  <c r="H4"/>
  <c r="J4" s="1"/>
  <c r="K4" s="1"/>
  <c r="E4"/>
  <c r="F4" s="1"/>
  <c r="F87" i="8"/>
  <c r="G87"/>
  <c r="H87"/>
  <c r="J87"/>
  <c r="K87"/>
  <c r="L87"/>
  <c r="M87" s="1"/>
  <c r="K86"/>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18"/>
  <c r="L86"/>
  <c r="M86" s="1"/>
  <c r="J86"/>
  <c r="H86"/>
  <c r="G86"/>
  <c r="F86"/>
  <c r="J56"/>
  <c r="L56" s="1"/>
  <c r="M56" s="1"/>
  <c r="H56"/>
  <c r="G56"/>
  <c r="F56"/>
  <c r="H55"/>
  <c r="J55" s="1"/>
  <c r="L55" s="1"/>
  <c r="M55" s="1"/>
  <c r="G55"/>
  <c r="F55"/>
  <c r="J54"/>
  <c r="L54" s="1"/>
  <c r="M54" s="1"/>
  <c r="H54"/>
  <c r="F54"/>
  <c r="G54" s="1"/>
  <c r="J53"/>
  <c r="L53" s="1"/>
  <c r="M53" s="1"/>
  <c r="H53"/>
  <c r="G53"/>
  <c r="F53"/>
  <c r="L51"/>
  <c r="M51" s="1"/>
  <c r="J51"/>
  <c r="H51"/>
  <c r="G51"/>
  <c r="F51"/>
  <c r="H50"/>
  <c r="J50" s="1"/>
  <c r="L50" s="1"/>
  <c r="M50" s="1"/>
  <c r="G50"/>
  <c r="F50"/>
  <c r="H49"/>
  <c r="J49" s="1"/>
  <c r="L49" s="1"/>
  <c r="M49" s="1"/>
  <c r="F49"/>
  <c r="G49" s="1"/>
  <c r="J48"/>
  <c r="L48" s="1"/>
  <c r="M48" s="1"/>
  <c r="H48"/>
  <c r="F48"/>
  <c r="G48" s="1"/>
  <c r="H41"/>
  <c r="J41" s="1"/>
  <c r="L41" s="1"/>
  <c r="M41" s="1"/>
  <c r="G41"/>
  <c r="F41"/>
  <c r="H40"/>
  <c r="J40" s="1"/>
  <c r="L40" s="1"/>
  <c r="M40" s="1"/>
  <c r="F40"/>
  <c r="G40" s="1"/>
  <c r="H39"/>
  <c r="J39" s="1"/>
  <c r="L39" s="1"/>
  <c r="M39" s="1"/>
  <c r="F39"/>
  <c r="G39" s="1"/>
  <c r="J38"/>
  <c r="L38" s="1"/>
  <c r="M38" s="1"/>
  <c r="H38"/>
  <c r="G38"/>
  <c r="F38"/>
  <c r="H46"/>
  <c r="J46" s="1"/>
  <c r="L46" s="1"/>
  <c r="M46" s="1"/>
  <c r="G46"/>
  <c r="F46"/>
  <c r="H45"/>
  <c r="J45" s="1"/>
  <c r="L45" s="1"/>
  <c r="M45" s="1"/>
  <c r="F45"/>
  <c r="G45" s="1"/>
  <c r="J44"/>
  <c r="L44" s="1"/>
  <c r="M44" s="1"/>
  <c r="H44"/>
  <c r="F44"/>
  <c r="G44" s="1"/>
  <c r="H43"/>
  <c r="J43" s="1"/>
  <c r="L43" s="1"/>
  <c r="M43" s="1"/>
  <c r="G43"/>
  <c r="F43"/>
  <c r="F59"/>
  <c r="G59" s="1"/>
  <c r="H59"/>
  <c r="J59" s="1"/>
  <c r="L59" s="1"/>
  <c r="M59" s="1"/>
  <c r="F60"/>
  <c r="G60" s="1"/>
  <c r="H60"/>
  <c r="J60" s="1"/>
  <c r="L60" s="1"/>
  <c r="M60" s="1"/>
  <c r="H36"/>
  <c r="J36" s="1"/>
  <c r="L36" s="1"/>
  <c r="M36" s="1"/>
  <c r="G36"/>
  <c r="F36"/>
  <c r="J35"/>
  <c r="L35" s="1"/>
  <c r="M35" s="1"/>
  <c r="H35"/>
  <c r="F35"/>
  <c r="G35" s="1"/>
  <c r="J34"/>
  <c r="L34" s="1"/>
  <c r="M34" s="1"/>
  <c r="H34"/>
  <c r="G34"/>
  <c r="F34"/>
  <c r="J33"/>
  <c r="L33" s="1"/>
  <c r="M33" s="1"/>
  <c r="H33"/>
  <c r="G33"/>
  <c r="F33"/>
  <c r="H67"/>
  <c r="J67" s="1"/>
  <c r="L67" s="1"/>
  <c r="M67" s="1"/>
  <c r="G67"/>
  <c r="F67"/>
  <c r="H66"/>
  <c r="J66" s="1"/>
  <c r="L66" s="1"/>
  <c r="M66" s="1"/>
  <c r="F66"/>
  <c r="G66" s="1"/>
  <c r="H65"/>
  <c r="J65" s="1"/>
  <c r="L65" s="1"/>
  <c r="M65" s="1"/>
  <c r="F65"/>
  <c r="G65" s="1"/>
  <c r="H64"/>
  <c r="J64" s="1"/>
  <c r="L64" s="1"/>
  <c r="M64" s="1"/>
  <c r="F64"/>
  <c r="G64" s="1"/>
  <c r="F69"/>
  <c r="G69" s="1"/>
  <c r="H69"/>
  <c r="J69" s="1"/>
  <c r="L69" s="1"/>
  <c r="M69" s="1"/>
  <c r="F70"/>
  <c r="G70" s="1"/>
  <c r="H70"/>
  <c r="J70" s="1"/>
  <c r="L70" s="1"/>
  <c r="M70" s="1"/>
  <c r="F71"/>
  <c r="G71" s="1"/>
  <c r="H71"/>
  <c r="J71" s="1"/>
  <c r="L71" s="1"/>
  <c r="M71" s="1"/>
  <c r="H72"/>
  <c r="J72" s="1"/>
  <c r="L72" s="1"/>
  <c r="M72" s="1"/>
  <c r="G72"/>
  <c r="F72"/>
  <c r="J62"/>
  <c r="L62" s="1"/>
  <c r="M62" s="1"/>
  <c r="H62"/>
  <c r="F62"/>
  <c r="G62" s="1"/>
  <c r="H61"/>
  <c r="J61" s="1"/>
  <c r="L61" s="1"/>
  <c r="M61" s="1"/>
  <c r="F61"/>
  <c r="G61" s="1"/>
  <c r="H82"/>
  <c r="J82" s="1"/>
  <c r="L82" s="1"/>
  <c r="M82" s="1"/>
  <c r="F82"/>
  <c r="G82" s="1"/>
  <c r="H81"/>
  <c r="J81" s="1"/>
  <c r="L81" s="1"/>
  <c r="M81" s="1"/>
  <c r="F81"/>
  <c r="G81" s="1"/>
  <c r="H80"/>
  <c r="J80" s="1"/>
  <c r="L80" s="1"/>
  <c r="M80" s="1"/>
  <c r="F80"/>
  <c r="G80" s="1"/>
  <c r="H79"/>
  <c r="J79" s="1"/>
  <c r="L79" s="1"/>
  <c r="M79" s="1"/>
  <c r="F79"/>
  <c r="G79" s="1"/>
  <c r="H77"/>
  <c r="J77" s="1"/>
  <c r="L77" s="1"/>
  <c r="M77" s="1"/>
  <c r="F77"/>
  <c r="G77" s="1"/>
  <c r="L76"/>
  <c r="M76" s="1"/>
  <c r="J76"/>
  <c r="H76"/>
  <c r="F76"/>
  <c r="G76" s="1"/>
  <c r="H75"/>
  <c r="J75" s="1"/>
  <c r="L75" s="1"/>
  <c r="M75" s="1"/>
  <c r="G75"/>
  <c r="F75"/>
  <c r="H74"/>
  <c r="J74" s="1"/>
  <c r="L74" s="1"/>
  <c r="M74" s="1"/>
  <c r="G74"/>
  <c r="F74"/>
  <c r="H30"/>
  <c r="J30" s="1"/>
  <c r="L30" s="1"/>
  <c r="M30" s="1"/>
  <c r="F30"/>
  <c r="G30" s="1"/>
  <c r="H29"/>
  <c r="J29" s="1"/>
  <c r="L29" s="1"/>
  <c r="M29" s="1"/>
  <c r="G29"/>
  <c r="F29"/>
  <c r="H28"/>
  <c r="J28" s="1"/>
  <c r="L28" s="1"/>
  <c r="M28" s="1"/>
  <c r="F28"/>
  <c r="G28" s="1"/>
  <c r="J27"/>
  <c r="L27" s="1"/>
  <c r="M27" s="1"/>
  <c r="H27"/>
  <c r="F27"/>
  <c r="G27" s="1"/>
  <c r="H25"/>
  <c r="J25" s="1"/>
  <c r="L25" s="1"/>
  <c r="M25" s="1"/>
  <c r="F25"/>
  <c r="G25" s="1"/>
  <c r="H24"/>
  <c r="J24" s="1"/>
  <c r="L24" s="1"/>
  <c r="M24" s="1"/>
  <c r="F24"/>
  <c r="G24" s="1"/>
  <c r="H23"/>
  <c r="J23" s="1"/>
  <c r="L23" s="1"/>
  <c r="M23" s="1"/>
  <c r="F23"/>
  <c r="G23" s="1"/>
  <c r="H22"/>
  <c r="J22" s="1"/>
  <c r="L22" s="1"/>
  <c r="M22" s="1"/>
  <c r="F22"/>
  <c r="G22" s="1"/>
  <c r="F19"/>
  <c r="G19" s="1"/>
  <c r="H19"/>
  <c r="J19" s="1"/>
  <c r="L19" s="1"/>
  <c r="F20"/>
  <c r="G20" s="1"/>
  <c r="H20"/>
  <c r="J20" s="1"/>
  <c r="L20" s="1"/>
  <c r="H18"/>
  <c r="J18" s="1"/>
  <c r="L18" s="1"/>
  <c r="M18" s="1"/>
  <c r="F18"/>
  <c r="G18" s="1"/>
  <c r="F13"/>
  <c r="H13" s="1"/>
  <c r="I13" s="1"/>
  <c r="E13"/>
  <c r="J13" s="1"/>
  <c r="F12"/>
  <c r="H12" s="1"/>
  <c r="I12" s="1"/>
  <c r="E12"/>
  <c r="J12" s="1"/>
  <c r="F11"/>
  <c r="H11" s="1"/>
  <c r="I11" s="1"/>
  <c r="E11"/>
  <c r="J11" s="1"/>
  <c r="F7"/>
  <c r="H7" s="1"/>
  <c r="I7" s="1"/>
  <c r="E7"/>
  <c r="J7" s="1"/>
  <c r="F6"/>
  <c r="H6" s="1"/>
  <c r="I6" s="1"/>
  <c r="E6"/>
  <c r="J6" s="1"/>
  <c r="F5"/>
  <c r="H5" s="1"/>
  <c r="I5" s="1"/>
  <c r="E5"/>
  <c r="J5" s="1"/>
  <c r="F1"/>
  <c r="H1" s="1"/>
  <c r="I1" s="1"/>
  <c r="E1"/>
  <c r="J1" s="1"/>
  <c r="D26" i="9"/>
  <c r="C26"/>
  <c r="D25"/>
  <c r="C25"/>
  <c r="B25"/>
  <c r="B26"/>
  <c r="O27"/>
  <c r="N27"/>
  <c r="M27"/>
  <c r="L27"/>
  <c r="K27"/>
  <c r="J27"/>
  <c r="I27"/>
  <c r="H27"/>
  <c r="G27"/>
  <c r="F27"/>
  <c r="O26"/>
  <c r="N26"/>
  <c r="M26"/>
  <c r="L26"/>
  <c r="K26"/>
  <c r="J26"/>
  <c r="I26"/>
  <c r="H26"/>
  <c r="G26"/>
  <c r="F26"/>
  <c r="O25"/>
  <c r="N25"/>
  <c r="M25"/>
  <c r="L25"/>
  <c r="K25"/>
  <c r="J25"/>
  <c r="I25"/>
  <c r="H25"/>
  <c r="G25"/>
  <c r="F25"/>
  <c r="O24"/>
  <c r="N24"/>
  <c r="M24"/>
  <c r="L24"/>
  <c r="K24"/>
  <c r="J24"/>
  <c r="I24"/>
  <c r="H24"/>
  <c r="G24"/>
  <c r="F24"/>
  <c r="O23"/>
  <c r="N23"/>
  <c r="M23"/>
  <c r="L23"/>
  <c r="K23"/>
  <c r="J23"/>
  <c r="I23"/>
  <c r="H23"/>
  <c r="G23"/>
  <c r="F23"/>
  <c r="O22"/>
  <c r="N22"/>
  <c r="M22"/>
  <c r="L22"/>
  <c r="K22"/>
  <c r="J22"/>
  <c r="I22"/>
  <c r="H22"/>
  <c r="G22"/>
  <c r="F22"/>
  <c r="D22"/>
  <c r="C22"/>
  <c r="D21"/>
  <c r="C21"/>
  <c r="B21"/>
  <c r="D20"/>
  <c r="C20"/>
  <c r="B20"/>
  <c r="D19"/>
  <c r="C19"/>
  <c r="B19"/>
  <c r="D18"/>
  <c r="C18"/>
  <c r="B18"/>
  <c r="O16"/>
  <c r="N16"/>
  <c r="M16"/>
  <c r="L16"/>
  <c r="K16"/>
  <c r="J16"/>
  <c r="I16"/>
  <c r="H16"/>
  <c r="G16"/>
  <c r="F16"/>
  <c r="O15"/>
  <c r="N15"/>
  <c r="M15"/>
  <c r="L15"/>
  <c r="K15"/>
  <c r="J15"/>
  <c r="I15"/>
  <c r="H15"/>
  <c r="G15"/>
  <c r="F15"/>
  <c r="O14"/>
  <c r="N14"/>
  <c r="M14"/>
  <c r="L14"/>
  <c r="K14"/>
  <c r="J14"/>
  <c r="I14"/>
  <c r="H14"/>
  <c r="G14"/>
  <c r="F14"/>
  <c r="D14"/>
  <c r="C14"/>
  <c r="D13"/>
  <c r="C13"/>
  <c r="B13"/>
  <c r="D12"/>
  <c r="C12"/>
  <c r="B12"/>
  <c r="D11"/>
  <c r="C11"/>
  <c r="B11"/>
  <c r="D10"/>
  <c r="C10"/>
  <c r="B10"/>
  <c r="O9"/>
  <c r="N9"/>
  <c r="M9"/>
  <c r="L9"/>
  <c r="K9"/>
  <c r="J9"/>
  <c r="I9"/>
  <c r="H9"/>
  <c r="G9"/>
  <c r="F9"/>
  <c r="O8"/>
  <c r="N8"/>
  <c r="M8"/>
  <c r="L8"/>
  <c r="K8"/>
  <c r="J8"/>
  <c r="I8"/>
  <c r="H8"/>
  <c r="G8"/>
  <c r="F8"/>
  <c r="O7"/>
  <c r="N7"/>
  <c r="M7"/>
  <c r="L7"/>
  <c r="K7"/>
  <c r="J7"/>
  <c r="I7"/>
  <c r="H7"/>
  <c r="G7"/>
  <c r="F7"/>
  <c r="D7"/>
  <c r="C7"/>
  <c r="D6"/>
  <c r="C6"/>
  <c r="B6"/>
  <c r="D5"/>
  <c r="C5"/>
  <c r="B5"/>
  <c r="D4"/>
  <c r="C4"/>
  <c r="B4"/>
  <c r="D3"/>
  <c r="C3"/>
  <c r="B3"/>
  <c r="E3" i="8"/>
  <c r="E2"/>
  <c r="E4"/>
  <c r="J4" s="1"/>
  <c r="F4"/>
  <c r="H4" s="1"/>
  <c r="I4" s="1"/>
  <c r="F2"/>
  <c r="H2" s="1"/>
  <c r="I2" s="1"/>
  <c r="F3"/>
  <c r="H3" s="1"/>
  <c r="I3" s="1"/>
  <c r="G39" i="5"/>
  <c r="E39"/>
  <c r="G38"/>
  <c r="E38"/>
  <c r="G37"/>
  <c r="E37"/>
  <c r="E36"/>
  <c r="G36" s="1"/>
  <c r="C9" i="7"/>
  <c r="C8"/>
  <c r="E7"/>
  <c r="D7"/>
  <c r="C7"/>
  <c r="G9"/>
  <c r="G8"/>
  <c r="G16"/>
  <c r="G15"/>
  <c r="P9"/>
  <c r="O9"/>
  <c r="N9"/>
  <c r="M9"/>
  <c r="L9"/>
  <c r="K9"/>
  <c r="J9"/>
  <c r="I9"/>
  <c r="H9"/>
  <c r="P8"/>
  <c r="O8"/>
  <c r="N8"/>
  <c r="M8"/>
  <c r="L8"/>
  <c r="K8"/>
  <c r="J8"/>
  <c r="I8"/>
  <c r="H8"/>
  <c r="O11" i="5"/>
  <c r="P7" i="7"/>
  <c r="G14"/>
  <c r="G7"/>
  <c r="P24"/>
  <c r="O24"/>
  <c r="N24"/>
  <c r="M24"/>
  <c r="L24"/>
  <c r="K24"/>
  <c r="J24"/>
  <c r="I24"/>
  <c r="H24"/>
  <c r="G24"/>
  <c r="P23"/>
  <c r="O23"/>
  <c r="N23"/>
  <c r="M23"/>
  <c r="L23"/>
  <c r="K23"/>
  <c r="J23"/>
  <c r="I23"/>
  <c r="H23"/>
  <c r="G23"/>
  <c r="E22"/>
  <c r="D22"/>
  <c r="E14"/>
  <c r="D14"/>
  <c r="H15"/>
  <c r="I15"/>
  <c r="J15"/>
  <c r="K15"/>
  <c r="L15"/>
  <c r="M15"/>
  <c r="N15"/>
  <c r="O15"/>
  <c r="P15"/>
  <c r="H16"/>
  <c r="I16"/>
  <c r="J16"/>
  <c r="K16"/>
  <c r="L16"/>
  <c r="M16"/>
  <c r="N16"/>
  <c r="O16"/>
  <c r="P16"/>
  <c r="P27"/>
  <c r="O27"/>
  <c r="N27"/>
  <c r="M27"/>
  <c r="L27"/>
  <c r="K27"/>
  <c r="J27"/>
  <c r="I27"/>
  <c r="H27"/>
  <c r="G27"/>
  <c r="P26"/>
  <c r="O26"/>
  <c r="N26"/>
  <c r="M26"/>
  <c r="L26"/>
  <c r="K26"/>
  <c r="J26"/>
  <c r="I26"/>
  <c r="H26"/>
  <c r="G26"/>
  <c r="P25"/>
  <c r="O25"/>
  <c r="N25"/>
  <c r="M25"/>
  <c r="L25"/>
  <c r="K25"/>
  <c r="J25"/>
  <c r="I25"/>
  <c r="H25"/>
  <c r="G25"/>
  <c r="P22"/>
  <c r="O22"/>
  <c r="N22"/>
  <c r="M22"/>
  <c r="L22"/>
  <c r="K22"/>
  <c r="J22"/>
  <c r="I22"/>
  <c r="H22"/>
  <c r="G22"/>
  <c r="E21"/>
  <c r="D21"/>
  <c r="C21"/>
  <c r="E20"/>
  <c r="D20"/>
  <c r="C20"/>
  <c r="E19"/>
  <c r="D19"/>
  <c r="C19"/>
  <c r="E18"/>
  <c r="D18"/>
  <c r="C18"/>
  <c r="P14"/>
  <c r="O14"/>
  <c r="N14"/>
  <c r="M14"/>
  <c r="L14"/>
  <c r="K14"/>
  <c r="J14"/>
  <c r="I14"/>
  <c r="H14"/>
  <c r="E13"/>
  <c r="D13"/>
  <c r="C13"/>
  <c r="E12"/>
  <c r="D12"/>
  <c r="C12"/>
  <c r="E11"/>
  <c r="D11"/>
  <c r="C11"/>
  <c r="E10"/>
  <c r="D10"/>
  <c r="C10"/>
  <c r="O7"/>
  <c r="N7"/>
  <c r="M7"/>
  <c r="L7"/>
  <c r="K7"/>
  <c r="J7"/>
  <c r="I7"/>
  <c r="H7"/>
  <c r="E6"/>
  <c r="D6"/>
  <c r="C6"/>
  <c r="E5"/>
  <c r="D5"/>
  <c r="C5"/>
  <c r="E4"/>
  <c r="D4"/>
  <c r="C4"/>
  <c r="E3"/>
  <c r="D3"/>
  <c r="C3"/>
  <c r="E30" i="6"/>
  <c r="B21"/>
  <c r="B20"/>
  <c r="B15"/>
  <c r="B16"/>
  <c r="P24"/>
  <c r="O24"/>
  <c r="N24"/>
  <c r="M24"/>
  <c r="L24"/>
  <c r="K24"/>
  <c r="J24"/>
  <c r="I24"/>
  <c r="H24"/>
  <c r="G24"/>
  <c r="P23"/>
  <c r="O23"/>
  <c r="N23"/>
  <c r="M23"/>
  <c r="L23"/>
  <c r="K23"/>
  <c r="J23"/>
  <c r="I23"/>
  <c r="H23"/>
  <c r="G23"/>
  <c r="P22"/>
  <c r="O22"/>
  <c r="N22"/>
  <c r="M22"/>
  <c r="L22"/>
  <c r="K22"/>
  <c r="J22"/>
  <c r="I22"/>
  <c r="H22"/>
  <c r="G22"/>
  <c r="P21"/>
  <c r="O21"/>
  <c r="N21"/>
  <c r="M21"/>
  <c r="L21"/>
  <c r="K21"/>
  <c r="J21"/>
  <c r="I21"/>
  <c r="H21"/>
  <c r="G21"/>
  <c r="E20"/>
  <c r="D20"/>
  <c r="C20"/>
  <c r="E19"/>
  <c r="D19"/>
  <c r="C19"/>
  <c r="E18"/>
  <c r="D18"/>
  <c r="C18"/>
  <c r="E17"/>
  <c r="D17"/>
  <c r="C17"/>
  <c r="P16"/>
  <c r="O16"/>
  <c r="N16"/>
  <c r="M16"/>
  <c r="L16"/>
  <c r="K16"/>
  <c r="J16"/>
  <c r="I16"/>
  <c r="H16"/>
  <c r="G16"/>
  <c r="E15"/>
  <c r="D15"/>
  <c r="C15"/>
  <c r="E14"/>
  <c r="D14"/>
  <c r="C14"/>
  <c r="E13"/>
  <c r="D13"/>
  <c r="C13"/>
  <c r="E12"/>
  <c r="D12"/>
  <c r="C12"/>
  <c r="O11"/>
  <c r="N11"/>
  <c r="M11"/>
  <c r="L11"/>
  <c r="K11"/>
  <c r="J11"/>
  <c r="I11"/>
  <c r="H11"/>
  <c r="G11"/>
  <c r="E10"/>
  <c r="D10"/>
  <c r="C10"/>
  <c r="E9"/>
  <c r="D9"/>
  <c r="C9"/>
  <c r="E8"/>
  <c r="D8"/>
  <c r="C8"/>
  <c r="E7"/>
  <c r="D7"/>
  <c r="C7"/>
  <c r="E6"/>
  <c r="D6"/>
  <c r="C6"/>
  <c r="E5"/>
  <c r="D5"/>
  <c r="C5"/>
  <c r="E4"/>
  <c r="D4"/>
  <c r="C4"/>
  <c r="E3"/>
  <c r="D3"/>
  <c r="C3"/>
  <c r="O29" i="5"/>
  <c r="O30"/>
  <c r="O31"/>
  <c r="O32"/>
  <c r="O20"/>
  <c r="N32"/>
  <c r="M32"/>
  <c r="L32"/>
  <c r="K32"/>
  <c r="J32"/>
  <c r="I32"/>
  <c r="H32"/>
  <c r="G32"/>
  <c r="F32"/>
  <c r="N31"/>
  <c r="M31"/>
  <c r="L31"/>
  <c r="K31"/>
  <c r="J31"/>
  <c r="I31"/>
  <c r="H31"/>
  <c r="G31"/>
  <c r="F31"/>
  <c r="N30"/>
  <c r="M30"/>
  <c r="L30"/>
  <c r="K30"/>
  <c r="J30"/>
  <c r="I30"/>
  <c r="H30"/>
  <c r="G30"/>
  <c r="F30"/>
  <c r="N29"/>
  <c r="M29"/>
  <c r="L29"/>
  <c r="K29"/>
  <c r="J29"/>
  <c r="I29"/>
  <c r="H29"/>
  <c r="G29"/>
  <c r="F29"/>
  <c r="D28"/>
  <c r="C28"/>
  <c r="B28"/>
  <c r="D27"/>
  <c r="C27"/>
  <c r="B27"/>
  <c r="D26"/>
  <c r="C26"/>
  <c r="B26"/>
  <c r="D25"/>
  <c r="C25"/>
  <c r="B25"/>
  <c r="D24"/>
  <c r="C24"/>
  <c r="B24"/>
  <c r="D23"/>
  <c r="C23"/>
  <c r="B23"/>
  <c r="D22"/>
  <c r="C22"/>
  <c r="B22"/>
  <c r="D21"/>
  <c r="C21"/>
  <c r="B21"/>
  <c r="N20"/>
  <c r="M20"/>
  <c r="L20"/>
  <c r="K20"/>
  <c r="J20"/>
  <c r="I20"/>
  <c r="H20"/>
  <c r="G20"/>
  <c r="F20"/>
  <c r="D19"/>
  <c r="C19"/>
  <c r="B19"/>
  <c r="D18"/>
  <c r="C18"/>
  <c r="B18"/>
  <c r="D17"/>
  <c r="C17"/>
  <c r="B17"/>
  <c r="D16"/>
  <c r="C16"/>
  <c r="B16"/>
  <c r="D15"/>
  <c r="C15"/>
  <c r="B15"/>
  <c r="D14"/>
  <c r="C14"/>
  <c r="B14"/>
  <c r="D13"/>
  <c r="C13"/>
  <c r="B13"/>
  <c r="D12"/>
  <c r="C12"/>
  <c r="B12"/>
  <c r="N11"/>
  <c r="M11"/>
  <c r="L11"/>
  <c r="K11"/>
  <c r="J11"/>
  <c r="I11"/>
  <c r="H11"/>
  <c r="G11"/>
  <c r="F11"/>
  <c r="D10"/>
  <c r="C10"/>
  <c r="B10"/>
  <c r="D9"/>
  <c r="C9"/>
  <c r="B9"/>
  <c r="D8"/>
  <c r="C8"/>
  <c r="B8"/>
  <c r="D7"/>
  <c r="C7"/>
  <c r="B7"/>
  <c r="D6"/>
  <c r="C6"/>
  <c r="B6"/>
  <c r="D5"/>
  <c r="C5"/>
  <c r="B5"/>
  <c r="D4"/>
  <c r="C4"/>
  <c r="B4"/>
  <c r="D3"/>
  <c r="C3"/>
  <c r="B3"/>
  <c r="H39" i="4"/>
  <c r="I38"/>
  <c r="H38"/>
  <c r="I37"/>
  <c r="H37"/>
  <c r="I36"/>
  <c r="H36"/>
  <c r="H40" s="1"/>
  <c r="J35"/>
  <c r="J34"/>
  <c r="J33"/>
  <c r="J32"/>
  <c r="J31"/>
  <c r="J30"/>
  <c r="J29"/>
  <c r="J28"/>
  <c r="J27"/>
  <c r="J26"/>
  <c r="J25"/>
  <c r="J24"/>
  <c r="N39"/>
  <c r="O38"/>
  <c r="N38"/>
  <c r="O37"/>
  <c r="N37"/>
  <c r="O36"/>
  <c r="N36"/>
  <c r="P35"/>
  <c r="P34"/>
  <c r="P33"/>
  <c r="P32"/>
  <c r="P31"/>
  <c r="P30"/>
  <c r="P29"/>
  <c r="P28"/>
  <c r="P27"/>
  <c r="P26"/>
  <c r="P25"/>
  <c r="P24"/>
  <c r="E21"/>
  <c r="H21"/>
  <c r="H20"/>
  <c r="I19"/>
  <c r="H19"/>
  <c r="I18"/>
  <c r="H18"/>
  <c r="I17"/>
  <c r="H17"/>
  <c r="J16"/>
  <c r="J15"/>
  <c r="J14"/>
  <c r="J13"/>
  <c r="J12"/>
  <c r="J11"/>
  <c r="J10"/>
  <c r="J9"/>
  <c r="J8"/>
  <c r="J7"/>
  <c r="J6"/>
  <c r="J5"/>
  <c r="N20"/>
  <c r="O19"/>
  <c r="N19"/>
  <c r="O18"/>
  <c r="N18"/>
  <c r="O17"/>
  <c r="N17"/>
  <c r="P16"/>
  <c r="P15"/>
  <c r="P14"/>
  <c r="P13"/>
  <c r="P12"/>
  <c r="P11"/>
  <c r="P10"/>
  <c r="P9"/>
  <c r="P8"/>
  <c r="P7"/>
  <c r="P6"/>
  <c r="P5"/>
  <c r="K20"/>
  <c r="K19"/>
  <c r="K18"/>
  <c r="K17"/>
  <c r="K21" s="1"/>
  <c r="E20"/>
  <c r="E19"/>
  <c r="E18"/>
  <c r="E17"/>
  <c r="L19"/>
  <c r="L18"/>
  <c r="L17"/>
  <c r="M16"/>
  <c r="M15"/>
  <c r="M14"/>
  <c r="M13"/>
  <c r="M12"/>
  <c r="M11"/>
  <c r="M10"/>
  <c r="M9"/>
  <c r="M8"/>
  <c r="M7"/>
  <c r="M6"/>
  <c r="M5"/>
  <c r="F19"/>
  <c r="F18"/>
  <c r="G6"/>
  <c r="G7"/>
  <c r="G8"/>
  <c r="G9"/>
  <c r="G10"/>
  <c r="G11"/>
  <c r="G12"/>
  <c r="G13"/>
  <c r="G14"/>
  <c r="G15"/>
  <c r="G16"/>
  <c r="G5"/>
  <c r="F17"/>
  <c r="D55" i="3"/>
  <c r="N74"/>
  <c r="N75"/>
  <c r="N76"/>
  <c r="N62"/>
  <c r="N51"/>
  <c r="M76"/>
  <c r="M75"/>
  <c r="M74"/>
  <c r="M73"/>
  <c r="N73"/>
  <c r="M51"/>
  <c r="L51"/>
  <c r="L62"/>
  <c r="M62"/>
  <c r="L73"/>
  <c r="L74"/>
  <c r="L75"/>
  <c r="L76"/>
  <c r="D37"/>
  <c r="C37"/>
  <c r="B37"/>
  <c r="G39"/>
  <c r="H39"/>
  <c r="I39"/>
  <c r="J39"/>
  <c r="K39"/>
  <c r="F39"/>
  <c r="K74"/>
  <c r="K75"/>
  <c r="K76"/>
  <c r="K62"/>
  <c r="K51"/>
  <c r="B72"/>
  <c r="J76"/>
  <c r="I76"/>
  <c r="H76"/>
  <c r="G76"/>
  <c r="F76"/>
  <c r="J75"/>
  <c r="I75"/>
  <c r="H75"/>
  <c r="G75"/>
  <c r="F75"/>
  <c r="J74"/>
  <c r="I74"/>
  <c r="H74"/>
  <c r="G74"/>
  <c r="F74"/>
  <c r="K73"/>
  <c r="J73"/>
  <c r="I73"/>
  <c r="H73"/>
  <c r="G73"/>
  <c r="F73"/>
  <c r="D72"/>
  <c r="C72"/>
  <c r="D71"/>
  <c r="C71"/>
  <c r="B71"/>
  <c r="D70"/>
  <c r="C70"/>
  <c r="B70"/>
  <c r="D69"/>
  <c r="C69"/>
  <c r="B69"/>
  <c r="D68"/>
  <c r="C68"/>
  <c r="B68"/>
  <c r="D67"/>
  <c r="C67"/>
  <c r="B67"/>
  <c r="D66"/>
  <c r="C66"/>
  <c r="B66"/>
  <c r="D65"/>
  <c r="C65"/>
  <c r="B65"/>
  <c r="D64"/>
  <c r="C64"/>
  <c r="B64"/>
  <c r="D63"/>
  <c r="C63"/>
  <c r="B63"/>
  <c r="J62"/>
  <c r="I62"/>
  <c r="H62"/>
  <c r="G62"/>
  <c r="F62"/>
  <c r="D61"/>
  <c r="C61"/>
  <c r="B61"/>
  <c r="D60"/>
  <c r="C60"/>
  <c r="B60"/>
  <c r="D59"/>
  <c r="C59"/>
  <c r="B59"/>
  <c r="D58"/>
  <c r="C58"/>
  <c r="B58"/>
  <c r="D57"/>
  <c r="C57"/>
  <c r="B57"/>
  <c r="D56"/>
  <c r="C56"/>
  <c r="B56"/>
  <c r="C55"/>
  <c r="B55"/>
  <c r="D54"/>
  <c r="C54"/>
  <c r="B54"/>
  <c r="D53"/>
  <c r="C53"/>
  <c r="B53"/>
  <c r="D52"/>
  <c r="C52"/>
  <c r="B52"/>
  <c r="J51"/>
  <c r="I51"/>
  <c r="H51"/>
  <c r="G51"/>
  <c r="F51"/>
  <c r="D50"/>
  <c r="C50"/>
  <c r="B50"/>
  <c r="D49"/>
  <c r="C49"/>
  <c r="B49"/>
  <c r="D48"/>
  <c r="C48"/>
  <c r="B48"/>
  <c r="D47"/>
  <c r="C47"/>
  <c r="B47"/>
  <c r="D46"/>
  <c r="C46"/>
  <c r="B46"/>
  <c r="D45"/>
  <c r="C45"/>
  <c r="B45"/>
  <c r="D44"/>
  <c r="C44"/>
  <c r="B44"/>
  <c r="D43"/>
  <c r="C43"/>
  <c r="B43"/>
  <c r="D42"/>
  <c r="C42"/>
  <c r="B42"/>
  <c r="D41"/>
  <c r="C41"/>
  <c r="B41"/>
  <c r="O66" i="2"/>
  <c r="O65"/>
  <c r="E65" s="1"/>
  <c r="O64"/>
  <c r="D64" s="1"/>
  <c r="L37"/>
  <c r="F37" i="3"/>
  <c r="H36"/>
  <c r="I36"/>
  <c r="J36"/>
  <c r="K36"/>
  <c r="M36"/>
  <c r="H37"/>
  <c r="I37"/>
  <c r="J37"/>
  <c r="K37"/>
  <c r="M37"/>
  <c r="H38"/>
  <c r="I38"/>
  <c r="J38"/>
  <c r="K38"/>
  <c r="M38"/>
  <c r="F38"/>
  <c r="F36"/>
  <c r="B26"/>
  <c r="B27"/>
  <c r="B28"/>
  <c r="B29"/>
  <c r="B30"/>
  <c r="B31"/>
  <c r="B32"/>
  <c r="B33"/>
  <c r="B25"/>
  <c r="B15"/>
  <c r="B16"/>
  <c r="B17"/>
  <c r="B18"/>
  <c r="B19"/>
  <c r="B20"/>
  <c r="B21"/>
  <c r="B22"/>
  <c r="B23"/>
  <c r="B14"/>
  <c r="B4"/>
  <c r="B5"/>
  <c r="B6"/>
  <c r="B7"/>
  <c r="B8"/>
  <c r="B9"/>
  <c r="B10"/>
  <c r="B11"/>
  <c r="B12"/>
  <c r="B3"/>
  <c r="S35"/>
  <c r="K35"/>
  <c r="J35"/>
  <c r="I35"/>
  <c r="H35"/>
  <c r="G35"/>
  <c r="F35"/>
  <c r="S24"/>
  <c r="L24"/>
  <c r="K24"/>
  <c r="J24"/>
  <c r="I24"/>
  <c r="H24"/>
  <c r="G24"/>
  <c r="F24"/>
  <c r="S13"/>
  <c r="K13"/>
  <c r="J13"/>
  <c r="I13"/>
  <c r="H13"/>
  <c r="G13"/>
  <c r="F13"/>
  <c r="G34"/>
  <c r="G37" s="1"/>
  <c r="D33"/>
  <c r="C33"/>
  <c r="D32"/>
  <c r="C32"/>
  <c r="D31"/>
  <c r="C31"/>
  <c r="D30"/>
  <c r="C30"/>
  <c r="D29"/>
  <c r="C29"/>
  <c r="D28"/>
  <c r="C28"/>
  <c r="D27"/>
  <c r="C27"/>
  <c r="D26"/>
  <c r="C26"/>
  <c r="D25"/>
  <c r="C25"/>
  <c r="D23"/>
  <c r="C23"/>
  <c r="D22"/>
  <c r="C22"/>
  <c r="D21"/>
  <c r="C21"/>
  <c r="D20"/>
  <c r="C20"/>
  <c r="D19"/>
  <c r="C19"/>
  <c r="D18"/>
  <c r="C18"/>
  <c r="D17"/>
  <c r="C17"/>
  <c r="D16"/>
  <c r="C16"/>
  <c r="D15"/>
  <c r="C15"/>
  <c r="D14"/>
  <c r="C14"/>
  <c r="D12"/>
  <c r="C12"/>
  <c r="D11"/>
  <c r="C11"/>
  <c r="D10"/>
  <c r="C10"/>
  <c r="D9"/>
  <c r="C9"/>
  <c r="D8"/>
  <c r="C8"/>
  <c r="D7"/>
  <c r="C7"/>
  <c r="D6"/>
  <c r="C6"/>
  <c r="D5"/>
  <c r="C5"/>
  <c r="D4"/>
  <c r="C4"/>
  <c r="D3"/>
  <c r="C3"/>
  <c r="I37" i="2"/>
  <c r="F67"/>
  <c r="E67"/>
  <c r="D67"/>
  <c r="F66"/>
  <c r="E66"/>
  <c r="D66"/>
  <c r="D65"/>
  <c r="F64"/>
  <c r="F63"/>
  <c r="E63"/>
  <c r="D63"/>
  <c r="F62"/>
  <c r="E62"/>
  <c r="D62"/>
  <c r="F61"/>
  <c r="E61"/>
  <c r="D61"/>
  <c r="F60"/>
  <c r="E60"/>
  <c r="D60"/>
  <c r="F59"/>
  <c r="E59"/>
  <c r="D59"/>
  <c r="F58"/>
  <c r="E58"/>
  <c r="D58"/>
  <c r="F57"/>
  <c r="E57"/>
  <c r="D57"/>
  <c r="F56"/>
  <c r="E56"/>
  <c r="D56"/>
  <c r="F55"/>
  <c r="E55"/>
  <c r="D55"/>
  <c r="F54"/>
  <c r="E54"/>
  <c r="D54"/>
  <c r="F53"/>
  <c r="E53"/>
  <c r="D53"/>
  <c r="F52"/>
  <c r="E52"/>
  <c r="D52"/>
  <c r="F51"/>
  <c r="E51"/>
  <c r="D51"/>
  <c r="F50"/>
  <c r="E50"/>
  <c r="D50"/>
  <c r="F49"/>
  <c r="E49"/>
  <c r="D49"/>
  <c r="F48"/>
  <c r="E48"/>
  <c r="D48"/>
  <c r="F47"/>
  <c r="E47"/>
  <c r="D47"/>
  <c r="F46"/>
  <c r="E46"/>
  <c r="D46"/>
  <c r="F45"/>
  <c r="E45"/>
  <c r="D45"/>
  <c r="F44"/>
  <c r="E44"/>
  <c r="D44"/>
  <c r="F43"/>
  <c r="E43"/>
  <c r="D43"/>
  <c r="F42"/>
  <c r="E42"/>
  <c r="D42"/>
  <c r="F41"/>
  <c r="E41"/>
  <c r="D41"/>
  <c r="F40"/>
  <c r="E40"/>
  <c r="D40"/>
  <c r="F39"/>
  <c r="E39"/>
  <c r="D39"/>
  <c r="F38"/>
  <c r="E38"/>
  <c r="D38"/>
  <c r="M70"/>
  <c r="L70"/>
  <c r="K70"/>
  <c r="J70"/>
  <c r="I70"/>
  <c r="H70"/>
  <c r="M69"/>
  <c r="L69"/>
  <c r="K69"/>
  <c r="J69"/>
  <c r="I69"/>
  <c r="H69"/>
  <c r="M68"/>
  <c r="L68"/>
  <c r="K68"/>
  <c r="J68"/>
  <c r="I68"/>
  <c r="H68"/>
  <c r="H37"/>
  <c r="K37"/>
  <c r="J37"/>
  <c r="O35"/>
  <c r="M35"/>
  <c r="L35"/>
  <c r="K35"/>
  <c r="J35"/>
  <c r="I35"/>
  <c r="H35"/>
  <c r="O34"/>
  <c r="M34"/>
  <c r="L34"/>
  <c r="K34"/>
  <c r="J34"/>
  <c r="I34"/>
  <c r="H34"/>
  <c r="H33"/>
  <c r="I33"/>
  <c r="J33"/>
  <c r="K33"/>
  <c r="L33"/>
  <c r="M33"/>
  <c r="O33"/>
  <c r="D35"/>
  <c r="D34"/>
  <c r="F4"/>
  <c r="F5"/>
  <c r="F6"/>
  <c r="F7"/>
  <c r="F8"/>
  <c r="F9"/>
  <c r="F10"/>
  <c r="F11"/>
  <c r="F12"/>
  <c r="F13"/>
  <c r="F14"/>
  <c r="F15"/>
  <c r="F16"/>
  <c r="F17"/>
  <c r="F18"/>
  <c r="F19"/>
  <c r="F20"/>
  <c r="F21"/>
  <c r="F22"/>
  <c r="F23"/>
  <c r="F24"/>
  <c r="F25"/>
  <c r="F26"/>
  <c r="F27"/>
  <c r="F28"/>
  <c r="F29"/>
  <c r="F30"/>
  <c r="F31"/>
  <c r="F3"/>
  <c r="E4"/>
  <c r="E5"/>
  <c r="E6"/>
  <c r="E7"/>
  <c r="E8"/>
  <c r="E9"/>
  <c r="E10"/>
  <c r="E11"/>
  <c r="E12"/>
  <c r="E13"/>
  <c r="E14"/>
  <c r="E15"/>
  <c r="E16"/>
  <c r="E17"/>
  <c r="E18"/>
  <c r="E19"/>
  <c r="E20"/>
  <c r="E21"/>
  <c r="E22"/>
  <c r="E23"/>
  <c r="E24"/>
  <c r="E25"/>
  <c r="E26"/>
  <c r="E27"/>
  <c r="E28"/>
  <c r="E29"/>
  <c r="E30"/>
  <c r="E31"/>
  <c r="E3"/>
  <c r="D4"/>
  <c r="D5"/>
  <c r="D6"/>
  <c r="D7"/>
  <c r="D8"/>
  <c r="D9"/>
  <c r="D10"/>
  <c r="D11"/>
  <c r="D12"/>
  <c r="D13"/>
  <c r="D14"/>
  <c r="D15"/>
  <c r="D16"/>
  <c r="D17"/>
  <c r="D18"/>
  <c r="D19"/>
  <c r="D20"/>
  <c r="D21"/>
  <c r="D22"/>
  <c r="D23"/>
  <c r="D24"/>
  <c r="D25"/>
  <c r="D26"/>
  <c r="D27"/>
  <c r="D28"/>
  <c r="D29"/>
  <c r="D30"/>
  <c r="D31"/>
  <c r="D3"/>
  <c r="I32"/>
  <c r="F32" s="1"/>
  <c r="F97" i="1"/>
  <c r="C97"/>
  <c r="F96"/>
  <c r="F95"/>
  <c r="F94"/>
  <c r="C96"/>
  <c r="C94"/>
  <c r="C95"/>
  <c r="B89"/>
  <c r="D33"/>
  <c r="D24"/>
  <c r="D15"/>
  <c r="D6"/>
  <c r="D42"/>
  <c r="D51"/>
  <c r="D60"/>
  <c r="D69"/>
  <c r="D78"/>
  <c r="A78"/>
  <c r="A69"/>
  <c r="A60"/>
  <c r="A51"/>
  <c r="A42"/>
  <c r="A33"/>
  <c r="A24"/>
  <c r="A15"/>
  <c r="A6"/>
  <c r="D91"/>
  <c r="A91"/>
  <c r="E91"/>
  <c r="B91"/>
  <c r="E90"/>
  <c r="B90"/>
  <c r="E89"/>
  <c r="E81"/>
  <c r="D81"/>
  <c r="E78"/>
  <c r="E75"/>
  <c r="E72"/>
  <c r="D72"/>
  <c r="E69"/>
  <c r="E66"/>
  <c r="E63"/>
  <c r="D63"/>
  <c r="E60"/>
  <c r="E57"/>
  <c r="E54"/>
  <c r="D54"/>
  <c r="E51"/>
  <c r="E48"/>
  <c r="E45"/>
  <c r="D45"/>
  <c r="E42"/>
  <c r="E39"/>
  <c r="E36"/>
  <c r="D36"/>
  <c r="E33"/>
  <c r="E30"/>
  <c r="E27"/>
  <c r="D27"/>
  <c r="E24"/>
  <c r="E21"/>
  <c r="E18"/>
  <c r="D18"/>
  <c r="E15"/>
  <c r="E12"/>
  <c r="E9"/>
  <c r="D9"/>
  <c r="E6"/>
  <c r="E3"/>
  <c r="B81"/>
  <c r="B78"/>
  <c r="B75"/>
  <c r="B72"/>
  <c r="B69"/>
  <c r="B66"/>
  <c r="B63"/>
  <c r="B60"/>
  <c r="B57"/>
  <c r="B54"/>
  <c r="B51"/>
  <c r="B48"/>
  <c r="B45"/>
  <c r="B42"/>
  <c r="B39"/>
  <c r="B36"/>
  <c r="B33"/>
  <c r="B30"/>
  <c r="B27"/>
  <c r="B24"/>
  <c r="B21"/>
  <c r="B18"/>
  <c r="B15"/>
  <c r="B12"/>
  <c r="B9"/>
  <c r="B6"/>
  <c r="B3"/>
  <c r="A81"/>
  <c r="A72"/>
  <c r="A63"/>
  <c r="A54"/>
  <c r="A45"/>
  <c r="A36"/>
  <c r="A27"/>
  <c r="A18"/>
  <c r="A9"/>
  <c r="F86"/>
  <c r="F85"/>
  <c r="F87" s="1"/>
  <c r="F84"/>
  <c r="C86"/>
  <c r="C85"/>
  <c r="C87" s="1"/>
  <c r="C84"/>
  <c r="R28" i="27" l="1"/>
  <c r="B5" i="34"/>
  <c r="B11"/>
  <c r="D11" s="1"/>
  <c r="B7"/>
  <c r="D7" s="1"/>
  <c r="B4"/>
  <c r="B10"/>
  <c r="D10" s="1"/>
  <c r="B3"/>
  <c r="Q7" i="27"/>
  <c r="D5" i="34"/>
  <c r="Q8" i="27"/>
  <c r="Q10"/>
  <c r="Q36"/>
  <c r="B6" i="34"/>
  <c r="D6" s="1"/>
  <c r="Q9" i="27"/>
  <c r="Q13"/>
  <c r="Q16"/>
  <c r="Q50"/>
  <c r="Q19"/>
  <c r="O73"/>
  <c r="Q4"/>
  <c r="O67"/>
  <c r="Q27"/>
  <c r="O28"/>
  <c r="O86"/>
  <c r="Q40"/>
  <c r="Q39"/>
  <c r="Q5"/>
  <c r="O65"/>
  <c r="O31"/>
  <c r="Q17"/>
  <c r="Q22"/>
  <c r="Q6"/>
  <c r="Q83"/>
  <c r="Q18"/>
  <c r="O61"/>
  <c r="Q78"/>
  <c r="O15"/>
  <c r="Q21"/>
  <c r="Q11"/>
  <c r="O54"/>
  <c r="Q84"/>
  <c r="Q75"/>
  <c r="Q32"/>
  <c r="Q34"/>
  <c r="O35"/>
  <c r="Q38"/>
  <c r="Q37"/>
  <c r="Q33"/>
  <c r="L95"/>
  <c r="M95" s="1"/>
  <c r="N95" s="1"/>
  <c r="O95" s="1"/>
  <c r="Q63"/>
  <c r="Q66"/>
  <c r="Q71"/>
  <c r="H92"/>
  <c r="I92" s="1"/>
  <c r="J92" s="1"/>
  <c r="K92" s="1"/>
  <c r="H93"/>
  <c r="I93" s="1"/>
  <c r="J93" s="1"/>
  <c r="K93" s="1"/>
  <c r="H94"/>
  <c r="I94" s="1"/>
  <c r="J94" s="1"/>
  <c r="K94" s="1"/>
  <c r="O64"/>
  <c r="Q62"/>
  <c r="L105"/>
  <c r="M105" s="1"/>
  <c r="N105" s="1"/>
  <c r="O105" s="1"/>
  <c r="Q12"/>
  <c r="Q30"/>
  <c r="Q29"/>
  <c r="H99"/>
  <c r="I99" s="1"/>
  <c r="J99" s="1"/>
  <c r="K99" s="1"/>
  <c r="Q26"/>
  <c r="O24"/>
  <c r="I23"/>
  <c r="J23" s="1"/>
  <c r="K23" s="1"/>
  <c r="L100"/>
  <c r="M100" s="1"/>
  <c r="N100" s="1"/>
  <c r="O100" s="1"/>
  <c r="H24"/>
  <c r="I24" s="1"/>
  <c r="J24" s="1"/>
  <c r="K24" s="1"/>
  <c r="I12"/>
  <c r="J12" s="1"/>
  <c r="K12" s="1"/>
  <c r="I15"/>
  <c r="J15" s="1"/>
  <c r="K15" s="1"/>
  <c r="H8"/>
  <c r="I8" s="1"/>
  <c r="J8" s="1"/>
  <c r="K8" s="1"/>
  <c r="L106"/>
  <c r="M106" s="1"/>
  <c r="N106" s="1"/>
  <c r="O106" s="1"/>
  <c r="H16"/>
  <c r="I16" s="1"/>
  <c r="J16" s="1"/>
  <c r="K16" s="1"/>
  <c r="I3"/>
  <c r="J3" s="1"/>
  <c r="K3" s="1"/>
  <c r="H43"/>
  <c r="I43" s="1"/>
  <c r="J43" s="1"/>
  <c r="K43" s="1"/>
  <c r="R43" s="1"/>
  <c r="I11"/>
  <c r="J11" s="1"/>
  <c r="K11" s="1"/>
  <c r="I19"/>
  <c r="J19" s="1"/>
  <c r="K19" s="1"/>
  <c r="I17"/>
  <c r="J17" s="1"/>
  <c r="K17" s="1"/>
  <c r="I9"/>
  <c r="J9" s="1"/>
  <c r="K9" s="1"/>
  <c r="I20"/>
  <c r="J20" s="1"/>
  <c r="K20" s="1"/>
  <c r="I22"/>
  <c r="J22" s="1"/>
  <c r="K22" s="1"/>
  <c r="I5"/>
  <c r="J5" s="1"/>
  <c r="K5" s="1"/>
  <c r="I7"/>
  <c r="J7" s="1"/>
  <c r="K7" s="1"/>
  <c r="I41"/>
  <c r="J41" s="1"/>
  <c r="K41" s="1"/>
  <c r="R41" s="1"/>
  <c r="I18"/>
  <c r="J18" s="1"/>
  <c r="K18" s="1"/>
  <c r="I4"/>
  <c r="J4" s="1"/>
  <c r="K4" s="1"/>
  <c r="L97"/>
  <c r="M97" s="1"/>
  <c r="N97" s="1"/>
  <c r="O97" s="1"/>
  <c r="H101"/>
  <c r="I101" s="1"/>
  <c r="J101" s="1"/>
  <c r="K101" s="1"/>
  <c r="H103"/>
  <c r="I103" s="1"/>
  <c r="J103" s="1"/>
  <c r="K103" s="1"/>
  <c r="Q3"/>
  <c r="L108"/>
  <c r="M108" s="1"/>
  <c r="N108" s="1"/>
  <c r="O108" s="1"/>
  <c r="H109"/>
  <c r="I109" s="1"/>
  <c r="J109" s="1"/>
  <c r="K109" s="1"/>
  <c r="H107"/>
  <c r="I107" s="1"/>
  <c r="J107" s="1"/>
  <c r="K107" s="1"/>
  <c r="L98"/>
  <c r="M98" s="1"/>
  <c r="N98" s="1"/>
  <c r="O98" s="1"/>
  <c r="L96"/>
  <c r="M96" s="1"/>
  <c r="N96" s="1"/>
  <c r="O96" s="1"/>
  <c r="O23"/>
  <c r="M104"/>
  <c r="N104" s="1"/>
  <c r="O104" s="1"/>
  <c r="M102"/>
  <c r="N102" s="1"/>
  <c r="O102" s="1"/>
  <c r="J106"/>
  <c r="K106" s="1"/>
  <c r="J96"/>
  <c r="K96" s="1"/>
  <c r="J97"/>
  <c r="K97" s="1"/>
  <c r="J98"/>
  <c r="K98" s="1"/>
  <c r="J105"/>
  <c r="K105" s="1"/>
  <c r="H104"/>
  <c r="I104" s="1"/>
  <c r="H102"/>
  <c r="I102" s="1"/>
  <c r="J100"/>
  <c r="K100" s="1"/>
  <c r="J10"/>
  <c r="K10" s="1"/>
  <c r="J21"/>
  <c r="K21" s="1"/>
  <c r="J13"/>
  <c r="K13" s="1"/>
  <c r="J14"/>
  <c r="K14" s="1"/>
  <c r="O14"/>
  <c r="AI5" i="20"/>
  <c r="AB4"/>
  <c r="AA5"/>
  <c r="AF4"/>
  <c r="N4"/>
  <c r="F5"/>
  <c r="F4"/>
  <c r="S4"/>
  <c r="R5"/>
  <c r="W4"/>
  <c r="G4"/>
  <c r="O4"/>
  <c r="C4"/>
  <c r="D4" s="1"/>
  <c r="H4" s="1"/>
  <c r="M4"/>
  <c r="G5"/>
  <c r="F6"/>
  <c r="U4" i="19"/>
  <c r="S25"/>
  <c r="T25" s="1"/>
  <c r="U24"/>
  <c r="O4"/>
  <c r="N6"/>
  <c r="Q12" i="18"/>
  <c r="M12"/>
  <c r="A19" i="17"/>
  <c r="J7"/>
  <c r="J14"/>
  <c r="J6"/>
  <c r="J5"/>
  <c r="J17"/>
  <c r="J13"/>
  <c r="J12"/>
  <c r="J11"/>
  <c r="J8"/>
  <c r="J3"/>
  <c r="K19"/>
  <c r="O16"/>
  <c r="O6"/>
  <c r="O14"/>
  <c r="O18"/>
  <c r="O13"/>
  <c r="O11"/>
  <c r="O10"/>
  <c r="O9"/>
  <c r="O7"/>
  <c r="O4"/>
  <c r="O64"/>
  <c r="O62"/>
  <c r="O61"/>
  <c r="O55"/>
  <c r="O54"/>
  <c r="P65"/>
  <c r="O53"/>
  <c r="O49"/>
  <c r="AD64"/>
  <c r="AD63"/>
  <c r="AD61"/>
  <c r="AD60"/>
  <c r="AD59"/>
  <c r="AD57"/>
  <c r="AD56"/>
  <c r="AD55"/>
  <c r="AD54"/>
  <c r="AD52"/>
  <c r="AD51"/>
  <c r="AD50"/>
  <c r="AE65"/>
  <c r="AD49"/>
  <c r="Y61"/>
  <c r="Y55"/>
  <c r="Y54"/>
  <c r="Y51"/>
  <c r="Y50"/>
  <c r="T57"/>
  <c r="T49"/>
  <c r="Z65"/>
  <c r="U65"/>
  <c r="T50"/>
  <c r="T52"/>
  <c r="T54"/>
  <c r="T56"/>
  <c r="T58"/>
  <c r="T60"/>
  <c r="T62"/>
  <c r="T64"/>
  <c r="AD41"/>
  <c r="AD39"/>
  <c r="AD37"/>
  <c r="C35"/>
  <c r="AD33"/>
  <c r="C29"/>
  <c r="AE42"/>
  <c r="B41"/>
  <c r="B39"/>
  <c r="B37"/>
  <c r="Z42"/>
  <c r="B31"/>
  <c r="B29"/>
  <c r="B27"/>
  <c r="C41"/>
  <c r="T41"/>
  <c r="A41"/>
  <c r="T37"/>
  <c r="T35"/>
  <c r="T33"/>
  <c r="C33"/>
  <c r="T31"/>
  <c r="C31"/>
  <c r="T27"/>
  <c r="U42"/>
  <c r="C27"/>
  <c r="Y27"/>
  <c r="Y29"/>
  <c r="Y31"/>
  <c r="Y33"/>
  <c r="Y35"/>
  <c r="Y37"/>
  <c r="Y39"/>
  <c r="Y41"/>
  <c r="C26"/>
  <c r="C28"/>
  <c r="A27"/>
  <c r="A29"/>
  <c r="A31"/>
  <c r="A33"/>
  <c r="A35"/>
  <c r="A37"/>
  <c r="A39"/>
  <c r="B26"/>
  <c r="X94" i="15"/>
  <c r="X96"/>
  <c r="X79"/>
  <c r="X99"/>
  <c r="X98"/>
  <c r="X81"/>
  <c r="X80"/>
  <c r="X88"/>
  <c r="X95"/>
  <c r="X86"/>
  <c r="X97"/>
  <c r="AG96"/>
  <c r="AG98"/>
  <c r="AG81"/>
  <c r="AG79"/>
  <c r="AC95"/>
  <c r="AG80"/>
  <c r="AG88"/>
  <c r="AG95"/>
  <c r="AG99"/>
  <c r="AG97"/>
  <c r="AG86"/>
  <c r="AC96"/>
  <c r="AC87"/>
  <c r="AC88"/>
  <c r="AC86"/>
  <c r="AC80"/>
  <c r="AC98"/>
  <c r="AC99"/>
  <c r="AC97"/>
  <c r="AC79"/>
  <c r="AC81"/>
  <c r="T94"/>
  <c r="T95"/>
  <c r="T87"/>
  <c r="T88"/>
  <c r="T86"/>
  <c r="T80"/>
  <c r="T79"/>
  <c r="T81"/>
  <c r="P95"/>
  <c r="P88"/>
  <c r="P87"/>
  <c r="P97"/>
  <c r="P99"/>
  <c r="P80"/>
  <c r="P94"/>
  <c r="P96"/>
  <c r="J88"/>
  <c r="P98"/>
  <c r="J86"/>
  <c r="P79"/>
  <c r="P86"/>
  <c r="P66"/>
  <c r="P59"/>
  <c r="P58"/>
  <c r="P69"/>
  <c r="P68"/>
  <c r="P70"/>
  <c r="P51"/>
  <c r="P65"/>
  <c r="P67"/>
  <c r="J59"/>
  <c r="P50"/>
  <c r="P52"/>
  <c r="J57"/>
  <c r="P57"/>
  <c r="H79"/>
  <c r="H77"/>
  <c r="H78"/>
  <c r="H66"/>
  <c r="H65"/>
  <c r="H59"/>
  <c r="H58"/>
  <c r="H57"/>
  <c r="H52"/>
  <c r="H68"/>
  <c r="B52"/>
  <c r="B66"/>
  <c r="H70"/>
  <c r="H51"/>
  <c r="H67"/>
  <c r="B50"/>
  <c r="H69"/>
  <c r="H50"/>
  <c r="P29"/>
  <c r="P31"/>
  <c r="P23"/>
  <c r="P34"/>
  <c r="P16"/>
  <c r="P15"/>
  <c r="J23"/>
  <c r="P22"/>
  <c r="P33"/>
  <c r="J31"/>
  <c r="P14"/>
  <c r="P32"/>
  <c r="P21"/>
  <c r="K1"/>
  <c r="L1"/>
  <c r="B30"/>
  <c r="B14"/>
  <c r="B23"/>
  <c r="B31"/>
  <c r="AV55" i="13"/>
  <c r="AV56"/>
  <c r="AV54"/>
  <c r="AV48"/>
  <c r="AV57"/>
  <c r="AV59"/>
  <c r="AV39"/>
  <c r="AV41"/>
  <c r="AV40"/>
  <c r="AV28"/>
  <c r="AV27"/>
  <c r="AV19"/>
  <c r="AN55"/>
  <c r="AN48"/>
  <c r="AN47"/>
  <c r="AN57"/>
  <c r="AN58"/>
  <c r="AN59"/>
  <c r="AN27"/>
  <c r="AN26"/>
  <c r="AN28"/>
  <c r="AN19"/>
  <c r="AN30"/>
  <c r="AN11"/>
  <c r="AN13"/>
  <c r="AN31"/>
  <c r="AN12"/>
  <c r="AV11"/>
  <c r="AV30"/>
  <c r="AV13"/>
  <c r="AV29"/>
  <c r="AP26"/>
  <c r="AV20"/>
  <c r="AP48"/>
  <c r="AP13"/>
  <c r="AP27"/>
  <c r="AV31"/>
  <c r="AV47"/>
  <c r="AV58"/>
  <c r="AV18"/>
  <c r="AP39"/>
  <c r="AV12"/>
  <c r="AV26"/>
  <c r="AP56"/>
  <c r="AP11"/>
  <c r="AV46"/>
  <c r="AH26"/>
  <c r="AN29"/>
  <c r="AN40"/>
  <c r="AN54"/>
  <c r="AN56"/>
  <c r="AN18"/>
  <c r="AN20"/>
  <c r="AH48"/>
  <c r="AH11"/>
  <c r="AH20"/>
  <c r="AN39"/>
  <c r="AN41"/>
  <c r="AH46"/>
  <c r="AN46"/>
  <c r="AF28"/>
  <c r="AF27"/>
  <c r="AF18"/>
  <c r="AF20"/>
  <c r="AF19"/>
  <c r="AF12"/>
  <c r="AF29"/>
  <c r="Z39"/>
  <c r="Z27"/>
  <c r="AF31"/>
  <c r="AF47"/>
  <c r="AF58"/>
  <c r="Z40"/>
  <c r="Z46"/>
  <c r="AF11"/>
  <c r="AF13"/>
  <c r="Z55"/>
  <c r="AF59"/>
  <c r="Z26"/>
  <c r="AF26"/>
  <c r="Z11"/>
  <c r="AF39"/>
  <c r="AF30"/>
  <c r="AF46"/>
  <c r="X55"/>
  <c r="X46"/>
  <c r="X47"/>
  <c r="X48"/>
  <c r="X41"/>
  <c r="X57"/>
  <c r="X28"/>
  <c r="X20"/>
  <c r="X19"/>
  <c r="X12"/>
  <c r="X30"/>
  <c r="X11"/>
  <c r="X13"/>
  <c r="X27"/>
  <c r="R41"/>
  <c r="R55"/>
  <c r="X59"/>
  <c r="R18"/>
  <c r="R19"/>
  <c r="X29"/>
  <c r="X40"/>
  <c r="X54"/>
  <c r="X56"/>
  <c r="X18"/>
  <c r="R39"/>
  <c r="R48"/>
  <c r="X31"/>
  <c r="X58"/>
  <c r="X26"/>
  <c r="X39"/>
  <c r="P55"/>
  <c r="P54"/>
  <c r="P56"/>
  <c r="P48"/>
  <c r="P57"/>
  <c r="P59"/>
  <c r="P41"/>
  <c r="P40"/>
  <c r="P27"/>
  <c r="P28"/>
  <c r="P19"/>
  <c r="P30"/>
  <c r="P11"/>
  <c r="P13"/>
  <c r="P31"/>
  <c r="H55"/>
  <c r="J26"/>
  <c r="P29"/>
  <c r="P18"/>
  <c r="P20"/>
  <c r="J39"/>
  <c r="J27"/>
  <c r="P47"/>
  <c r="P58"/>
  <c r="P12"/>
  <c r="P26"/>
  <c r="J46"/>
  <c r="J56"/>
  <c r="J11"/>
  <c r="P39"/>
  <c r="P46"/>
  <c r="L1"/>
  <c r="K1"/>
  <c r="H26"/>
  <c r="H27"/>
  <c r="H19"/>
  <c r="H13"/>
  <c r="H30"/>
  <c r="H12"/>
  <c r="H28"/>
  <c r="H47"/>
  <c r="H31"/>
  <c r="H58"/>
  <c r="H57"/>
  <c r="H59"/>
  <c r="B26"/>
  <c r="H29"/>
  <c r="H40"/>
  <c r="H54"/>
  <c r="H56"/>
  <c r="H18"/>
  <c r="H20"/>
  <c r="B48"/>
  <c r="B46"/>
  <c r="B11"/>
  <c r="B20"/>
  <c r="H39"/>
  <c r="H41"/>
  <c r="H46"/>
  <c r="BO115" i="11"/>
  <c r="BO113"/>
  <c r="BO107"/>
  <c r="BO116"/>
  <c r="BO99"/>
  <c r="BO118"/>
  <c r="BO98"/>
  <c r="BO87"/>
  <c r="BO86"/>
  <c r="BO85"/>
  <c r="BO78"/>
  <c r="BO70"/>
  <c r="BO89"/>
  <c r="BO88"/>
  <c r="BO72"/>
  <c r="BO71"/>
  <c r="BI85"/>
  <c r="BO77"/>
  <c r="BO79"/>
  <c r="BI107"/>
  <c r="BI72"/>
  <c r="BI86"/>
  <c r="BO90"/>
  <c r="BO106"/>
  <c r="BO117"/>
  <c r="BI70"/>
  <c r="BO100"/>
  <c r="BI105"/>
  <c r="BO105"/>
  <c r="BG115"/>
  <c r="BG106"/>
  <c r="BG117"/>
  <c r="BG98"/>
  <c r="BG87"/>
  <c r="BG79"/>
  <c r="BG78"/>
  <c r="BG90"/>
  <c r="BG116"/>
  <c r="BG70"/>
  <c r="BG72"/>
  <c r="BG86"/>
  <c r="BA100"/>
  <c r="BA114"/>
  <c r="BG118"/>
  <c r="BA113"/>
  <c r="BA77"/>
  <c r="BG105"/>
  <c r="BG88"/>
  <c r="BG99"/>
  <c r="BG113"/>
  <c r="BG89"/>
  <c r="BA71"/>
  <c r="BA87"/>
  <c r="BG107"/>
  <c r="BG77"/>
  <c r="BA98"/>
  <c r="BA107"/>
  <c r="BG85"/>
  <c r="AY114"/>
  <c r="AY105"/>
  <c r="AY106"/>
  <c r="AY107"/>
  <c r="AY99"/>
  <c r="AY100"/>
  <c r="AY117"/>
  <c r="AS105"/>
  <c r="AY98"/>
  <c r="AS106"/>
  <c r="AY116"/>
  <c r="AS100"/>
  <c r="AY118"/>
  <c r="AY113"/>
  <c r="AY115"/>
  <c r="AY87"/>
  <c r="AY89"/>
  <c r="AH72"/>
  <c r="D67"/>
  <c r="D55"/>
  <c r="C94"/>
  <c r="S87"/>
  <c r="AS85"/>
  <c r="AS87"/>
  <c r="C39"/>
  <c r="C55"/>
  <c r="B94"/>
  <c r="D98"/>
  <c r="J143"/>
  <c r="B139"/>
  <c r="J141"/>
  <c r="P117"/>
  <c r="Y51"/>
  <c r="S70"/>
  <c r="AK71"/>
  <c r="AK78"/>
  <c r="AB43"/>
  <c r="AY72"/>
  <c r="AY78"/>
  <c r="AY86"/>
  <c r="C98"/>
  <c r="D101"/>
  <c r="P48"/>
  <c r="J67"/>
  <c r="P76"/>
  <c r="B101"/>
  <c r="B106" s="1"/>
  <c r="B103"/>
  <c r="J115"/>
  <c r="B111"/>
  <c r="J126"/>
  <c r="J133"/>
  <c r="P138"/>
  <c r="P140"/>
  <c r="P89"/>
  <c r="S42"/>
  <c r="S59"/>
  <c r="Y67"/>
  <c r="Y69"/>
  <c r="S72"/>
  <c r="K82"/>
  <c r="K84"/>
  <c r="AB71"/>
  <c r="AQ38"/>
  <c r="AQ60" s="1"/>
  <c r="AQ40"/>
  <c r="AQ66"/>
  <c r="AQ72" s="1"/>
  <c r="AQ68"/>
  <c r="AQ73"/>
  <c r="AQ75"/>
  <c r="AH38"/>
  <c r="AH40"/>
  <c r="C38"/>
  <c r="C42"/>
  <c r="D47"/>
  <c r="J50"/>
  <c r="AK87"/>
  <c r="AB59"/>
  <c r="D69"/>
  <c r="J66"/>
  <c r="J70" s="1"/>
  <c r="N6"/>
  <c r="C40"/>
  <c r="B47"/>
  <c r="D53"/>
  <c r="D57"/>
  <c r="B96"/>
  <c r="D112"/>
  <c r="C122"/>
  <c r="C126"/>
  <c r="B129"/>
  <c r="B134" s="1"/>
  <c r="D133"/>
  <c r="C138"/>
  <c r="L70"/>
  <c r="K74"/>
  <c r="J82"/>
  <c r="B82" s="1"/>
  <c r="L84"/>
  <c r="C125"/>
  <c r="B130"/>
  <c r="B132"/>
  <c r="J134"/>
  <c r="P137"/>
  <c r="P139"/>
  <c r="Y66"/>
  <c r="Y70" s="1"/>
  <c r="Y68"/>
  <c r="AQ39"/>
  <c r="AQ41"/>
  <c r="AQ67"/>
  <c r="AQ69"/>
  <c r="AQ74"/>
  <c r="AQ76"/>
  <c r="AH39"/>
  <c r="AH60" s="1"/>
  <c r="AH41"/>
  <c r="AB44"/>
  <c r="AS71"/>
  <c r="S86"/>
  <c r="D96"/>
  <c r="C105"/>
  <c r="AB79"/>
  <c r="AB85"/>
  <c r="AK49"/>
  <c r="AK57"/>
  <c r="AK85"/>
  <c r="B38"/>
  <c r="K68"/>
  <c r="N5"/>
  <c r="D46"/>
  <c r="C53"/>
  <c r="D94"/>
  <c r="H124"/>
  <c r="H144" s="1"/>
  <c r="K70"/>
  <c r="P73"/>
  <c r="P81"/>
  <c r="P85" s="1"/>
  <c r="J99"/>
  <c r="C97"/>
  <c r="B104"/>
  <c r="J106"/>
  <c r="P109"/>
  <c r="P118" s="1"/>
  <c r="P111"/>
  <c r="P122"/>
  <c r="P124"/>
  <c r="P129"/>
  <c r="P134" s="1"/>
  <c r="P131"/>
  <c r="Y38"/>
  <c r="Y44" s="1"/>
  <c r="Y40"/>
  <c r="L77"/>
  <c r="K75"/>
  <c r="S85"/>
  <c r="P67"/>
  <c r="P72" s="1"/>
  <c r="AH67"/>
  <c r="AH70" s="1"/>
  <c r="AH69"/>
  <c r="AK44"/>
  <c r="AB58"/>
  <c r="AY70"/>
  <c r="AS77"/>
  <c r="AY79"/>
  <c r="AS72"/>
  <c r="AY90"/>
  <c r="AY88"/>
  <c r="AY77"/>
  <c r="AY71"/>
  <c r="AY85"/>
  <c r="AS78"/>
  <c r="AH58"/>
  <c r="AH51"/>
  <c r="AH50"/>
  <c r="AH62"/>
  <c r="AH57"/>
  <c r="AH59"/>
  <c r="AB51"/>
  <c r="AB49"/>
  <c r="AH42"/>
  <c r="AH49"/>
  <c r="AQ86"/>
  <c r="AQ79"/>
  <c r="AQ77"/>
  <c r="AQ78"/>
  <c r="AQ88"/>
  <c r="AK72"/>
  <c r="AK86"/>
  <c r="AQ90"/>
  <c r="AQ85"/>
  <c r="AQ87"/>
  <c r="AK79"/>
  <c r="AQ70"/>
  <c r="AQ58"/>
  <c r="AQ59"/>
  <c r="AQ57"/>
  <c r="AQ51"/>
  <c r="AQ44"/>
  <c r="AQ61"/>
  <c r="AK42"/>
  <c r="AK51"/>
  <c r="AQ50"/>
  <c r="AK59"/>
  <c r="AQ49"/>
  <c r="AH86"/>
  <c r="AH87"/>
  <c r="AH78"/>
  <c r="AH89"/>
  <c r="AB78"/>
  <c r="AH88"/>
  <c r="AB72"/>
  <c r="AB86"/>
  <c r="AH90"/>
  <c r="C68"/>
  <c r="AH71"/>
  <c r="AH85"/>
  <c r="AB77"/>
  <c r="AH77"/>
  <c r="P90"/>
  <c r="P88"/>
  <c r="B84"/>
  <c r="D82"/>
  <c r="Y86"/>
  <c r="C85"/>
  <c r="C75"/>
  <c r="Y79"/>
  <c r="Y78"/>
  <c r="Y89"/>
  <c r="B76"/>
  <c r="C76"/>
  <c r="D76"/>
  <c r="B74"/>
  <c r="C74"/>
  <c r="D74"/>
  <c r="B75"/>
  <c r="D75"/>
  <c r="C82"/>
  <c r="J73"/>
  <c r="C73" s="1"/>
  <c r="Y85"/>
  <c r="Y87"/>
  <c r="D81"/>
  <c r="L74"/>
  <c r="L76"/>
  <c r="S79"/>
  <c r="S77"/>
  <c r="D84"/>
  <c r="J71"/>
  <c r="L73"/>
  <c r="L75"/>
  <c r="B81"/>
  <c r="B86" s="1"/>
  <c r="C83"/>
  <c r="S78"/>
  <c r="C70"/>
  <c r="K73"/>
  <c r="Y77"/>
  <c r="Y59"/>
  <c r="Y58"/>
  <c r="Y50"/>
  <c r="Y49"/>
  <c r="S44"/>
  <c r="S58"/>
  <c r="S49"/>
  <c r="Y57"/>
  <c r="S51"/>
  <c r="Y61"/>
  <c r="P143"/>
  <c r="P142"/>
  <c r="P133"/>
  <c r="P127"/>
  <c r="P128"/>
  <c r="P126"/>
  <c r="B123"/>
  <c r="P135"/>
  <c r="B125"/>
  <c r="B137"/>
  <c r="B142" s="1"/>
  <c r="D139"/>
  <c r="J128"/>
  <c r="J142"/>
  <c r="B127"/>
  <c r="D132"/>
  <c r="C139"/>
  <c r="P141"/>
  <c r="J135"/>
  <c r="C137"/>
  <c r="C132"/>
  <c r="D141"/>
  <c r="C141"/>
  <c r="P115"/>
  <c r="P114"/>
  <c r="P106"/>
  <c r="P99"/>
  <c r="P100"/>
  <c r="P98"/>
  <c r="J113"/>
  <c r="C111"/>
  <c r="J100"/>
  <c r="D95"/>
  <c r="C101"/>
  <c r="D113"/>
  <c r="P105"/>
  <c r="J114"/>
  <c r="C95"/>
  <c r="D103"/>
  <c r="C113"/>
  <c r="J107"/>
  <c r="P107"/>
  <c r="B95"/>
  <c r="D97"/>
  <c r="B115"/>
  <c r="D109"/>
  <c r="P86"/>
  <c r="P79"/>
  <c r="D73"/>
  <c r="P71"/>
  <c r="P87"/>
  <c r="D85"/>
  <c r="J79"/>
  <c r="P70"/>
  <c r="C81"/>
  <c r="J85"/>
  <c r="D68"/>
  <c r="D83"/>
  <c r="P77"/>
  <c r="H101"/>
  <c r="H109"/>
  <c r="H114" s="1"/>
  <c r="H111"/>
  <c r="P39"/>
  <c r="O6"/>
  <c r="H39"/>
  <c r="B51"/>
  <c r="H129"/>
  <c r="H145" s="1"/>
  <c r="H131"/>
  <c r="H137"/>
  <c r="H139"/>
  <c r="J59"/>
  <c r="J49"/>
  <c r="P54"/>
  <c r="P56"/>
  <c r="H96"/>
  <c r="H103"/>
  <c r="B133"/>
  <c r="P41"/>
  <c r="H41"/>
  <c r="H130"/>
  <c r="H138"/>
  <c r="H46"/>
  <c r="H69"/>
  <c r="P53"/>
  <c r="P57" s="1"/>
  <c r="P55"/>
  <c r="H67"/>
  <c r="H132"/>
  <c r="H48"/>
  <c r="H74"/>
  <c r="H82"/>
  <c r="B100"/>
  <c r="B114"/>
  <c r="H123"/>
  <c r="H125"/>
  <c r="J44"/>
  <c r="P45"/>
  <c r="P47"/>
  <c r="H56"/>
  <c r="H94"/>
  <c r="H140"/>
  <c r="H54"/>
  <c r="H76"/>
  <c r="H84"/>
  <c r="H95"/>
  <c r="H97"/>
  <c r="H102"/>
  <c r="H106" s="1"/>
  <c r="H104"/>
  <c r="H110"/>
  <c r="H112"/>
  <c r="P38"/>
  <c r="P40"/>
  <c r="J58"/>
  <c r="J42"/>
  <c r="J51"/>
  <c r="J57"/>
  <c r="H128"/>
  <c r="B126"/>
  <c r="B98"/>
  <c r="B107"/>
  <c r="B99"/>
  <c r="B113"/>
  <c r="K17"/>
  <c r="H38"/>
  <c r="H40"/>
  <c r="H45"/>
  <c r="H49" s="1"/>
  <c r="H47"/>
  <c r="H53"/>
  <c r="H55"/>
  <c r="H66"/>
  <c r="H68"/>
  <c r="H73"/>
  <c r="H75"/>
  <c r="H81"/>
  <c r="H86" s="1"/>
  <c r="H83"/>
  <c r="B49"/>
  <c r="H169" i="12"/>
  <c r="H163"/>
  <c r="H161"/>
  <c r="H174"/>
  <c r="H156"/>
  <c r="H172"/>
  <c r="H142"/>
  <c r="H133"/>
  <c r="H128"/>
  <c r="H144"/>
  <c r="H113"/>
  <c r="H115"/>
  <c r="H117"/>
  <c r="H98"/>
  <c r="B99"/>
  <c r="B113"/>
  <c r="H145"/>
  <c r="B154"/>
  <c r="B100"/>
  <c r="H107"/>
  <c r="B156"/>
  <c r="H173"/>
  <c r="B105"/>
  <c r="B106"/>
  <c r="H127"/>
  <c r="B134"/>
  <c r="B143"/>
  <c r="D144"/>
  <c r="H146"/>
  <c r="H154"/>
  <c r="H162"/>
  <c r="B169"/>
  <c r="B170"/>
  <c r="H106"/>
  <c r="H170"/>
  <c r="H134"/>
  <c r="B142"/>
  <c r="H99"/>
  <c r="H114"/>
  <c r="H135"/>
  <c r="H141"/>
  <c r="C144"/>
  <c r="B161"/>
  <c r="H118"/>
  <c r="H126"/>
  <c r="H171"/>
  <c r="H155"/>
  <c r="D172"/>
  <c r="B114"/>
  <c r="H100"/>
  <c r="H116"/>
  <c r="B126"/>
  <c r="H84"/>
  <c r="H86"/>
  <c r="H76"/>
  <c r="H88"/>
  <c r="H70"/>
  <c r="H89"/>
  <c r="H69"/>
  <c r="H77"/>
  <c r="B84"/>
  <c r="B69"/>
  <c r="B70"/>
  <c r="B78"/>
  <c r="H85"/>
  <c r="B77"/>
  <c r="H71"/>
  <c r="H87"/>
  <c r="H56"/>
  <c r="H48"/>
  <c r="H50"/>
  <c r="H41"/>
  <c r="H60"/>
  <c r="B41"/>
  <c r="B42"/>
  <c r="B56"/>
  <c r="H57"/>
  <c r="H59"/>
  <c r="H49"/>
  <c r="B48"/>
  <c r="H58"/>
  <c r="D59"/>
  <c r="H61"/>
  <c r="B49"/>
  <c r="H42"/>
  <c r="H43"/>
  <c r="H13"/>
  <c r="H30"/>
  <c r="H28"/>
  <c r="H32"/>
  <c r="H33"/>
  <c r="B13"/>
  <c r="B28"/>
  <c r="H14"/>
  <c r="H29"/>
  <c r="H22"/>
  <c r="B21"/>
  <c r="H21"/>
  <c r="H15"/>
  <c r="H31"/>
  <c r="K5"/>
  <c r="L5"/>
  <c r="K6"/>
  <c r="L6"/>
  <c r="L4"/>
  <c r="K4"/>
  <c r="G4"/>
  <c r="K16" i="11"/>
  <c r="B16" s="1"/>
  <c r="H19"/>
  <c r="K12"/>
  <c r="B12" s="1"/>
  <c r="K27"/>
  <c r="H18"/>
  <c r="H9"/>
  <c r="K11"/>
  <c r="B11" s="1"/>
  <c r="K26"/>
  <c r="B26" s="1"/>
  <c r="H17"/>
  <c r="K10"/>
  <c r="K25"/>
  <c r="D25" s="1"/>
  <c r="H16"/>
  <c r="H27"/>
  <c r="K9"/>
  <c r="B9" s="1"/>
  <c r="K24"/>
  <c r="D24" s="1"/>
  <c r="H26"/>
  <c r="K19"/>
  <c r="B19" s="1"/>
  <c r="H12"/>
  <c r="H25"/>
  <c r="K18"/>
  <c r="H11"/>
  <c r="G6"/>
  <c r="K6"/>
  <c r="G5"/>
  <c r="G4"/>
  <c r="K5"/>
  <c r="L4"/>
  <c r="B14" i="9"/>
  <c r="B24"/>
  <c r="B23"/>
  <c r="B8"/>
  <c r="B9"/>
  <c r="B7"/>
  <c r="B16"/>
  <c r="B15"/>
  <c r="B22"/>
  <c r="C23" i="7"/>
  <c r="C22"/>
  <c r="C24"/>
  <c r="C15"/>
  <c r="C14"/>
  <c r="C16"/>
  <c r="E26"/>
  <c r="D26"/>
  <c r="D25"/>
  <c r="C25"/>
  <c r="E25"/>
  <c r="C26"/>
  <c r="E23" i="6"/>
  <c r="D23"/>
  <c r="E11"/>
  <c r="E16"/>
  <c r="C11"/>
  <c r="C22"/>
  <c r="D16"/>
  <c r="D21"/>
  <c r="D22"/>
  <c r="C21"/>
  <c r="C23"/>
  <c r="D11"/>
  <c r="E21"/>
  <c r="E22"/>
  <c r="C16"/>
  <c r="C11" i="5"/>
  <c r="D29"/>
  <c r="B20"/>
  <c r="B30"/>
  <c r="B31"/>
  <c r="C29"/>
  <c r="B11"/>
  <c r="B29"/>
  <c r="C30"/>
  <c r="D30"/>
  <c r="D31"/>
  <c r="C20"/>
  <c r="C31"/>
  <c r="D20"/>
  <c r="D11"/>
  <c r="N40" i="4"/>
  <c r="N21"/>
  <c r="C74" i="3"/>
  <c r="D74"/>
  <c r="B74"/>
  <c r="B75"/>
  <c r="D75"/>
  <c r="C75"/>
  <c r="B62"/>
  <c r="C73"/>
  <c r="C62"/>
  <c r="B73"/>
  <c r="D62"/>
  <c r="C51"/>
  <c r="B51"/>
  <c r="D73"/>
  <c r="D51"/>
  <c r="E64" i="2"/>
  <c r="F65"/>
  <c r="B57"/>
  <c r="G36" i="3"/>
  <c r="B34"/>
  <c r="G38"/>
  <c r="B35"/>
  <c r="C35"/>
  <c r="D35"/>
  <c r="D24"/>
  <c r="B24"/>
  <c r="C13"/>
  <c r="C24"/>
  <c r="D13"/>
  <c r="B13"/>
  <c r="D34"/>
  <c r="C34"/>
  <c r="A67" i="2"/>
  <c r="C67"/>
  <c r="B67"/>
  <c r="A57"/>
  <c r="C57"/>
  <c r="A47"/>
  <c r="D70"/>
  <c r="C47"/>
  <c r="D69"/>
  <c r="B47"/>
  <c r="D68"/>
  <c r="A22"/>
  <c r="B12"/>
  <c r="B22"/>
  <c r="A12"/>
  <c r="D32"/>
  <c r="B32" s="1"/>
  <c r="C22"/>
  <c r="C12"/>
  <c r="E32"/>
  <c r="D4" i="34" l="1"/>
  <c r="G21"/>
  <c r="J102" i="27"/>
  <c r="K102" s="1"/>
  <c r="J104"/>
  <c r="K104" s="1"/>
  <c r="AI6" i="20"/>
  <c r="AM5"/>
  <c r="AN5"/>
  <c r="AJ5"/>
  <c r="AC4"/>
  <c r="AD4"/>
  <c r="AA6"/>
  <c r="AB5"/>
  <c r="AE5"/>
  <c r="AF5"/>
  <c r="N5"/>
  <c r="T4"/>
  <c r="X4" s="1"/>
  <c r="U4"/>
  <c r="R6"/>
  <c r="S5"/>
  <c r="V5"/>
  <c r="W5"/>
  <c r="E4"/>
  <c r="O5"/>
  <c r="C5"/>
  <c r="D5" s="1"/>
  <c r="H5" s="1"/>
  <c r="K5"/>
  <c r="L5" s="1"/>
  <c r="P5" s="1"/>
  <c r="F7"/>
  <c r="G6"/>
  <c r="S26" i="19"/>
  <c r="T26" s="1"/>
  <c r="U25"/>
  <c r="Q4"/>
  <c r="P4"/>
  <c r="O5"/>
  <c r="S5"/>
  <c r="N7"/>
  <c r="A65" i="17"/>
  <c r="H28" i="15"/>
  <c r="H26"/>
  <c r="H20"/>
  <c r="H18"/>
  <c r="H12"/>
  <c r="H25"/>
  <c r="H17"/>
  <c r="H19"/>
  <c r="H10"/>
  <c r="H27"/>
  <c r="H13"/>
  <c r="H11"/>
  <c r="H118" i="11"/>
  <c r="H116"/>
  <c r="H117"/>
  <c r="P62"/>
  <c r="P60"/>
  <c r="P61"/>
  <c r="P145"/>
  <c r="P146"/>
  <c r="P144"/>
  <c r="D66"/>
  <c r="AH44"/>
  <c r="B105"/>
  <c r="H146"/>
  <c r="C66"/>
  <c r="Y62"/>
  <c r="P116"/>
  <c r="H50"/>
  <c r="H98"/>
  <c r="B135"/>
  <c r="H127"/>
  <c r="P113"/>
  <c r="AQ71"/>
  <c r="AQ89"/>
  <c r="P78"/>
  <c r="H90"/>
  <c r="H88"/>
  <c r="H89"/>
  <c r="Y88"/>
  <c r="Y72"/>
  <c r="AQ43"/>
  <c r="AH43"/>
  <c r="H58"/>
  <c r="Y43"/>
  <c r="Y90"/>
  <c r="AQ62"/>
  <c r="C67"/>
  <c r="B67"/>
  <c r="H134"/>
  <c r="H141"/>
  <c r="H115"/>
  <c r="D16"/>
  <c r="H99"/>
  <c r="D70"/>
  <c r="Y42"/>
  <c r="Y71"/>
  <c r="AQ42"/>
  <c r="AH61"/>
  <c r="H60"/>
  <c r="H62"/>
  <c r="H61"/>
  <c r="H105"/>
  <c r="H113"/>
  <c r="B66"/>
  <c r="B72" s="1"/>
  <c r="H51"/>
  <c r="D26"/>
  <c r="Y60"/>
  <c r="J72"/>
  <c r="B85"/>
  <c r="B71"/>
  <c r="B70"/>
  <c r="B87"/>
  <c r="D77"/>
  <c r="C77"/>
  <c r="B73"/>
  <c r="J78"/>
  <c r="J77"/>
  <c r="B141"/>
  <c r="B143"/>
  <c r="P50"/>
  <c r="P44"/>
  <c r="N4"/>
  <c r="O4"/>
  <c r="C24"/>
  <c r="H71"/>
  <c r="H143"/>
  <c r="P49"/>
  <c r="H126"/>
  <c r="H44"/>
  <c r="H133"/>
  <c r="H142"/>
  <c r="H135"/>
  <c r="P51"/>
  <c r="P59"/>
  <c r="P58"/>
  <c r="H59"/>
  <c r="H107"/>
  <c r="H100"/>
  <c r="C26"/>
  <c r="P43"/>
  <c r="H70"/>
  <c r="P42"/>
  <c r="B56"/>
  <c r="C56"/>
  <c r="D56"/>
  <c r="B41"/>
  <c r="C41"/>
  <c r="D41"/>
  <c r="H87"/>
  <c r="H78"/>
  <c r="H77"/>
  <c r="H79"/>
  <c r="H57"/>
  <c r="C16"/>
  <c r="H43"/>
  <c r="C25"/>
  <c r="C32"/>
  <c r="H42"/>
  <c r="H85"/>
  <c r="H72"/>
  <c r="C12"/>
  <c r="K28"/>
  <c r="K29"/>
  <c r="K14"/>
  <c r="K20"/>
  <c r="B25"/>
  <c r="H29"/>
  <c r="B18"/>
  <c r="D20"/>
  <c r="D13"/>
  <c r="K22"/>
  <c r="H30"/>
  <c r="K31"/>
  <c r="D31" s="1"/>
  <c r="K32"/>
  <c r="B32"/>
  <c r="D17"/>
  <c r="C10"/>
  <c r="D9"/>
  <c r="H28"/>
  <c r="H20"/>
  <c r="H22"/>
  <c r="H21"/>
  <c r="H32"/>
  <c r="H15"/>
  <c r="H13"/>
  <c r="H31"/>
  <c r="H33"/>
  <c r="H14"/>
  <c r="K13"/>
  <c r="C28"/>
  <c r="C13"/>
  <c r="K33"/>
  <c r="C20"/>
  <c r="B10"/>
  <c r="B14" s="1"/>
  <c r="D11"/>
  <c r="C11"/>
  <c r="K21"/>
  <c r="D10"/>
  <c r="C18"/>
  <c r="D27"/>
  <c r="B27"/>
  <c r="C27"/>
  <c r="K30"/>
  <c r="D12"/>
  <c r="D18"/>
  <c r="C17"/>
  <c r="D19"/>
  <c r="D28"/>
  <c r="B17"/>
  <c r="B20" s="1"/>
  <c r="C9"/>
  <c r="K15"/>
  <c r="D32"/>
  <c r="C19"/>
  <c r="B24"/>
  <c r="B29" s="1"/>
  <c r="C36" i="3"/>
  <c r="D36"/>
  <c r="B36"/>
  <c r="C32" i="2"/>
  <c r="D33"/>
  <c r="A32"/>
  <c r="AJ6" i="20" l="1"/>
  <c r="AN6"/>
  <c r="AI7"/>
  <c r="AM6"/>
  <c r="AL5"/>
  <c r="AK5"/>
  <c r="AE6"/>
  <c r="AB6"/>
  <c r="AF6"/>
  <c r="AA7"/>
  <c r="AC5"/>
  <c r="AD5"/>
  <c r="N6"/>
  <c r="C6"/>
  <c r="D6" s="1"/>
  <c r="H6" s="1"/>
  <c r="S6"/>
  <c r="V6"/>
  <c r="W6"/>
  <c r="R7"/>
  <c r="T5"/>
  <c r="X5" s="1"/>
  <c r="U5"/>
  <c r="E5"/>
  <c r="M5"/>
  <c r="K6"/>
  <c r="O6"/>
  <c r="F8"/>
  <c r="G7"/>
  <c r="U5" i="19"/>
  <c r="T5"/>
  <c r="S27"/>
  <c r="U27" s="1"/>
  <c r="U26"/>
  <c r="S6"/>
  <c r="P5"/>
  <c r="Q5"/>
  <c r="O6"/>
  <c r="P6" s="1"/>
  <c r="Q6"/>
  <c r="N8"/>
  <c r="O7"/>
  <c r="H32" i="15"/>
  <c r="H33"/>
  <c r="H34"/>
  <c r="H15"/>
  <c r="H16"/>
  <c r="H14"/>
  <c r="H30"/>
  <c r="H31"/>
  <c r="H29"/>
  <c r="H23"/>
  <c r="H21"/>
  <c r="H22"/>
  <c r="B77" i="11"/>
  <c r="B78"/>
  <c r="B79"/>
  <c r="B42"/>
  <c r="B44"/>
  <c r="B43"/>
  <c r="B57"/>
  <c r="B59"/>
  <c r="B58"/>
  <c r="B22"/>
  <c r="B28"/>
  <c r="B21"/>
  <c r="B15"/>
  <c r="B13"/>
  <c r="B30"/>
  <c r="B31"/>
  <c r="C31"/>
  <c r="AK6" i="20" l="1"/>
  <c r="AL6"/>
  <c r="AM7"/>
  <c r="AJ7"/>
  <c r="AN7"/>
  <c r="AI8"/>
  <c r="AE7"/>
  <c r="AF7"/>
  <c r="AA8"/>
  <c r="AB7"/>
  <c r="AC6"/>
  <c r="AD6"/>
  <c r="C7"/>
  <c r="D7" s="1"/>
  <c r="H7" s="1"/>
  <c r="E6"/>
  <c r="O8"/>
  <c r="N7"/>
  <c r="O7"/>
  <c r="U6"/>
  <c r="T6"/>
  <c r="X6" s="1"/>
  <c r="W7"/>
  <c r="R8"/>
  <c r="V7"/>
  <c r="S7"/>
  <c r="M6"/>
  <c r="L6"/>
  <c r="P6" s="1"/>
  <c r="K7"/>
  <c r="F9"/>
  <c r="G8"/>
  <c r="T6" i="19"/>
  <c r="U6"/>
  <c r="S28"/>
  <c r="S29" s="1"/>
  <c r="T27"/>
  <c r="S7"/>
  <c r="Q7"/>
  <c r="P7"/>
  <c r="N9"/>
  <c r="O8"/>
  <c r="C8" i="20" l="1"/>
  <c r="D8" s="1"/>
  <c r="H8" s="1"/>
  <c r="E7"/>
  <c r="AK7"/>
  <c r="AL7"/>
  <c r="AM8"/>
  <c r="AN8"/>
  <c r="AI9"/>
  <c r="AJ8"/>
  <c r="AC7"/>
  <c r="AD7"/>
  <c r="AE8"/>
  <c r="AF8"/>
  <c r="AA9"/>
  <c r="AB8"/>
  <c r="N8"/>
  <c r="T7"/>
  <c r="X7" s="1"/>
  <c r="U7"/>
  <c r="V8"/>
  <c r="W8"/>
  <c r="R9"/>
  <c r="S8"/>
  <c r="M7"/>
  <c r="L7"/>
  <c r="P7" s="1"/>
  <c r="K8"/>
  <c r="L8" s="1"/>
  <c r="F10"/>
  <c r="G9"/>
  <c r="T7" i="19"/>
  <c r="U7"/>
  <c r="U28"/>
  <c r="T28"/>
  <c r="S30"/>
  <c r="T29"/>
  <c r="U29"/>
  <c r="S8"/>
  <c r="Q8"/>
  <c r="P8"/>
  <c r="N10"/>
  <c r="O9"/>
  <c r="P8" i="20" l="1"/>
  <c r="E8"/>
  <c r="C9"/>
  <c r="D9" s="1"/>
  <c r="H9" s="1"/>
  <c r="AI10"/>
  <c r="AM9"/>
  <c r="AN9"/>
  <c r="AJ9"/>
  <c r="AK8"/>
  <c r="AL8"/>
  <c r="AA10"/>
  <c r="AB9"/>
  <c r="AE9"/>
  <c r="AF9"/>
  <c r="AC8"/>
  <c r="AD8"/>
  <c r="N9"/>
  <c r="O9"/>
  <c r="T8"/>
  <c r="X8" s="1"/>
  <c r="U8"/>
  <c r="R10"/>
  <c r="S9"/>
  <c r="V9"/>
  <c r="W9"/>
  <c r="M8"/>
  <c r="K9"/>
  <c r="F11"/>
  <c r="G10"/>
  <c r="T8" i="19"/>
  <c r="U8"/>
  <c r="T30"/>
  <c r="U30"/>
  <c r="S31"/>
  <c r="S9"/>
  <c r="Q9"/>
  <c r="P9"/>
  <c r="N11"/>
  <c r="O10"/>
  <c r="E9" i="20" l="1"/>
  <c r="C10"/>
  <c r="D10" s="1"/>
  <c r="H10" s="1"/>
  <c r="AL9"/>
  <c r="AK9"/>
  <c r="AJ10"/>
  <c r="AN10"/>
  <c r="AI11"/>
  <c r="AM10"/>
  <c r="AB10"/>
  <c r="AE10"/>
  <c r="AF10"/>
  <c r="AA11"/>
  <c r="AC9"/>
  <c r="AD9"/>
  <c r="N10"/>
  <c r="S10"/>
  <c r="V10"/>
  <c r="W10"/>
  <c r="R11"/>
  <c r="T9"/>
  <c r="X9" s="1"/>
  <c r="U9"/>
  <c r="M9"/>
  <c r="L9"/>
  <c r="P9" s="1"/>
  <c r="K10"/>
  <c r="O10"/>
  <c r="F12"/>
  <c r="G11"/>
  <c r="T9" i="19"/>
  <c r="U9"/>
  <c r="T31"/>
  <c r="U31"/>
  <c r="S32"/>
  <c r="S10"/>
  <c r="Q10"/>
  <c r="P10"/>
  <c r="N12"/>
  <c r="O11"/>
  <c r="P11" s="1"/>
  <c r="C11" i="20" l="1"/>
  <c r="D11" s="1"/>
  <c r="H11" s="1"/>
  <c r="E10"/>
  <c r="AM11"/>
  <c r="AJ11"/>
  <c r="AN11"/>
  <c r="AI12"/>
  <c r="AK10"/>
  <c r="AL10"/>
  <c r="AE11"/>
  <c r="AF11"/>
  <c r="AA12"/>
  <c r="AB11"/>
  <c r="AC10"/>
  <c r="AD10"/>
  <c r="O12"/>
  <c r="N11"/>
  <c r="U10"/>
  <c r="T10"/>
  <c r="X10" s="1"/>
  <c r="W11"/>
  <c r="R12"/>
  <c r="V11"/>
  <c r="S11"/>
  <c r="M10"/>
  <c r="L10"/>
  <c r="P10" s="1"/>
  <c r="K11"/>
  <c r="L11" s="1"/>
  <c r="O11"/>
  <c r="F13"/>
  <c r="G12"/>
  <c r="T10" i="19"/>
  <c r="U10"/>
  <c r="T32"/>
  <c r="U32"/>
  <c r="S33"/>
  <c r="S11"/>
  <c r="Q11"/>
  <c r="N13"/>
  <c r="O12"/>
  <c r="P12" s="1"/>
  <c r="P11" i="20" l="1"/>
  <c r="E11"/>
  <c r="C12"/>
  <c r="D12" s="1"/>
  <c r="H12" s="1"/>
  <c r="AM12"/>
  <c r="AN12"/>
  <c r="AI13"/>
  <c r="AJ12"/>
  <c r="AK11"/>
  <c r="AL11"/>
  <c r="AC11"/>
  <c r="AD11"/>
  <c r="AE12"/>
  <c r="AF12"/>
  <c r="AA13"/>
  <c r="AB12"/>
  <c r="N12"/>
  <c r="V12"/>
  <c r="W12"/>
  <c r="R13"/>
  <c r="S12"/>
  <c r="T11"/>
  <c r="X11" s="1"/>
  <c r="U11"/>
  <c r="M11"/>
  <c r="K12"/>
  <c r="G13"/>
  <c r="F14"/>
  <c r="T11" i="19"/>
  <c r="U11"/>
  <c r="T33"/>
  <c r="S34"/>
  <c r="U33"/>
  <c r="S12"/>
  <c r="Q12"/>
  <c r="N14"/>
  <c r="Q13"/>
  <c r="O13"/>
  <c r="P13" s="1"/>
  <c r="E12" i="20" l="1"/>
  <c r="C13"/>
  <c r="D13" s="1"/>
  <c r="H13" s="1"/>
  <c r="AK12"/>
  <c r="AL12"/>
  <c r="AI14"/>
  <c r="AM13"/>
  <c r="AN13"/>
  <c r="AJ13"/>
  <c r="AA14"/>
  <c r="AB13"/>
  <c r="AE13"/>
  <c r="AF13"/>
  <c r="AC12"/>
  <c r="AD12"/>
  <c r="N13"/>
  <c r="R14"/>
  <c r="S13"/>
  <c r="V13"/>
  <c r="W13"/>
  <c r="T12"/>
  <c r="X12" s="1"/>
  <c r="U12"/>
  <c r="M12"/>
  <c r="L12"/>
  <c r="P12" s="1"/>
  <c r="K13"/>
  <c r="O13"/>
  <c r="G14"/>
  <c r="F15"/>
  <c r="T12" i="19"/>
  <c r="U12"/>
  <c r="U34"/>
  <c r="S35"/>
  <c r="T34"/>
  <c r="S13"/>
  <c r="N15"/>
  <c r="O14"/>
  <c r="P14" s="1"/>
  <c r="E13" i="20" l="1"/>
  <c r="C14"/>
  <c r="D14" s="1"/>
  <c r="H14" s="1"/>
  <c r="AL13"/>
  <c r="AK13"/>
  <c r="AJ14"/>
  <c r="AN14"/>
  <c r="AI15"/>
  <c r="AM14"/>
  <c r="AB14"/>
  <c r="AE14"/>
  <c r="AF14"/>
  <c r="AA15"/>
  <c r="AC13"/>
  <c r="AD13"/>
  <c r="N14"/>
  <c r="V14"/>
  <c r="S14"/>
  <c r="W14"/>
  <c r="R15"/>
  <c r="T13"/>
  <c r="X13" s="1"/>
  <c r="U13"/>
  <c r="M13"/>
  <c r="L13"/>
  <c r="P13" s="1"/>
  <c r="K14"/>
  <c r="O14"/>
  <c r="G15"/>
  <c r="F16"/>
  <c r="T13" i="19"/>
  <c r="U13"/>
  <c r="T35"/>
  <c r="S36"/>
  <c r="U35"/>
  <c r="S14"/>
  <c r="Q14"/>
  <c r="N16"/>
  <c r="O15"/>
  <c r="P15" s="1"/>
  <c r="C15" i="20" l="1"/>
  <c r="D15" s="1"/>
  <c r="H15" s="1"/>
  <c r="E14"/>
  <c r="AM15"/>
  <c r="AN15"/>
  <c r="AJ15"/>
  <c r="AI16"/>
  <c r="AK14"/>
  <c r="AL14"/>
  <c r="AA16"/>
  <c r="AF15"/>
  <c r="AE15"/>
  <c r="AB15"/>
  <c r="AD14"/>
  <c r="AC14"/>
  <c r="O16"/>
  <c r="N15"/>
  <c r="O15"/>
  <c r="U14"/>
  <c r="T14"/>
  <c r="X14" s="1"/>
  <c r="V15"/>
  <c r="W15"/>
  <c r="R16"/>
  <c r="S15"/>
  <c r="M14"/>
  <c r="L14"/>
  <c r="P14" s="1"/>
  <c r="K15"/>
  <c r="L15" s="1"/>
  <c r="G16"/>
  <c r="F17"/>
  <c r="T14" i="19"/>
  <c r="U14"/>
  <c r="U36"/>
  <c r="T36"/>
  <c r="S37"/>
  <c r="S15"/>
  <c r="Q15"/>
  <c r="N17"/>
  <c r="O16"/>
  <c r="P16" s="1"/>
  <c r="P15" i="20" l="1"/>
  <c r="C16"/>
  <c r="D16" s="1"/>
  <c r="H16" s="1"/>
  <c r="E15"/>
  <c r="AK15"/>
  <c r="AL15"/>
  <c r="AM16"/>
  <c r="AN16"/>
  <c r="AI17"/>
  <c r="AJ16"/>
  <c r="AC15"/>
  <c r="AD15"/>
  <c r="AE16"/>
  <c r="AF16"/>
  <c r="AA17"/>
  <c r="AB16"/>
  <c r="N17"/>
  <c r="N16"/>
  <c r="T15"/>
  <c r="X15" s="1"/>
  <c r="U15"/>
  <c r="V16"/>
  <c r="W16"/>
  <c r="R17"/>
  <c r="S16"/>
  <c r="K16"/>
  <c r="M15"/>
  <c r="G17"/>
  <c r="T15" i="19"/>
  <c r="U15"/>
  <c r="S38"/>
  <c r="T37"/>
  <c r="U37"/>
  <c r="S16"/>
  <c r="Q16"/>
  <c r="Q17"/>
  <c r="O17"/>
  <c r="P17" s="1"/>
  <c r="E16" i="20" l="1"/>
  <c r="C17"/>
  <c r="D17" s="1"/>
  <c r="H17" s="1"/>
  <c r="AM17"/>
  <c r="AN17"/>
  <c r="AJ17"/>
  <c r="AK16"/>
  <c r="AL16"/>
  <c r="AB17"/>
  <c r="AE17"/>
  <c r="AF17"/>
  <c r="AC16"/>
  <c r="AD16"/>
  <c r="O17"/>
  <c r="T16"/>
  <c r="X16" s="1"/>
  <c r="U16"/>
  <c r="S17"/>
  <c r="V17"/>
  <c r="W17"/>
  <c r="K17"/>
  <c r="L17" s="1"/>
  <c r="L16"/>
  <c r="P16" s="1"/>
  <c r="M16"/>
  <c r="T16" i="19"/>
  <c r="U16"/>
  <c r="T38"/>
  <c r="S39"/>
  <c r="U38"/>
  <c r="S17"/>
  <c r="P17" i="20" l="1"/>
  <c r="E17"/>
  <c r="AL17"/>
  <c r="AK17"/>
  <c r="AC17"/>
  <c r="AD17"/>
  <c r="T17"/>
  <c r="X17" s="1"/>
  <c r="U17"/>
  <c r="M17"/>
  <c r="T17" i="19"/>
  <c r="U17"/>
  <c r="T39"/>
  <c r="S40"/>
  <c r="U39"/>
  <c r="S18"/>
  <c r="T18" l="1"/>
  <c r="U18"/>
  <c r="S41"/>
  <c r="T40"/>
  <c r="U40"/>
  <c r="S19"/>
  <c r="T19" l="1"/>
  <c r="U19"/>
  <c r="T41"/>
  <c r="U41"/>
  <c r="S20"/>
  <c r="T20" l="1"/>
  <c r="U20"/>
  <c r="S21"/>
  <c r="T21" l="1"/>
  <c r="U21"/>
</calcChain>
</file>

<file path=xl/sharedStrings.xml><?xml version="1.0" encoding="utf-8"?>
<sst xmlns="http://schemas.openxmlformats.org/spreadsheetml/2006/main" count="7445" uniqueCount="1563">
  <si>
    <t>Sum</t>
  </si>
  <si>
    <t>Avg</t>
  </si>
  <si>
    <t>StDev</t>
  </si>
  <si>
    <t>Prov</t>
  </si>
  <si>
    <t>RZ6,100</t>
  </si>
  <si>
    <t>RZ6,125</t>
  </si>
  <si>
    <t>RZ6,150</t>
  </si>
  <si>
    <t>RH8,100</t>
  </si>
  <si>
    <t>RH8,125</t>
  </si>
  <si>
    <t>RH8,150</t>
  </si>
  <si>
    <t>RM8,100</t>
  </si>
  <si>
    <t>RM8,125</t>
  </si>
  <si>
    <t>RM8,150</t>
  </si>
  <si>
    <t>RIH8</t>
  </si>
  <si>
    <t>Z00738F</t>
  </si>
  <si>
    <t>RIZ7</t>
  </si>
  <si>
    <t>RIU7</t>
  </si>
  <si>
    <t>RIM7</t>
  </si>
  <si>
    <t>RIH7</t>
  </si>
  <si>
    <t>RIZ6</t>
  </si>
  <si>
    <t>RIM8</t>
  </si>
  <si>
    <t xml:space="preserve"> </t>
  </si>
  <si>
    <t>RIH6</t>
  </si>
  <si>
    <t>RIZ5</t>
  </si>
  <si>
    <t>RIU5</t>
  </si>
  <si>
    <t>73521.212,91</t>
  </si>
  <si>
    <t xml:space="preserve">92 More Strong than 91 </t>
  </si>
  <si>
    <t>73521.212,92</t>
  </si>
  <si>
    <t>73521.212.221,91</t>
  </si>
  <si>
    <t>73521.212.221,92</t>
  </si>
  <si>
    <t>BackTest=MedianPrice</t>
  </si>
  <si>
    <t>73521.2120,92</t>
  </si>
  <si>
    <t>M1,91,212</t>
  </si>
  <si>
    <t>M1,92,212</t>
  </si>
  <si>
    <t>M1,91,212,221</t>
  </si>
  <si>
    <t>M1,92,212,221</t>
  </si>
  <si>
    <t>M5,91,212</t>
  </si>
  <si>
    <t>M5,92,212</t>
  </si>
  <si>
    <t>M5,91,212,221</t>
  </si>
  <si>
    <t>M5,92,212,221</t>
  </si>
  <si>
    <t>M10</t>
  </si>
  <si>
    <t>M18</t>
  </si>
  <si>
    <t>M50</t>
  </si>
  <si>
    <t>M58</t>
  </si>
  <si>
    <t>Z0073523</t>
  </si>
  <si>
    <t>Z0073521</t>
  </si>
  <si>
    <t>Filled</t>
  </si>
  <si>
    <t>Canceled</t>
  </si>
  <si>
    <t>PandingToCancel</t>
  </si>
  <si>
    <t>Reject</t>
  </si>
  <si>
    <t>NotSended</t>
  </si>
  <si>
    <t>KillOrders2</t>
  </si>
  <si>
    <t>Wach what's remain</t>
  </si>
  <si>
    <t>ValidOrdersSoft</t>
  </si>
  <si>
    <t>Activated</t>
  </si>
  <si>
    <t>PendingToActivate</t>
  </si>
  <si>
    <t>Sended</t>
  </si>
  <si>
    <t>Registered</t>
  </si>
  <si>
    <t>Confirmed</t>
  </si>
  <si>
    <t>PartlyFilled</t>
  </si>
  <si>
    <t>Cancel Orders</t>
  </si>
  <si>
    <t>CloseOrdersSoft</t>
  </si>
  <si>
    <t>ActiveOrdersSoft</t>
  </si>
  <si>
    <t>Remove Orders</t>
  </si>
  <si>
    <t>PendingToAcivate</t>
  </si>
  <si>
    <t>Si</t>
  </si>
  <si>
    <t>SR</t>
  </si>
  <si>
    <t>RI</t>
  </si>
  <si>
    <t>Tarif</t>
  </si>
  <si>
    <t>Tarif + Broker</t>
  </si>
  <si>
    <t>Scalp</t>
  </si>
  <si>
    <t>Broker</t>
  </si>
  <si>
    <t>Scalp + Broker</t>
  </si>
  <si>
    <t xml:space="preserve">Tarif </t>
  </si>
  <si>
    <t>Tar+Bro</t>
  </si>
  <si>
    <t>Trades</t>
  </si>
  <si>
    <t>Commis</t>
  </si>
  <si>
    <t>Standard</t>
  </si>
  <si>
    <t>Scalper</t>
  </si>
  <si>
    <t>Profit</t>
  </si>
  <si>
    <t>Symbol</t>
  </si>
  <si>
    <t>Si,Ti=5</t>
  </si>
  <si>
    <t>Si,Ti=10</t>
  </si>
  <si>
    <t>Si,Ti=12</t>
  </si>
  <si>
    <t>Si,Ti=13</t>
  </si>
  <si>
    <t>SiU7,Ti=10</t>
  </si>
  <si>
    <t>SiU7,Ti=5</t>
  </si>
  <si>
    <t>SiM8,Ti=5</t>
  </si>
  <si>
    <t>SiM8,Ti=10,500</t>
  </si>
  <si>
    <t>SiM8,Ti=10,350</t>
  </si>
  <si>
    <t>Sim8(TI:10,1.25,500)</t>
  </si>
  <si>
    <t>Sim8(TI:10,1.25,350)</t>
  </si>
  <si>
    <t>Sim8(TI:10,1.25,425)</t>
  </si>
  <si>
    <t>Sim8(TI:15,1.25,350)</t>
  </si>
  <si>
    <t>05,05,2018</t>
  </si>
  <si>
    <t>Sim8(TI:5,1.55,425)</t>
  </si>
  <si>
    <t>Deal Cms</t>
  </si>
  <si>
    <t>Trade Cms</t>
  </si>
  <si>
    <t>SiM8</t>
  </si>
  <si>
    <t>SiH8</t>
  </si>
  <si>
    <t>GO</t>
  </si>
  <si>
    <t>Z0073523A1, TI=5</t>
  </si>
  <si>
    <t>Z0073523A2, TI=5</t>
  </si>
  <si>
    <t>Z0073523A3, TI=5</t>
  </si>
  <si>
    <t>Running Init , Running SL</t>
  </si>
  <si>
    <t>NoRunning Init, Running SL</t>
  </si>
  <si>
    <t>Z0073523A4, TI=5</t>
  </si>
  <si>
    <t>NoRunning Init, Running SL if SL &gt; Low2 then SL = SLPrev else SL = RSL</t>
  </si>
  <si>
    <t>NoRuning Init, Running SL if SL &gt; Low2 then  SL = Low2- StopValue2 else SL = RSL</t>
  </si>
  <si>
    <t>After 73532A - &gt; A1,A2,A3,A4</t>
  </si>
  <si>
    <t>Z0073523A1, TI=10</t>
  </si>
  <si>
    <t>Z0073523A2, TI=10</t>
  </si>
  <si>
    <t>Z0073523A2, TI=10, InitMode =7</t>
  </si>
  <si>
    <t>Z0073523A2, TI=5, InitMode =7</t>
  </si>
  <si>
    <t>Z0073523A1, TI=5, InitMode =7</t>
  </si>
  <si>
    <t>Mode 7 Init</t>
  </si>
  <si>
    <t>Z0073523A1, TI=10, InitMode =7</t>
  </si>
  <si>
    <t>Z0073523A2, TI=5, InitMode =7, TK=15</t>
  </si>
  <si>
    <t>TakeProfit = 15</t>
  </si>
  <si>
    <t>Z0073523A2, TI=10, InitMode =7, TK=15</t>
  </si>
  <si>
    <t>Take = 10</t>
  </si>
  <si>
    <t>take=25</t>
  </si>
  <si>
    <t>take=15</t>
  </si>
  <si>
    <t>Take = 12</t>
  </si>
  <si>
    <t>Take = 0</t>
  </si>
  <si>
    <t>Z0073523A2</t>
  </si>
  <si>
    <t>Take = 15</t>
  </si>
  <si>
    <t>No TakeProfit</t>
  </si>
  <si>
    <t>Z0073524A2</t>
  </si>
  <si>
    <t>73523A2 with continue after 19</t>
  </si>
  <si>
    <t>73523A5 with continue after 19 and static StopLoss at Init</t>
  </si>
  <si>
    <t>After 19 we have Alternative Short or Long</t>
  </si>
  <si>
    <t>Q502USB</t>
  </si>
  <si>
    <t>QX602MP3</t>
  </si>
  <si>
    <t>Q802USB</t>
  </si>
  <si>
    <t>QX1002USB</t>
  </si>
  <si>
    <t>Q1002USB</t>
  </si>
  <si>
    <t>1002FX</t>
  </si>
  <si>
    <t>Boss GT1</t>
  </si>
  <si>
    <t>Zoom G5n</t>
  </si>
  <si>
    <t>Digitech RP360XP</t>
  </si>
  <si>
    <t>Педаль</t>
  </si>
  <si>
    <t>Пульт</t>
  </si>
  <si>
    <t>Гитара</t>
  </si>
  <si>
    <t>73523A2</t>
  </si>
  <si>
    <t xml:space="preserve">RIM8 </t>
  </si>
  <si>
    <t>101 days</t>
  </si>
  <si>
    <t xml:space="preserve">RIU8 </t>
  </si>
  <si>
    <t>Days</t>
  </si>
  <si>
    <t>tpt</t>
  </si>
  <si>
    <t>tpf</t>
  </si>
  <si>
    <t>tpt = 15</t>
  </si>
  <si>
    <t>RIU8</t>
  </si>
  <si>
    <t>Z0073523A5, TI=5, InitMode =7, TK=15</t>
  </si>
  <si>
    <t>Z0073523A5, TI=10, InitMode =7, TK=15</t>
  </si>
  <si>
    <t>after 19 = 0</t>
  </si>
  <si>
    <t>Ex4=212</t>
  </si>
  <si>
    <t>Ex4=1010</t>
  </si>
  <si>
    <t>after 19 = 1</t>
  </si>
  <si>
    <t>Name</t>
  </si>
  <si>
    <t>Ma</t>
  </si>
  <si>
    <t>P&amp;L</t>
  </si>
  <si>
    <t>Taxes</t>
  </si>
  <si>
    <t>NetP&amp;L</t>
  </si>
  <si>
    <t>%Tx</t>
  </si>
  <si>
    <t>TI=5</t>
  </si>
  <si>
    <t>TI=10</t>
  </si>
  <si>
    <t>4(19)</t>
  </si>
  <si>
    <t>SL(0)</t>
  </si>
  <si>
    <t>Активия</t>
  </si>
  <si>
    <t>Бринза</t>
  </si>
  <si>
    <t>ветчина</t>
  </si>
  <si>
    <t>сервилат</t>
  </si>
  <si>
    <t>Корал</t>
  </si>
  <si>
    <t>Перчатки</t>
  </si>
  <si>
    <t>MB</t>
  </si>
  <si>
    <t>ReStore</t>
  </si>
  <si>
    <t>RAM</t>
  </si>
  <si>
    <t>CPU</t>
  </si>
  <si>
    <t>Cooler</t>
  </si>
  <si>
    <t>PSU</t>
  </si>
  <si>
    <t>Corpus</t>
  </si>
  <si>
    <t>ChenZhen</t>
  </si>
  <si>
    <t>KVolDelta</t>
  </si>
  <si>
    <t>%VolDelta</t>
  </si>
  <si>
    <t>Options</t>
  </si>
  <si>
    <t>Orders</t>
  </si>
  <si>
    <t>Active</t>
  </si>
  <si>
    <t>ReadyToUse</t>
  </si>
  <si>
    <t>Equal</t>
  </si>
  <si>
    <t>Remain</t>
  </si>
  <si>
    <t>NonEqual</t>
  </si>
  <si>
    <t>Kill</t>
  </si>
  <si>
    <t>InUse</t>
  </si>
  <si>
    <t>PositionControl</t>
  </si>
  <si>
    <t>Kill Extra</t>
  </si>
  <si>
    <t>Remove</t>
  </si>
  <si>
    <t>TimeOutControl</t>
  </si>
  <si>
    <t>Set//ReSet</t>
  </si>
  <si>
    <t>No Active</t>
  </si>
  <si>
    <t>Any</t>
  </si>
  <si>
    <t>No Registered</t>
  </si>
  <si>
    <t>Set</t>
  </si>
  <si>
    <t xml:space="preserve">Active </t>
  </si>
  <si>
    <t>Return</t>
  </si>
  <si>
    <t>Exist</t>
  </si>
  <si>
    <t>Register new</t>
  </si>
  <si>
    <t>TimeOut</t>
  </si>
  <si>
    <t>This Order may be Have InUSe Try To Cancel Failure</t>
  </si>
  <si>
    <t>!Any</t>
  </si>
  <si>
    <t>SetOrder</t>
  </si>
  <si>
    <t>ReadyToUSe</t>
  </si>
  <si>
    <t>ЛЧИ</t>
  </si>
  <si>
    <t>SiZ9</t>
  </si>
  <si>
    <t>10.17.2019</t>
  </si>
  <si>
    <t>Call</t>
  </si>
  <si>
    <t>Put</t>
  </si>
  <si>
    <t>Options Check</t>
  </si>
  <si>
    <t>Top</t>
  </si>
  <si>
    <t>FingerBrd</t>
  </si>
  <si>
    <t>Ctrl</t>
  </si>
  <si>
    <t>M-1001</t>
  </si>
  <si>
    <t>Maple</t>
  </si>
  <si>
    <t>ThrBody</t>
  </si>
  <si>
    <t>Pickups</t>
  </si>
  <si>
    <t>81/81</t>
  </si>
  <si>
    <t>M-400</t>
  </si>
  <si>
    <t>Body</t>
  </si>
  <si>
    <t>Alder</t>
  </si>
  <si>
    <t>Mahagony</t>
  </si>
  <si>
    <t>No</t>
  </si>
  <si>
    <t>Bolted</t>
  </si>
  <si>
    <t>85/81</t>
  </si>
  <si>
    <t>M-1000 SW</t>
  </si>
  <si>
    <t>FingBrdTop</t>
  </si>
  <si>
    <t>FingBrd</t>
  </si>
  <si>
    <t>Color</t>
  </si>
  <si>
    <t>M-1000</t>
  </si>
  <si>
    <t>FingThruNeck</t>
  </si>
  <si>
    <t>PickRings</t>
  </si>
  <si>
    <t>Germany</t>
  </si>
  <si>
    <t>Tam30%</t>
  </si>
  <si>
    <t>Prevysh</t>
  </si>
  <si>
    <t>PriceEU</t>
  </si>
  <si>
    <t>WInterStorm</t>
  </si>
  <si>
    <t>Carriby</t>
  </si>
  <si>
    <t>Fiolet</t>
  </si>
  <si>
    <t>QuickSilver</t>
  </si>
  <si>
    <t>Northern Lights</t>
  </si>
  <si>
    <t>DeepBlack</t>
  </si>
  <si>
    <t>Open Box</t>
  </si>
  <si>
    <t>3 Damage</t>
  </si>
  <si>
    <t>Mexico</t>
  </si>
  <si>
    <t>TamogNlg</t>
  </si>
  <si>
    <t>LTD MH-400M</t>
  </si>
  <si>
    <t>LTD M-400M</t>
  </si>
  <si>
    <t>MusicStore</t>
  </si>
  <si>
    <t>Ebay</t>
  </si>
  <si>
    <t>Etalon</t>
  </si>
  <si>
    <t>Price$</t>
  </si>
  <si>
    <t>Price$Dealer</t>
  </si>
  <si>
    <t>Charcoal</t>
  </si>
  <si>
    <t>PRO SERIES DINKY™ DK2 ASH, EBONY FINGERBOARD, CHARCOAL GRAY</t>
  </si>
  <si>
    <t>Guitarstobeplayed</t>
  </si>
  <si>
    <t>Usa</t>
  </si>
  <si>
    <t> TransMagentaBurst</t>
  </si>
  <si>
    <t>RG652</t>
  </si>
  <si>
    <t>MusicProductiv</t>
  </si>
  <si>
    <t>Marsh100</t>
  </si>
  <si>
    <t>Marsh50</t>
  </si>
  <si>
    <t>Vox Vt40X</t>
  </si>
  <si>
    <t>Marshall Code 50</t>
  </si>
  <si>
    <t>Marshall Code 100</t>
  </si>
  <si>
    <t>14-4-8-24</t>
  </si>
  <si>
    <t>1x12</t>
  </si>
  <si>
    <t>2x12</t>
  </si>
  <si>
    <t>Vox Vt100X</t>
  </si>
  <si>
    <t>219E</t>
  </si>
  <si>
    <t>178E</t>
  </si>
  <si>
    <t>1 X 10</t>
  </si>
  <si>
    <t>1X12</t>
  </si>
  <si>
    <t>2X12</t>
  </si>
  <si>
    <t>199E</t>
  </si>
  <si>
    <t>284E</t>
  </si>
  <si>
    <t>MisicProductiv</t>
  </si>
  <si>
    <t>188(2)</t>
  </si>
  <si>
    <t>RG652 White</t>
  </si>
  <si>
    <t>Std65</t>
  </si>
  <si>
    <t>Avg65</t>
  </si>
  <si>
    <t>Steinberger</t>
  </si>
  <si>
    <t>Steinberger HY</t>
  </si>
  <si>
    <t>Hofner DeLux</t>
  </si>
  <si>
    <t>Steinberdger Black</t>
  </si>
  <si>
    <t>Japan</t>
  </si>
  <si>
    <t>japan superstore</t>
  </si>
  <si>
    <t>M-400M NS SMD SH-1/TB-4</t>
  </si>
  <si>
    <t>ESP LTD M-400 R EMG 81/85</t>
  </si>
  <si>
    <t>ESP LTD M-400 BLKS EMG 81/85</t>
  </si>
  <si>
    <t>ESP LTD MH-400M Natural Satin</t>
  </si>
  <si>
    <t>ESP LTD M-400 Black Satin</t>
  </si>
  <si>
    <t>RG421AHM-BMT</t>
  </si>
  <si>
    <t>RG370AHMZ-BMT</t>
  </si>
  <si>
    <t>RG350DXZ</t>
  </si>
  <si>
    <t>RG421-Mol</t>
  </si>
  <si>
    <t>RG421EX-BKF</t>
  </si>
  <si>
    <t>RGRT421-WK</t>
  </si>
  <si>
    <t>USA</t>
  </si>
  <si>
    <t>RG652MPB-GBF</t>
  </si>
  <si>
    <t>Amp</t>
  </si>
  <si>
    <t>Clean</t>
  </si>
  <si>
    <t>Lead</t>
  </si>
  <si>
    <t>Amp 2 * Ampplug</t>
  </si>
  <si>
    <t>Amp 3 * Ampplug</t>
  </si>
  <si>
    <t>Blues</t>
  </si>
  <si>
    <t>S520</t>
  </si>
  <si>
    <t>EBay</t>
  </si>
  <si>
    <t>s520-TKS</t>
  </si>
  <si>
    <t>RG370AHMZ-BMT Rtrn</t>
  </si>
  <si>
    <t>DH</t>
  </si>
  <si>
    <t>Close</t>
  </si>
  <si>
    <t>GRGM21</t>
  </si>
  <si>
    <t>AZ2402-ICM</t>
  </si>
  <si>
    <t>AZ2402-TFF</t>
  </si>
  <si>
    <t>AZ242BC-DET</t>
  </si>
  <si>
    <t>RG652BG</t>
  </si>
  <si>
    <t>Jackson DK2M Dinky Pro Series SW</t>
  </si>
  <si>
    <t>Dresden</t>
  </si>
  <si>
    <t>thomann.de</t>
  </si>
  <si>
    <t>Harley Benton Fusion-II HH FR EB FBB</t>
  </si>
  <si>
    <t>Harley Benton Rosted Fusion-II HH FR EB FBB</t>
  </si>
  <si>
    <t>Harley Benton Rosted Fusion-II HSH FR EB FBB</t>
  </si>
  <si>
    <t>Harley Benton Rosted Fusion-II HH FR EB FNT</t>
  </si>
  <si>
    <t>Harley Benton Fusion-II HSH EB FBB</t>
  </si>
  <si>
    <t>DeepBlack Progressive</t>
  </si>
  <si>
    <t>Harley Benton CST-24T</t>
  </si>
  <si>
    <t>EMG 89X</t>
  </si>
  <si>
    <t>EMG 89XR</t>
  </si>
  <si>
    <t>Jackson DK2M Broderick</t>
  </si>
  <si>
    <t>Irin Qiaosha</t>
  </si>
  <si>
    <t>Headless</t>
  </si>
  <si>
    <t>China</t>
  </si>
  <si>
    <t>Tam15%</t>
  </si>
  <si>
    <t>RG420HPFM</t>
  </si>
  <si>
    <t>Total</t>
  </si>
  <si>
    <t>Radius</t>
  </si>
  <si>
    <t>Width 1F</t>
  </si>
  <si>
    <t>Width 24F</t>
  </si>
  <si>
    <t>NeckPick</t>
  </si>
  <si>
    <t>BridgePick</t>
  </si>
  <si>
    <t>Seymour Hyperion</t>
  </si>
  <si>
    <t>Rosewood</t>
  </si>
  <si>
    <t>nFrets</t>
  </si>
  <si>
    <t>SwitchSys</t>
  </si>
  <si>
    <t>AmericanBasswood</t>
  </si>
  <si>
    <t>Thickness 1F</t>
  </si>
  <si>
    <t>Thickness 12F</t>
  </si>
  <si>
    <t>305 mmR</t>
  </si>
  <si>
    <t>Strings</t>
  </si>
  <si>
    <t>.10</t>
  </si>
  <si>
    <t>AZ42P1</t>
  </si>
  <si>
    <t>MusicProd</t>
  </si>
  <si>
    <t>Wizard III</t>
  </si>
  <si>
    <t>FretBoard</t>
  </si>
  <si>
    <t>Roasted</t>
  </si>
  <si>
    <t>400 mmR</t>
  </si>
  <si>
    <t>DiMarzio® Air Norto</t>
  </si>
  <si>
    <t>DiMarzio® The Tone Zone®</t>
  </si>
  <si>
    <t>Jatoba</t>
  </si>
  <si>
    <t>NeckType</t>
  </si>
  <si>
    <t>Jumbo</t>
  </si>
  <si>
    <t>Nyatoh</t>
  </si>
  <si>
    <t>Roast</t>
  </si>
  <si>
    <t>AZ Oval C</t>
  </si>
  <si>
    <t>Super Wizard HP</t>
  </si>
  <si>
    <t>Ash</t>
  </si>
  <si>
    <t>Fret</t>
  </si>
  <si>
    <t>Birdseye Maple</t>
  </si>
  <si>
    <t>430 mmR</t>
  </si>
  <si>
    <t>Jumbo Stainless Steel fret</t>
  </si>
  <si>
    <t>.09</t>
  </si>
  <si>
    <t>RG5320C</t>
  </si>
  <si>
    <t>African Mahogany</t>
  </si>
  <si>
    <t>5pc Maple/Walnut</t>
  </si>
  <si>
    <t>5pc Maple/Wenge neck</t>
  </si>
  <si>
    <t>Bound Macassar Ebony</t>
  </si>
  <si>
    <t>RG5120M</t>
  </si>
  <si>
    <t>Bound Birdseye Maple</t>
  </si>
  <si>
    <t>Fishman® Fluence™ Modern</t>
  </si>
  <si>
    <t>Ceramic (H) neck pickupActive/Ceramic</t>
  </si>
  <si>
    <t>Ceramic (H) bridge pickupActive/Ceramic</t>
  </si>
  <si>
    <t>RG320EXZ</t>
  </si>
  <si>
    <t>Meranti</t>
  </si>
  <si>
    <t>Neck</t>
  </si>
  <si>
    <t xml:space="preserve"> Jatoba</t>
  </si>
  <si>
    <t>Quantum (H) neck pickupPassive/Ceramic</t>
  </si>
  <si>
    <t>Quantum (H) bridge pickupPassive/Ceramic</t>
  </si>
  <si>
    <t>Post</t>
  </si>
  <si>
    <t>Muztorg</t>
  </si>
  <si>
    <t>Diff</t>
  </si>
  <si>
    <t xml:space="preserve"> RG550</t>
  </si>
  <si>
    <t>V7 (H) neck pickupPassive/Ceramic</t>
  </si>
  <si>
    <t xml:space="preserve"> S1 (S) middle pickupPassive/Alnico</t>
  </si>
  <si>
    <t>V8 (H) bridge pickupPassive/Alnico</t>
  </si>
  <si>
    <t>AZ2402-BKF</t>
  </si>
  <si>
    <t>AZ2402-PWF</t>
  </si>
  <si>
    <t>Alder body</t>
  </si>
  <si>
    <t>S-TECH WOOD Roasted Maple</t>
  </si>
  <si>
    <t>Roasted Mapl</t>
  </si>
  <si>
    <t>Jumbo Stainless Steel</t>
  </si>
  <si>
    <t>Seymour Duncan® Hyperion</t>
  </si>
  <si>
    <t>Premium</t>
  </si>
  <si>
    <t>Prestige</t>
  </si>
  <si>
    <t>Musik-Pro</t>
  </si>
  <si>
    <t>Thomman</t>
  </si>
  <si>
    <t>RG320</t>
  </si>
  <si>
    <t>RG420</t>
  </si>
  <si>
    <t>Ящик</t>
  </si>
  <si>
    <t>Полка Высота 100</t>
  </si>
  <si>
    <t>Ниша ТV Высота 580</t>
  </si>
  <si>
    <t>Подгнать под низ полки</t>
  </si>
  <si>
    <t>Невес. Давит своей тяжестью.</t>
  </si>
  <si>
    <t>Легкие облака. Воздушность</t>
  </si>
  <si>
    <t>Основательность.</t>
  </si>
  <si>
    <t>Высота общ</t>
  </si>
  <si>
    <t>Цоколь</t>
  </si>
  <si>
    <t>Общ Высота</t>
  </si>
  <si>
    <t>Низ. Тумба</t>
  </si>
  <si>
    <t>Верх.Тумба</t>
  </si>
  <si>
    <t>Стекл.Секц</t>
  </si>
  <si>
    <t>Цоколь + Тумба.</t>
  </si>
  <si>
    <t>Неустойчивость</t>
  </si>
  <si>
    <t>Shop</t>
  </si>
  <si>
    <t>Model</t>
  </si>
  <si>
    <t>Price</t>
  </si>
  <si>
    <t>Rg320</t>
  </si>
  <si>
    <t>Pop-Music</t>
  </si>
  <si>
    <t>MuzPro</t>
  </si>
  <si>
    <t>HellRaiser</t>
  </si>
  <si>
    <t>Pop_music</t>
  </si>
  <si>
    <t>85X/81X</t>
  </si>
  <si>
    <t>SD</t>
  </si>
  <si>
    <t>DM</t>
  </si>
  <si>
    <t>Strike</t>
  </si>
  <si>
    <t>Bridge</t>
  </si>
  <si>
    <t>Saboteur</t>
  </si>
  <si>
    <t>Alniko 5</t>
  </si>
  <si>
    <t>Volcano</t>
  </si>
  <si>
    <t>Ceramic</t>
  </si>
  <si>
    <t>Python</t>
  </si>
  <si>
    <t>Alniko 2</t>
  </si>
  <si>
    <t>Rout</t>
  </si>
  <si>
    <t>Ouput</t>
  </si>
  <si>
    <t>Rocket Queen</t>
  </si>
  <si>
    <t>Hot Breeze</t>
  </si>
  <si>
    <t>Alnico 5</t>
  </si>
  <si>
    <t>Alnico 2</t>
  </si>
  <si>
    <t>Atemy</t>
  </si>
  <si>
    <t>Brend</t>
  </si>
  <si>
    <t>Use</t>
  </si>
  <si>
    <t>Speed</t>
  </si>
  <si>
    <t>Control</t>
  </si>
  <si>
    <t>Rotation</t>
  </si>
  <si>
    <t>Price Ali</t>
  </si>
  <si>
    <t>Price2</t>
  </si>
  <si>
    <t>OFF+</t>
  </si>
  <si>
    <t>OFF</t>
  </si>
  <si>
    <t>All</t>
  </si>
  <si>
    <t>All+</t>
  </si>
  <si>
    <t>Price3</t>
  </si>
  <si>
    <t>Tibhar</t>
  </si>
  <si>
    <t>off+</t>
  </si>
  <si>
    <t>off</t>
  </si>
  <si>
    <t>allr</t>
  </si>
  <si>
    <t>allr+</t>
  </si>
  <si>
    <t>Power</t>
  </si>
  <si>
    <t>control</t>
  </si>
  <si>
    <t>quik attack</t>
  </si>
  <si>
    <t>quik attack with loop</t>
  </si>
  <si>
    <t>quik attack all-round</t>
  </si>
  <si>
    <t>Locki</t>
  </si>
  <si>
    <t>TibHar806</t>
  </si>
  <si>
    <t>пщтсрфк</t>
  </si>
  <si>
    <t>sets</t>
  </si>
  <si>
    <t>YINHE JUPITER 2</t>
  </si>
  <si>
    <t xml:space="preserve">FH </t>
  </si>
  <si>
    <t>YINHE Big Dipper</t>
  </si>
  <si>
    <t>RoninTeam</t>
  </si>
  <si>
    <t>Source</t>
  </si>
  <si>
    <t>YINHE Moon Max</t>
  </si>
  <si>
    <t>Yinhe Galaxy PRO 13s</t>
  </si>
  <si>
    <t>Yinhe V-14 V14 Pro</t>
  </si>
  <si>
    <t>https://aliexpress.ru/item/1005001493919664.html?spm=a2g0o.store_pc_promotion.promotePruductList_2003978630483.1&amp;sku_id=12000016336661884</t>
  </si>
  <si>
    <t>https://aliexpress.ru/item/10000358074303.html?spm=a2g2w.productlist.list.0.6f50159eBIO51V&amp;sku_id=20000000184434533</t>
  </si>
  <si>
    <t>DHS Hurricane 8</t>
  </si>
  <si>
    <t>DHS Hurricane 3</t>
  </si>
  <si>
    <t>YINHE Pro-01</t>
  </si>
  <si>
    <t>Palio AK47</t>
  </si>
  <si>
    <t>https://aliexpress.ru/item/1005003151232255.html?spm=a2g0o.store_pc_promotion.promotePruductList_2003978630483.0&amp;sku_id=12000024374650514</t>
  </si>
  <si>
    <t>BH (black)</t>
  </si>
  <si>
    <t>FH (red)</t>
  </si>
  <si>
    <t>YINHE Big Dipper 2</t>
  </si>
  <si>
    <t>https://aliexpress.ru/item/1005002060151541.html?spm=a2g0o.store_pc_promotion.promotePruductList_2003978630483.5&amp;sku_id=12000018594498141</t>
  </si>
  <si>
    <t>XIOM Оригинал VEGA Asia</t>
  </si>
  <si>
    <t>Yinhe V14 pro V-14</t>
  </si>
  <si>
    <t>https://aliexpress.ru/item/4000204399767.html?pdp_npi=2%40dis%21RUB%216%C2%A0843%2C65%20%D1%80%D1%83%D0%B1.%216%C2%A0159%2C08%20%D1%80%D1%83%D0%B1.%21%21%21%21%21%4021135c3616675738714518792e8db1%2110000000779519258%21sh01&amp;spm=a2g0o.store_pc_home.productList_725773371.pic_0&amp;sku_id=10000000779519259</t>
  </si>
  <si>
    <t>SANWEI Target National(DHS Hurricane national)</t>
  </si>
  <si>
    <t>YINHE Marth 2</t>
  </si>
  <si>
    <t>YINHE T11S</t>
  </si>
  <si>
    <t>YINHE Marth 2 Soft</t>
  </si>
  <si>
    <t>YINHE Earth 2 Soft</t>
  </si>
  <si>
    <t>Fan jhandong</t>
  </si>
  <si>
    <t>Tenergy 05</t>
  </si>
  <si>
    <t>YINHE Pluto</t>
  </si>
  <si>
    <t>YINHE Uranus</t>
  </si>
  <si>
    <t>TT-Max</t>
  </si>
  <si>
    <t>Bluestorm Z2</t>
  </si>
  <si>
    <t>Bluestorm Z1</t>
  </si>
  <si>
    <t>T11S</t>
  </si>
  <si>
    <t>Mercury 2</t>
  </si>
  <si>
    <t>YINHE Mercury 2</t>
  </si>
  <si>
    <t>V14 V-14 pro</t>
  </si>
  <si>
    <t>YINHE PRO-01 ALC ZHU</t>
  </si>
  <si>
    <t>Allround</t>
  </si>
  <si>
    <t>FH</t>
  </si>
  <si>
    <t>BH</t>
  </si>
  <si>
    <t>T</t>
  </si>
  <si>
    <t>Harricane 3</t>
  </si>
  <si>
    <t>Harricane 8</t>
  </si>
  <si>
    <t>Tenergy</t>
  </si>
  <si>
    <t>YINHE JUPITER 3</t>
  </si>
  <si>
    <t>ten</t>
  </si>
  <si>
    <t>hc3</t>
  </si>
  <si>
    <t>bdipper</t>
  </si>
  <si>
    <t>Uranus</t>
  </si>
  <si>
    <t>Pluto</t>
  </si>
  <si>
    <t>Jupiter 2</t>
  </si>
  <si>
    <t>For hand</t>
  </si>
  <si>
    <t>Stiga Mantra H</t>
  </si>
  <si>
    <t>Width</t>
  </si>
  <si>
    <t>Tverd</t>
  </si>
  <si>
    <t>H</t>
  </si>
  <si>
    <t>Tenergy05</t>
  </si>
  <si>
    <t>Hard</t>
  </si>
  <si>
    <t>Tenergy05 hard</t>
  </si>
  <si>
    <t>Yinhe moon pro</t>
  </si>
  <si>
    <t>rotation</t>
  </si>
  <si>
    <t>Palio CJ8000</t>
  </si>
  <si>
    <t>Big dipper</t>
  </si>
  <si>
    <t>Harricane 3 MaLong BackHand</t>
  </si>
  <si>
    <t>Backhand</t>
  </si>
  <si>
    <t>61 kenguroo</t>
  </si>
  <si>
    <t>Gibrid</t>
  </si>
  <si>
    <t>Pro-01</t>
  </si>
  <si>
    <t>61 Kangaroo</t>
  </si>
  <si>
    <t>61 Eagle</t>
  </si>
  <si>
    <t>banan</t>
  </si>
  <si>
    <t>tenergy 05</t>
  </si>
  <si>
    <t>mercury 2</t>
  </si>
  <si>
    <t>Yinhe Moon Speed medium</t>
  </si>
  <si>
    <t>Big Dipper</t>
  </si>
  <si>
    <t>61 kengaroo</t>
  </si>
  <si>
    <t>Yinhe moon speed medium (tenergy05)</t>
  </si>
  <si>
    <t>Pro1</t>
  </si>
  <si>
    <t>Yinhe Earth 2 soft (backHand) T11s</t>
  </si>
  <si>
    <t>Yinhe Mars 2 FH (soft)  T11s</t>
  </si>
  <si>
    <t>RXTON(Loki) (Control) (Mercury)</t>
  </si>
  <si>
    <t>hurrycane 3 NEO 40</t>
  </si>
  <si>
    <t>61 eagle</t>
  </si>
  <si>
    <t>Pro 01</t>
  </si>
  <si>
    <t>Yinhe Super Kim (backhand) длинные шипы</t>
  </si>
  <si>
    <t>dhs H3 national blue sponge 42</t>
  </si>
  <si>
    <t>dhs H3 neo national 37</t>
  </si>
  <si>
    <t>Palio AK47 blue (BackHand)</t>
  </si>
  <si>
    <t>Stiga Mantra S</t>
  </si>
  <si>
    <t>Donic Baracuda (novicki)</t>
  </si>
  <si>
    <t>Xiom Vega Pro BackHand</t>
  </si>
  <si>
    <t>BackHand</t>
  </si>
  <si>
    <t>Tenergy64</t>
  </si>
  <si>
    <t>Stiga Mantra M</t>
  </si>
  <si>
    <t>Tibhar Evolution</t>
  </si>
  <si>
    <t>Xiom Vega Europe BackHand</t>
  </si>
  <si>
    <t>Joola RHYZM-P</t>
  </si>
  <si>
    <t>YINHE Big Dipper (FH)</t>
  </si>
  <si>
    <t>YINHE Big Dipper(FH) 2</t>
  </si>
  <si>
    <t>YINHE Big Dipper(FH) 3</t>
  </si>
  <si>
    <t>Harricane 3 neo</t>
  </si>
  <si>
    <t>Merc</t>
  </si>
  <si>
    <t>H3 neo</t>
  </si>
  <si>
    <t>Tibhar Evolition MX-P 50</t>
  </si>
  <si>
    <t>V14</t>
  </si>
  <si>
    <t>970 C</t>
  </si>
  <si>
    <t>970 A</t>
  </si>
  <si>
    <t>970 K</t>
  </si>
  <si>
    <t>970XX K</t>
  </si>
  <si>
    <t>Uranus Poly 2.0</t>
  </si>
  <si>
    <t>Yinhe Big Deeper Spin</t>
  </si>
  <si>
    <t>Yinhe APOLLO II</t>
  </si>
  <si>
    <t>Yinhe Earth 2 hard</t>
  </si>
  <si>
    <t>H3</t>
  </si>
  <si>
    <t>H3neo</t>
  </si>
  <si>
    <t>BD</t>
  </si>
  <si>
    <t>V14 Pro</t>
  </si>
  <si>
    <t>970XX C</t>
  </si>
  <si>
    <t>970 ALC</t>
  </si>
  <si>
    <t>pro-01</t>
  </si>
  <si>
    <t>v-14 pro</t>
  </si>
  <si>
    <t>Moon 40</t>
  </si>
  <si>
    <t>DP</t>
  </si>
  <si>
    <t>Reserve</t>
  </si>
  <si>
    <t>BH Yinhe Earth 2</t>
  </si>
  <si>
    <t>Andro Rasanter R53</t>
  </si>
  <si>
    <t>10(6) -&gt; 43</t>
  </si>
  <si>
    <t>1 (6) -&gt; 28</t>
  </si>
  <si>
    <t>Pro-13S</t>
  </si>
  <si>
    <t>YINHE JUPITER 2 40</t>
  </si>
  <si>
    <t>https://www.youtube.com/watch?v=pSPkCFyxgto</t>
  </si>
  <si>
    <t>Xiom Omega 7 Europe</t>
  </si>
  <si>
    <t>Pr0-14</t>
  </si>
  <si>
    <t>H8</t>
  </si>
  <si>
    <t>Pr0-14 WITH Rubbs  + H8 + H8</t>
  </si>
  <si>
    <t xml:space="preserve"> more control </t>
  </si>
  <si>
    <t>Spin</t>
  </si>
  <si>
    <t>Teergy05</t>
  </si>
  <si>
    <t>fast speed</t>
  </si>
  <si>
    <t>Orange</t>
  </si>
  <si>
    <t>Blue</t>
  </si>
  <si>
    <t>менее треб к технике</t>
  </si>
  <si>
    <t>топспин более агрессивен и опасный</t>
  </si>
  <si>
    <t>Сукачевский</t>
  </si>
  <si>
    <t>Pro-14</t>
  </si>
  <si>
    <t>DelayBlade</t>
  </si>
  <si>
    <t>ИзгибЛезвия</t>
  </si>
  <si>
    <t>970xx K</t>
  </si>
  <si>
    <t>90 gram</t>
  </si>
  <si>
    <t>Weight</t>
  </si>
  <si>
    <t>Баланс</t>
  </si>
  <si>
    <t>Лезвие-Ручка</t>
  </si>
  <si>
    <t>Жескость</t>
  </si>
  <si>
    <t>средняя</t>
  </si>
  <si>
    <t>Карбон</t>
  </si>
  <si>
    <t>Под двумя слоями</t>
  </si>
  <si>
    <t>Вращение по месту</t>
  </si>
  <si>
    <t>Скорость при мощных топсов</t>
  </si>
  <si>
    <t>Большая задержка на основании Мягкое</t>
  </si>
  <si>
    <t>Первый ход, топсы, перекруты</t>
  </si>
  <si>
    <t>970 XX A</t>
  </si>
  <si>
    <t>970XX A InnerForce</t>
  </si>
  <si>
    <t>Лопасть</t>
  </si>
  <si>
    <t>Линейное</t>
  </si>
  <si>
    <t>Нелинейное</t>
  </si>
  <si>
    <t>Не гибкое Нелинейное</t>
  </si>
  <si>
    <t>Тамплин</t>
  </si>
  <si>
    <t>Palio</t>
  </si>
  <si>
    <t>ProPlan</t>
  </si>
  <si>
    <t>Когти</t>
  </si>
  <si>
    <t>Лежанки</t>
  </si>
  <si>
    <t>Приманка</t>
  </si>
  <si>
    <t>Игрушки</t>
  </si>
  <si>
    <t>Туалет</t>
  </si>
  <si>
    <t>Грация</t>
  </si>
  <si>
    <t>Тирвас</t>
  </si>
  <si>
    <t>Толванд</t>
  </si>
  <si>
    <t>L</t>
  </si>
  <si>
    <t>когтерез</t>
  </si>
  <si>
    <t>proplan</t>
  </si>
  <si>
    <t>приуч лоток</t>
  </si>
  <si>
    <t>игрушки</t>
  </si>
  <si>
    <t>Palio AK47 blue</t>
  </si>
  <si>
    <t>battle 2 = harricane orange</t>
  </si>
  <si>
    <t>61 seconds</t>
  </si>
  <si>
    <t>Viscaria</t>
  </si>
  <si>
    <t>TimmoBoll</t>
  </si>
  <si>
    <t>MuziTani</t>
  </si>
  <si>
    <t>Zhang Jike</t>
  </si>
  <si>
    <t>Mercury</t>
  </si>
  <si>
    <t>Moon speed medium</t>
  </si>
  <si>
    <t>Yinhe moon  medium</t>
  </si>
  <si>
    <t>Ali Beo</t>
  </si>
  <si>
    <t>M8O2HE3AMVF3</t>
  </si>
  <si>
    <t>Ghsports</t>
  </si>
  <si>
    <t>2OYMYT638T5P</t>
  </si>
  <si>
    <t>Red</t>
  </si>
  <si>
    <t>Black</t>
  </si>
  <si>
    <t>Soft</t>
  </si>
  <si>
    <t>Medium</t>
  </si>
  <si>
    <t>red</t>
  </si>
  <si>
    <t>medium</t>
  </si>
  <si>
    <t>soft</t>
  </si>
  <si>
    <t>black</t>
  </si>
  <si>
    <t>Н8</t>
  </si>
  <si>
    <t>TimmBool</t>
  </si>
  <si>
    <t>987 C</t>
  </si>
  <si>
    <t>987 A</t>
  </si>
  <si>
    <t>V14 1</t>
  </si>
  <si>
    <t>V14 2</t>
  </si>
  <si>
    <t>V14 3</t>
  </si>
  <si>
    <t>V14 PRO</t>
  </si>
  <si>
    <t>TimmBoll</t>
  </si>
  <si>
    <t>Muzitani</t>
  </si>
  <si>
    <t>H3 40</t>
  </si>
  <si>
    <t>H3 37</t>
  </si>
  <si>
    <t>H8 40</t>
  </si>
  <si>
    <t>H8 37</t>
  </si>
  <si>
    <t>V14 PRO Palio</t>
  </si>
  <si>
    <t>V14 PRO Ali</t>
  </si>
  <si>
    <t>V14 PRO 1 Ali</t>
  </si>
  <si>
    <t>V14 PRO 2 Ali</t>
  </si>
  <si>
    <t>https://aliexpress.ru/item/4000206063476.html?spm=a2g2w.orderlist.undefined.1.6cf94aa6amzvrt&amp;_evo_buckets=165609,165598,188872,194275,299288&amp;sku_id=10000015654661618&amp;gps-id=appTrackingRecommend&amp;scm=1007.34525.285488.0&amp;scm_id=1007.34525.285488.0&amp;scm-url=1007.34525.285488.0&amp;pvid=390bc514-eeb6-4ec6-92e4-23e18f47bd05&amp;_t=gps-id:appTrackingRecommend,scm-url:1007.34525.285488.0,pvid:390bc514-eeb6-4ec6-92e4-23e18f47bd05,tpp_buckets:24525%230%23285488%2320_21387%230%23267302%230_21387%239507%23434563%238_19670%230%23267178%2316_19670%233636%2316450%23133_19670%234867%23443522%23959_19670%235271%2324223%23592_19670%233633%2316436%23542_19670%232760%237734%23432_19670%233049%239254%23715_19670%233481%2315684%23877_19670%235120%2323476%23157&amp;ru_algo_pv_id=390bc514-eeb6-4ec6-92e4-23e18f47bd05&amp;scenario=appTrackingRecommend&amp;tpp_rcmd_bucket_id=285488&amp;traffic_source=recommendation</t>
  </si>
  <si>
    <t>TinArc5</t>
  </si>
  <si>
    <t>Saturn</t>
  </si>
  <si>
    <t>Sun</t>
  </si>
  <si>
    <t>Moon</t>
  </si>
  <si>
    <t>https://aliexpress.ru/item/1005003716540414.html?spm=a2g2w.detail.seller_rcmd.0.c933c6d8iZsZdJ&amp;_evo_buckets=165609,165598,188872,194275,299288&amp;gps-id=pcDetailBottomMoreThisSeller&amp;scm=1007.13339.291025.0&amp;scm_id=1007.13339.291025.0&amp;scm-url=1007.13339.291025.0&amp;pvid=9889dea2-1ddf-471f-b76b-0362ca2d4808&amp;_t=gps-id:pcDetailBottomMoreThisSeller,scm-url:1007.13339.291025.0,pvid:9889dea2-1ddf-471f-b76b-0362ca2d4808,tpp_buckets:21387%230%23233228%238_21387%239507%23434564%239&amp;sku_id=12000026913191255</t>
  </si>
  <si>
    <t>Big Dipper 2</t>
  </si>
  <si>
    <t>Jupiter 3 Asia</t>
  </si>
  <si>
    <t>Moon Speed 53</t>
  </si>
  <si>
    <t>TOP 10 ALC</t>
  </si>
  <si>
    <t>https://www.youtube.com/watch?v=brnx3v8O-Ms</t>
  </si>
  <si>
    <t>DHS Hurricane 301</t>
  </si>
  <si>
    <t>Many Control + Spped</t>
  </si>
  <si>
    <t>Tenergy XXX</t>
  </si>
  <si>
    <t>https://www.avito.ru/moskva/sport_i_otdyh/5_luchshih_analogov_nakladki_butterfly_tenergy_05_2637578311?yclid=7111190393442599001&amp;utm_medium=cpc&amp;utm_source=yandex&amp;avito_campaign_id=77322923&amp;utm_campaign=web_yd_c2c_good_all_rtg_g_190822_msc_lfst_smrtb-ret_sports&amp;utm_content=4994410027_12553523190&amp;utm_term=rttf.ru_desktop_%D0%9C%D0%BE%D1%81%D0%BA%D0%B2%D0%B0&amp;idfa=&amp;gps_adid=&amp;oaid=(NO%20HOSTOPTIONS%20ALLOWED:%20AID)&amp;adjust_t=bkgc5n_oxuwg2&amp;adjust_campaign=web_yd_c2c_good_all_rtg_g_190822_msc_lfst_smrtb-ret_sports&amp;adjust_adgroup=77322923&amp;adjust_creative=12553523190_&amp;adjust_ya_click_id=7111190393442599001</t>
  </si>
  <si>
    <t>https://www.youtube.com/watch?v=rN9QPUlnMn4</t>
  </si>
  <si>
    <t>DHS Hurricane 3 H39 Orange</t>
  </si>
  <si>
    <t>DHS hurricane 8 37° fh</t>
  </si>
  <si>
    <t>hurricane 8-80 37° bh</t>
  </si>
  <si>
    <t>RTTF</t>
  </si>
  <si>
    <t>Yinhe Venus 14 Pro</t>
  </si>
  <si>
    <t>DHS Hurricane 3 National....</t>
  </si>
  <si>
    <t>DHS Hurricane LONG 5...</t>
  </si>
  <si>
    <t>DHS Hurricane 3 Neo...</t>
  </si>
  <si>
    <t>DHS Hurricane 8-80</t>
  </si>
  <si>
    <t>DHS Hurricane Long 5</t>
  </si>
  <si>
    <t xml:space="preserve"> DHS Hurricane Long 5</t>
  </si>
  <si>
    <t>Xiom Omega V Tour</t>
  </si>
  <si>
    <t>Xiom Vega Pro</t>
  </si>
  <si>
    <t>Butterfly Petr Korbel (made...</t>
  </si>
  <si>
    <t>Yinhe 970XX K</t>
  </si>
  <si>
    <t>Butterfly Viscaria</t>
  </si>
  <si>
    <t>Butterfly A. Mazunov</t>
  </si>
  <si>
    <t>DHS TinArc 3</t>
  </si>
  <si>
    <t>Butterfly Primorac Сarbon</t>
  </si>
  <si>
    <t>DHS Hurricane 3 Neo</t>
  </si>
  <si>
    <t>Butterfly Tenergy 05 FX</t>
  </si>
  <si>
    <t>Tibhar Evolution MX-P</t>
  </si>
  <si>
    <t>Nittaku Fastarc G-1</t>
  </si>
  <si>
    <t>Attention</t>
  </si>
  <si>
    <t>Butterfly Boll Allround</t>
  </si>
  <si>
    <t>Stiga Dynasty Carbon</t>
  </si>
  <si>
    <t>Yinhe Y-2 Carbon</t>
  </si>
  <si>
    <t>Butterfly Korbel SK7</t>
  </si>
  <si>
    <t>Yasaka Rakza 7</t>
  </si>
  <si>
    <t>Tibhar Evolution MX-D</t>
  </si>
  <si>
    <t>Tibhar Evolution FX-P</t>
  </si>
  <si>
    <t>KTL/LKT Instinct</t>
  </si>
  <si>
    <t>Friendship Faster</t>
  </si>
  <si>
    <t>Friendship Focus II</t>
  </si>
  <si>
    <t>Butterfly Hadraw SR</t>
  </si>
  <si>
    <t>DHS Hurricane 3 Provincial....</t>
  </si>
  <si>
    <t>Donic Baracuda Big Slam</t>
  </si>
  <si>
    <t>Butterfly Primorac (made in...</t>
  </si>
  <si>
    <t>Xiom Vega Euro</t>
  </si>
  <si>
    <t>Neottec AL-S Off+</t>
  </si>
  <si>
    <t>Yinhe Mercury II</t>
  </si>
  <si>
    <t>Butterfly Petr Korbel</t>
  </si>
  <si>
    <t>Yinhe Big Dipper</t>
  </si>
  <si>
    <t>Andro Treiber C0 OFFS</t>
  </si>
  <si>
    <t>Donic Baracuda</t>
  </si>
  <si>
    <t>DHS Goldarc 5</t>
  </si>
  <si>
    <t>Yinhe Big Dipper IV</t>
  </si>
  <si>
    <t>Xiom Vega Asia</t>
  </si>
  <si>
    <t>Butterfly Dignics 09c</t>
  </si>
  <si>
    <t>Donic Bluefire M2</t>
  </si>
  <si>
    <t>DHS SkyLine 3</t>
  </si>
  <si>
    <t>V14 PRO All Asmbl</t>
  </si>
  <si>
    <t>RED</t>
  </si>
  <si>
    <t>Ali</t>
  </si>
  <si>
    <t>FL</t>
  </si>
  <si>
    <t>Расширенная</t>
  </si>
  <si>
    <t>ST</t>
  </si>
  <si>
    <t>Прямая</t>
  </si>
  <si>
    <t>AN</t>
  </si>
  <si>
    <t>Анатомическая</t>
  </si>
  <si>
    <t>Коническая</t>
  </si>
  <si>
    <t>Перо 2</t>
  </si>
  <si>
    <t>Перо 1</t>
  </si>
  <si>
    <t>Stiga</t>
  </si>
  <si>
    <t>729 крыло неба</t>
  </si>
  <si>
    <t>https://aliexpress.ru/item/4000636541117.html?sku_id=10000004632939781&amp;spm=a2g2w.productlist.list.13.44356518soGbMK</t>
  </si>
  <si>
    <t>DHS Harricane 2,3</t>
  </si>
  <si>
    <t>Stiga Mantra</t>
  </si>
  <si>
    <t>729 Frendship Focus 3</t>
  </si>
  <si>
    <t>Stiga Off Classic (All to All+)</t>
  </si>
  <si>
    <t>https://www.youtube.com/watch?v=YJzFJWeHd5w</t>
  </si>
  <si>
    <t>Har 3 Black</t>
  </si>
  <si>
    <t xml:space="preserve"> Dignics 09 (Red)</t>
  </si>
  <si>
    <t>Yinhe V14 H8H8  + Yinhe V!$</t>
  </si>
  <si>
    <t>Glue</t>
  </si>
  <si>
    <t>TENERGY</t>
  </si>
  <si>
    <t>Har 3 37</t>
  </si>
  <si>
    <t>Hurricane 3</t>
  </si>
  <si>
    <t>Skyline TG 3</t>
  </si>
  <si>
    <t>https://aliexpress.ru/item/32758584655.html?sku_id=10000000229575329&amp;spm=a2g2w.productlist.list.4.613225e4CgDBJU</t>
  </si>
  <si>
    <t>Yinhe JUPITER I</t>
  </si>
  <si>
    <t>Yinhe V14 pro</t>
  </si>
  <si>
    <t>https://aliexpress.ru/item/1005001493919664.html?sku_id=12000016336661883&amp;spm=a2g2w.productlist.list.14.613225e4CgDBJU</t>
  </si>
  <si>
    <t xml:space="preserve">T11 </t>
  </si>
  <si>
    <t>https://aliexpress.ru/item/32229525821.html?spm=a2g2w.productlist.list.7.613225e4CgDBJU&amp;sku_id=12000027492739448</t>
  </si>
  <si>
    <t>T8</t>
  </si>
  <si>
    <t>https://aliexpress.ru/item/1546678743.html?sku_id=10000015305764447&amp;spm=a2g2w.productlist.list.7.613225e4CgDBJU</t>
  </si>
  <si>
    <t>Neo sky line TG2</t>
  </si>
  <si>
    <t>https://aliexpress.ru/item/32796243853.html?sku_id=12000017750855058&amp;spm=a2g2w.productlist.list.8.613225e4CgDBJU</t>
  </si>
  <si>
    <t>T11</t>
  </si>
  <si>
    <t>https://aliexpress.ru/item/32708895178.html?sku_id=12000017749692953&amp;spm=a2g2w.productlist.list.5.613225e4CgDBJU</t>
  </si>
  <si>
    <t>MC2</t>
  </si>
  <si>
    <t>Skyline 3-60</t>
  </si>
  <si>
    <t>https://aliexpress.ru/item/32794693942.html?sku_id=63887515322&amp;spm=a2g2w.productlist.list.0.613225e4CgDBJU</t>
  </si>
  <si>
    <t>H301</t>
  </si>
  <si>
    <t>https://aliexpress.ru/item/4000206063476.html?sku_id=10000004325211884&amp;spm=a2g2w.productlist.list.3.613225e4CgDBJU</t>
  </si>
  <si>
    <t>https://aliexpress.ru/item/1854636606.html?sku_id=10000000252577305&amp;spm=a2g2w.productlist.list.4.7bf26e03ibqjd2</t>
  </si>
  <si>
    <t>Pro 13s</t>
  </si>
  <si>
    <t>Ak47 Jrange black</t>
  </si>
  <si>
    <t>Battle 2 Red</t>
  </si>
  <si>
    <t>https://www.youtube.com/watch?v=rwUMH8dlxbM</t>
  </si>
  <si>
    <t>970 A ALC</t>
  </si>
  <si>
    <t xml:space="preserve">Big Dipper </t>
  </si>
  <si>
    <t>Hurricane 3 40</t>
  </si>
  <si>
    <t>https://www.youtube.com/watch?v=LPXfnhPsXeU</t>
  </si>
  <si>
    <t>https://aliexpress.ru/item/32846214589.html?sku_id=65253544849&amp;spm=a2g2w.productlist.list.0.52d83fb1hpiTGr</t>
  </si>
  <si>
    <t>sfsf</t>
  </si>
  <si>
    <t>https://aliexpress.ru/item/10000026953664.html?spm=a2g2w.productlist.list.14.cf7a7c3bj9AbAY&amp;sku_id=20000000030511395</t>
  </si>
  <si>
    <t>SANWEI F3 PRO (5 + 2 ALC)</t>
  </si>
  <si>
    <t>https://aliexpress.ru/item/1854636606.html?sku_id=10000000252577305&amp;spm=a2g2w.productlist.list.4.7bf26e039wwPqR</t>
  </si>
  <si>
    <t>T8s + H3 + H3</t>
  </si>
  <si>
    <t>Top 10 1</t>
  </si>
  <si>
    <t>DHS Hurricane 3 National (blue sponge)</t>
  </si>
  <si>
    <t>Friendship Battle 2 ( blue sponge)</t>
  </si>
  <si>
    <t>Tenergy 05 Hard</t>
  </si>
  <si>
    <t>V&gt; 15 extra</t>
  </si>
  <si>
    <t>XIOM OMEGA ASIA</t>
  </si>
  <si>
    <t>Haifu Shark 3</t>
  </si>
  <si>
    <t>TG Skyline 3</t>
  </si>
  <si>
    <t>Sanwei Target National</t>
  </si>
  <si>
    <t>Fastarg G1</t>
  </si>
  <si>
    <t>Tibhar Evolution MX_P50</t>
  </si>
  <si>
    <t>https://www.youtube.com/watch?v=IDGjePUmeVM&amp;t=300s</t>
  </si>
  <si>
    <t>Compare</t>
  </si>
  <si>
    <t>https://www.youtube.com/watch?v=FOwd1UMRUzg</t>
  </si>
  <si>
    <t>Skyline 3 Neo</t>
  </si>
  <si>
    <t>Hurricane 3 neo</t>
  </si>
  <si>
    <t>Jupiter 2 H40</t>
  </si>
  <si>
    <t>ForHand</t>
  </si>
  <si>
    <t>stiga allround classic</t>
  </si>
  <si>
    <t>https://aliexpress.ru/wholesale?SearchText=stiga+allround+classic&amp;SortType=total_tranpro_desc&amp;g=y&amp;page=1</t>
  </si>
  <si>
    <t>https://aliexpress.ru/wholesale?SearchText=DHS+Hurricane+301&amp;SortType=total_tranpro_desc&amp;g=y&amp;page=1</t>
  </si>
  <si>
    <t>sanwei F3</t>
  </si>
  <si>
    <t>https://aliexpress.ru/wholesale?SearchText=sunwei+F3&amp;SortType=total_tranpro_desc&amp;g=y&amp;page=1</t>
  </si>
  <si>
    <t>DHS rubber</t>
  </si>
  <si>
    <t>https://aliexpress.ru/wholesale?SearchText=DHS+rubber&amp;SortType=total_tranpro_desc&amp;g=y&amp;page=1</t>
  </si>
  <si>
    <t>https://aliexpress.ru/item/1854636606.html?sku_id=10000001577319489&amp;spm=a2g2w.productlist.list.4.7bf26e03ibqjd2</t>
  </si>
  <si>
    <t>Yinhe T8s</t>
  </si>
  <si>
    <t>https://aliexpress.ru/wholesale?SearchText=Yinhe+T8s&amp;SortType=total_tranpro_desc&amp;g=y&amp;page=1</t>
  </si>
  <si>
    <t>H3 + TinArc</t>
  </si>
  <si>
    <t>Order</t>
  </si>
  <si>
    <t>H37</t>
  </si>
  <si>
    <t>H40</t>
  </si>
  <si>
    <t>As</t>
  </si>
  <si>
    <t>Order 2</t>
  </si>
  <si>
    <t>H35</t>
  </si>
  <si>
    <t>H38</t>
  </si>
  <si>
    <t>Visc</t>
  </si>
  <si>
    <t>TB</t>
  </si>
  <si>
    <t>Vsk</t>
  </si>
  <si>
    <t>VSK</t>
  </si>
  <si>
    <t>Tbol</t>
  </si>
  <si>
    <t>NY2023</t>
  </si>
  <si>
    <t>Arylate Carbon</t>
  </si>
  <si>
    <t>Yinhe</t>
  </si>
  <si>
    <t>T8S</t>
  </si>
  <si>
    <t>Kevlar</t>
  </si>
  <si>
    <t>DHS</t>
  </si>
  <si>
    <t>PG5, PG5X</t>
  </si>
  <si>
    <t>Venus.12</t>
  </si>
  <si>
    <t>Fang Bo</t>
  </si>
  <si>
    <t>Control near Table</t>
  </si>
  <si>
    <t xml:space="preserve">Lemuria </t>
  </si>
  <si>
    <t>CNF</t>
  </si>
  <si>
    <t>Butterfly Revoldia</t>
  </si>
  <si>
    <t>Sanwei</t>
  </si>
  <si>
    <t>F3</t>
  </si>
  <si>
    <t>Arylate</t>
  </si>
  <si>
    <t>Butterfly</t>
  </si>
  <si>
    <t>TB Spirit</t>
  </si>
  <si>
    <t>TB ALC</t>
  </si>
  <si>
    <t>Long 5</t>
  </si>
  <si>
    <t>OFF++</t>
  </si>
  <si>
    <t>Innerforce</t>
  </si>
  <si>
    <t>Hurricane Fang Bo B2</t>
  </si>
  <si>
    <t>Primorac</t>
  </si>
  <si>
    <t>Darker Speed 90</t>
  </si>
  <si>
    <t>Nittaku</t>
  </si>
  <si>
    <t>Acoustic</t>
  </si>
  <si>
    <t>Clipper/Carbonado</t>
  </si>
  <si>
    <t>Stratus Power Wood</t>
  </si>
  <si>
    <t>Offensive Classic</t>
  </si>
  <si>
    <t>Yasaka</t>
  </si>
  <si>
    <t>Ma Lin Carbon</t>
  </si>
  <si>
    <t>Gold Arc 50</t>
  </si>
  <si>
    <t>39,40</t>
  </si>
  <si>
    <t>Hurricane 3 Neo Provincial (Blue sponge)</t>
  </si>
  <si>
    <t>классическая китайская липучка на оранжевой губке в жесткости 37 градусов под игру слева</t>
  </si>
  <si>
    <t>37</t>
  </si>
  <si>
    <t>Hurricane 3 Neo Provincial (Blue sponge) - классическая китайская липучка под игру справа мощными вращениями, провинциальная версия накладки Hurricane 3 на элитной синей губке</t>
  </si>
  <si>
    <t>39,40,41</t>
  </si>
  <si>
    <t>220,215</t>
  </si>
  <si>
    <t>Hurricane 3 Neo Provincial (Orange sponge</t>
  </si>
  <si>
    <t>классическая китайская липучка на оранжевой губке, провинциальная версия</t>
  </si>
  <si>
    <t>Neo</t>
  </si>
  <si>
    <t>классическая китайская липучка под игру справа мощными вращениями, на элитной синей губке, провинциальная версия</t>
  </si>
  <si>
    <t>классическая китайская липучка под игру справа на оранжевой губке, провинциальная версия</t>
  </si>
  <si>
    <t>215</t>
  </si>
  <si>
    <t>Hurricane 8</t>
  </si>
  <si>
    <t>Hurricane 3 Provincial (Blue sponge)</t>
  </si>
  <si>
    <t>Hurricane 3 Provincial (Orange sponge)</t>
  </si>
  <si>
    <t>быстрая липучка на динамичной губке под игру справа, специально разработанная под игру новым пластиковым мячом 40+</t>
  </si>
  <si>
    <t>Hurricane 8-80</t>
  </si>
  <si>
    <t>37,38</t>
  </si>
  <si>
    <t>210</t>
  </si>
  <si>
    <t>знаменитый классический топшит DHS Hurricane 8 на новой более легкой эластичной губке 37/38 градусов</t>
  </si>
  <si>
    <t>популярнейшая классическая липучка, качественная коммерческая версия с маркировкой жесткости и толщины губки</t>
  </si>
  <si>
    <t>215, 220</t>
  </si>
  <si>
    <t>классическая китайская липучка, провинциальная версия накладки Hurricane 3 на элитной синей губке. Прекрасно подходит для игры справа мощными топспинами. Синяя губка с тензорным эффектом под водный клей, прекрасно подходит под обработку бустером, быстрее и мощнее оранжевой губки. После дополнительной обработки бустером все характеристики накладки резко возрастают.</t>
  </si>
  <si>
    <t>классическая китайская липучка, провинциальная версия накладки Hurricane 3 на мягкой оранжевой губке 37 градусов. Прекрасно подойдет для игры слева или для игры справа топспинами с сильными вращениями. Накладки на оранжевой губке не такие мощные как на синей, но более контрольные и долговечные. Накладки серии Neo уже имеют заводской слой бустера, но при желании, накладку можно обработать дополнительно, в следствии чего все характеристики значительно улучшатся</t>
  </si>
  <si>
    <t>классическая китайская липучка под игру справа, провинциальная версия на оранжевой губке, немного медленнее национальной версии. Прекрасно подойдет для атакующей игры мощными топспинами. Оранжевая губка чуть медленнее голубой по скорости, но контроль выше. Накладка очень долговечная. Желательно обрабатывать накладку бустером, в следствие чего, показатели скорости и вращения значительно увеличиваются. Рекомендуется ставить на быстрые жесткие основания.</t>
  </si>
  <si>
    <t>классическая китайская липучка под игру справа, провинциальная версия на элитной синей губке, немного медленнее национальной версии. Голубая губка прекрасно подходит под обработку бустером, быстрее и мощнее оранжевой губки. Одна из лучших накладок на рынке для игры справа мощными топспинами.</t>
  </si>
  <si>
    <t>быстрая средне-жесткая липучка под игру справа, специально разработанная под игру новым пластиковым мячом 40+, имеет более высокую скорость чем Hurricane 3, сверхлипкий топшит на мощной динамичной губке с эффектом катапульты, позволяет создавать сильнейшие вращения. Обработка бустером желательна, т.к. сильно увеличивает характеристики накладки.</t>
  </si>
  <si>
    <t>HURRICANE 3-50</t>
  </si>
  <si>
    <t>37,35</t>
  </si>
  <si>
    <t>версия популярнейшей накладки с классическим липким топшитом на более мягких и эластичных губках 35° и 37°, специально разработана под игру пластиковым мячом, подходит преимущественно под игру слева</t>
  </si>
  <si>
    <t>Версия популярнейшей накладки с классическим липким топшитом на более мягких и эластичных губках 35° и 37°. У DHS HURRICANE 3-50 губка более мягкая и эластичная, чем у обычной версии, что позволяет выполнять топспины с сильнейшим вращением. Хорошо подойдет для желающих перейти на игру китайскими липучками, а также будет хорошим выбором для игры слева, или для игры справа, основанной на сильных вращениях. Не требует обязательной дополнительной обработки</t>
  </si>
  <si>
    <t>Hardness</t>
  </si>
  <si>
    <t>Твердость</t>
  </si>
  <si>
    <t>Stiffness</t>
  </si>
  <si>
    <t>Жесткость</t>
  </si>
  <si>
    <t>Щгеук</t>
  </si>
  <si>
    <t>Outer Ply</t>
  </si>
  <si>
    <t>Ощущение внешнего слоя лезвия</t>
  </si>
  <si>
    <t>Composition</t>
  </si>
  <si>
    <t>Состав, толщина лопасти</t>
  </si>
  <si>
    <t>Гибкость</t>
  </si>
  <si>
    <t>Противоположность</t>
  </si>
  <si>
    <t>Кумщдвшф</t>
  </si>
  <si>
    <t>DHS Hurricane 3 - классическая китайская липучка, предназначена для вариативной атакующей игры топспинами, чуть мягче чем DHS Hurricane 2. Этой накладкой прекрасно выполнять как силовые топспины, так и топспины с сильным вращением. Желательно производить обработку бустером, в этом случае все характеристики накладки резко увеличиваются. Качественная коммерческая версия с маркировкой жесткости и толщины губки.</t>
  </si>
  <si>
    <t>DHS Hurricane 3 Neo Provincial 37 for Backhand(Orange sponge)</t>
  </si>
  <si>
    <t>H880</t>
  </si>
  <si>
    <t>H350</t>
  </si>
  <si>
    <t>H8_40</t>
  </si>
  <si>
    <t>H8_37</t>
  </si>
  <si>
    <t>BH, FH</t>
  </si>
  <si>
    <t>знаменитый классический топшит DHS Hurricane 8 на новой более легкой эластичной губке 37/38 градусов. Новая губка обладает рядом существенных преимуществ по сравнению с классическим вариантом, она более легкая и эластичная, ее гораздо легче прожимать, благодаря чему задержка мяча на накладке значительно увеличивается, позволяя создать максимум вращения. Также, благодаря тому, что накладку удалось сделать более эластичной и мягкой, обрабатывать мяч стало значительно легче, что положительно сказывается на общем контроле, улучшая прием подач, короткую игру и игру на блоке. Игра же топспинами всегда была сильной стороной данного типа накладок, но благодаря новой губке и здесь заметны улучшения - варьировать вращение стало значительно легче, выполняя, как тонкие топспины с сильнейшим вращением, так и быстрые взрывные топ-удары. Очень удачная новая модификация знаменитой накладки, которую из класса классических липучек, можно перевести в новый тип атакующих накладок - гибриды, где классический липкий топшит очень удачно совмещен с современной новой эластичной губкой.</t>
  </si>
  <si>
    <t>Boost</t>
  </si>
  <si>
    <t>FH,BH</t>
  </si>
  <si>
    <t>DHS Skyline TG 3</t>
  </si>
  <si>
    <t>https://aliexpress.ru/item/32758584655.html?spm=a2g2w.home.moretolove.1.75df5931UOcN5X&amp;gps-id=pcBestMore2Love&amp;scm=1007.40000.317776.0&amp;scm_id=1007.40000.317776.0&amp;scm-url=1007.40000.317776.0&amp;pvid=36b21291-1a34-4ac6-917e-1b01808ab6bf&amp;_t=gps-id:pcBestMore2Love,scm-url:1007.40000.317776.0,pvid:36b21291-1a34-4ac6-917e-1b01808ab6bf,tpp_buckets:668%232846%238110%231995&amp;pdp_ext_f=%7B%22sku_id%22%3A%2210000001577129113%22%2C%22sceneId%22%3A%2230000%22%7D&amp;pdp_npi=2%40dis%21RUB%216276.31%215209.05%21%21%21%21%21%402116569e16713052845202215e03e4%2110000001577129113%21rec&amp;_ga=2.113748679.1368552409.1670026911-2110988949.1657403933&amp;sku_id=10000001577129113</t>
  </si>
  <si>
    <t>DHS POWER.G13 PG.13 PG 13 OFF+2</t>
  </si>
  <si>
    <t>Sanwei KING KONG 2 KINGKONG 2 5 + 2 Carbon</t>
  </si>
  <si>
    <t>XIOM VEGA Asia</t>
  </si>
  <si>
    <t>https://aliexpress.ru/item/4000202464327.html?spm=a2g2w.home.moretolove.0.75df5931AbQYcK&amp;gps-id=pcBestMore2Love&amp;scm=1007.40000.317776.0&amp;scm_id=1007.40000.317776.0&amp;scm-url=1007.40000.317776.0&amp;pvid=c7ecf121-18ef-4734-96c0-002ed895ea39&amp;_t=gps-id:pcBestMore2Love,scm-url:1007.40000.317776.0,pvid:c7ecf121-18ef-4734-96c0-002ed895ea39,tpp_buckets:668%232846%238110%23357&amp;pdp_ext_f=%7B%22sku_id%22%3A%2210000000770818015%22%2C%22sceneId%22%3A%2230000%22%7D&amp;pdp_npi=2%40dis%21RUB%217091.35%216737.08%21%21%21%21%21%402116569e16713054760584240e03e6%2110000000770818015%21rec&amp;_ga=2.110544581.1368552409.1670026911-2110988949.1657403933&amp;sku_id=10000000770818015</t>
  </si>
  <si>
    <t>Dhs Hurricane</t>
  </si>
  <si>
    <t>DHS G555</t>
  </si>
  <si>
    <t>https://aliexpress.ru/item/1005003538641604.html?spm=a2g2w.detail.seller_rcmd.0.6f837b7fUOy3IY&amp;_evo_buckets=165609,165598,188872,194275,299288&amp;sku_id=12000026217287937&amp;gps-id=pcDetailBottomMoreThisSeller&amp;scm=1007.13339.291025.0&amp;scm_id=1007.13339.291025.0&amp;scm-url=1007.13339.291025.0&amp;pvid=fdb3ae59-7dd6-4fba-931f-3621bbcd2b7c&amp;_t=gps-id:pcDetailBottomMoreThisSeller,scm-url:1007.13339.291025.0,pvid:fdb3ae59-7dd6-4fba-931f-3621bbcd2b7c,tpp_buckets:21387%230%23233228%232_21387%239507%23434560%235</t>
  </si>
  <si>
    <t>DHS Long 5</t>
  </si>
  <si>
    <t>DHS Hurricane 3 (Prov) Blue H39</t>
  </si>
  <si>
    <t>DHS Hurricane 3 (Prov) Orange H39</t>
  </si>
  <si>
    <t>https://aliexpress.ru/item/32986897391.html?spm=a2g2w.detail.seller_rcmd.1.17124e8cBFHs3t&amp;_evo_buckets=165609,165598,188872,194275,299288&amp;sku_id=66840882002&amp;gps-id=pcDetailBottomMoreThisSeller&amp;scm=1007.13339.291025.0&amp;scm_id=1007.13339.291025.0&amp;scm-url=1007.13339.291025.0&amp;pvid=98e24aa8-669e-468c-9ce1-2a466c628350&amp;_t=gps-id:pcDetailBottomMoreThisSeller,scm-url:1007.13339.291025.0,pvid:98e24aa8-669e-468c-9ce1-2a466c628350,tpp_buckets:21387%230%23233228%239_21387%239507%23434560%235</t>
  </si>
  <si>
    <t>DHS Hurricane 3 (National) Blue H39</t>
  </si>
  <si>
    <t>DHS Hurricane 3 (National) Orange H39</t>
  </si>
  <si>
    <t>DHS Hurricane 3 Neo Provincial (Orange sponge) - классическая китайская липучка, провинциальная версия накладки Hurricane 3 на оранжевой губке. Прекрасно подходит для игры справа мощными топспинами. Накладки на оранжевой губке не такие мощные как на синей, но более контрольные и долговечные. Накладки серии Neo уже имеют заводской слой бустера, но при желании, накладку можно обработать дополнительно, в следствии чего все характеристики значительно улучшатся.</t>
  </si>
  <si>
    <t>https://aliexpress.ru/item/4000206063476.html?spm=a2g2w.home.moretolove.11.75df5931y3wUvq&amp;gps-id=pcBestMore2Love&amp;scm=1007.40000.317776.0&amp;scm_id=1007.40000.317776.0&amp;scm-url=1007.40000.317776.0&amp;pvid=fce1a111-71a7-4864-9be4-fa47510eef55&amp;_t=gps-id:pcBestMore2Love,scm-url:1007.40000.317776.0,pvid:fce1a111-71a7-4864-9be4-fa47510eef55,tpp_buckets:668%232846%238110%23357&amp;pdp_ext_f=%7B%22sku_id%22%3A%2210000015654661618%22%2C%22sceneId%22%3A%2230000%22%7D&amp;pdp_npi=2%40dis%21RUB%2111833.71%2110413.67%21%21%21%21%21%402116590d16713057538526415e03fa%2110000015654661618%21rec&amp;_ga=2.177114725.1368552409.1670026911-2110988949.1657403933&amp;sku_id=10000004325211885</t>
  </si>
  <si>
    <t>YINHE Galaxy MC-2</t>
  </si>
  <si>
    <t>DHS NEO Hurricane 3</t>
  </si>
  <si>
    <t>NEO Skyline TG2</t>
  </si>
  <si>
    <t>https://aliexpress.ru/item/32796243853.html?spm=a2g2w.detail.seller_rcmd.0.34a5633d6w4JTG&amp;_evo_buckets=165609,165598,188872,194275,299288&amp;sku_id=12000017750855058&amp;gps-id=pcDetailBottomMoreThisSeller&amp;scm=1007.13339.291025.0&amp;scm_id=1007.13339.291025.0&amp;scm-url=1007.13339.291025.0&amp;pvid=5086aedd-4183-45c5-a3f5-29fa0ab40761&amp;_t=gps-id:pcDetailBottomMoreThisSeller,scm-url:1007.13339.291025.0,pvid:5086aedd-4183-45c5-a3f5-29fa0ab40761,tpp_buckets:21387%230%23233228%233_21387%239507%23434560%235</t>
  </si>
  <si>
    <t>DHS POWER.G9 PG9</t>
  </si>
  <si>
    <t>NEO Hurricane3</t>
  </si>
  <si>
    <t>729-08</t>
  </si>
  <si>
    <t>https://aliexpress.ru/item/32983802904.html?spm=a2g2w.detail.seller_rcmd.3.1ca2633dzk4OF6&amp;_evo_buckets=165609,165598,188872,194275,299288&amp;sku_id=10000001586746946&amp;gps-id=pcDetailBottomMoreThisSeller&amp;scm=1007.13339.291025.0&amp;scm_id=1007.13339.291025.0&amp;scm-url=1007.13339.291025.0&amp;pvid=088ab2d5-b0f2-4266-a2c5-9c54bfc1b6c0&amp;_t=gps-id:pcDetailBottomMoreThisSeller,scm-url:1007.13339.291025.0,pvid:088ab2d5-b0f2-4266-a2c5-9c54bfc1b6c0,tpp_buckets:21387%230%23233228%235_21387%239507%23434560%235</t>
  </si>
  <si>
    <t>YINHE T-11 + T11S</t>
  </si>
  <si>
    <t>61 секундной молнией DS LST</t>
  </si>
  <si>
    <t>https://aliexpress.ru/item/32708895178.html?spm=a2g2w.detail.seller_rcmd.6.8ff0104caa69i9&amp;_evo_buckets=165609,165598,188872,194275,299288&amp;sku_id=12000017749692953&amp;gps-id=pcDetailBottomMoreThisSeller&amp;scm=1007.13339.291025.0&amp;scm_id=1007.13339.291025.0&amp;scm-url=1007.13339.291025.0&amp;pvid=07fd6a53-d350-4b88-9ac4-e86673be53e0&amp;_t=gps-id:pcDetailBottomMoreThisSeller,scm-url:1007.13339.291025.0,pvid:07fd6a53-d350-4b88-9ac4-e86673be53e0,tpp_buckets:21387%230%23233228%234_21387%239507%23434562%237</t>
  </si>
  <si>
    <t>YINHE</t>
  </si>
  <si>
    <t>DHS POWER G7 PG7 PG.7 PG 7</t>
  </si>
  <si>
    <t>729 Focus III</t>
  </si>
  <si>
    <t>https://aliexpress.ru/item/1854567991.html?spm=a2g2w.detail.seller_rcmd.1.6f837b7fUOy3IY&amp;_evo_buckets=165609,165598,188872,194275,299288&amp;sku_id=10000011379912099&amp;gps-id=pcDetailBottomMoreThisSeller&amp;scm=1007.13339.291025.0&amp;scm_id=1007.13339.291025.0&amp;scm-url=1007.13339.291025.0&amp;pvid=fdb3ae59-7dd6-4fba-931f-3621bbcd2b7c&amp;_t=gps-id:pcDetailBottomMoreThisSeller,scm-url:1007.13339.291025.0,pvid:fdb3ae59-7dd6-4fba-931f-3621bbcd2b7c,tpp_buckets:21387%230%23233228%232_21387%239507%23434560%235</t>
  </si>
  <si>
    <t>DHS Power.G7 PG7 PG.7</t>
  </si>
  <si>
    <t>NEO Hurricane 3</t>
  </si>
  <si>
    <t>https://aliexpress.ru/item/1005003327922153.html?spm=a2g2w.detail.seller_rcmd.1.5c5053dcmNfyqa&amp;_evo_buckets=165609,165598,188872,194275,299288&amp;sku_id=12000028211025782&amp;gps-id=pcDetailBottomMoreThisSeller&amp;scm=1007.13339.291025.0&amp;scm_id=1007.13339.291025.0&amp;scm-url=1007.13339.291025.0&amp;pvid=a5d6cd4f-bb8c-43b2-b036-7463299f6457&amp;_t=gps-id:pcDetailBottomMoreThisSeller,scm-url:1007.13339.291025.0,pvid:a5d6cd4f-bb8c-43b2-b036-7463299f6457,tpp_buckets:21387%230%23233228%233_21387%239507%23434560%235</t>
  </si>
  <si>
    <t>NEO Hurricaneane3</t>
  </si>
  <si>
    <t>Sanwei HC6S</t>
  </si>
  <si>
    <t>https://aliexpress.ru/item/32605690990.html?spm=a2g2w.detail.seller_rcmd.2.19136cdb6ERTO7&amp;_evo_buckets=165609,165598,188872,194275,299288&amp;sku_id=10000013435093031&amp;gps-id=pcDetailBottomMoreThisSeller&amp;scm=1007.13339.291025.0&amp;scm_id=1007.13339.291025.0&amp;scm-url=1007.13339.291025.0&amp;pvid=3c0f1519-1387-4a96-8df0-11a5c35f9cf5&amp;_t=gps-id:pcDetailBottomMoreThisSeller,scm-url:1007.13339.291025.0,pvid:3c0f1519-1387-4a96-8df0-11a5c35f9cf5,tpp_buckets:21387%230%23233228%234_21387%239507%23434558%233</t>
  </si>
  <si>
    <t>YINHE T8s</t>
  </si>
  <si>
    <t>DHS NEO Hurricane3</t>
  </si>
  <si>
    <t>https://aliexpress.ru/item/1854636606.html?spm=a2g2w.cart.cart_split.23.50234aa6zg0T8L&amp;sku_id=10000000252577305&amp;_ga=2.182297191.1368552409.1670026911-2110988949.1657403933</t>
  </si>
  <si>
    <t>YINHE версия V-14</t>
  </si>
  <si>
    <t>https://aliexpress.ru/item/1005002060151541.html?spm=a2g2w.cart.cart_split.50.50234aa66LgNe7&amp;sku_id=12000018594498141&amp;_ga=2.173909347.1368552409.1670026911-2110988949.1657403933</t>
  </si>
  <si>
    <t>PG5</t>
  </si>
  <si>
    <t>Yinhe Venus 3</t>
  </si>
  <si>
    <t>Hurricane 3-50 H37</t>
  </si>
  <si>
    <t>https://www.youtube.com/watch?v=vNgjrnRancQ</t>
  </si>
  <si>
    <t>PG5X</t>
  </si>
  <si>
    <t>Fast</t>
  </si>
  <si>
    <t>970XA</t>
  </si>
  <si>
    <t>Jan Jike</t>
  </si>
  <si>
    <t>H8-80</t>
  </si>
  <si>
    <t>Muz</t>
  </si>
  <si>
    <t>TB, V14</t>
  </si>
  <si>
    <t>gonchar</t>
  </si>
  <si>
    <t>Muzi</t>
  </si>
  <si>
    <t>Boer Lion</t>
  </si>
  <si>
    <t>Poplar</t>
  </si>
  <si>
    <t>Carbon</t>
  </si>
  <si>
    <t>Pine</t>
  </si>
  <si>
    <t>Paulownia</t>
  </si>
  <si>
    <t>DHS Ураган 301</t>
  </si>
  <si>
    <t>Rating</t>
  </si>
  <si>
    <t>Power-G PG5-X</t>
  </si>
  <si>
    <t>V-14 PRO</t>
  </si>
  <si>
    <t>DHS Ураган 301X</t>
  </si>
  <si>
    <t>Boer</t>
  </si>
  <si>
    <t>X5</t>
  </si>
  <si>
    <t>Lion</t>
  </si>
  <si>
    <t>Dalbergia</t>
  </si>
  <si>
    <t>Iron Sword Wood</t>
  </si>
  <si>
    <t>RatioCtrl</t>
  </si>
  <si>
    <t>Zhang Jike ALC</t>
  </si>
  <si>
    <t>Jun Muzitani</t>
  </si>
  <si>
    <t>Timo Bol ALC</t>
  </si>
  <si>
    <t>Petr Corbel</t>
  </si>
  <si>
    <t>Power-G PG9</t>
  </si>
  <si>
    <t>Power-G PG7</t>
  </si>
  <si>
    <t>Power-G PG8</t>
  </si>
  <si>
    <t>Power-G PG2</t>
  </si>
  <si>
    <t>T-2S</t>
  </si>
  <si>
    <t>T-8S</t>
  </si>
  <si>
    <t>Zhang Jike ZLC</t>
  </si>
  <si>
    <t>Offensive Classic WRB</t>
  </si>
  <si>
    <t>Offensive Classic OC</t>
  </si>
  <si>
    <t>Allround Classic Carbon</t>
  </si>
  <si>
    <t>Clipper</t>
  </si>
  <si>
    <t>Clipper CR WRB</t>
  </si>
  <si>
    <t>Carbonado</t>
  </si>
  <si>
    <t>Carbonado 45</t>
  </si>
  <si>
    <t>Carbonado 90</t>
  </si>
  <si>
    <t>Universal Classic</t>
  </si>
  <si>
    <t>Allround Classic CR</t>
  </si>
  <si>
    <t>Allround Classic WRB</t>
  </si>
  <si>
    <t>Allround Classic CR  WRB</t>
  </si>
  <si>
    <t>Offensive Classic CR</t>
  </si>
  <si>
    <t>Offensive Classic CR WRB</t>
  </si>
  <si>
    <t>Offensive Classic Carbon</t>
  </si>
  <si>
    <t>T-11S</t>
  </si>
  <si>
    <t>T-4S</t>
  </si>
  <si>
    <t>970 XX-C</t>
  </si>
  <si>
    <t>970 XX-A</t>
  </si>
  <si>
    <t>970 XX-K</t>
  </si>
  <si>
    <t>Pro 13S</t>
  </si>
  <si>
    <t>Power-G PG3 Hurr Hao</t>
  </si>
  <si>
    <t>Power-G PG5 Long 5</t>
  </si>
  <si>
    <t>Loki</t>
  </si>
  <si>
    <t>V9 Black Tree</t>
  </si>
  <si>
    <t>Atemi</t>
  </si>
  <si>
    <t>5000 Balsa Carbon</t>
  </si>
  <si>
    <t>Mercury Y-11</t>
  </si>
  <si>
    <t>Mercury Y-13</t>
  </si>
  <si>
    <t>Mercury Y-14</t>
  </si>
  <si>
    <t>Mercury Y-15</t>
  </si>
  <si>
    <t>Mercury Y-16</t>
  </si>
  <si>
    <t>Mercury Y-12</t>
  </si>
  <si>
    <t>Hard Sticky Rubbers</t>
  </si>
  <si>
    <t>Wang Li Qin</t>
  </si>
  <si>
    <t>https://aliexpress.ru/item/32713348133.html?sku_id=10000001673055694&amp;spm=a2g2w.productlist.search_results.13.60944aa6RrT9O4</t>
  </si>
  <si>
    <t>SumHard</t>
  </si>
  <si>
    <t>Mars 2</t>
  </si>
  <si>
    <t>??????</t>
  </si>
  <si>
    <t>Acoustic Carbon</t>
  </si>
  <si>
    <t>C</t>
  </si>
  <si>
    <t>b14</t>
  </si>
  <si>
    <t>a</t>
  </si>
  <si>
    <t>с</t>
  </si>
  <si>
    <t>v14</t>
  </si>
  <si>
    <t>Sunwei</t>
  </si>
  <si>
    <t>F3 Pro</t>
  </si>
  <si>
    <t>Hurricane Fan Bo All wood</t>
  </si>
  <si>
    <t>Hurricane Fan Bo2 ALC</t>
  </si>
  <si>
    <t>https://www.youtube.com/watch?v=brnx3v8O-Ms&amp;t=1s</t>
  </si>
  <si>
    <t>koto - hard</t>
  </si>
  <si>
    <t xml:space="preserve">PG5 </t>
  </si>
  <si>
    <t>Revoldia</t>
  </si>
  <si>
    <t>Lemuria DIY VIS</t>
  </si>
  <si>
    <t>Ayous</t>
  </si>
  <si>
    <t>Kiri</t>
  </si>
  <si>
    <t>ALC</t>
  </si>
  <si>
    <t>Koto</t>
  </si>
  <si>
    <t>https://aliexpress.ru/item/1005001971678636.html?spm=a2g2w.productlist.search_results.8.436f4aa6set5n9&amp;sku_id=12000018273452351</t>
  </si>
  <si>
    <t>Revoldia CNF</t>
  </si>
  <si>
    <t>REVOLDIA CNF из целлюлозного нановолокна</t>
  </si>
  <si>
    <t>https://aliexpress.ru/item/1005001365056356.html?spm=a2g2w.favourites.mywishlist.46.3c1f4aa6KOt4yR&amp;_ga=2.174040419.1368552409.1670026911-2110988949.1657403933&amp;sku_id=12000015820079607#reviews_anchor</t>
  </si>
  <si>
    <t>Nittaku Acoustic</t>
  </si>
  <si>
    <t>Limba</t>
  </si>
  <si>
    <t>Alc</t>
  </si>
  <si>
    <t>https://aliexpress.ru/item/1005004037575164.html?spm=a2g2w.productlist.search_results.4.436f4aa6set5n9&amp;sku_id=12000027819152225</t>
  </si>
  <si>
    <t>TBoll</t>
  </si>
  <si>
    <t>https://aliexpress.ru/item/4000959859009.html?spm=a2g2w.productlist.search_results.3.436f4aa6set5n9&amp;sku_id=10000012670900845</t>
  </si>
  <si>
    <t>https://aliexpress.ru/item/4001121862405.html?spm=a2g2w.productlist.search_results.2.436f4aa6set5n9&amp;sku_id=10000014550790278</t>
  </si>
  <si>
    <t>Table-Tennis Store (Рейтинг 91.64 %)</t>
  </si>
  <si>
    <t>Ping-Pong Store (Рейтинг 88.4 %)</t>
  </si>
  <si>
    <t>Super ALC</t>
  </si>
  <si>
    <t>SALC</t>
  </si>
  <si>
    <t>Fan Zhen Dong  ALC</t>
  </si>
  <si>
    <t>FZD ALC</t>
  </si>
  <si>
    <t>https://aliexpress.ru/item/1005004808523577.html?spm=a2g2w.productlist.search_results.0.436f4aa6set5n9&amp;sku_id=12000030572407398</t>
  </si>
  <si>
    <t>https://aliexpress.ru/item/1005004403356055.html?spm=a2g2w.productlist.search_results.1.436f4aa6set5n9&amp;sku_id=12000029054138440</t>
  </si>
  <si>
    <t>Viscaria Super ALC</t>
  </si>
  <si>
    <t>Vis SALC</t>
  </si>
  <si>
    <t>Apolonia</t>
  </si>
  <si>
    <t>https://aliexpress.ru/item/32967619258.html?spm=a2g2w.productlist.search_results.7.436f4aa6set5n9&amp;sku_id=66627396842</t>
  </si>
  <si>
    <t>Inner Fiber + ZLC</t>
  </si>
  <si>
    <t>Super ZLC</t>
  </si>
  <si>
    <t>Lin Yun-Ju Super ZLC</t>
  </si>
  <si>
    <t>https://aliexpress.ru/item/1005002292947100.html?spm=a2g2w.productlist.search_results.19.436f4aa6set5n9&amp;sku_id=12000019946925862</t>
  </si>
  <si>
    <t>Innerforce ZLC</t>
  </si>
  <si>
    <t>ZLC</t>
  </si>
  <si>
    <t>https://aliexpress.ru/item/4001111927284.html?spm=a2g2w.productlist.search_results.18.436f4aa6set5n9&amp;sku_id=10000014443118803</t>
  </si>
  <si>
    <t>Innerforce Layer ZLC</t>
  </si>
  <si>
    <t>https://aliexpress.ru/item/4000786053796.html?spm=a2g2w.productlist.search_results.17.436f4aa6set5n9&amp;sku_id=10000007820695835</t>
  </si>
  <si>
    <t>https://aliexpress.ru/item/33006012158.html?spm=a2g2w.productlist.search_results.15.436f4aa6set5n9&amp;sku_id=67059182714</t>
  </si>
  <si>
    <t>https://aliexpress.ru/item/4001057434249.html?spm=a2g2w.productlist.search_results.14.436f4aa6set5n9&amp;sku_id=10000013899539294</t>
  </si>
  <si>
    <t>El</t>
  </si>
  <si>
    <t>https://aliexpress.ru/item/4000786087014.html?spm=a2g2w.productlist.search_results.13.436f4aa6set5n9&amp;sku_id=10000007820581702</t>
  </si>
  <si>
    <t>Grey Unknown</t>
  </si>
  <si>
    <t>SZLC</t>
  </si>
  <si>
    <t>https://aliexpress.ru/item/1005003380525214.html?spm=a2g2w.productlist.search_results.12.436f4aa6set5n9&amp;sku_id=12000025511836615</t>
  </si>
  <si>
    <t>Zhang Jike Super ZLC</t>
  </si>
  <si>
    <t>Lin Gaoyuan ALC</t>
  </si>
  <si>
    <t>Lemuria</t>
  </si>
  <si>
    <t>https://aliexpress.ru/item/4000761702194.html?spm=a2g2w.productlist.search_results.10.436f4aa6set5n9&amp;sku_id=10000007564516553</t>
  </si>
  <si>
    <t>Fan Zhen Dong ALC</t>
  </si>
  <si>
    <t>Arylate-Carbon</t>
  </si>
  <si>
    <t>Harimoto</t>
  </si>
  <si>
    <t>https://aliexpress.ru/item/1005001391597564.html?spm=a2g2w.productlist.search_results.6.436f4aa6set5n9&amp;sku_id=12000015917543852</t>
  </si>
  <si>
    <t>https://aliexpress.ru/item/1005004037601966.html?spm=a2g2w.productlist.search_results.4.436f4aa6set5n9&amp;sku_id=12000027819506568</t>
  </si>
  <si>
    <t>Bahua,Limba</t>
  </si>
  <si>
    <t xml:space="preserve">ZLC </t>
  </si>
  <si>
    <t>Ebeny</t>
  </si>
  <si>
    <t>https://aliexpress.ru/item/4001112215156.html?spm=a2g2w.productlist.search_results.0.436f4aa6set5n9&amp;sku_id=10000014447282005</t>
  </si>
  <si>
    <t>https://aliexpress.ru/item/1005003395288264.html?spm=a2g2w.productlist.search_results.8.436f4aa6set5n9&amp;sku_id=12000025586835897</t>
  </si>
  <si>
    <t>https://aliexpress.ru/item/32967619258.html?spm=a2g2w.productlist.search_results.9.436f4aa6set5n9&amp;sku_id=66627396842</t>
  </si>
  <si>
    <t>Mizutani Super ZLC</t>
  </si>
  <si>
    <t>https://aliexpress.ru/item/1005002707341386.html?spm=a2g2w.productlist.search_results.18.436f4aa6set5n9&amp;sku_id=12000021799902546</t>
  </si>
  <si>
    <t>Harimoto InnerForce Super ZLC</t>
  </si>
  <si>
    <t>Super ZLC Lin Yun Ju</t>
  </si>
  <si>
    <t>GOLD ZLC</t>
  </si>
  <si>
    <t>https://aliexpress.ru/item/1005004808644574.html?spm=a2g2w.productlist.search_results.1.436f4aa6set5n9&amp;sku_id=12000030572806795</t>
  </si>
  <si>
    <t>Ebony</t>
  </si>
  <si>
    <t>https://aliexpress.ru/item/1005004864196072.html?spm=a2g2w.home.moretolove.0.75df5931p0jPOF&amp;gps-id=pcBestMore2Love&amp;scm=1007.40000.317776.0&amp;scm_id=1007.40000.317776.0&amp;scm-url=1007.40000.317776.0&amp;pvid=c0ebb6ec-b5b5-45e4-9ae4-36f381225994&amp;_t=gps-id:pcBestMore2Love,scm-url:1007.40000.317776.0,pvid:c0ebb6ec-b5b5-45e4-9ae4-36f381225994,tpp_buckets:668%232846%238110%23357&amp;pdp_ext_f=%7B%22sku_id%22%3A%2212000030798807315%22%2C%22sceneId%22%3A%2230000%22%7D&amp;pdp_npi=2%40dis%21RUB%214366.4%213492.95%21%21%21%21%21%402116752f16726351231985849e0376%2112000030798807315%21rec&amp;_ga=2.173908451.1368552409.1670026911-2110988949.1657403933&amp;sku_id=12000030798807315</t>
  </si>
  <si>
    <t>https://aliexpress.ru/item/32813724401.html?spm=a2g2w.home.moretolove.45.75df5931p0jPOF&amp;gps-id=pcBestMore2Love&amp;scm=1007.40000.317776.0&amp;scm_id=1007.40000.317776.0&amp;scm-url=1007.40000.317776.0&amp;pvid=526b3eb3-1e58-415f-a298-80052d296aed&amp;_t=gps-id:pcBestMore2Love,scm-url:1007.40000.317776.0,pvid:526b3eb3-1e58-415f-a298-80052d296aed,tpp_buckets:668%232846%238110%23357&amp;pdp_ext_f=%7B%22sku_id%22%3A%2210000001643900687%22%2C%22sceneId%22%3A%2230000%22%7D&amp;pdp_npi=2%40dis%21RUB%212465.32%212465.32%21%21%21%21%21%4021167e4416726811610415716e0378%2110000001643900687%21rec&amp;_ga=2.118851913.1368552409.1670026911-2110988949.1657403933&amp;sku_id=10000001643900688</t>
  </si>
  <si>
    <t>Stuor</t>
  </si>
  <si>
    <t>Long 5 ALC</t>
  </si>
  <si>
    <t>Lymb</t>
  </si>
  <si>
    <t>https://www.youtube.com/watch?v=HO4hBVvokNA</t>
  </si>
  <si>
    <t>Long 5 ALC v 968</t>
  </si>
  <si>
    <t>DHS W968 Long 5</t>
  </si>
  <si>
    <t>https://aliexpress.ru/item/4001112076273.html?spm=a2g2w.productlist.search_results.1.436f4aa6qgCVk0&amp;sku_id=10000014444012059</t>
  </si>
  <si>
    <t>https://aliexpress.ru/item/1005003243545282.html?spm=a2g2w.productlist.search_results.3.436f4aa6qgCVk0&amp;sku_id=12000024825855164</t>
  </si>
  <si>
    <t>https://aliexpress.ru/item/1005001631199046.html?spm=a2g2w.productlist.search_results.7.436f4aa6qgCVk0&amp;sku_id=12000016895334994</t>
  </si>
  <si>
    <t>https://aliexpress.ru/item/1005001365145037.html?spm=a2g2w.productlist.search_results.9.436f4aa6qgCVk0&amp;sku_id=12000015820189289</t>
  </si>
  <si>
    <t>Innerforce Layer ALC</t>
  </si>
  <si>
    <t>Harimoto InnerForce ZLC</t>
  </si>
  <si>
    <t>Harimoto InnerForce ALC</t>
  </si>
  <si>
    <t>Appo</t>
  </si>
  <si>
    <t>InnerZlcB</t>
  </si>
  <si>
    <t>InnerZlcH</t>
  </si>
  <si>
    <t>Rvld</t>
  </si>
  <si>
    <t>InFrHrmZlc</t>
  </si>
  <si>
    <t>InFrBtrZlc</t>
  </si>
  <si>
    <t>LinGao</t>
  </si>
  <si>
    <t>H3_40</t>
  </si>
  <si>
    <t>Rcmd</t>
  </si>
  <si>
    <t>Main</t>
  </si>
  <si>
    <t>Alternate</t>
  </si>
  <si>
    <t>Innerforce  ZLC</t>
  </si>
  <si>
    <t>?</t>
  </si>
  <si>
    <t>Appolonia ZLC</t>
  </si>
  <si>
    <t>T.Appolonia ZLC</t>
  </si>
  <si>
    <t>lnFrHrmZlc</t>
  </si>
  <si>
    <t>H340</t>
  </si>
  <si>
    <t>BtrInnerLayer</t>
  </si>
  <si>
    <t>HarimotoInnerForce</t>
  </si>
  <si>
    <t>Sticky</t>
  </si>
  <si>
    <t>Sponge Hardness</t>
  </si>
  <si>
    <t>Angle</t>
  </si>
  <si>
    <t>Age</t>
  </si>
  <si>
    <t>Hurricane 3-50</t>
  </si>
  <si>
    <t>Harimoto Inner ZLC</t>
  </si>
  <si>
    <t>https://revspin.net/blade/no-brand-lemuria-harimoto-tomokazu-inner-zlc.html</t>
  </si>
  <si>
    <t>Btr</t>
  </si>
  <si>
    <t>Hurricane 3 Neo</t>
  </si>
  <si>
    <t>Stour</t>
  </si>
  <si>
    <t>Lem</t>
  </si>
  <si>
    <t>Page5</t>
  </si>
  <si>
    <t>Page5X</t>
  </si>
  <si>
    <t>BtrInLayer</t>
  </si>
  <si>
    <t>RVLD</t>
  </si>
  <si>
    <t>Stuor Visc</t>
  </si>
  <si>
    <t>BtrInnerForce</t>
  </si>
  <si>
    <t>Visc Stuor</t>
  </si>
  <si>
    <t>ViskBtr</t>
  </si>
  <si>
    <t>Revold</t>
  </si>
  <si>
    <t>InnerForce</t>
  </si>
  <si>
    <t>PG5x</t>
  </si>
  <si>
    <t>Skyline 3 Prov</t>
  </si>
  <si>
    <t>Zhan Jike</t>
  </si>
  <si>
    <t>Nobilis</t>
  </si>
  <si>
    <t>Harimoto InnerForce</t>
  </si>
  <si>
    <t>Lin Gaoyuan</t>
  </si>
  <si>
    <t>Lin Yun-Ju</t>
  </si>
  <si>
    <t>Long 5 6</t>
  </si>
  <si>
    <t>Viscaria 6</t>
  </si>
  <si>
    <t>Booster</t>
  </si>
  <si>
    <t>H8-37</t>
  </si>
  <si>
    <t>H3-40</t>
  </si>
  <si>
    <t>H3-37</t>
  </si>
  <si>
    <t>B</t>
  </si>
  <si>
    <t>H3-50</t>
  </si>
  <si>
    <t>Page 5</t>
  </si>
  <si>
    <t>DHS 301</t>
  </si>
  <si>
    <t xml:space="preserve">Visc </t>
  </si>
  <si>
    <t>H-350</t>
  </si>
  <si>
    <t>W968-5</t>
  </si>
  <si>
    <t>buy</t>
  </si>
  <si>
    <t>https://aliexpress.ru/item/1005003832556820.html?pdp_npi=2%40dis%21RUB%214%C2%A0107%2C01%20%D1%80%D1%83%D0%B1.%213%C2%A0778%2C48%20%D1%80%D1%83%D0%B1.%21%21%21%21%21%40211675cb16743749124033998ecf32%2112000027299273539%21sh01&amp;spm=a2g0o.store_pc_home.productList_943222859.pic_11&amp;sku_id=12000027299273540</t>
  </si>
  <si>
    <t>Stuor Cyber</t>
  </si>
  <si>
    <t>Long 5 Cyber 6 gran</t>
  </si>
  <si>
    <t>Buy</t>
  </si>
  <si>
    <t>61(4)</t>
  </si>
  <si>
    <t>50(5)</t>
  </si>
  <si>
    <t>24(3)</t>
  </si>
  <si>
    <t>28(1)</t>
  </si>
  <si>
    <t>57(1,2,3)</t>
  </si>
  <si>
    <t>23(2,4,5)</t>
  </si>
  <si>
    <t>57(1)</t>
  </si>
  <si>
    <t>14(1,4,6)</t>
  </si>
  <si>
    <t>32(5)</t>
  </si>
  <si>
    <t>https://aliexpress.ru/item/4001063234467.html?pdp_npi=2%40dis%21RUB%213%C2%A0050%2C07%20%D1%80%D1%83%D0%B1.%212%C2%A0897%2C88%20%D1%80%D1%83%D0%B1.%21%21%21%21%21%40211675d216746552435011478ecb9e%2110000013994008478%21sh01&amp;spm=a2g0o.store_pc_home.productList_894193268.pic_13&amp;sku_id=10000013994008477</t>
  </si>
  <si>
    <t>Blade</t>
  </si>
  <si>
    <t>Blade 1700</t>
  </si>
  <si>
    <t>27(4)</t>
  </si>
  <si>
    <t>H3_37</t>
  </si>
  <si>
    <t>28(3)</t>
  </si>
  <si>
    <t>InForceLayerZLC</t>
  </si>
  <si>
    <t>3(5)</t>
  </si>
  <si>
    <t>10(6)</t>
  </si>
  <si>
    <t>42(4)</t>
  </si>
  <si>
    <t>LinGao Yuan</t>
  </si>
  <si>
    <t>Inner ZLC</t>
  </si>
  <si>
    <t>35(3)</t>
  </si>
  <si>
    <t>Tenzors</t>
  </si>
  <si>
    <t>H37_40</t>
  </si>
  <si>
    <t>Visc 1</t>
  </si>
  <si>
    <t>Visc 2</t>
  </si>
  <si>
    <t>Visc 3</t>
  </si>
  <si>
    <t>23(4)</t>
  </si>
  <si>
    <t>59(3)</t>
  </si>
  <si>
    <t>Loc</t>
  </si>
  <si>
    <t>Suit</t>
  </si>
  <si>
    <t>Lok</t>
  </si>
  <si>
    <t>Toys</t>
  </si>
  <si>
    <t>H3 215 37</t>
  </si>
  <si>
    <t>Scissors</t>
  </si>
  <si>
    <t>PG5 + H3 215 37</t>
  </si>
  <si>
    <t>H3_215_37</t>
  </si>
  <si>
    <t>H3_210_37</t>
  </si>
  <si>
    <t>H3_Or_215_37</t>
  </si>
  <si>
    <t>H3_215</t>
  </si>
  <si>
    <t>H3_210</t>
  </si>
  <si>
    <t>F</t>
  </si>
  <si>
    <t>M</t>
  </si>
  <si>
    <t>H3R_215</t>
  </si>
  <si>
    <t>10(125)</t>
  </si>
  <si>
    <t>61()</t>
  </si>
  <si>
    <t>H8_80</t>
  </si>
  <si>
    <t>H3_350</t>
  </si>
  <si>
    <t>Pro14</t>
  </si>
  <si>
    <t>Real</t>
  </si>
  <si>
    <t>Need</t>
  </si>
  <si>
    <t>PG5/PG5X</t>
  </si>
  <si>
    <t>Done</t>
  </si>
  <si>
    <t>ToDo</t>
  </si>
  <si>
    <t>H3 Neo</t>
  </si>
  <si>
    <t>T 05</t>
  </si>
  <si>
    <t>Points</t>
  </si>
  <si>
    <t>Rank</t>
  </si>
  <si>
    <t>Have</t>
  </si>
  <si>
    <t xml:space="preserve">H8 </t>
  </si>
  <si>
    <t>H8-80 black</t>
  </si>
  <si>
    <t>H8-80 Black</t>
  </si>
  <si>
    <t>T-05</t>
  </si>
  <si>
    <t>TibHAr</t>
  </si>
  <si>
    <t>8Star</t>
  </si>
  <si>
    <t>Atemi 5000</t>
  </si>
  <si>
    <t>Future</t>
  </si>
  <si>
    <t>No Need</t>
  </si>
  <si>
    <t>NoNeed</t>
  </si>
  <si>
    <t>H8-80 instead H8</t>
  </si>
  <si>
    <t xml:space="preserve">V14 </t>
  </si>
  <si>
    <t>t</t>
  </si>
  <si>
    <t>h880</t>
  </si>
  <si>
    <t>h3</t>
  </si>
  <si>
    <t>h8</t>
  </si>
  <si>
    <t>pg5x</t>
  </si>
  <si>
    <t>pg5</t>
  </si>
  <si>
    <t>h3-50</t>
  </si>
  <si>
    <t>to do</t>
  </si>
  <si>
    <t xml:space="preserve">pg5 </t>
  </si>
  <si>
    <t>Mizutani</t>
  </si>
  <si>
    <t>TimBoll</t>
  </si>
  <si>
    <t>InnerLayer</t>
  </si>
  <si>
    <t>Palovnia</t>
  </si>
  <si>
    <t>visk</t>
  </si>
  <si>
    <t>btr</t>
  </si>
  <si>
    <t>stuor</t>
  </si>
  <si>
    <t>long 5</t>
  </si>
  <si>
    <t>h3 neo</t>
  </si>
  <si>
    <t>Xiom</t>
  </si>
  <si>
    <t>Vega Europe</t>
  </si>
  <si>
    <t xml:space="preserve">h3  </t>
  </si>
  <si>
    <t>T, H880,H3</t>
  </si>
  <si>
    <t>64(3),50</t>
  </si>
  <si>
    <t>34(4),11</t>
  </si>
  <si>
    <t>48(3),60</t>
  </si>
  <si>
    <t>9(2),53</t>
  </si>
  <si>
    <t>26(6),5</t>
  </si>
  <si>
    <t>21(4),27</t>
  </si>
  <si>
    <t>7(6), 18</t>
  </si>
  <si>
    <t>20(6), 8</t>
  </si>
  <si>
    <t>20()</t>
  </si>
  <si>
    <t>v</t>
  </si>
  <si>
    <t>Schema 1</t>
  </si>
  <si>
    <t>Schema 2</t>
  </si>
  <si>
    <t>Schema 3</t>
  </si>
  <si>
    <t>Schema 52</t>
  </si>
  <si>
    <t>Schema 51</t>
  </si>
  <si>
    <t>Schema 53</t>
  </si>
  <si>
    <t>Schema 55</t>
  </si>
  <si>
    <t>Schema 58</t>
  </si>
  <si>
    <t>Visc Lem</t>
  </si>
  <si>
    <t>14(3), 63</t>
  </si>
  <si>
    <t>1</t>
  </si>
  <si>
    <t>16(6), 12</t>
  </si>
  <si>
    <t>18(5),23</t>
  </si>
  <si>
    <t>18(3),23</t>
  </si>
  <si>
    <t>31(1,2,6),1</t>
  </si>
  <si>
    <t>39(6)+, 57+</t>
  </si>
  <si>
    <t>63(5),36</t>
  </si>
  <si>
    <t>26(6),11</t>
  </si>
  <si>
    <t>55</t>
  </si>
  <si>
    <t>20(6),8</t>
  </si>
  <si>
    <t>19</t>
  </si>
  <si>
    <t>13(4),61</t>
  </si>
  <si>
    <t>7(1,4,6),64</t>
  </si>
  <si>
    <t>57(2),53</t>
  </si>
  <si>
    <t xml:space="preserve"> T</t>
  </si>
  <si>
    <t>LinGaoyuan</t>
  </si>
  <si>
    <t>57(2,3,5), 23</t>
  </si>
  <si>
    <t>47(1),58</t>
  </si>
  <si>
    <t>21(5),13</t>
  </si>
  <si>
    <t>TimB</t>
  </si>
  <si>
    <t>43(1),28</t>
  </si>
  <si>
    <t>48(2),39</t>
  </si>
  <si>
    <t xml:space="preserve">h8 </t>
  </si>
  <si>
    <t>exist</t>
  </si>
  <si>
    <t>Visk</t>
  </si>
  <si>
    <t>58(1,3,4,6),57(2)</t>
  </si>
  <si>
    <t>h3(h8)</t>
  </si>
  <si>
    <t>2(3)</t>
  </si>
  <si>
    <t>h8(1)</t>
  </si>
  <si>
    <t>V2</t>
  </si>
  <si>
    <t>64(6),40</t>
  </si>
  <si>
    <t>V1</t>
  </si>
  <si>
    <t>18(5),57</t>
  </si>
  <si>
    <t>37(6),5</t>
  </si>
  <si>
    <t>28(6),44</t>
  </si>
  <si>
    <t>50(6),32</t>
  </si>
  <si>
    <t>29(6), 4</t>
  </si>
  <si>
    <t>8(6),20</t>
  </si>
  <si>
    <t>52(5),20</t>
  </si>
  <si>
    <t>14(2345),42(1)</t>
  </si>
  <si>
    <t>кефир</t>
  </si>
  <si>
    <t>масс</t>
  </si>
  <si>
    <t>колбаса</t>
  </si>
  <si>
    <t>хлеб</t>
  </si>
  <si>
    <t>сыр</t>
  </si>
  <si>
    <t>сметана</t>
  </si>
  <si>
    <t>visc</t>
  </si>
  <si>
    <t>mizu</t>
  </si>
  <si>
    <t>9(2,4), 13</t>
  </si>
  <si>
    <t>52(1,4),30</t>
  </si>
  <si>
    <t>62(1,2,3,4), 19(5)</t>
  </si>
  <si>
    <t>, 19(5)</t>
  </si>
  <si>
    <t>Mizu</t>
  </si>
  <si>
    <t>tt</t>
  </si>
  <si>
    <t>55(6),30</t>
  </si>
  <si>
    <t>28(5),31</t>
  </si>
  <si>
    <t>Original</t>
  </si>
  <si>
    <t>TT</t>
  </si>
  <si>
    <t>Long 5 ZLC</t>
  </si>
  <si>
    <t>ToGlue</t>
  </si>
  <si>
    <t>Visc Super ALC</t>
  </si>
  <si>
    <t>1(4),9</t>
  </si>
  <si>
    <t>48(6),18</t>
  </si>
  <si>
    <t>8(2), 29</t>
  </si>
  <si>
    <t>Ayous Core</t>
  </si>
  <si>
    <t>37(6),63</t>
  </si>
  <si>
    <t>43()</t>
  </si>
  <si>
    <t>InFrc</t>
  </si>
  <si>
    <t>Lmr</t>
  </si>
  <si>
    <t>SVisc</t>
  </si>
  <si>
    <t>Lemuria 6 granny</t>
  </si>
  <si>
    <t>https://aliexpress.ru/item/1005003874133422.html?spm=a2g2w.tracking.rcmdOrderDetails.3.77e44aa6NNdEtp&amp;sku_id=12000027367509593&amp;_ga=2.64419436.299042601.1681679365-2110988949.1657403933</t>
  </si>
  <si>
    <t>Viscaria Classic</t>
  </si>
  <si>
    <t>Too Fun Store</t>
  </si>
  <si>
    <t>Super Alc</t>
  </si>
  <si>
    <t>https://aliexpress.ru/item/1005004403356055.html?gps-id=pcStoreJustForYou&amp;scm=1007.23125.137358.0&amp;scm_id=1007.23125.137358.0&amp;scm-url=1007.23125.137358.0&amp;pvid=c710a897-05e7-4c2e-906b-ef9a36359050&amp;_t=gps-id%3ApcStoreJustForYou%2Cscm-url%3A1007.23125.137358.0%2Cpvid%3Ac710a897-05e7-4c2e-906b-ef9a36359050%2Ctpp_buckets%3A668%232846%238110%231995&amp;pdp_npi=2%40dis%21RUB%216643.48%215314.79%21%21%21%21%21%40211656c916832470485291765eae62%2112000029054138440%21rec&amp;spm=a2g0o.store_pc_home.smartJustForYou_6000793674524.0&amp;gatewayAdapt=glo2rus&amp;sku_id=12000029054138440</t>
  </si>
  <si>
    <t>Super Zlc</t>
  </si>
  <si>
    <t>Viscaria CyberShape</t>
  </si>
  <si>
    <t>30(3,5), 25</t>
  </si>
  <si>
    <t>45(2,3,6),44</t>
  </si>
  <si>
    <t>30(6,55)</t>
  </si>
  <si>
    <t>Miz</t>
  </si>
  <si>
    <t>Donic Akuda S2</t>
  </si>
  <si>
    <t>Tibhar Evo MX-P</t>
  </si>
  <si>
    <t>Donic</t>
  </si>
  <si>
    <t>Baracuda Big Slam</t>
  </si>
  <si>
    <t>Rubber</t>
  </si>
  <si>
    <t>Stuor Long 5</t>
  </si>
  <si>
    <t>50(2,3,6),16</t>
  </si>
  <si>
    <t>42(5), 27</t>
  </si>
  <si>
    <t>metro tretykov</t>
  </si>
  <si>
    <t>metro pl Nogina</t>
  </si>
  <si>
    <t>Balagoe</t>
  </si>
  <si>
    <t>Avoska</t>
  </si>
  <si>
    <t>Akadem</t>
  </si>
  <si>
    <t>Frdyaev</t>
  </si>
  <si>
    <t xml:space="preserve">Schecter </t>
  </si>
  <si>
    <t>ЗА00-003652</t>
  </si>
  <si>
    <t>Накат</t>
  </si>
  <si>
    <t>Drive</t>
  </si>
  <si>
    <t>Укоротка</t>
  </si>
  <si>
    <t>Short Chop</t>
  </si>
  <si>
    <t>Подставка</t>
  </si>
  <si>
    <t>Block</t>
  </si>
  <si>
    <t>Перекрут со стола</t>
  </si>
  <si>
    <t>Counter-loop</t>
  </si>
  <si>
    <t>Вращение</t>
  </si>
  <si>
    <t>Top Spin</t>
  </si>
  <si>
    <t>Chopping</t>
  </si>
  <si>
    <t>Подрезка</t>
  </si>
  <si>
    <t>33(6),31</t>
  </si>
  <si>
    <t>18(6), 46</t>
  </si>
  <si>
    <t>55(1,3,4,6), 7(2)</t>
  </si>
  <si>
    <t>11(2),36</t>
  </si>
  <si>
    <t>43(1,2,3), 62</t>
  </si>
  <si>
    <t>3(2), 60</t>
  </si>
  <si>
    <t>7(5,3,2),39</t>
  </si>
  <si>
    <t>58(1,5,6),64</t>
  </si>
  <si>
    <t>Barucuda</t>
  </si>
  <si>
    <t>Baracuda</t>
  </si>
  <si>
    <t>33(2),44</t>
  </si>
  <si>
    <t>Xiom Vega Europe</t>
  </si>
  <si>
    <t>56(5), 53</t>
  </si>
  <si>
    <t>18(5),9</t>
  </si>
  <si>
    <t>19(2,3,5,6), 37(1)</t>
  </si>
  <si>
    <t>64(2), 35</t>
  </si>
  <si>
    <t>37()</t>
  </si>
  <si>
    <t>Rakza 7</t>
  </si>
  <si>
    <t>Rakza 7 Soft</t>
  </si>
  <si>
    <t>Glayzer</t>
  </si>
  <si>
    <t>58(2,3,5), 55</t>
  </si>
  <si>
    <t>Glayzer 09C</t>
  </si>
  <si>
    <t>Tenergy FX</t>
  </si>
  <si>
    <t>Bag</t>
  </si>
  <si>
    <t>H3 x 2</t>
  </si>
  <si>
    <t>H3 H880</t>
  </si>
  <si>
    <t>Box</t>
  </si>
  <si>
    <t>Brak</t>
  </si>
  <si>
    <t>Ten05Repl</t>
  </si>
  <si>
    <t>Avdeev</t>
  </si>
  <si>
    <t>Fenenko</t>
  </si>
  <si>
    <t>Rakza Z</t>
  </si>
  <si>
    <t>Rakza 9</t>
  </si>
  <si>
    <t>Rakza X</t>
  </si>
  <si>
    <t>Rakza X Soft</t>
  </si>
  <si>
    <t>Best grip</t>
  </si>
  <si>
    <t>Grip and feeling</t>
  </si>
  <si>
    <t>max speed</t>
  </si>
  <si>
    <t>max spin</t>
  </si>
  <si>
    <t>max feeling</t>
  </si>
  <si>
    <t>8,2</t>
  </si>
  <si>
    <t>R</t>
  </si>
  <si>
    <t>TopEndSpin</t>
  </si>
  <si>
    <t>Serve/Touch</t>
  </si>
  <si>
    <t>Blocks</t>
  </si>
  <si>
    <t>Flicks</t>
  </si>
  <si>
    <t>Counter Spin</t>
  </si>
  <si>
    <t>https://www.youtube.com/watch?v=hcVP5lswrYc</t>
  </si>
  <si>
    <t>TopEndSpeed</t>
  </si>
  <si>
    <t>Dignics 09C</t>
  </si>
  <si>
    <t>MXP</t>
  </si>
  <si>
    <t>Flat Hits/Smash</t>
  </si>
  <si>
    <t>MadeIn</t>
  </si>
  <si>
    <t>Type</t>
  </si>
  <si>
    <t>Spnge hardness</t>
  </si>
  <si>
    <t>Serve</t>
  </si>
  <si>
    <t>Serve Receive</t>
  </si>
  <si>
    <t>Short Game</t>
  </si>
  <si>
    <t>Away from thee Table</t>
  </si>
  <si>
    <t>Top end spin</t>
  </si>
  <si>
    <t>Ease of spin creation</t>
  </si>
  <si>
    <t>Flick</t>
  </si>
  <si>
    <t>Flat hit</t>
  </si>
  <si>
    <t>tensor</t>
  </si>
  <si>
    <t>Tenergy 19</t>
  </si>
  <si>
    <t>hybrid</t>
  </si>
  <si>
    <t>8-80 RZ</t>
  </si>
  <si>
    <t>H3 + RZ</t>
  </si>
  <si>
    <t>Ma Lin Soft Carbon</t>
  </si>
  <si>
    <t>H 3-50</t>
  </si>
  <si>
    <t>Visc SALC</t>
  </si>
  <si>
    <t>Visc Pro 01</t>
  </si>
  <si>
    <t>Rakza XX</t>
  </si>
  <si>
    <t>AvgHard</t>
  </si>
  <si>
    <t>Hurricane Fan Bo2X ALC</t>
  </si>
  <si>
    <t>Hurricane Fan Bo Carbon</t>
  </si>
  <si>
    <t>https://revspin.net/blade/dhs-hurricane-bo-2-hurricane-b2.html</t>
  </si>
  <si>
    <t>https://revspin.net/blade/dhs-fang-bo-b2x.html</t>
  </si>
  <si>
    <t>https://revspin.net/blade/dhs-fang-bo-carbon.html</t>
  </si>
  <si>
    <t>Avd</t>
  </si>
  <si>
    <t>4*Blade</t>
  </si>
  <si>
    <t>Miz Blade</t>
  </si>
  <si>
    <t>Rakza</t>
  </si>
  <si>
    <t>W968 Hurricane Long 5 National</t>
  </si>
  <si>
    <t>Fang Bo W968</t>
  </si>
  <si>
    <t>Hurricane Long 5</t>
  </si>
  <si>
    <t>Hurricane Long 5X</t>
  </si>
  <si>
    <t>Overall</t>
  </si>
  <si>
    <t>Miz Rub TT</t>
  </si>
  <si>
    <t>2(4)</t>
  </si>
  <si>
    <t>20((2,6)</t>
  </si>
  <si>
    <t>Viscaria SALC</t>
  </si>
  <si>
    <t>28(6)</t>
  </si>
  <si>
    <t>1(1)</t>
  </si>
  <si>
    <t>Pro 05</t>
  </si>
  <si>
    <t>21(1)</t>
  </si>
</sst>
</file>

<file path=xl/styles.xml><?xml version="1.0" encoding="utf-8"?>
<styleSheet xmlns="http://schemas.openxmlformats.org/spreadsheetml/2006/main">
  <numFmts count="1">
    <numFmt numFmtId="164" formatCode="0.0"/>
  </numFmts>
  <fonts count="13">
    <font>
      <sz val="11"/>
      <color theme="1"/>
      <name val="Calibri"/>
      <family val="2"/>
      <charset val="204"/>
      <scheme val="minor"/>
    </font>
    <font>
      <b/>
      <i/>
      <sz val="14"/>
      <color rgb="FF484949"/>
      <name val="Verdana"/>
      <family val="2"/>
      <charset val="204"/>
    </font>
    <font>
      <sz val="14"/>
      <color rgb="FF4E4E4E"/>
      <name val="Verdana"/>
      <family val="2"/>
      <charset val="204"/>
    </font>
    <font>
      <b/>
      <i/>
      <strike/>
      <sz val="14"/>
      <color rgb="FF2F7793"/>
      <name val="Verdana"/>
      <family val="2"/>
      <charset val="204"/>
    </font>
    <font>
      <b/>
      <sz val="11"/>
      <color theme="1"/>
      <name val="Calibri"/>
      <family val="2"/>
      <charset val="204"/>
      <scheme val="minor"/>
    </font>
    <font>
      <sz val="11"/>
      <name val="Calibri"/>
      <family val="2"/>
      <charset val="204"/>
      <scheme val="minor"/>
    </font>
    <font>
      <u/>
      <sz val="11"/>
      <color theme="10"/>
      <name val="Calibri"/>
      <family val="2"/>
      <charset val="204"/>
    </font>
    <font>
      <sz val="11"/>
      <color rgb="FF000000"/>
      <name val="Arial"/>
      <family val="2"/>
      <charset val="204"/>
    </font>
    <font>
      <b/>
      <sz val="11"/>
      <color theme="1"/>
      <name val="Open Sans"/>
    </font>
    <font>
      <sz val="11"/>
      <color rgb="FF0F0F0F"/>
      <name val="Arial"/>
      <family val="2"/>
      <charset val="204"/>
    </font>
    <font>
      <sz val="10"/>
      <color rgb="FF000000"/>
      <name val="Arial"/>
      <family val="2"/>
      <charset val="204"/>
    </font>
    <font>
      <sz val="10"/>
      <color rgb="FF000000"/>
      <name val="Times New Roman"/>
      <family val="1"/>
      <charset val="204"/>
    </font>
    <font>
      <sz val="11"/>
      <color rgb="FF222D38"/>
      <name val="Arial"/>
      <family val="2"/>
      <charset val="204"/>
    </font>
  </fonts>
  <fills count="42">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00B0F0"/>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theme="6"/>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70C0"/>
        <bgColor indexed="64"/>
      </patternFill>
    </fill>
    <fill>
      <patternFill patternType="solid">
        <fgColor theme="8" tint="-0.249977111117893"/>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C00000"/>
        <bgColor indexed="64"/>
      </patternFill>
    </fill>
    <fill>
      <patternFill patternType="solid">
        <fgColor theme="9"/>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rgb="FFFFC000"/>
        <bgColor indexed="64"/>
      </patternFill>
    </fill>
    <fill>
      <patternFill patternType="solid">
        <fgColor theme="0" tint="-4.9989318521683403E-2"/>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right/>
      <top/>
      <bottom style="medium">
        <color rgb="FFCCCCCC"/>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alignment vertical="top"/>
      <protection locked="0"/>
    </xf>
  </cellStyleXfs>
  <cellXfs count="716">
    <xf numFmtId="0" fontId="0" fillId="0" borderId="0" xfId="0"/>
    <xf numFmtId="4" fontId="0" fillId="0" borderId="0" xfId="0" applyNumberFormat="1"/>
    <xf numFmtId="4" fontId="0" fillId="2" borderId="0" xfId="0" applyNumberFormat="1" applyFill="1"/>
    <xf numFmtId="4" fontId="0" fillId="3" borderId="0" xfId="0" applyNumberFormat="1" applyFill="1"/>
    <xf numFmtId="4" fontId="0" fillId="4" borderId="0" xfId="0" applyNumberFormat="1" applyFill="1"/>
    <xf numFmtId="0" fontId="0" fillId="0" borderId="1" xfId="0" applyBorder="1"/>
    <xf numFmtId="0" fontId="0" fillId="0" borderId="2" xfId="0" applyBorder="1"/>
    <xf numFmtId="4" fontId="0" fillId="2" borderId="2" xfId="0" applyNumberFormat="1" applyFill="1" applyBorder="1"/>
    <xf numFmtId="4" fontId="0" fillId="2" borderId="3" xfId="0" applyNumberFormat="1" applyFill="1" applyBorder="1"/>
    <xf numFmtId="0" fontId="0" fillId="0" borderId="4" xfId="0" applyBorder="1"/>
    <xf numFmtId="0" fontId="0" fillId="0" borderId="0" xfId="0" applyBorder="1"/>
    <xf numFmtId="4" fontId="0" fillId="2" borderId="0" xfId="0" applyNumberFormat="1" applyFill="1" applyBorder="1"/>
    <xf numFmtId="4" fontId="0" fillId="2" borderId="5" xfId="0" applyNumberFormat="1" applyFill="1" applyBorder="1"/>
    <xf numFmtId="4" fontId="0" fillId="0" borderId="0" xfId="0" applyNumberFormat="1" applyBorder="1"/>
    <xf numFmtId="4" fontId="0" fillId="5" borderId="0" xfId="0" applyNumberFormat="1" applyFill="1" applyBorder="1"/>
    <xf numFmtId="4" fontId="0" fillId="3" borderId="0" xfId="0" applyNumberFormat="1" applyFill="1" applyBorder="1"/>
    <xf numFmtId="4" fontId="0" fillId="3" borderId="5" xfId="0" applyNumberFormat="1" applyFill="1" applyBorder="1"/>
    <xf numFmtId="4" fontId="0" fillId="5" borderId="4" xfId="0" applyNumberFormat="1" applyFill="1" applyBorder="1"/>
    <xf numFmtId="4" fontId="0" fillId="4" borderId="0" xfId="0" applyNumberFormat="1" applyFill="1" applyBorder="1"/>
    <xf numFmtId="4" fontId="0" fillId="4" borderId="5" xfId="0" applyNumberFormat="1" applyFill="1" applyBorder="1"/>
    <xf numFmtId="4" fontId="0" fillId="2" borderId="7" xfId="0" applyNumberFormat="1" applyFill="1" applyBorder="1"/>
    <xf numFmtId="4" fontId="0" fillId="4" borderId="7" xfId="0" applyNumberFormat="1" applyFill="1" applyBorder="1"/>
    <xf numFmtId="4" fontId="0" fillId="4" borderId="8" xfId="0" applyNumberFormat="1" applyFill="1" applyBorder="1"/>
    <xf numFmtId="4" fontId="0" fillId="5" borderId="6" xfId="0" applyNumberFormat="1" applyFill="1" applyBorder="1"/>
    <xf numFmtId="4" fontId="0" fillId="6" borderId="0" xfId="0" applyNumberFormat="1" applyFill="1" applyBorder="1"/>
    <xf numFmtId="4" fontId="0" fillId="6" borderId="7" xfId="0" applyNumberFormat="1" applyFill="1" applyBorder="1"/>
    <xf numFmtId="4" fontId="0" fillId="7" borderId="19" xfId="0" applyNumberFormat="1" applyFill="1" applyBorder="1"/>
    <xf numFmtId="4" fontId="0" fillId="7" borderId="20" xfId="0" applyNumberFormat="1" applyFill="1" applyBorder="1"/>
    <xf numFmtId="4" fontId="0" fillId="2" borderId="20" xfId="0" applyNumberFormat="1" applyFill="1" applyBorder="1"/>
    <xf numFmtId="4" fontId="0" fillId="8" borderId="20" xfId="0" applyNumberFormat="1" applyFill="1" applyBorder="1"/>
    <xf numFmtId="4" fontId="0" fillId="8" borderId="21" xfId="0" applyNumberFormat="1" applyFill="1" applyBorder="1"/>
    <xf numFmtId="0" fontId="0" fillId="0" borderId="22" xfId="0" applyBorder="1"/>
    <xf numFmtId="0" fontId="0" fillId="0" borderId="23" xfId="0" applyBorder="1"/>
    <xf numFmtId="0" fontId="0" fillId="0" borderId="24" xfId="0" applyBorder="1"/>
    <xf numFmtId="4" fontId="0" fillId="3" borderId="20" xfId="0" applyNumberFormat="1" applyFill="1" applyBorder="1"/>
    <xf numFmtId="0" fontId="0" fillId="3" borderId="23" xfId="0" applyFill="1" applyBorder="1"/>
    <xf numFmtId="4" fontId="0" fillId="2" borderId="25" xfId="0" applyNumberFormat="1" applyFill="1" applyBorder="1"/>
    <xf numFmtId="4" fontId="0" fillId="2" borderId="26" xfId="0" applyNumberFormat="1" applyFill="1" applyBorder="1"/>
    <xf numFmtId="4" fontId="0" fillId="7" borderId="25" xfId="0" applyNumberFormat="1" applyFill="1" applyBorder="1"/>
    <xf numFmtId="4" fontId="0" fillId="2" borderId="19" xfId="0" applyNumberFormat="1" applyFill="1" applyBorder="1"/>
    <xf numFmtId="4" fontId="0" fillId="3" borderId="10" xfId="0" applyNumberFormat="1" applyFill="1" applyBorder="1"/>
    <xf numFmtId="4" fontId="0" fillId="8" borderId="26" xfId="0" applyNumberFormat="1" applyFill="1" applyBorder="1"/>
    <xf numFmtId="4" fontId="0" fillId="2" borderId="21" xfId="0" applyNumberFormat="1" applyFill="1" applyBorder="1"/>
    <xf numFmtId="3" fontId="0" fillId="7" borderId="11" xfId="0" applyNumberFormat="1" applyFill="1" applyBorder="1"/>
    <xf numFmtId="3" fontId="0" fillId="7" borderId="12" xfId="0" applyNumberFormat="1" applyFill="1" applyBorder="1"/>
    <xf numFmtId="3" fontId="0" fillId="7" borderId="13" xfId="0" applyNumberFormat="1" applyFill="1" applyBorder="1"/>
    <xf numFmtId="3" fontId="0" fillId="7" borderId="0" xfId="0" applyNumberFormat="1" applyFill="1" applyBorder="1"/>
    <xf numFmtId="3" fontId="0" fillId="7" borderId="14" xfId="0" applyNumberFormat="1" applyFill="1" applyBorder="1"/>
    <xf numFmtId="3" fontId="0" fillId="7" borderId="9" xfId="0" applyNumberFormat="1" applyFill="1" applyBorder="1"/>
    <xf numFmtId="3" fontId="0" fillId="7" borderId="15" xfId="0" applyNumberFormat="1" applyFill="1" applyBorder="1"/>
    <xf numFmtId="3" fontId="0" fillId="3" borderId="14" xfId="0" applyNumberFormat="1" applyFill="1" applyBorder="1"/>
    <xf numFmtId="3" fontId="0" fillId="3" borderId="9" xfId="0" applyNumberFormat="1" applyFill="1" applyBorder="1"/>
    <xf numFmtId="3" fontId="0" fillId="3" borderId="15" xfId="0" applyNumberFormat="1" applyFill="1" applyBorder="1"/>
    <xf numFmtId="3" fontId="0" fillId="3" borderId="0" xfId="0" applyNumberFormat="1" applyFill="1" applyBorder="1"/>
    <xf numFmtId="3" fontId="0" fillId="2" borderId="14" xfId="0" applyNumberFormat="1" applyFill="1" applyBorder="1"/>
    <xf numFmtId="3" fontId="0" fillId="2" borderId="9" xfId="0" applyNumberFormat="1" applyFill="1" applyBorder="1"/>
    <xf numFmtId="3" fontId="0" fillId="2" borderId="15" xfId="0" applyNumberFormat="1" applyFill="1" applyBorder="1"/>
    <xf numFmtId="3" fontId="0" fillId="2" borderId="0" xfId="0" applyNumberFormat="1" applyFill="1" applyBorder="1"/>
    <xf numFmtId="3" fontId="0" fillId="8" borderId="14" xfId="0" applyNumberFormat="1" applyFill="1" applyBorder="1"/>
    <xf numFmtId="3" fontId="0" fillId="8" borderId="9" xfId="0" applyNumberFormat="1" applyFill="1" applyBorder="1"/>
    <xf numFmtId="3" fontId="0" fillId="8" borderId="15" xfId="0" applyNumberFormat="1" applyFill="1" applyBorder="1"/>
    <xf numFmtId="3" fontId="0" fillId="8" borderId="0" xfId="0" applyNumberFormat="1" applyFill="1" applyBorder="1"/>
    <xf numFmtId="3" fontId="0" fillId="8" borderId="16" xfId="0" applyNumberFormat="1" applyFill="1" applyBorder="1"/>
    <xf numFmtId="3" fontId="0" fillId="8" borderId="17" xfId="0" applyNumberFormat="1" applyFill="1" applyBorder="1"/>
    <xf numFmtId="3" fontId="0" fillId="8" borderId="18" xfId="0" applyNumberFormat="1" applyFill="1" applyBorder="1"/>
    <xf numFmtId="4" fontId="0" fillId="9" borderId="0" xfId="0" applyNumberFormat="1" applyFill="1"/>
    <xf numFmtId="3" fontId="0" fillId="11" borderId="0" xfId="0" applyNumberFormat="1" applyFill="1"/>
    <xf numFmtId="4" fontId="0" fillId="11" borderId="0" xfId="0" applyNumberFormat="1" applyFill="1"/>
    <xf numFmtId="4" fontId="0" fillId="12" borderId="0" xfId="0" applyNumberFormat="1" applyFill="1"/>
    <xf numFmtId="3" fontId="0" fillId="12" borderId="0" xfId="0" applyNumberFormat="1" applyFill="1"/>
    <xf numFmtId="3" fontId="0" fillId="13" borderId="0" xfId="0" applyNumberFormat="1" applyFill="1"/>
    <xf numFmtId="4" fontId="0" fillId="13" borderId="0" xfId="0" applyNumberFormat="1" applyFill="1"/>
    <xf numFmtId="4" fontId="0" fillId="8" borderId="0" xfId="0" applyNumberFormat="1" applyFill="1" applyBorder="1"/>
    <xf numFmtId="4" fontId="0" fillId="10" borderId="0" xfId="0" applyNumberFormat="1" applyFill="1" applyAlignment="1">
      <alignment horizontal="center" vertical="center"/>
    </xf>
    <xf numFmtId="0" fontId="0" fillId="10" borderId="0" xfId="0" applyFill="1" applyAlignment="1">
      <alignment horizontal="center" vertical="center"/>
    </xf>
    <xf numFmtId="3" fontId="0" fillId="0" borderId="0" xfId="0" applyNumberFormat="1"/>
    <xf numFmtId="3" fontId="0" fillId="12" borderId="22" xfId="0" applyNumberFormat="1" applyFill="1" applyBorder="1"/>
    <xf numFmtId="3" fontId="0" fillId="0" borderId="23" xfId="0" applyNumberFormat="1" applyBorder="1"/>
    <xf numFmtId="3" fontId="0" fillId="0" borderId="24" xfId="0" applyNumberFormat="1" applyBorder="1"/>
    <xf numFmtId="0" fontId="0" fillId="14" borderId="22" xfId="0" applyFill="1" applyBorder="1"/>
    <xf numFmtId="3" fontId="0" fillId="14" borderId="13" xfId="0" applyNumberFormat="1" applyFill="1" applyBorder="1"/>
    <xf numFmtId="4" fontId="0" fillId="14" borderId="3" xfId="0" applyNumberFormat="1" applyFill="1" applyBorder="1"/>
    <xf numFmtId="0" fontId="0" fillId="14" borderId="23" xfId="0" applyFill="1" applyBorder="1"/>
    <xf numFmtId="3" fontId="0" fillId="14" borderId="15" xfId="0" applyNumberFormat="1" applyFill="1" applyBorder="1"/>
    <xf numFmtId="4" fontId="0" fillId="14" borderId="5" xfId="0" applyNumberFormat="1" applyFill="1" applyBorder="1"/>
    <xf numFmtId="0" fontId="0" fillId="14" borderId="24" xfId="0" applyFill="1" applyBorder="1"/>
    <xf numFmtId="3" fontId="0" fillId="14" borderId="18" xfId="0" applyNumberFormat="1" applyFill="1" applyBorder="1"/>
    <xf numFmtId="4" fontId="0" fillId="14" borderId="8" xfId="0" applyNumberFormat="1" applyFill="1" applyBorder="1"/>
    <xf numFmtId="0" fontId="0" fillId="15" borderId="22" xfId="0" applyFill="1" applyBorder="1"/>
    <xf numFmtId="3" fontId="0" fillId="15" borderId="13" xfId="0" applyNumberFormat="1" applyFill="1" applyBorder="1"/>
    <xf numFmtId="4" fontId="0" fillId="15" borderId="3" xfId="0" applyNumberFormat="1" applyFill="1" applyBorder="1"/>
    <xf numFmtId="0" fontId="0" fillId="15" borderId="23" xfId="0" applyFill="1" applyBorder="1"/>
    <xf numFmtId="3" fontId="0" fillId="15" borderId="15" xfId="0" applyNumberFormat="1" applyFill="1" applyBorder="1"/>
    <xf numFmtId="4" fontId="0" fillId="15" borderId="5" xfId="0" applyNumberFormat="1" applyFill="1" applyBorder="1"/>
    <xf numFmtId="0" fontId="0" fillId="15" borderId="24" xfId="0" applyFill="1" applyBorder="1"/>
    <xf numFmtId="3" fontId="0" fillId="15" borderId="18" xfId="0" applyNumberFormat="1" applyFill="1" applyBorder="1"/>
    <xf numFmtId="4" fontId="0" fillId="15" borderId="8" xfId="0" applyNumberFormat="1" applyFill="1" applyBorder="1"/>
    <xf numFmtId="0" fontId="0" fillId="16" borderId="22" xfId="0" applyFill="1" applyBorder="1"/>
    <xf numFmtId="3" fontId="0" fillId="16" borderId="13" xfId="0" applyNumberFormat="1" applyFill="1" applyBorder="1"/>
    <xf numFmtId="4" fontId="0" fillId="16" borderId="3" xfId="0" applyNumberFormat="1" applyFill="1" applyBorder="1"/>
    <xf numFmtId="0" fontId="0" fillId="16" borderId="23" xfId="0" applyFill="1" applyBorder="1"/>
    <xf numFmtId="3" fontId="0" fillId="16" borderId="15" xfId="0" applyNumberFormat="1" applyFill="1" applyBorder="1"/>
    <xf numFmtId="4" fontId="0" fillId="16" borderId="5" xfId="0" applyNumberFormat="1" applyFill="1" applyBorder="1"/>
    <xf numFmtId="0" fontId="0" fillId="16" borderId="24" xfId="0" applyFill="1" applyBorder="1"/>
    <xf numFmtId="3" fontId="0" fillId="16" borderId="18" xfId="0" applyNumberFormat="1" applyFill="1" applyBorder="1"/>
    <xf numFmtId="4" fontId="0" fillId="16" borderId="8" xfId="0" applyNumberFormat="1" applyFill="1" applyBorder="1"/>
    <xf numFmtId="0" fontId="0" fillId="17" borderId="23" xfId="0" applyFill="1" applyBorder="1"/>
    <xf numFmtId="0" fontId="0" fillId="17" borderId="5" xfId="0" applyFill="1" applyBorder="1"/>
    <xf numFmtId="3" fontId="0" fillId="17" borderId="28" xfId="0" applyNumberFormat="1" applyFill="1" applyBorder="1"/>
    <xf numFmtId="4" fontId="0" fillId="17" borderId="5" xfId="0" applyNumberFormat="1" applyFill="1" applyBorder="1"/>
    <xf numFmtId="3" fontId="0" fillId="17" borderId="27" xfId="0" applyNumberFormat="1" applyFill="1" applyBorder="1"/>
    <xf numFmtId="0" fontId="0" fillId="17" borderId="24" xfId="0" applyFill="1" applyBorder="1"/>
    <xf numFmtId="0" fontId="0" fillId="17" borderId="8" xfId="0" applyFill="1" applyBorder="1"/>
    <xf numFmtId="3" fontId="0" fillId="17" borderId="8" xfId="0" applyNumberFormat="1" applyFill="1" applyBorder="1"/>
    <xf numFmtId="4" fontId="0" fillId="17" borderId="8" xfId="0" applyNumberFormat="1" applyFill="1" applyBorder="1"/>
    <xf numFmtId="3" fontId="0" fillId="4" borderId="0" xfId="0" applyNumberFormat="1" applyFill="1"/>
    <xf numFmtId="3" fontId="0" fillId="2" borderId="4" xfId="0" applyNumberFormat="1" applyFill="1" applyBorder="1"/>
    <xf numFmtId="3" fontId="0" fillId="3" borderId="4" xfId="0" applyNumberFormat="1" applyFill="1" applyBorder="1"/>
    <xf numFmtId="49" fontId="0" fillId="10" borderId="0" xfId="0" applyNumberFormat="1" applyFill="1" applyAlignment="1">
      <alignment horizontal="center" vertical="center"/>
    </xf>
    <xf numFmtId="49" fontId="0" fillId="0" borderId="22" xfId="0" applyNumberFormat="1" applyBorder="1"/>
    <xf numFmtId="49" fontId="0" fillId="0" borderId="23" xfId="0" applyNumberFormat="1" applyBorder="1"/>
    <xf numFmtId="49" fontId="0" fillId="3" borderId="23" xfId="0" applyNumberFormat="1" applyFill="1" applyBorder="1"/>
    <xf numFmtId="49" fontId="0" fillId="0" borderId="0" xfId="0" applyNumberFormat="1"/>
    <xf numFmtId="4" fontId="0" fillId="18" borderId="0" xfId="0" applyNumberFormat="1" applyFill="1"/>
    <xf numFmtId="49" fontId="0" fillId="0" borderId="0" xfId="0" applyNumberFormat="1" applyBorder="1"/>
    <xf numFmtId="4" fontId="0" fillId="3" borderId="9" xfId="0" applyNumberFormat="1" applyFill="1" applyBorder="1"/>
    <xf numFmtId="4" fontId="0" fillId="4" borderId="9" xfId="0" applyNumberFormat="1" applyFill="1" applyBorder="1"/>
    <xf numFmtId="4" fontId="0" fillId="2" borderId="9" xfId="0" applyNumberFormat="1" applyFill="1" applyBorder="1"/>
    <xf numFmtId="4" fontId="0" fillId="8" borderId="9" xfId="0" applyNumberFormat="1" applyFill="1" applyBorder="1"/>
    <xf numFmtId="4" fontId="0" fillId="0" borderId="9" xfId="0" applyNumberFormat="1" applyBorder="1"/>
    <xf numFmtId="0" fontId="0" fillId="0" borderId="10" xfId="0" applyBorder="1"/>
    <xf numFmtId="4" fontId="0" fillId="3" borderId="14" xfId="0" applyNumberFormat="1" applyFill="1" applyBorder="1"/>
    <xf numFmtId="4" fontId="0" fillId="4" borderId="14" xfId="0" applyNumberFormat="1" applyFill="1" applyBorder="1"/>
    <xf numFmtId="4" fontId="0" fillId="2" borderId="14" xfId="0" applyNumberFormat="1" applyFill="1" applyBorder="1"/>
    <xf numFmtId="4" fontId="0" fillId="8" borderId="14" xfId="0" applyNumberFormat="1" applyFill="1" applyBorder="1"/>
    <xf numFmtId="4" fontId="0" fillId="0" borderId="4" xfId="0" applyNumberFormat="1" applyBorder="1"/>
    <xf numFmtId="4" fontId="0" fillId="9" borderId="6" xfId="0" applyNumberFormat="1" applyFill="1" applyBorder="1"/>
    <xf numFmtId="4" fontId="0" fillId="9" borderId="7" xfId="0" applyNumberFormat="1" applyFill="1" applyBorder="1"/>
    <xf numFmtId="4" fontId="0" fillId="3" borderId="15" xfId="0" applyNumberFormat="1" applyFill="1" applyBorder="1"/>
    <xf numFmtId="4" fontId="0" fillId="4" borderId="15" xfId="0" applyNumberFormat="1" applyFill="1" applyBorder="1"/>
    <xf numFmtId="4" fontId="0" fillId="2" borderId="15" xfId="0" applyNumberFormat="1" applyFill="1" applyBorder="1"/>
    <xf numFmtId="4" fontId="0" fillId="8" borderId="15" xfId="0" applyNumberFormat="1" applyFill="1" applyBorder="1"/>
    <xf numFmtId="4" fontId="0" fillId="8" borderId="5" xfId="0" applyNumberFormat="1" applyFill="1" applyBorder="1"/>
    <xf numFmtId="4" fontId="0" fillId="9" borderId="8" xfId="0" applyNumberFormat="1" applyFill="1" applyBorder="1"/>
    <xf numFmtId="49" fontId="0" fillId="0" borderId="7" xfId="0" applyNumberFormat="1" applyBorder="1"/>
    <xf numFmtId="0" fontId="0" fillId="0" borderId="13" xfId="0" applyBorder="1"/>
    <xf numFmtId="0" fontId="0" fillId="0" borderId="15" xfId="0" applyBorder="1"/>
    <xf numFmtId="4" fontId="0" fillId="0" borderId="14" xfId="0" applyNumberFormat="1" applyBorder="1"/>
    <xf numFmtId="4" fontId="0" fillId="0" borderId="15" xfId="0" applyNumberFormat="1" applyBorder="1"/>
    <xf numFmtId="4" fontId="0" fillId="0" borderId="6" xfId="0" applyNumberFormat="1" applyBorder="1"/>
    <xf numFmtId="4" fontId="0" fillId="0" borderId="7" xfId="0" applyNumberFormat="1" applyBorder="1"/>
    <xf numFmtId="4" fontId="0" fillId="0" borderId="8" xfId="0" applyNumberFormat="1" applyBorder="1"/>
    <xf numFmtId="4" fontId="0" fillId="0" borderId="32" xfId="0" applyNumberFormat="1" applyBorder="1"/>
    <xf numFmtId="4" fontId="0" fillId="0" borderId="33" xfId="0" applyNumberFormat="1" applyBorder="1"/>
    <xf numFmtId="4" fontId="0" fillId="0" borderId="28" xfId="0" applyNumberFormat="1" applyBorder="1"/>
    <xf numFmtId="3" fontId="0" fillId="2" borderId="34" xfId="0" applyNumberFormat="1" applyFill="1" applyBorder="1"/>
    <xf numFmtId="4" fontId="0" fillId="4" borderId="35" xfId="0" applyNumberFormat="1" applyFill="1" applyBorder="1"/>
    <xf numFmtId="4" fontId="0" fillId="13" borderId="35" xfId="0" applyNumberFormat="1" applyFill="1" applyBorder="1"/>
    <xf numFmtId="4" fontId="0" fillId="13" borderId="33" xfId="0" applyNumberFormat="1" applyFill="1" applyBorder="1"/>
    <xf numFmtId="4" fontId="0" fillId="4" borderId="33" xfId="0" applyNumberFormat="1" applyFill="1" applyBorder="1"/>
    <xf numFmtId="4" fontId="0" fillId="18" borderId="33" xfId="0" applyNumberFormat="1" applyFill="1" applyBorder="1"/>
    <xf numFmtId="3" fontId="0" fillId="2" borderId="11" xfId="0" applyNumberFormat="1" applyFill="1" applyBorder="1"/>
    <xf numFmtId="3" fontId="0" fillId="2" borderId="12" xfId="0" applyNumberFormat="1" applyFill="1" applyBorder="1"/>
    <xf numFmtId="3" fontId="0" fillId="2" borderId="13" xfId="0" applyNumberFormat="1" applyFill="1" applyBorder="1"/>
    <xf numFmtId="3" fontId="0" fillId="2" borderId="16" xfId="0" applyNumberFormat="1" applyFill="1" applyBorder="1"/>
    <xf numFmtId="3" fontId="0" fillId="2" borderId="17" xfId="0" applyNumberFormat="1" applyFill="1" applyBorder="1"/>
    <xf numFmtId="3" fontId="0" fillId="2" borderId="18" xfId="0" applyNumberFormat="1" applyFill="1" applyBorder="1"/>
    <xf numFmtId="4" fontId="0" fillId="4" borderId="32" xfId="0" applyNumberFormat="1" applyFill="1" applyBorder="1"/>
    <xf numFmtId="3" fontId="0" fillId="8" borderId="12" xfId="0" applyNumberFormat="1" applyFill="1" applyBorder="1"/>
    <xf numFmtId="4" fontId="0" fillId="4" borderId="16" xfId="0" applyNumberFormat="1" applyFill="1" applyBorder="1"/>
    <xf numFmtId="4" fontId="0" fillId="4" borderId="17" xfId="0" applyNumberFormat="1" applyFill="1" applyBorder="1"/>
    <xf numFmtId="4" fontId="0" fillId="4" borderId="18" xfId="0" applyNumberFormat="1" applyFill="1" applyBorder="1"/>
    <xf numFmtId="0" fontId="0" fillId="11" borderId="0" xfId="0" applyFill="1" applyAlignment="1">
      <alignment horizontal="center" vertical="center"/>
    </xf>
    <xf numFmtId="49" fontId="0" fillId="11" borderId="0" xfId="0" applyNumberFormat="1" applyFill="1" applyAlignment="1">
      <alignment horizontal="center" vertical="center"/>
    </xf>
    <xf numFmtId="4" fontId="0" fillId="11" borderId="0" xfId="0" applyNumberFormat="1" applyFill="1" applyAlignment="1">
      <alignment horizontal="center" vertical="center"/>
    </xf>
    <xf numFmtId="0" fontId="0" fillId="11" borderId="0" xfId="0" applyFill="1"/>
    <xf numFmtId="4" fontId="0" fillId="3" borderId="16" xfId="0" applyNumberFormat="1" applyFill="1" applyBorder="1"/>
    <xf numFmtId="4" fontId="0" fillId="3" borderId="17" xfId="0" applyNumberFormat="1" applyFill="1" applyBorder="1"/>
    <xf numFmtId="4" fontId="0" fillId="3" borderId="18" xfId="0" applyNumberFormat="1" applyFill="1" applyBorder="1"/>
    <xf numFmtId="49" fontId="0" fillId="2" borderId="2" xfId="0" applyNumberFormat="1" applyFill="1" applyBorder="1"/>
    <xf numFmtId="49" fontId="0" fillId="2" borderId="0" xfId="0" applyNumberFormat="1" applyFill="1" applyBorder="1"/>
    <xf numFmtId="3" fontId="0" fillId="2" borderId="10" xfId="0" applyNumberFormat="1" applyFill="1" applyBorder="1"/>
    <xf numFmtId="3" fontId="0" fillId="2" borderId="36" xfId="0" applyNumberFormat="1" applyFill="1" applyBorder="1"/>
    <xf numFmtId="3" fontId="0" fillId="2" borderId="32" xfId="0" applyNumberFormat="1" applyFill="1" applyBorder="1"/>
    <xf numFmtId="4" fontId="0" fillId="2" borderId="10" xfId="0" applyNumberFormat="1" applyFill="1" applyBorder="1"/>
    <xf numFmtId="4" fontId="0" fillId="19" borderId="0" xfId="0" applyNumberFormat="1" applyFill="1"/>
    <xf numFmtId="4" fontId="0" fillId="18" borderId="15" xfId="0" applyNumberFormat="1" applyFill="1" applyBorder="1"/>
    <xf numFmtId="4" fontId="0" fillId="8" borderId="11" xfId="0" applyNumberFormat="1" applyFill="1" applyBorder="1"/>
    <xf numFmtId="4" fontId="0" fillId="8" borderId="12" xfId="0" applyNumberFormat="1" applyFill="1" applyBorder="1"/>
    <xf numFmtId="4" fontId="0" fillId="8" borderId="13" xfId="0" applyNumberFormat="1" applyFill="1" applyBorder="1"/>
    <xf numFmtId="49" fontId="0" fillId="8" borderId="2" xfId="0" applyNumberFormat="1" applyFill="1" applyBorder="1"/>
    <xf numFmtId="3" fontId="0" fillId="8" borderId="11" xfId="0" applyNumberFormat="1" applyFill="1" applyBorder="1"/>
    <xf numFmtId="0" fontId="0" fillId="8" borderId="13" xfId="0" applyFill="1" applyBorder="1"/>
    <xf numFmtId="49" fontId="0" fillId="8" borderId="0" xfId="0" applyNumberFormat="1" applyFill="1" applyBorder="1"/>
    <xf numFmtId="0" fontId="0" fillId="8" borderId="15" xfId="0" applyFill="1" applyBorder="1"/>
    <xf numFmtId="4" fontId="0" fillId="18" borderId="35" xfId="0" applyNumberFormat="1" applyFill="1" applyBorder="1"/>
    <xf numFmtId="2" fontId="0" fillId="0" borderId="0" xfId="0" applyNumberFormat="1"/>
    <xf numFmtId="14" fontId="0" fillId="0" borderId="0" xfId="0" applyNumberFormat="1"/>
    <xf numFmtId="4" fontId="0" fillId="20" borderId="32" xfId="0" applyNumberFormat="1" applyFill="1" applyBorder="1"/>
    <xf numFmtId="4" fontId="0" fillId="20" borderId="33" xfId="0" applyNumberFormat="1" applyFill="1" applyBorder="1"/>
    <xf numFmtId="4" fontId="0" fillId="20" borderId="28" xfId="0" applyNumberFormat="1" applyFill="1" applyBorder="1"/>
    <xf numFmtId="4" fontId="0" fillId="20" borderId="14" xfId="0" applyNumberFormat="1" applyFill="1" applyBorder="1"/>
    <xf numFmtId="4" fontId="0" fillId="20" borderId="9" xfId="0" applyNumberFormat="1" applyFill="1" applyBorder="1"/>
    <xf numFmtId="4" fontId="0" fillId="20" borderId="15" xfId="0" applyNumberFormat="1" applyFill="1" applyBorder="1"/>
    <xf numFmtId="4" fontId="0" fillId="20" borderId="6" xfId="0" applyNumberFormat="1" applyFill="1" applyBorder="1"/>
    <xf numFmtId="4" fontId="0" fillId="20" borderId="7" xfId="0" applyNumberFormat="1" applyFill="1" applyBorder="1"/>
    <xf numFmtId="4" fontId="0" fillId="20" borderId="8" xfId="0" applyNumberFormat="1" applyFill="1" applyBorder="1"/>
    <xf numFmtId="4" fontId="0" fillId="21" borderId="35" xfId="0" applyNumberFormat="1" applyFill="1" applyBorder="1"/>
    <xf numFmtId="4" fontId="0" fillId="19" borderId="35" xfId="0" applyNumberFormat="1" applyFill="1" applyBorder="1"/>
    <xf numFmtId="4" fontId="0" fillId="12" borderId="35" xfId="0" applyNumberFormat="1" applyFill="1" applyBorder="1"/>
    <xf numFmtId="4" fontId="0" fillId="19" borderId="33" xfId="0" applyNumberFormat="1" applyFill="1" applyBorder="1"/>
    <xf numFmtId="4" fontId="0" fillId="3" borderId="33" xfId="0" applyNumberFormat="1" applyFill="1" applyBorder="1"/>
    <xf numFmtId="4" fontId="0" fillId="12" borderId="33" xfId="0" applyNumberFormat="1" applyFill="1" applyBorder="1"/>
    <xf numFmtId="4" fontId="0" fillId="3" borderId="32" xfId="0" applyNumberFormat="1" applyFill="1" applyBorder="1"/>
    <xf numFmtId="4" fontId="0" fillId="19" borderId="14" xfId="0" applyNumberFormat="1" applyFill="1" applyBorder="1"/>
    <xf numFmtId="14" fontId="0" fillId="8" borderId="0" xfId="0" applyNumberFormat="1" applyFill="1"/>
    <xf numFmtId="0" fontId="0" fillId="8" borderId="0" xfId="0" applyFill="1"/>
    <xf numFmtId="4" fontId="0" fillId="8" borderId="0" xfId="0" applyNumberFormat="1" applyFill="1"/>
    <xf numFmtId="4" fontId="0" fillId="7" borderId="0" xfId="0" applyNumberFormat="1" applyFill="1"/>
    <xf numFmtId="0" fontId="0" fillId="22" borderId="10" xfId="0" applyFill="1" applyBorder="1"/>
    <xf numFmtId="3" fontId="0" fillId="22" borderId="34" xfId="0" applyNumberFormat="1" applyFill="1" applyBorder="1"/>
    <xf numFmtId="3" fontId="0" fillId="22" borderId="11" xfId="0" applyNumberFormat="1" applyFill="1" applyBorder="1"/>
    <xf numFmtId="3" fontId="0" fillId="18" borderId="11" xfId="0" applyNumberFormat="1" applyFill="1" applyBorder="1"/>
    <xf numFmtId="3" fontId="0" fillId="24" borderId="11" xfId="0" applyNumberFormat="1" applyFill="1" applyBorder="1"/>
    <xf numFmtId="3" fontId="0" fillId="19" borderId="11" xfId="0" applyNumberFormat="1" applyFill="1" applyBorder="1"/>
    <xf numFmtId="3" fontId="0" fillId="25" borderId="34" xfId="0" applyNumberFormat="1" applyFill="1" applyBorder="1"/>
    <xf numFmtId="4" fontId="0" fillId="9" borderId="15" xfId="0" applyNumberFormat="1" applyFill="1" applyBorder="1"/>
    <xf numFmtId="3" fontId="0" fillId="11" borderId="34" xfId="0" applyNumberFormat="1" applyFill="1" applyBorder="1"/>
    <xf numFmtId="0" fontId="0" fillId="19" borderId="15" xfId="0" applyFill="1" applyBorder="1"/>
    <xf numFmtId="3" fontId="0" fillId="19" borderId="34" xfId="0" applyNumberFormat="1" applyFill="1" applyBorder="1"/>
    <xf numFmtId="3" fontId="0" fillId="26" borderId="11" xfId="0" applyNumberFormat="1" applyFill="1" applyBorder="1"/>
    <xf numFmtId="3" fontId="0" fillId="26" borderId="34" xfId="0" applyNumberFormat="1" applyFill="1" applyBorder="1"/>
    <xf numFmtId="3" fontId="1" fillId="0" borderId="0" xfId="0" applyNumberFormat="1" applyFont="1"/>
    <xf numFmtId="0" fontId="2" fillId="0" borderId="0" xfId="0" applyFont="1" applyAlignment="1">
      <alignment wrapText="1"/>
    </xf>
    <xf numFmtId="3" fontId="3" fillId="0" borderId="0" xfId="0" applyNumberFormat="1" applyFont="1"/>
    <xf numFmtId="10" fontId="0" fillId="0" borderId="0" xfId="0" applyNumberFormat="1"/>
    <xf numFmtId="0" fontId="2" fillId="0" borderId="0" xfId="0" applyFont="1"/>
    <xf numFmtId="0" fontId="0" fillId="27" borderId="0" xfId="0" applyFill="1"/>
    <xf numFmtId="0" fontId="0" fillId="2" borderId="0" xfId="0" applyFill="1"/>
    <xf numFmtId="3" fontId="0" fillId="9" borderId="11" xfId="0" applyNumberFormat="1" applyFill="1" applyBorder="1"/>
    <xf numFmtId="0" fontId="0" fillId="27" borderId="30" xfId="0" applyFill="1" applyBorder="1"/>
    <xf numFmtId="0" fontId="0" fillId="27" borderId="31" xfId="0" applyFill="1" applyBorder="1"/>
    <xf numFmtId="0" fontId="0" fillId="18" borderId="0" xfId="0" applyFill="1"/>
    <xf numFmtId="0" fontId="0" fillId="25" borderId="0" xfId="0" applyFill="1"/>
    <xf numFmtId="3" fontId="0" fillId="2" borderId="5" xfId="0" applyNumberFormat="1" applyFill="1" applyBorder="1"/>
    <xf numFmtId="3" fontId="0" fillId="2" borderId="6" xfId="0" applyNumberFormat="1" applyFill="1" applyBorder="1"/>
    <xf numFmtId="3" fontId="0" fillId="2" borderId="7" xfId="0" applyNumberFormat="1" applyFill="1" applyBorder="1"/>
    <xf numFmtId="3" fontId="0" fillId="2" borderId="8" xfId="0" applyNumberFormat="1" applyFill="1" applyBorder="1"/>
    <xf numFmtId="3" fontId="0" fillId="0" borderId="1" xfId="0" applyNumberFormat="1" applyBorder="1"/>
    <xf numFmtId="3" fontId="0" fillId="0" borderId="4" xfId="0" applyNumberFormat="1" applyBorder="1"/>
    <xf numFmtId="0" fontId="0" fillId="7" borderId="23" xfId="0" applyFill="1" applyBorder="1"/>
    <xf numFmtId="3" fontId="0" fillId="25" borderId="4" xfId="0" applyNumberFormat="1" applyFill="1" applyBorder="1"/>
    <xf numFmtId="3" fontId="0" fillId="0" borderId="6" xfId="0" applyNumberFormat="1" applyBorder="1"/>
    <xf numFmtId="0" fontId="0" fillId="7" borderId="24" xfId="0" applyFill="1" applyBorder="1"/>
    <xf numFmtId="0" fontId="0" fillId="7" borderId="22" xfId="0" applyFill="1" applyBorder="1" applyAlignment="1">
      <alignment horizontal="center"/>
    </xf>
    <xf numFmtId="3" fontId="0" fillId="2" borderId="29" xfId="0" applyNumberFormat="1" applyFill="1" applyBorder="1" applyAlignment="1">
      <alignment horizontal="center"/>
    </xf>
    <xf numFmtId="3" fontId="0" fillId="2" borderId="30" xfId="0" applyNumberFormat="1" applyFill="1" applyBorder="1" applyAlignment="1">
      <alignment horizontal="center"/>
    </xf>
    <xf numFmtId="3" fontId="0" fillId="2" borderId="31" xfId="0" applyNumberFormat="1" applyFill="1" applyBorder="1" applyAlignment="1">
      <alignment horizontal="center"/>
    </xf>
    <xf numFmtId="3" fontId="0" fillId="25" borderId="0" xfId="0" applyNumberFormat="1" applyFill="1" applyBorder="1"/>
    <xf numFmtId="3" fontId="0" fillId="25" borderId="5" xfId="0" applyNumberFormat="1" applyFill="1" applyBorder="1"/>
    <xf numFmtId="0" fontId="0" fillId="25" borderId="23" xfId="0" applyFill="1" applyBorder="1"/>
    <xf numFmtId="1" fontId="0" fillId="0" borderId="0" xfId="0" applyNumberFormat="1"/>
    <xf numFmtId="2" fontId="0" fillId="7" borderId="2" xfId="0" applyNumberFormat="1" applyFill="1" applyBorder="1" applyAlignment="1">
      <alignment horizontal="center"/>
    </xf>
    <xf numFmtId="2" fontId="0" fillId="7" borderId="0" xfId="0" applyNumberFormat="1" applyFill="1" applyBorder="1"/>
    <xf numFmtId="2" fontId="0" fillId="25" borderId="0" xfId="0" applyNumberFormat="1" applyFill="1" applyBorder="1"/>
    <xf numFmtId="2" fontId="0" fillId="7" borderId="7" xfId="0" applyNumberFormat="1" applyFill="1" applyBorder="1"/>
    <xf numFmtId="0" fontId="0" fillId="18" borderId="2" xfId="0" applyFill="1" applyBorder="1"/>
    <xf numFmtId="1" fontId="0" fillId="0" borderId="2" xfId="0" applyNumberFormat="1" applyBorder="1"/>
    <xf numFmtId="0" fontId="0" fillId="25" borderId="3" xfId="0" applyFill="1" applyBorder="1"/>
    <xf numFmtId="0" fontId="0" fillId="18" borderId="0" xfId="0" applyFill="1" applyBorder="1"/>
    <xf numFmtId="1" fontId="0" fillId="0" borderId="0" xfId="0" applyNumberFormat="1" applyBorder="1"/>
    <xf numFmtId="0" fontId="0" fillId="25" borderId="5" xfId="0" applyFill="1" applyBorder="1"/>
    <xf numFmtId="0" fontId="0" fillId="25" borderId="4" xfId="0" applyFill="1" applyBorder="1"/>
    <xf numFmtId="0" fontId="0" fillId="25" borderId="0" xfId="0" applyFill="1" applyBorder="1"/>
    <xf numFmtId="1" fontId="0" fillId="25" borderId="0" xfId="0" applyNumberFormat="1" applyFill="1" applyBorder="1"/>
    <xf numFmtId="0" fontId="0" fillId="0" borderId="6" xfId="0" applyBorder="1"/>
    <xf numFmtId="0" fontId="0" fillId="18" borderId="7" xfId="0" applyFill="1" applyBorder="1"/>
    <xf numFmtId="0" fontId="0" fillId="0" borderId="7" xfId="0" applyBorder="1"/>
    <xf numFmtId="1" fontId="0" fillId="0" borderId="7" xfId="0" applyNumberFormat="1" applyBorder="1"/>
    <xf numFmtId="0" fontId="0" fillId="25" borderId="8" xfId="0" applyFill="1" applyBorder="1"/>
    <xf numFmtId="0" fontId="0" fillId="26" borderId="0" xfId="0" applyFill="1" applyBorder="1"/>
    <xf numFmtId="3" fontId="0" fillId="28" borderId="4" xfId="0" applyNumberFormat="1" applyFill="1" applyBorder="1"/>
    <xf numFmtId="3" fontId="0" fillId="28" borderId="0" xfId="0" applyNumberFormat="1" applyFill="1" applyBorder="1"/>
    <xf numFmtId="3" fontId="0" fillId="28" borderId="5" xfId="0" applyNumberFormat="1" applyFill="1" applyBorder="1"/>
    <xf numFmtId="0" fontId="0" fillId="28" borderId="23" xfId="0" applyFill="1" applyBorder="1"/>
    <xf numFmtId="2" fontId="0" fillId="28" borderId="0" xfId="0" applyNumberFormat="1" applyFill="1" applyBorder="1"/>
    <xf numFmtId="0" fontId="0" fillId="28" borderId="4" xfId="0" applyFill="1" applyBorder="1"/>
    <xf numFmtId="0" fontId="0" fillId="28" borderId="0" xfId="0" applyFill="1" applyBorder="1"/>
    <xf numFmtId="1" fontId="0" fillId="28" borderId="0" xfId="0" applyNumberFormat="1" applyFill="1" applyBorder="1"/>
    <xf numFmtId="0" fontId="0" fillId="28" borderId="5" xfId="0" applyFill="1" applyBorder="1"/>
    <xf numFmtId="0" fontId="0" fillId="28" borderId="0" xfId="0" applyFill="1"/>
    <xf numFmtId="2" fontId="0" fillId="2" borderId="0" xfId="0" applyNumberFormat="1" applyFill="1"/>
    <xf numFmtId="1" fontId="0" fillId="2" borderId="0" xfId="0" applyNumberFormat="1" applyFill="1"/>
    <xf numFmtId="2" fontId="0" fillId="8" borderId="0" xfId="0" applyNumberFormat="1" applyFill="1"/>
    <xf numFmtId="1" fontId="0" fillId="8" borderId="0" xfId="0" applyNumberFormat="1" applyFill="1"/>
    <xf numFmtId="2" fontId="0" fillId="8" borderId="2" xfId="0" applyNumberFormat="1" applyFill="1" applyBorder="1"/>
    <xf numFmtId="2" fontId="0" fillId="8" borderId="3" xfId="0" applyNumberFormat="1" applyFill="1" applyBorder="1"/>
    <xf numFmtId="2" fontId="0" fillId="8" borderId="0" xfId="0" applyNumberFormat="1" applyFill="1" applyBorder="1"/>
    <xf numFmtId="2" fontId="0" fillId="8" borderId="5" xfId="0" applyNumberFormat="1" applyFill="1" applyBorder="1"/>
    <xf numFmtId="0" fontId="0" fillId="0" borderId="5" xfId="0" applyBorder="1"/>
    <xf numFmtId="0" fontId="0" fillId="0" borderId="8" xfId="0" applyBorder="1"/>
    <xf numFmtId="1" fontId="0" fillId="8" borderId="0" xfId="0" applyNumberFormat="1" applyFill="1" applyBorder="1"/>
    <xf numFmtId="0" fontId="0" fillId="3" borderId="0" xfId="0" applyFill="1"/>
    <xf numFmtId="0" fontId="0" fillId="20" borderId="0" xfId="0" applyFill="1"/>
    <xf numFmtId="2" fontId="0" fillId="27" borderId="0" xfId="0" applyNumberFormat="1" applyFill="1"/>
    <xf numFmtId="0" fontId="0" fillId="0" borderId="0" xfId="0" applyFill="1"/>
    <xf numFmtId="2" fontId="0" fillId="0" borderId="0" xfId="0" applyNumberFormat="1" applyFill="1"/>
    <xf numFmtId="2" fontId="0" fillId="3" borderId="0" xfId="0" applyNumberFormat="1" applyFill="1"/>
    <xf numFmtId="10" fontId="0" fillId="3" borderId="0" xfId="0" applyNumberFormat="1" applyFill="1"/>
    <xf numFmtId="10" fontId="0" fillId="0" borderId="0" xfId="0" applyNumberFormat="1" applyFill="1"/>
    <xf numFmtId="0" fontId="0" fillId="29" borderId="0" xfId="0" applyFill="1"/>
    <xf numFmtId="2" fontId="0" fillId="29" borderId="0" xfId="0" applyNumberFormat="1" applyFill="1"/>
    <xf numFmtId="0" fontId="0" fillId="19" borderId="0" xfId="0" applyFill="1"/>
    <xf numFmtId="2" fontId="0" fillId="19" borderId="0" xfId="0" applyNumberFormat="1" applyFill="1"/>
    <xf numFmtId="10" fontId="0" fillId="27" borderId="0" xfId="0" applyNumberFormat="1" applyFill="1"/>
    <xf numFmtId="0" fontId="0" fillId="23" borderId="0" xfId="0" applyFill="1"/>
    <xf numFmtId="2" fontId="0" fillId="23" borderId="0" xfId="0" applyNumberFormat="1" applyFill="1"/>
    <xf numFmtId="10" fontId="0" fillId="23" borderId="0" xfId="0" applyNumberFormat="1" applyFill="1"/>
    <xf numFmtId="2" fontId="0" fillId="4" borderId="0" xfId="0" applyNumberFormat="1" applyFill="1"/>
    <xf numFmtId="0" fontId="0" fillId="3" borderId="30" xfId="0" applyFill="1" applyBorder="1"/>
    <xf numFmtId="2" fontId="0" fillId="3" borderId="30" xfId="0" applyNumberFormat="1" applyFill="1" applyBorder="1"/>
    <xf numFmtId="0" fontId="0" fillId="3" borderId="31" xfId="0" applyFill="1" applyBorder="1"/>
    <xf numFmtId="0" fontId="0" fillId="6" borderId="0" xfId="0" applyFill="1" applyAlignment="1">
      <alignment horizontal="center" vertical="top"/>
    </xf>
    <xf numFmtId="2" fontId="0" fillId="13" borderId="0" xfId="0" applyNumberFormat="1" applyFill="1"/>
    <xf numFmtId="0" fontId="0" fillId="16" borderId="0" xfId="0" applyFill="1"/>
    <xf numFmtId="2" fontId="0" fillId="20" borderId="0" xfId="0" applyNumberFormat="1" applyFill="1"/>
    <xf numFmtId="0" fontId="0" fillId="12" borderId="0" xfId="0" applyFill="1"/>
    <xf numFmtId="0" fontId="5" fillId="3" borderId="0" xfId="0" applyFont="1" applyFill="1"/>
    <xf numFmtId="2" fontId="5" fillId="3" borderId="0" xfId="0" applyNumberFormat="1" applyFont="1" applyFill="1"/>
    <xf numFmtId="10" fontId="5" fillId="3" borderId="0" xfId="0" applyNumberFormat="1" applyFont="1" applyFill="1"/>
    <xf numFmtId="0" fontId="0" fillId="4" borderId="0" xfId="0" applyFill="1"/>
    <xf numFmtId="10" fontId="0" fillId="4" borderId="0" xfId="0" applyNumberFormat="1" applyFill="1"/>
    <xf numFmtId="1" fontId="0" fillId="3" borderId="30" xfId="0" applyNumberFormat="1" applyFill="1" applyBorder="1"/>
    <xf numFmtId="1" fontId="0" fillId="3" borderId="30" xfId="0" applyNumberFormat="1" applyFill="1" applyBorder="1" applyAlignment="1">
      <alignment horizontal="center"/>
    </xf>
    <xf numFmtId="1" fontId="0" fillId="0" borderId="0" xfId="0" applyNumberFormat="1" applyAlignment="1">
      <alignment horizontal="center"/>
    </xf>
    <xf numFmtId="1" fontId="0" fillId="3" borderId="29" xfId="0" applyNumberFormat="1" applyFill="1" applyBorder="1"/>
    <xf numFmtId="0" fontId="4" fillId="0" borderId="0" xfId="0" applyFont="1"/>
    <xf numFmtId="0" fontId="4" fillId="3" borderId="0" xfId="0" applyFont="1" applyFill="1"/>
    <xf numFmtId="0" fontId="4" fillId="3" borderId="29" xfId="0" applyFont="1" applyFill="1" applyBorder="1"/>
    <xf numFmtId="0" fontId="0" fillId="6" borderId="0" xfId="0" applyFill="1"/>
    <xf numFmtId="0" fontId="4" fillId="0" borderId="0" xfId="0" applyFont="1" applyFill="1"/>
    <xf numFmtId="0" fontId="4" fillId="0" borderId="30" xfId="0" applyFont="1" applyFill="1" applyBorder="1"/>
    <xf numFmtId="14" fontId="4" fillId="3" borderId="0" xfId="0" applyNumberFormat="1" applyFont="1" applyFill="1"/>
    <xf numFmtId="14" fontId="4" fillId="0" borderId="0" xfId="0" applyNumberFormat="1" applyFont="1" applyFill="1"/>
    <xf numFmtId="0" fontId="0" fillId="0" borderId="3" xfId="0" applyBorder="1"/>
    <xf numFmtId="0" fontId="0" fillId="0" borderId="2" xfId="0" applyBorder="1" applyAlignment="1">
      <alignment horizontal="center"/>
    </xf>
    <xf numFmtId="0" fontId="0" fillId="0" borderId="0" xfId="0" applyAlignment="1">
      <alignment horizontal="center"/>
    </xf>
    <xf numFmtId="0" fontId="0" fillId="2" borderId="4" xfId="0" applyFill="1" applyBorder="1" applyAlignment="1">
      <alignment vertical="center" wrapText="1"/>
    </xf>
    <xf numFmtId="0" fontId="0" fillId="2" borderId="0" xfId="0" applyFill="1" applyBorder="1" applyAlignment="1">
      <alignment vertical="center" wrapText="1"/>
    </xf>
    <xf numFmtId="0" fontId="0" fillId="2" borderId="5" xfId="0" applyFill="1" applyBorder="1" applyAlignment="1">
      <alignment vertical="center" wrapText="1"/>
    </xf>
    <xf numFmtId="0" fontId="0" fillId="8" borderId="1" xfId="0" applyFill="1"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8" borderId="6" xfId="0" applyFill="1" applyBorder="1" applyAlignment="1">
      <alignment vertical="center" wrapText="1"/>
    </xf>
    <xf numFmtId="0" fontId="0" fillId="8" borderId="7" xfId="0" applyFill="1" applyBorder="1" applyAlignment="1">
      <alignment vertical="center" wrapText="1"/>
    </xf>
    <xf numFmtId="0" fontId="0" fillId="8" borderId="8" xfId="0" applyFill="1" applyBorder="1" applyAlignment="1">
      <alignment vertical="center" wrapText="1"/>
    </xf>
    <xf numFmtId="0" fontId="0" fillId="24" borderId="4" xfId="0" applyFill="1" applyBorder="1" applyAlignment="1">
      <alignment vertical="center" wrapText="1"/>
    </xf>
    <xf numFmtId="0" fontId="0" fillId="24" borderId="0" xfId="0" applyFill="1" applyBorder="1" applyAlignment="1">
      <alignment vertical="center" wrapText="1"/>
    </xf>
    <xf numFmtId="0" fontId="0" fillId="24" borderId="5" xfId="0" applyFill="1" applyBorder="1" applyAlignment="1">
      <alignment vertical="center" wrapText="1"/>
    </xf>
    <xf numFmtId="0" fontId="0" fillId="24" borderId="6" xfId="0" applyFill="1" applyBorder="1" applyAlignment="1">
      <alignment vertical="center" wrapText="1"/>
    </xf>
    <xf numFmtId="0" fontId="0" fillId="24" borderId="7" xfId="0" applyFill="1" applyBorder="1" applyAlignment="1">
      <alignment vertical="center" wrapText="1"/>
    </xf>
    <xf numFmtId="0" fontId="0" fillId="24" borderId="8" xfId="0" applyFill="1" applyBorder="1" applyAlignment="1">
      <alignment vertical="center" wrapText="1"/>
    </xf>
    <xf numFmtId="0" fontId="0" fillId="0" borderId="4" xfId="0" applyBorder="1" applyAlignment="1">
      <alignment wrapText="1"/>
    </xf>
    <xf numFmtId="0" fontId="0" fillId="0" borderId="1" xfId="0" applyBorder="1" applyAlignment="1">
      <alignment vertical="center"/>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0"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4" fillId="0" borderId="0" xfId="0" applyFont="1" applyAlignment="1">
      <alignment horizontal="center"/>
    </xf>
    <xf numFmtId="0" fontId="0" fillId="20" borderId="10" xfId="0" applyFill="1" applyBorder="1"/>
    <xf numFmtId="9" fontId="0" fillId="0" borderId="0" xfId="0" applyNumberFormat="1"/>
    <xf numFmtId="0" fontId="6" fillId="0" borderId="0" xfId="1" applyAlignment="1" applyProtection="1"/>
    <xf numFmtId="0" fontId="7" fillId="0" borderId="0" xfId="0" applyFont="1"/>
    <xf numFmtId="0" fontId="0" fillId="31" borderId="0" xfId="0" applyFill="1"/>
    <xf numFmtId="0" fontId="0" fillId="31" borderId="1" xfId="0" applyFill="1" applyBorder="1"/>
    <xf numFmtId="0" fontId="0" fillId="31" borderId="2" xfId="0" applyFill="1" applyBorder="1"/>
    <xf numFmtId="0" fontId="0" fillId="31" borderId="3" xfId="0" applyFill="1" applyBorder="1"/>
    <xf numFmtId="0" fontId="0" fillId="30" borderId="0" xfId="0" applyFill="1" applyBorder="1"/>
    <xf numFmtId="0" fontId="0" fillId="30" borderId="8" xfId="0" applyFill="1" applyBorder="1"/>
    <xf numFmtId="0" fontId="0" fillId="31" borderId="4" xfId="0" applyFill="1" applyBorder="1"/>
    <xf numFmtId="0" fontId="0" fillId="31" borderId="0" xfId="0" applyFill="1" applyBorder="1"/>
    <xf numFmtId="0" fontId="0" fillId="31" borderId="5" xfId="0" applyFill="1" applyBorder="1"/>
    <xf numFmtId="0" fontId="0" fillId="30" borderId="5" xfId="0" applyFill="1" applyBorder="1"/>
    <xf numFmtId="0" fontId="0" fillId="30" borderId="23" xfId="0" applyFill="1" applyBorder="1"/>
    <xf numFmtId="0" fontId="0" fillId="30" borderId="24" xfId="0" applyFill="1" applyBorder="1"/>
    <xf numFmtId="0" fontId="0" fillId="0" borderId="0" xfId="0" applyFill="1" applyBorder="1"/>
    <xf numFmtId="0" fontId="0" fillId="31" borderId="22" xfId="0" applyFill="1" applyBorder="1"/>
    <xf numFmtId="0" fontId="0" fillId="31" borderId="24" xfId="0" applyFill="1" applyBorder="1"/>
    <xf numFmtId="0" fontId="0" fillId="0" borderId="22" xfId="0" applyFill="1" applyBorder="1"/>
    <xf numFmtId="0" fontId="0" fillId="30" borderId="22" xfId="0" applyFill="1" applyBorder="1"/>
    <xf numFmtId="0" fontId="0" fillId="30" borderId="10" xfId="0" applyFill="1" applyBorder="1"/>
    <xf numFmtId="0" fontId="0" fillId="31" borderId="10" xfId="0" applyFill="1" applyBorder="1"/>
    <xf numFmtId="0" fontId="0" fillId="0" borderId="10" xfId="0" applyFill="1" applyBorder="1"/>
    <xf numFmtId="0" fontId="0" fillId="23" borderId="4" xfId="0" applyFill="1" applyBorder="1"/>
    <xf numFmtId="0" fontId="0" fillId="21" borderId="0" xfId="0" applyFill="1" applyBorder="1"/>
    <xf numFmtId="0" fontId="0" fillId="32" borderId="5" xfId="0" applyFill="1" applyBorder="1"/>
    <xf numFmtId="0" fontId="0" fillId="4" borderId="5" xfId="0" applyFill="1" applyBorder="1"/>
    <xf numFmtId="0" fontId="0" fillId="0" borderId="4" xfId="0" applyFill="1" applyBorder="1"/>
    <xf numFmtId="0" fontId="0" fillId="0" borderId="5" xfId="0" applyFill="1" applyBorder="1"/>
    <xf numFmtId="0" fontId="0" fillId="0" borderId="0" xfId="0" applyAlignment="1">
      <alignment horizontal="center"/>
    </xf>
    <xf numFmtId="2" fontId="0" fillId="0" borderId="0" xfId="0" applyNumberFormat="1" applyAlignment="1">
      <alignment horizontal="center"/>
    </xf>
    <xf numFmtId="0" fontId="8" fillId="0" borderId="0" xfId="0" applyFont="1"/>
    <xf numFmtId="0" fontId="0" fillId="33" borderId="0" xfId="0" applyFill="1"/>
    <xf numFmtId="0" fontId="0" fillId="0" borderId="0" xfId="0" applyNumberFormat="1"/>
    <xf numFmtId="0" fontId="9" fillId="0" borderId="0" xfId="0" applyFont="1"/>
    <xf numFmtId="0" fontId="6" fillId="0" borderId="37" xfId="1" applyBorder="1" applyAlignment="1" applyProtection="1">
      <alignment wrapText="1"/>
    </xf>
    <xf numFmtId="0" fontId="6" fillId="0" borderId="37" xfId="1" applyBorder="1" applyAlignment="1" applyProtection="1"/>
    <xf numFmtId="0" fontId="0" fillId="8" borderId="2" xfId="0" applyFill="1" applyBorder="1"/>
    <xf numFmtId="0" fontId="0" fillId="12" borderId="3" xfId="0" applyFill="1" applyBorder="1"/>
    <xf numFmtId="0" fontId="0" fillId="8" borderId="0" xfId="0" applyFill="1" applyBorder="1"/>
    <xf numFmtId="0" fontId="0" fillId="8" borderId="5" xfId="0" applyFill="1" applyBorder="1"/>
    <xf numFmtId="0" fontId="0" fillId="12" borderId="7" xfId="0" applyFill="1" applyBorder="1"/>
    <xf numFmtId="0" fontId="0" fillId="12" borderId="0" xfId="0" applyFill="1" applyBorder="1"/>
    <xf numFmtId="0" fontId="10" fillId="0" borderId="0" xfId="0" applyFont="1"/>
    <xf numFmtId="0" fontId="0" fillId="17" borderId="0" xfId="0" applyFill="1"/>
    <xf numFmtId="0" fontId="0" fillId="13" borderId="0" xfId="0" applyFill="1"/>
    <xf numFmtId="0" fontId="11" fillId="0" borderId="0" xfId="0" applyFont="1" applyAlignment="1">
      <alignment horizontal="left" vertical="center" wrapText="1"/>
    </xf>
    <xf numFmtId="0" fontId="11" fillId="15" borderId="0" xfId="0" applyFont="1" applyFill="1" applyAlignment="1">
      <alignment horizontal="left" vertical="center" wrapText="1"/>
    </xf>
    <xf numFmtId="0" fontId="0" fillId="15" borderId="0" xfId="0" applyFill="1"/>
    <xf numFmtId="0" fontId="0" fillId="14" borderId="0" xfId="0" applyFill="1"/>
    <xf numFmtId="0" fontId="0" fillId="34" borderId="0" xfId="0" applyFill="1"/>
    <xf numFmtId="0" fontId="11" fillId="34" borderId="29" xfId="0" applyFont="1" applyFill="1" applyBorder="1" applyAlignment="1">
      <alignment horizontal="left" vertical="center" wrapText="1"/>
    </xf>
    <xf numFmtId="0" fontId="11" fillId="34" borderId="30" xfId="0" applyFont="1" applyFill="1" applyBorder="1" applyAlignment="1">
      <alignment horizontal="left" vertical="center" wrapText="1"/>
    </xf>
    <xf numFmtId="0" fontId="11" fillId="34" borderId="31" xfId="0" applyFont="1" applyFill="1" applyBorder="1" applyAlignment="1">
      <alignment horizontal="left" vertical="center" wrapText="1"/>
    </xf>
    <xf numFmtId="0" fontId="11" fillId="15" borderId="29" xfId="0" applyFont="1" applyFill="1" applyBorder="1" applyAlignment="1">
      <alignment horizontal="left" vertical="center" wrapText="1"/>
    </xf>
    <xf numFmtId="0" fontId="11" fillId="15" borderId="30" xfId="0" applyFont="1" applyFill="1" applyBorder="1" applyAlignment="1">
      <alignment horizontal="left" vertical="center" wrapText="1"/>
    </xf>
    <xf numFmtId="0" fontId="11" fillId="15" borderId="31" xfId="0" applyFont="1" applyFill="1" applyBorder="1" applyAlignment="1">
      <alignment horizontal="left" vertical="center" wrapText="1"/>
    </xf>
    <xf numFmtId="49" fontId="4" fillId="0" borderId="0" xfId="0" applyNumberFormat="1" applyFont="1" applyAlignment="1"/>
    <xf numFmtId="49" fontId="4" fillId="34" borderId="30" xfId="0" applyNumberFormat="1" applyFont="1" applyFill="1" applyBorder="1" applyAlignment="1"/>
    <xf numFmtId="49" fontId="4" fillId="15" borderId="30" xfId="0" applyNumberFormat="1" applyFont="1" applyFill="1" applyBorder="1" applyAlignment="1"/>
    <xf numFmtId="0" fontId="11" fillId="14" borderId="29" xfId="0" applyFont="1" applyFill="1" applyBorder="1" applyAlignment="1">
      <alignment horizontal="left" vertical="center" wrapText="1"/>
    </xf>
    <xf numFmtId="0" fontId="11" fillId="14" borderId="30" xfId="0" applyFont="1" applyFill="1" applyBorder="1" applyAlignment="1">
      <alignment horizontal="left" vertical="center" wrapText="1"/>
    </xf>
    <xf numFmtId="49" fontId="4" fillId="14" borderId="30" xfId="0" applyNumberFormat="1" applyFont="1" applyFill="1" applyBorder="1" applyAlignment="1"/>
    <xf numFmtId="0" fontId="11" fillId="34" borderId="10" xfId="0" applyFont="1" applyFill="1" applyBorder="1" applyAlignment="1">
      <alignment horizontal="left" vertical="center" wrapText="1"/>
    </xf>
    <xf numFmtId="0" fontId="11" fillId="15" borderId="10" xfId="0" applyFont="1" applyFill="1" applyBorder="1" applyAlignment="1">
      <alignment horizontal="left" vertical="center" wrapText="1"/>
    </xf>
    <xf numFmtId="0" fontId="11" fillId="15" borderId="23" xfId="0" applyFont="1" applyFill="1" applyBorder="1" applyAlignment="1">
      <alignment horizontal="left" vertical="center" wrapText="1"/>
    </xf>
    <xf numFmtId="0" fontId="11" fillId="15" borderId="24" xfId="0" applyFont="1" applyFill="1" applyBorder="1" applyAlignment="1">
      <alignment horizontal="left" vertical="center" wrapText="1"/>
    </xf>
    <xf numFmtId="0" fontId="11" fillId="14" borderId="10" xfId="0" applyFont="1" applyFill="1" applyBorder="1" applyAlignment="1">
      <alignment horizontal="left" vertical="center" wrapText="1"/>
    </xf>
    <xf numFmtId="49" fontId="4" fillId="0" borderId="22" xfId="0" applyNumberFormat="1" applyFont="1" applyBorder="1"/>
    <xf numFmtId="49" fontId="4" fillId="34" borderId="10" xfId="0" applyNumberFormat="1" applyFont="1" applyFill="1" applyBorder="1"/>
    <xf numFmtId="49" fontId="4" fillId="15" borderId="10" xfId="0" applyNumberFormat="1" applyFont="1" applyFill="1" applyBorder="1"/>
    <xf numFmtId="49" fontId="4" fillId="14" borderId="10" xfId="0" applyNumberFormat="1" applyFont="1" applyFill="1" applyBorder="1"/>
    <xf numFmtId="49" fontId="4" fillId="0" borderId="23" xfId="0" applyNumberFormat="1" applyFont="1" applyBorder="1"/>
    <xf numFmtId="2" fontId="0" fillId="0" borderId="22" xfId="0" applyNumberFormat="1" applyBorder="1"/>
    <xf numFmtId="2" fontId="0" fillId="34" borderId="10" xfId="0" applyNumberFormat="1" applyFill="1" applyBorder="1"/>
    <xf numFmtId="2" fontId="0" fillId="15" borderId="10" xfId="0" applyNumberFormat="1" applyFill="1" applyBorder="1"/>
    <xf numFmtId="2" fontId="0" fillId="14" borderId="10" xfId="0" applyNumberFormat="1" applyFill="1" applyBorder="1"/>
    <xf numFmtId="2" fontId="11" fillId="15" borderId="10" xfId="0" applyNumberFormat="1" applyFont="1" applyFill="1" applyBorder="1" applyAlignment="1">
      <alignment horizontal="left" vertical="center" wrapText="1"/>
    </xf>
    <xf numFmtId="2" fontId="0" fillId="0" borderId="23" xfId="0" applyNumberFormat="1" applyBorder="1"/>
    <xf numFmtId="0" fontId="11" fillId="0" borderId="0" xfId="0" applyFont="1" applyBorder="1" applyAlignment="1">
      <alignment horizontal="left" vertical="center" wrapText="1"/>
    </xf>
    <xf numFmtId="49" fontId="4" fillId="0" borderId="0" xfId="0" applyNumberFormat="1" applyFont="1" applyBorder="1"/>
    <xf numFmtId="49" fontId="4" fillId="0" borderId="0" xfId="0" applyNumberFormat="1" applyFont="1" applyBorder="1" applyAlignment="1"/>
    <xf numFmtId="2" fontId="0" fillId="0" borderId="0" xfId="0" applyNumberFormat="1" applyBorder="1"/>
    <xf numFmtId="0" fontId="11" fillId="15" borderId="31" xfId="0" applyFont="1" applyFill="1" applyBorder="1" applyAlignment="1">
      <alignment horizontal="center" vertical="center" wrapText="1"/>
    </xf>
    <xf numFmtId="0" fontId="11" fillId="15" borderId="10" xfId="0" applyFont="1" applyFill="1" applyBorder="1" applyAlignment="1">
      <alignment horizontal="center" vertical="center" wrapText="1"/>
    </xf>
    <xf numFmtId="4" fontId="9" fillId="0" borderId="0" xfId="0" applyNumberFormat="1" applyFont="1"/>
    <xf numFmtId="4" fontId="10" fillId="0" borderId="0" xfId="0" applyNumberFormat="1" applyFont="1"/>
    <xf numFmtId="0" fontId="0" fillId="16" borderId="9" xfId="0" applyFill="1" applyBorder="1"/>
    <xf numFmtId="0" fontId="0" fillId="0" borderId="9" xfId="0" applyBorder="1"/>
    <xf numFmtId="164" fontId="0" fillId="0" borderId="0" xfId="0" applyNumberFormat="1"/>
    <xf numFmtId="2" fontId="0" fillId="16" borderId="0" xfId="0" applyNumberFormat="1" applyFill="1"/>
    <xf numFmtId="2" fontId="0" fillId="15" borderId="0" xfId="0" applyNumberFormat="1" applyFill="1"/>
    <xf numFmtId="164" fontId="0" fillId="3" borderId="0" xfId="0" applyNumberFormat="1" applyFill="1"/>
    <xf numFmtId="164" fontId="0" fillId="4" borderId="0" xfId="0" applyNumberFormat="1" applyFill="1"/>
    <xf numFmtId="164" fontId="0" fillId="2" borderId="0" xfId="0" applyNumberFormat="1" applyFill="1"/>
    <xf numFmtId="164" fontId="0" fillId="23" borderId="0" xfId="0" applyNumberFormat="1" applyFill="1"/>
    <xf numFmtId="2" fontId="0" fillId="18" borderId="0" xfId="0" applyNumberFormat="1" applyFill="1"/>
    <xf numFmtId="2" fontId="0" fillId="35" borderId="0" xfId="0" applyNumberFormat="1" applyFill="1"/>
    <xf numFmtId="0" fontId="0" fillId="15" borderId="9" xfId="0" applyFill="1" applyBorder="1"/>
    <xf numFmtId="2" fontId="0" fillId="11" borderId="0" xfId="0" applyNumberFormat="1" applyFill="1"/>
    <xf numFmtId="164" fontId="0" fillId="11" borderId="0" xfId="0" applyNumberFormat="1" applyFill="1"/>
    <xf numFmtId="0" fontId="0" fillId="0" borderId="9" xfId="0" applyFill="1" applyBorder="1"/>
    <xf numFmtId="0" fontId="0" fillId="4" borderId="9" xfId="0" applyFill="1" applyBorder="1"/>
    <xf numFmtId="0" fontId="6" fillId="4" borderId="0" xfId="1" applyFill="1" applyAlignment="1" applyProtection="1"/>
    <xf numFmtId="0" fontId="0" fillId="9" borderId="0" xfId="0" applyFill="1"/>
    <xf numFmtId="164" fontId="0" fillId="9" borderId="0" xfId="0" applyNumberFormat="1" applyFill="1"/>
    <xf numFmtId="2" fontId="0" fillId="9" borderId="0" xfId="0" applyNumberFormat="1" applyFill="1"/>
    <xf numFmtId="2" fontId="0" fillId="30" borderId="0" xfId="0" applyNumberFormat="1" applyFill="1"/>
    <xf numFmtId="2" fontId="0" fillId="36" borderId="0" xfId="0" applyNumberFormat="1" applyFill="1"/>
    <xf numFmtId="0" fontId="0" fillId="37" borderId="0" xfId="0" applyFill="1"/>
    <xf numFmtId="0" fontId="0" fillId="5" borderId="0" xfId="0" applyFill="1"/>
    <xf numFmtId="0" fontId="0" fillId="36" borderId="0" xfId="0" applyFill="1"/>
    <xf numFmtId="0" fontId="9" fillId="4" borderId="0" xfId="0" applyFont="1" applyFill="1"/>
    <xf numFmtId="0" fontId="0" fillId="38" borderId="0" xfId="0" applyFill="1"/>
    <xf numFmtId="0" fontId="0" fillId="32" borderId="0" xfId="0" applyFill="1"/>
    <xf numFmtId="2" fontId="0" fillId="32" borderId="0" xfId="0" applyNumberFormat="1" applyFill="1"/>
    <xf numFmtId="0" fontId="0" fillId="12" borderId="5" xfId="0" applyFill="1" applyBorder="1"/>
    <xf numFmtId="0" fontId="0" fillId="12" borderId="8" xfId="0" applyFill="1" applyBorder="1"/>
    <xf numFmtId="0" fontId="0" fillId="38" borderId="22" xfId="0" applyFill="1" applyBorder="1"/>
    <xf numFmtId="0" fontId="0" fillId="38" borderId="23" xfId="0" applyFill="1" applyBorder="1"/>
    <xf numFmtId="0" fontId="0" fillId="38" borderId="24" xfId="0" applyFill="1" applyBorder="1"/>
    <xf numFmtId="0" fontId="0" fillId="30" borderId="0" xfId="0" applyFill="1"/>
    <xf numFmtId="0" fontId="0" fillId="39" borderId="0" xfId="0" applyFill="1"/>
    <xf numFmtId="2" fontId="0" fillId="5" borderId="0" xfId="0" applyNumberFormat="1" applyFill="1"/>
    <xf numFmtId="0" fontId="0" fillId="3" borderId="7" xfId="0" applyFill="1" applyBorder="1"/>
    <xf numFmtId="0" fontId="0" fillId="3" borderId="5" xfId="0" applyFill="1" applyBorder="1"/>
    <xf numFmtId="0" fontId="0" fillId="4" borderId="2" xfId="0" applyFill="1" applyBorder="1"/>
    <xf numFmtId="0" fontId="0" fillId="4" borderId="3" xfId="0" applyFill="1" applyBorder="1"/>
    <xf numFmtId="0" fontId="0" fillId="19" borderId="0" xfId="0" applyFill="1" applyBorder="1"/>
    <xf numFmtId="2" fontId="0" fillId="39" borderId="0" xfId="0" applyNumberFormat="1" applyFill="1"/>
    <xf numFmtId="0" fontId="0" fillId="0" borderId="29" xfId="0" applyBorder="1"/>
    <xf numFmtId="2" fontId="0" fillId="4" borderId="30" xfId="0" applyNumberFormat="1" applyFill="1" applyBorder="1"/>
    <xf numFmtId="2" fontId="0" fillId="19" borderId="31" xfId="0" applyNumberFormat="1" applyFill="1" applyBorder="1"/>
    <xf numFmtId="0" fontId="0" fillId="19" borderId="30" xfId="0" applyFill="1" applyBorder="1"/>
    <xf numFmtId="2" fontId="0" fillId="39" borderId="31" xfId="0" applyNumberFormat="1" applyFill="1" applyBorder="1"/>
    <xf numFmtId="2" fontId="0" fillId="39" borderId="30" xfId="0" applyNumberFormat="1" applyFill="1" applyBorder="1"/>
    <xf numFmtId="2" fontId="0" fillId="0" borderId="9" xfId="0" applyNumberFormat="1" applyBorder="1"/>
    <xf numFmtId="2" fontId="0" fillId="4" borderId="9" xfId="0" applyNumberFormat="1" applyFill="1" applyBorder="1"/>
    <xf numFmtId="2" fontId="0" fillId="2" borderId="9" xfId="0" applyNumberFormat="1" applyFill="1" applyBorder="1"/>
    <xf numFmtId="2" fontId="0" fillId="3" borderId="9" xfId="0" applyNumberFormat="1" applyFill="1" applyBorder="1"/>
    <xf numFmtId="2" fontId="0" fillId="0" borderId="11" xfId="0" applyNumberFormat="1" applyBorder="1"/>
    <xf numFmtId="2" fontId="0" fillId="0" borderId="12" xfId="0" applyNumberFormat="1" applyBorder="1"/>
    <xf numFmtId="2" fontId="0" fillId="2" borderId="13" xfId="0" applyNumberFormat="1" applyFill="1" applyBorder="1"/>
    <xf numFmtId="2" fontId="0" fillId="0" borderId="14" xfId="0" applyNumberFormat="1" applyBorder="1"/>
    <xf numFmtId="2" fontId="0" fillId="4" borderId="15" xfId="0" applyNumberFormat="1" applyFill="1" applyBorder="1"/>
    <xf numFmtId="2" fontId="0" fillId="0" borderId="16" xfId="0" applyNumberFormat="1" applyBorder="1"/>
    <xf numFmtId="2" fontId="0" fillId="0" borderId="17" xfId="0" applyNumberFormat="1" applyBorder="1"/>
    <xf numFmtId="2" fontId="0" fillId="4" borderId="18" xfId="0" applyNumberFormat="1" applyFill="1" applyBorder="1"/>
    <xf numFmtId="2" fontId="0" fillId="0" borderId="36" xfId="0" applyNumberFormat="1" applyBorder="1"/>
    <xf numFmtId="2" fontId="0" fillId="0" borderId="38" xfId="0" applyNumberFormat="1" applyBorder="1"/>
    <xf numFmtId="2" fontId="0" fillId="0" borderId="39" xfId="0" applyNumberFormat="1" applyBorder="1"/>
    <xf numFmtId="2" fontId="0" fillId="4" borderId="13" xfId="0" applyNumberFormat="1" applyFill="1" applyBorder="1"/>
    <xf numFmtId="2" fontId="0" fillId="2" borderId="15" xfId="0" applyNumberFormat="1" applyFill="1" applyBorder="1"/>
    <xf numFmtId="2" fontId="0" fillId="3" borderId="18" xfId="0" applyNumberFormat="1" applyFill="1" applyBorder="1"/>
    <xf numFmtId="2" fontId="0" fillId="3" borderId="15" xfId="0" applyNumberFormat="1" applyFill="1" applyBorder="1"/>
    <xf numFmtId="17" fontId="0" fillId="0" borderId="0" xfId="0" applyNumberFormat="1"/>
    <xf numFmtId="2" fontId="0" fillId="12" borderId="0" xfId="0" applyNumberFormat="1" applyFill="1"/>
    <xf numFmtId="0" fontId="0" fillId="0" borderId="30" xfId="0" applyBorder="1"/>
    <xf numFmtId="0" fontId="0" fillId="0" borderId="31" xfId="0" applyBorder="1"/>
    <xf numFmtId="0" fontId="0" fillId="3" borderId="9" xfId="0" applyFill="1" applyBorder="1"/>
    <xf numFmtId="0" fontId="0" fillId="2" borderId="9" xfId="0" applyFill="1" applyBorder="1"/>
    <xf numFmtId="0" fontId="0" fillId="30" borderId="9" xfId="0" applyFill="1" applyBorder="1"/>
    <xf numFmtId="0" fontId="0" fillId="32" borderId="9" xfId="0" applyFill="1" applyBorder="1"/>
    <xf numFmtId="2" fontId="0" fillId="32" borderId="9" xfId="0" applyNumberFormat="1" applyFill="1" applyBorder="1"/>
    <xf numFmtId="2" fontId="0" fillId="30" borderId="9" xfId="0" applyNumberFormat="1" applyFill="1" applyBorder="1"/>
    <xf numFmtId="0" fontId="0" fillId="27" borderId="9" xfId="0" applyFill="1" applyBorder="1"/>
    <xf numFmtId="0" fontId="0" fillId="0" borderId="33" xfId="0" applyBorder="1"/>
    <xf numFmtId="2" fontId="0" fillId="4" borderId="33" xfId="0" applyNumberFormat="1" applyFill="1" applyBorder="1"/>
    <xf numFmtId="0" fontId="0" fillId="3" borderId="33" xfId="0" applyFill="1" applyBorder="1"/>
    <xf numFmtId="2" fontId="0" fillId="2" borderId="33" xfId="0" applyNumberFormat="1" applyFill="1" applyBorder="1"/>
    <xf numFmtId="0" fontId="0" fillId="2" borderId="33" xfId="0" applyFill="1" applyBorder="1"/>
    <xf numFmtId="2" fontId="0" fillId="3" borderId="33" xfId="0" applyNumberFormat="1" applyFill="1" applyBorder="1"/>
    <xf numFmtId="0" fontId="0" fillId="30" borderId="33" xfId="0" applyFill="1" applyBorder="1"/>
    <xf numFmtId="0" fontId="0" fillId="4" borderId="12" xfId="0" applyFill="1" applyBorder="1"/>
    <xf numFmtId="0" fontId="0" fillId="4" borderId="13" xfId="0" applyFill="1" applyBorder="1"/>
    <xf numFmtId="0" fontId="0" fillId="4" borderId="17" xfId="0" applyFill="1" applyBorder="1"/>
    <xf numFmtId="0" fontId="0" fillId="4" borderId="18" xfId="0" applyFill="1" applyBorder="1"/>
    <xf numFmtId="0" fontId="0" fillId="6" borderId="1" xfId="0" applyFill="1" applyBorder="1"/>
    <xf numFmtId="0" fontId="0" fillId="6" borderId="2" xfId="0" applyFill="1" applyBorder="1"/>
    <xf numFmtId="0" fontId="0" fillId="6" borderId="3" xfId="0" applyFill="1" applyBorder="1"/>
    <xf numFmtId="0" fontId="0" fillId="6" borderId="6" xfId="0" applyFill="1" applyBorder="1"/>
    <xf numFmtId="0" fontId="0" fillId="6" borderId="7" xfId="0" applyFill="1" applyBorder="1"/>
    <xf numFmtId="0" fontId="0" fillId="6" borderId="8" xfId="0" applyFill="1" applyBorder="1"/>
    <xf numFmtId="2" fontId="0" fillId="0" borderId="0" xfId="0" applyNumberFormat="1" applyFill="1" applyBorder="1"/>
    <xf numFmtId="0" fontId="0" fillId="4" borderId="4" xfId="0" applyFill="1" applyBorder="1"/>
    <xf numFmtId="0" fontId="0" fillId="4" borderId="0" xfId="0" applyFill="1" applyBorder="1"/>
    <xf numFmtId="0" fontId="0" fillId="6" borderId="0" xfId="0" applyFill="1" applyBorder="1"/>
    <xf numFmtId="0" fontId="0" fillId="4" borderId="6" xfId="0" applyFill="1" applyBorder="1"/>
    <xf numFmtId="0" fontId="0" fillId="4" borderId="7" xfId="0" applyFill="1" applyBorder="1"/>
    <xf numFmtId="0" fontId="0" fillId="4" borderId="8" xfId="0" applyFill="1" applyBorder="1"/>
    <xf numFmtId="0" fontId="0" fillId="8" borderId="1" xfId="0" applyFill="1" applyBorder="1"/>
    <xf numFmtId="0" fontId="0" fillId="8" borderId="3" xfId="0" applyFill="1" applyBorder="1"/>
    <xf numFmtId="17" fontId="0" fillId="19" borderId="0" xfId="0" applyNumberFormat="1" applyFill="1"/>
    <xf numFmtId="0" fontId="0" fillId="4" borderId="1" xfId="0" applyFill="1" applyBorder="1"/>
    <xf numFmtId="0" fontId="0" fillId="2" borderId="40" xfId="0" applyFill="1" applyBorder="1"/>
    <xf numFmtId="0" fontId="0" fillId="0" borderId="40" xfId="0" applyFill="1" applyBorder="1"/>
    <xf numFmtId="2" fontId="0" fillId="2" borderId="27" xfId="0" applyNumberFormat="1" applyFill="1" applyBorder="1"/>
    <xf numFmtId="0" fontId="0" fillId="30" borderId="4" xfId="0" applyFill="1" applyBorder="1"/>
    <xf numFmtId="0" fontId="0" fillId="12" borderId="6" xfId="0" applyFill="1" applyBorder="1"/>
    <xf numFmtId="49" fontId="0" fillId="4" borderId="0" xfId="0" applyNumberFormat="1" applyFill="1"/>
    <xf numFmtId="49" fontId="0" fillId="11" borderId="0" xfId="0" applyNumberFormat="1" applyFill="1"/>
    <xf numFmtId="0" fontId="0" fillId="11" borderId="2" xfId="0" applyFill="1" applyBorder="1"/>
    <xf numFmtId="0" fontId="0" fillId="11" borderId="3" xfId="0" applyFill="1" applyBorder="1"/>
    <xf numFmtId="0" fontId="0" fillId="11" borderId="0" xfId="0" applyFill="1" applyBorder="1"/>
    <xf numFmtId="0" fontId="0" fillId="11" borderId="5" xfId="0" applyFill="1" applyBorder="1"/>
    <xf numFmtId="0" fontId="0" fillId="11" borderId="7" xfId="0" applyFill="1" applyBorder="1"/>
    <xf numFmtId="0" fontId="0" fillId="11" borderId="8" xfId="0" applyFill="1" applyBorder="1"/>
    <xf numFmtId="0" fontId="0" fillId="2" borderId="29" xfId="0" applyFill="1" applyBorder="1"/>
    <xf numFmtId="0" fontId="0" fillId="2" borderId="30" xfId="0" applyFill="1" applyBorder="1"/>
    <xf numFmtId="0" fontId="0" fillId="2" borderId="31" xfId="0" applyFill="1" applyBorder="1"/>
    <xf numFmtId="49" fontId="0" fillId="27" borderId="0" xfId="0" applyNumberFormat="1" applyFill="1"/>
    <xf numFmtId="0" fontId="0" fillId="11" borderId="4" xfId="0" applyFill="1" applyBorder="1"/>
    <xf numFmtId="0" fontId="0" fillId="18" borderId="4" xfId="0" applyFill="1" applyBorder="1"/>
    <xf numFmtId="0" fontId="0" fillId="18" borderId="5" xfId="0" applyFill="1" applyBorder="1"/>
    <xf numFmtId="0" fontId="0" fillId="16" borderId="6" xfId="0" applyFill="1" applyBorder="1"/>
    <xf numFmtId="0" fontId="0" fillId="16" borderId="7" xfId="0" applyFill="1" applyBorder="1"/>
    <xf numFmtId="0" fontId="0" fillId="16" borderId="8" xfId="0" applyFill="1" applyBorder="1"/>
    <xf numFmtId="0" fontId="0" fillId="16" borderId="1" xfId="0" applyFill="1" applyBorder="1"/>
    <xf numFmtId="0" fontId="0" fillId="16" borderId="2" xfId="0" applyFill="1" applyBorder="1"/>
    <xf numFmtId="0" fontId="0" fillId="16" borderId="3" xfId="0" applyFill="1" applyBorder="1"/>
    <xf numFmtId="0" fontId="0" fillId="3" borderId="4" xfId="0" applyFill="1" applyBorder="1"/>
    <xf numFmtId="0" fontId="0" fillId="3" borderId="0" xfId="0" applyFill="1" applyBorder="1"/>
    <xf numFmtId="0" fontId="0" fillId="18" borderId="1" xfId="0" applyFill="1" applyBorder="1"/>
    <xf numFmtId="49" fontId="0" fillId="0" borderId="3" xfId="0" applyNumberFormat="1" applyBorder="1"/>
    <xf numFmtId="0" fontId="0" fillId="11" borderId="6" xfId="0" applyFill="1" applyBorder="1"/>
    <xf numFmtId="49" fontId="0" fillId="11" borderId="8" xfId="0" applyNumberFormat="1" applyFill="1" applyBorder="1"/>
    <xf numFmtId="0" fontId="0" fillId="40" borderId="0" xfId="0" applyFill="1"/>
    <xf numFmtId="0" fontId="0" fillId="26" borderId="0" xfId="0" applyFill="1"/>
    <xf numFmtId="0" fontId="0" fillId="40" borderId="1" xfId="0" applyFill="1" applyBorder="1"/>
    <xf numFmtId="0" fontId="0" fillId="40" borderId="3" xfId="0" applyFill="1" applyBorder="1"/>
    <xf numFmtId="0" fontId="0" fillId="27" borderId="4" xfId="0" applyFill="1" applyBorder="1"/>
    <xf numFmtId="0" fontId="0" fillId="27" borderId="5" xfId="0" applyFill="1" applyBorder="1"/>
    <xf numFmtId="0" fontId="0" fillId="26" borderId="4" xfId="0" applyFill="1" applyBorder="1"/>
    <xf numFmtId="0" fontId="0" fillId="26" borderId="5" xfId="0" applyFill="1" applyBorder="1"/>
    <xf numFmtId="0" fontId="0" fillId="5" borderId="6" xfId="0" applyFill="1" applyBorder="1"/>
    <xf numFmtId="0" fontId="0" fillId="5" borderId="8" xfId="0" applyFill="1" applyBorder="1"/>
    <xf numFmtId="0" fontId="0" fillId="41" borderId="0" xfId="0" applyFill="1"/>
    <xf numFmtId="0" fontId="0" fillId="21" borderId="0" xfId="0" applyFill="1"/>
    <xf numFmtId="0" fontId="0" fillId="3" borderId="1" xfId="0" applyFill="1" applyBorder="1"/>
    <xf numFmtId="0" fontId="0" fillId="3" borderId="2" xfId="0" applyFill="1" applyBorder="1"/>
    <xf numFmtId="0" fontId="0" fillId="3" borderId="3" xfId="0" applyFill="1" applyBorder="1"/>
    <xf numFmtId="0" fontId="0" fillId="21" borderId="4" xfId="0" applyFill="1" applyBorder="1"/>
    <xf numFmtId="0" fontId="0" fillId="21" borderId="5" xfId="0" applyFill="1" applyBorder="1"/>
    <xf numFmtId="0" fontId="0" fillId="3" borderId="6" xfId="0" applyFill="1" applyBorder="1"/>
    <xf numFmtId="0" fontId="0" fillId="3" borderId="8" xfId="0" applyFill="1" applyBorder="1"/>
    <xf numFmtId="0" fontId="0" fillId="23" borderId="9" xfId="0" applyFill="1" applyBorder="1"/>
    <xf numFmtId="0" fontId="6" fillId="23" borderId="0" xfId="1" applyFill="1" applyAlignment="1" applyProtection="1"/>
    <xf numFmtId="49" fontId="0" fillId="8" borderId="0" xfId="0" applyNumberFormat="1" applyFill="1"/>
    <xf numFmtId="49" fontId="0" fillId="23" borderId="0" xfId="0" applyNumberFormat="1" applyFill="1"/>
    <xf numFmtId="49" fontId="0" fillId="2" borderId="3" xfId="0" applyNumberFormat="1" applyFill="1" applyBorder="1"/>
    <xf numFmtId="49" fontId="0" fillId="2" borderId="5" xfId="0" applyNumberFormat="1" applyFill="1" applyBorder="1"/>
    <xf numFmtId="49" fontId="0" fillId="2" borderId="8" xfId="0" applyNumberFormat="1" applyFill="1" applyBorder="1"/>
    <xf numFmtId="0" fontId="12" fillId="0" borderId="0" xfId="0" applyFont="1"/>
    <xf numFmtId="2" fontId="0" fillId="4" borderId="2" xfId="0" applyNumberFormat="1" applyFill="1" applyBorder="1"/>
    <xf numFmtId="2" fontId="0" fillId="30" borderId="2" xfId="0" applyNumberFormat="1" applyFill="1" applyBorder="1"/>
    <xf numFmtId="2" fontId="0" fillId="0" borderId="2" xfId="0" applyNumberFormat="1" applyBorder="1"/>
    <xf numFmtId="2" fontId="0" fillId="0" borderId="3" xfId="0" applyNumberFormat="1" applyBorder="1"/>
    <xf numFmtId="2" fontId="0" fillId="4" borderId="7" xfId="0" applyNumberFormat="1" applyFill="1" applyBorder="1"/>
    <xf numFmtId="2" fontId="0" fillId="30" borderId="7" xfId="0" applyNumberFormat="1" applyFill="1" applyBorder="1"/>
    <xf numFmtId="2" fontId="0" fillId="0" borderId="7" xfId="0" applyNumberFormat="1" applyBorder="1"/>
    <xf numFmtId="2" fontId="0" fillId="0" borderId="8" xfId="0" applyNumberFormat="1" applyBorder="1"/>
    <xf numFmtId="2" fontId="0" fillId="17" borderId="0" xfId="0" applyNumberFormat="1" applyFill="1"/>
    <xf numFmtId="0" fontId="0" fillId="27" borderId="1" xfId="0" applyFill="1" applyBorder="1"/>
    <xf numFmtId="2" fontId="0" fillId="27" borderId="2" xfId="0" applyNumberFormat="1" applyFill="1" applyBorder="1"/>
    <xf numFmtId="49" fontId="0" fillId="0" borderId="2" xfId="0" applyNumberFormat="1" applyBorder="1"/>
    <xf numFmtId="2" fontId="0" fillId="19" borderId="2" xfId="0" applyNumberFormat="1" applyFill="1" applyBorder="1"/>
    <xf numFmtId="2" fontId="0" fillId="17" borderId="0" xfId="0" applyNumberFormat="1" applyFill="1" applyBorder="1"/>
    <xf numFmtId="2" fontId="0" fillId="27" borderId="0" xfId="0" applyNumberFormat="1" applyFill="1" applyBorder="1"/>
    <xf numFmtId="2" fontId="0" fillId="4" borderId="0" xfId="0" applyNumberFormat="1" applyFill="1" applyBorder="1"/>
    <xf numFmtId="2" fontId="0" fillId="19" borderId="0" xfId="0" applyNumberFormat="1" applyFill="1" applyBorder="1"/>
    <xf numFmtId="2" fontId="0" fillId="12" borderId="0" xfId="0" applyNumberFormat="1" applyFill="1" applyBorder="1"/>
    <xf numFmtId="0" fontId="0" fillId="27" borderId="6" xfId="0" applyFill="1" applyBorder="1"/>
    <xf numFmtId="2" fontId="0" fillId="27" borderId="7" xfId="0" applyNumberFormat="1" applyFill="1" applyBorder="1"/>
    <xf numFmtId="2" fontId="0" fillId="3" borderId="7" xfId="0" applyNumberFormat="1" applyFill="1" applyBorder="1"/>
    <xf numFmtId="164" fontId="0" fillId="19" borderId="0" xfId="0" applyNumberFormat="1" applyFill="1"/>
    <xf numFmtId="164" fontId="0" fillId="0" borderId="2" xfId="0" applyNumberFormat="1" applyBorder="1"/>
    <xf numFmtId="164" fontId="0" fillId="19" borderId="2" xfId="0" applyNumberFormat="1" applyFill="1" applyBorder="1"/>
    <xf numFmtId="164" fontId="0" fillId="19" borderId="3" xfId="0" applyNumberFormat="1" applyFill="1" applyBorder="1"/>
    <xf numFmtId="164" fontId="0" fillId="19" borderId="0" xfId="0" applyNumberFormat="1" applyFill="1" applyBorder="1"/>
    <xf numFmtId="164" fontId="0" fillId="0" borderId="0" xfId="0" applyNumberFormat="1" applyBorder="1"/>
    <xf numFmtId="164" fontId="0" fillId="0" borderId="5" xfId="0" applyNumberFormat="1" applyBorder="1"/>
    <xf numFmtId="164" fontId="0" fillId="19" borderId="7" xfId="0" applyNumberFormat="1" applyFill="1" applyBorder="1"/>
    <xf numFmtId="164" fontId="0" fillId="0" borderId="7" xfId="0" applyNumberFormat="1" applyBorder="1"/>
    <xf numFmtId="164" fontId="0" fillId="0" borderId="8" xfId="0" applyNumberFormat="1" applyBorder="1"/>
    <xf numFmtId="164" fontId="0" fillId="0" borderId="3" xfId="0" applyNumberFormat="1" applyBorder="1"/>
    <xf numFmtId="164" fontId="0" fillId="19" borderId="8" xfId="0" applyNumberFormat="1" applyFill="1" applyBorder="1"/>
    <xf numFmtId="164" fontId="0" fillId="0" borderId="0" xfId="0" applyNumberFormat="1" applyFill="1" applyBorder="1"/>
    <xf numFmtId="0" fontId="0" fillId="6" borderId="4" xfId="0" applyFill="1" applyBorder="1"/>
    <xf numFmtId="2" fontId="0" fillId="0" borderId="41" xfId="0" applyNumberFormat="1" applyBorder="1"/>
    <xf numFmtId="2" fontId="0" fillId="0" borderId="35" xfId="0" applyNumberFormat="1" applyBorder="1"/>
    <xf numFmtId="2" fontId="0" fillId="2" borderId="42" xfId="0" applyNumberFormat="1" applyFill="1" applyBorder="1"/>
    <xf numFmtId="2" fontId="0" fillId="3" borderId="42" xfId="0" applyNumberFormat="1" applyFill="1" applyBorder="1"/>
    <xf numFmtId="2" fontId="0" fillId="0" borderId="43" xfId="0" applyNumberFormat="1" applyBorder="1"/>
    <xf numFmtId="2" fontId="0" fillId="4" borderId="42" xfId="0" applyNumberFormat="1" applyFill="1" applyBorder="1"/>
    <xf numFmtId="0" fontId="0" fillId="28" borderId="30" xfId="0" applyFill="1" applyBorder="1"/>
    <xf numFmtId="0" fontId="0" fillId="28" borderId="31" xfId="0"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4" fontId="0" fillId="0" borderId="29" xfId="0" applyNumberFormat="1" applyBorder="1" applyAlignment="1">
      <alignment horizontal="center"/>
    </xf>
    <xf numFmtId="4" fontId="0" fillId="0" borderId="30" xfId="0" applyNumberFormat="1" applyBorder="1" applyAlignment="1">
      <alignment horizontal="center"/>
    </xf>
    <xf numFmtId="4" fontId="0" fillId="0" borderId="31" xfId="0" applyNumberFormat="1" applyBorder="1" applyAlignment="1">
      <alignment horizontal="center"/>
    </xf>
    <xf numFmtId="4" fontId="0" fillId="23" borderId="29" xfId="0" applyNumberFormat="1" applyFill="1" applyBorder="1" applyAlignment="1">
      <alignment horizontal="center"/>
    </xf>
    <xf numFmtId="4" fontId="0" fillId="23" borderId="30" xfId="0" applyNumberFormat="1" applyFill="1" applyBorder="1" applyAlignment="1">
      <alignment horizontal="center"/>
    </xf>
    <xf numFmtId="4" fontId="0" fillId="23" borderId="31" xfId="0" applyNumberFormat="1" applyFill="1" applyBorder="1" applyAlignment="1">
      <alignment horizontal="center"/>
    </xf>
    <xf numFmtId="0" fontId="0" fillId="22" borderId="29" xfId="0" applyFill="1" applyBorder="1" applyAlignment="1">
      <alignment horizontal="center"/>
    </xf>
    <xf numFmtId="0" fontId="0" fillId="22" borderId="30" xfId="0" applyFill="1" applyBorder="1" applyAlignment="1">
      <alignment horizontal="center"/>
    </xf>
    <xf numFmtId="0" fontId="0" fillId="22" borderId="31" xfId="0" applyFill="1" applyBorder="1" applyAlignment="1">
      <alignment horizontal="center"/>
    </xf>
    <xf numFmtId="0" fontId="0" fillId="0" borderId="0" xfId="0" applyAlignment="1">
      <alignment horizontal="center"/>
    </xf>
    <xf numFmtId="0" fontId="0" fillId="2" borderId="29" xfId="0" applyFill="1" applyBorder="1" applyAlignment="1">
      <alignment horizontal="center"/>
    </xf>
    <xf numFmtId="0" fontId="0" fillId="2" borderId="30" xfId="0" applyFill="1" applyBorder="1" applyAlignment="1">
      <alignment horizontal="center"/>
    </xf>
    <xf numFmtId="0" fontId="0" fillId="2" borderId="31" xfId="0" applyFill="1" applyBorder="1" applyAlignment="1">
      <alignment horizontal="center"/>
    </xf>
    <xf numFmtId="0" fontId="0" fillId="8" borderId="29" xfId="0" applyFill="1" applyBorder="1" applyAlignment="1">
      <alignment horizontal="center"/>
    </xf>
    <xf numFmtId="0" fontId="0" fillId="8" borderId="30" xfId="0" applyFill="1" applyBorder="1" applyAlignment="1">
      <alignment horizontal="center"/>
    </xf>
    <xf numFmtId="0" fontId="0" fillId="8" borderId="31" xfId="0" applyFill="1" applyBorder="1" applyAlignment="1">
      <alignment horizontal="center"/>
    </xf>
    <xf numFmtId="0" fontId="0" fillId="20" borderId="29" xfId="0" applyFill="1" applyBorder="1" applyAlignment="1">
      <alignment horizontal="center"/>
    </xf>
    <xf numFmtId="0" fontId="0" fillId="20" borderId="30" xfId="0" applyFill="1" applyBorder="1" applyAlignment="1">
      <alignment horizontal="center"/>
    </xf>
    <xf numFmtId="0" fontId="0" fillId="20" borderId="31" xfId="0" applyFill="1" applyBorder="1" applyAlignment="1">
      <alignment horizontal="center"/>
    </xf>
    <xf numFmtId="0" fontId="4" fillId="0" borderId="0" xfId="0" applyFont="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wrapText="1"/>
    </xf>
    <xf numFmtId="0" fontId="0" fillId="0" borderId="0"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7" xfId="0" applyBorder="1" applyAlignment="1">
      <alignment horizontal="center"/>
    </xf>
    <xf numFmtId="2" fontId="0" fillId="0" borderId="0" xfId="0" applyNumberFormat="1" applyAlignment="1">
      <alignment horizontal="center"/>
    </xf>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0.11527812646608385"/>
          <c:y val="5.3262275142437122E-2"/>
          <c:w val="0.84458763910549861"/>
          <c:h val="0.85303181614499535"/>
        </c:manualLayout>
      </c:layout>
      <c:scatterChart>
        <c:scatterStyle val="smoothMarker"/>
        <c:ser>
          <c:idx val="0"/>
          <c:order val="0"/>
          <c:xVal>
            <c:numRef>
              <c:f>Лист15!$N$2:$N$11</c:f>
              <c:numCache>
                <c:formatCode>0</c:formatCode>
                <c:ptCount val="10"/>
                <c:pt idx="0" formatCode="General">
                  <c:v>1.5</c:v>
                </c:pt>
                <c:pt idx="1">
                  <c:v>150</c:v>
                </c:pt>
                <c:pt idx="2">
                  <c:v>225</c:v>
                </c:pt>
                <c:pt idx="3">
                  <c:v>337.5</c:v>
                </c:pt>
                <c:pt idx="4">
                  <c:v>506.25</c:v>
                </c:pt>
                <c:pt idx="5">
                  <c:v>759.375</c:v>
                </c:pt>
                <c:pt idx="6">
                  <c:v>1139.0625</c:v>
                </c:pt>
                <c:pt idx="7">
                  <c:v>1708.59375</c:v>
                </c:pt>
                <c:pt idx="8">
                  <c:v>2562.890625</c:v>
                </c:pt>
                <c:pt idx="9">
                  <c:v>3844.3359375</c:v>
                </c:pt>
              </c:numCache>
            </c:numRef>
          </c:xVal>
          <c:yVal>
            <c:numRef>
              <c:f>Лист15!$O$2:$O$11</c:f>
              <c:numCache>
                <c:formatCode>0.00</c:formatCode>
                <c:ptCount val="10"/>
                <c:pt idx="0">
                  <c:v>1</c:v>
                </c:pt>
                <c:pt idx="1">
                  <c:v>100</c:v>
                </c:pt>
                <c:pt idx="2">
                  <c:v>122.4744871391589</c:v>
                </c:pt>
                <c:pt idx="3">
                  <c:v>149.99999999999997</c:v>
                </c:pt>
                <c:pt idx="4">
                  <c:v>183.71173070873832</c:v>
                </c:pt>
                <c:pt idx="5">
                  <c:v>224.99999999999991</c:v>
                </c:pt>
                <c:pt idx="6">
                  <c:v>275.56759606310743</c:v>
                </c:pt>
                <c:pt idx="7">
                  <c:v>337.49999999999983</c:v>
                </c:pt>
                <c:pt idx="8">
                  <c:v>413.35139409466103</c:v>
                </c:pt>
                <c:pt idx="9">
                  <c:v>506.2499999999996</c:v>
                </c:pt>
              </c:numCache>
            </c:numRef>
          </c:yVal>
          <c:smooth val="1"/>
        </c:ser>
        <c:ser>
          <c:idx val="1"/>
          <c:order val="1"/>
          <c:xVal>
            <c:numRef>
              <c:f>Лист15!$N$2:$N$11</c:f>
              <c:numCache>
                <c:formatCode>0</c:formatCode>
                <c:ptCount val="10"/>
                <c:pt idx="0" formatCode="General">
                  <c:v>1.5</c:v>
                </c:pt>
                <c:pt idx="1">
                  <c:v>150</c:v>
                </c:pt>
                <c:pt idx="2">
                  <c:v>225</c:v>
                </c:pt>
                <c:pt idx="3">
                  <c:v>337.5</c:v>
                </c:pt>
                <c:pt idx="4">
                  <c:v>506.25</c:v>
                </c:pt>
                <c:pt idx="5">
                  <c:v>759.375</c:v>
                </c:pt>
                <c:pt idx="6">
                  <c:v>1139.0625</c:v>
                </c:pt>
                <c:pt idx="7">
                  <c:v>1708.59375</c:v>
                </c:pt>
                <c:pt idx="8">
                  <c:v>2562.890625</c:v>
                </c:pt>
                <c:pt idx="9">
                  <c:v>3844.3359375</c:v>
                </c:pt>
              </c:numCache>
            </c:numRef>
          </c:xVal>
          <c:yVal>
            <c:numRef>
              <c:f>Лист15!$P$2:$P$11</c:f>
              <c:numCache>
                <c:formatCode>0.00</c:formatCode>
                <c:ptCount val="10"/>
                <c:pt idx="1">
                  <c:v>0</c:v>
                </c:pt>
                <c:pt idx="2">
                  <c:v>22.474487139158896</c:v>
                </c:pt>
                <c:pt idx="3">
                  <c:v>27.525512860841076</c:v>
                </c:pt>
                <c:pt idx="4">
                  <c:v>33.711730708738344</c:v>
                </c:pt>
                <c:pt idx="5">
                  <c:v>41.288269291261599</c:v>
                </c:pt>
                <c:pt idx="6">
                  <c:v>50.567596063107516</c:v>
                </c:pt>
                <c:pt idx="7">
                  <c:v>61.932403936892399</c:v>
                </c:pt>
                <c:pt idx="8">
                  <c:v>75.851394094661202</c:v>
                </c:pt>
                <c:pt idx="9">
                  <c:v>92.89860590533857</c:v>
                </c:pt>
              </c:numCache>
            </c:numRef>
          </c:yVal>
          <c:smooth val="1"/>
        </c:ser>
        <c:axId val="75010816"/>
        <c:axId val="75012352"/>
      </c:scatterChart>
      <c:valAx>
        <c:axId val="75010816"/>
        <c:scaling>
          <c:orientation val="minMax"/>
        </c:scaling>
        <c:axPos val="b"/>
        <c:numFmt formatCode="General" sourceLinked="1"/>
        <c:tickLblPos val="nextTo"/>
        <c:crossAx val="75012352"/>
        <c:crosses val="autoZero"/>
        <c:crossBetween val="midCat"/>
      </c:valAx>
      <c:valAx>
        <c:axId val="75012352"/>
        <c:scaling>
          <c:orientation val="minMax"/>
        </c:scaling>
        <c:axPos val="l"/>
        <c:majorGridlines/>
        <c:numFmt formatCode="0.00" sourceLinked="1"/>
        <c:tickLblPos val="nextTo"/>
        <c:crossAx val="75010816"/>
        <c:crosses val="autoZero"/>
        <c:crossBetween val="midCat"/>
      </c:valAx>
    </c:plotArea>
    <c:legend>
      <c:legendPos val="r"/>
      <c:layout/>
    </c:legend>
    <c:plotVisOnly val="1"/>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7.6070745394113876E-2"/>
          <c:y val="3.8442376521117892E-2"/>
          <c:w val="0.87842899616882986"/>
          <c:h val="0.8204982104509666"/>
        </c:manualLayout>
      </c:layout>
      <c:scatterChart>
        <c:scatterStyle val="smoothMarker"/>
        <c:ser>
          <c:idx val="9"/>
          <c:order val="0"/>
          <c:tx>
            <c:v>2020 год: 200 Евро/15%</c:v>
          </c:tx>
          <c:spPr>
            <a:ln>
              <a:solidFill>
                <a:srgbClr val="1F497D">
                  <a:lumMod val="60000"/>
                  <a:lumOff val="40000"/>
                </a:srgbClr>
              </a:solidFill>
            </a:ln>
          </c:spPr>
          <c:marker>
            <c:spPr>
              <a:ln>
                <a:solidFill>
                  <a:schemeClr val="tx2">
                    <a:lumMod val="60000"/>
                    <a:lumOff val="40000"/>
                  </a:schemeClr>
                </a:solidFill>
              </a:ln>
            </c:spPr>
          </c:marker>
          <c:xVal>
            <c:numRef>
              <c:f>Лист23!$F$92:$F$109</c:f>
              <c:numCache>
                <c:formatCode>0</c:formatCode>
                <c:ptCount val="18"/>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numCache>
            </c:numRef>
          </c:xVal>
          <c:yVal>
            <c:numRef>
              <c:f>Лист23!$J$92:$J$109</c:f>
              <c:numCache>
                <c:formatCode>General</c:formatCode>
                <c:ptCount val="18"/>
                <c:pt idx="0">
                  <c:v>0</c:v>
                </c:pt>
                <c:pt idx="1">
                  <c:v>-900.00000000000011</c:v>
                </c:pt>
                <c:pt idx="2">
                  <c:v>600.00000000000011</c:v>
                </c:pt>
                <c:pt idx="3">
                  <c:v>2099.9999999999995</c:v>
                </c:pt>
                <c:pt idx="4">
                  <c:v>3600.0000000000005</c:v>
                </c:pt>
                <c:pt idx="5">
                  <c:v>5100</c:v>
                </c:pt>
                <c:pt idx="6">
                  <c:v>6600</c:v>
                </c:pt>
                <c:pt idx="7">
                  <c:v>8099.9999999999991</c:v>
                </c:pt>
                <c:pt idx="8">
                  <c:v>9600</c:v>
                </c:pt>
                <c:pt idx="9">
                  <c:v>11100</c:v>
                </c:pt>
                <c:pt idx="10">
                  <c:v>12600</c:v>
                </c:pt>
                <c:pt idx="11">
                  <c:v>14100</c:v>
                </c:pt>
                <c:pt idx="12">
                  <c:v>15600</c:v>
                </c:pt>
                <c:pt idx="13">
                  <c:v>17099.999999999996</c:v>
                </c:pt>
                <c:pt idx="14">
                  <c:v>18600</c:v>
                </c:pt>
                <c:pt idx="15">
                  <c:v>20100</c:v>
                </c:pt>
                <c:pt idx="16">
                  <c:v>21599.999999999996</c:v>
                </c:pt>
                <c:pt idx="17">
                  <c:v>23100</c:v>
                </c:pt>
              </c:numCache>
            </c:numRef>
          </c:yVal>
          <c:smooth val="1"/>
        </c:ser>
        <c:ser>
          <c:idx val="10"/>
          <c:order val="1"/>
          <c:tx>
            <c:v>2019 год: 500 Евро/30%</c:v>
          </c:tx>
          <c:spPr>
            <a:ln>
              <a:solidFill>
                <a:srgbClr val="FF0000"/>
              </a:solidFill>
            </a:ln>
          </c:spPr>
          <c:marker>
            <c:spPr>
              <a:ln>
                <a:solidFill>
                  <a:srgbClr val="FF0000"/>
                </a:solidFill>
              </a:ln>
            </c:spPr>
          </c:marker>
          <c:xVal>
            <c:numRef>
              <c:f>Лист23!$F$92:$F$109</c:f>
              <c:numCache>
                <c:formatCode>0</c:formatCode>
                <c:ptCount val="18"/>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numCache>
            </c:numRef>
          </c:xVal>
          <c:yVal>
            <c:numRef>
              <c:f>Лист23!$N$92:$N$109</c:f>
              <c:numCache>
                <c:formatCode>General</c:formatCode>
                <c:ptCount val="18"/>
                <c:pt idx="0">
                  <c:v>0</c:v>
                </c:pt>
                <c:pt idx="1">
                  <c:v>0</c:v>
                </c:pt>
                <c:pt idx="2">
                  <c:v>0</c:v>
                </c:pt>
                <c:pt idx="3">
                  <c:v>0</c:v>
                </c:pt>
                <c:pt idx="4">
                  <c:v>0</c:v>
                </c:pt>
                <c:pt idx="5">
                  <c:v>0</c:v>
                </c:pt>
                <c:pt idx="6">
                  <c:v>1499.9999999999995</c:v>
                </c:pt>
                <c:pt idx="7">
                  <c:v>4499.9999999999991</c:v>
                </c:pt>
                <c:pt idx="8">
                  <c:v>7499.9999999999982</c:v>
                </c:pt>
                <c:pt idx="9">
                  <c:v>10500.000000000002</c:v>
                </c:pt>
                <c:pt idx="10">
                  <c:v>13500.000000000002</c:v>
                </c:pt>
                <c:pt idx="11">
                  <c:v>16500</c:v>
                </c:pt>
                <c:pt idx="12">
                  <c:v>19500</c:v>
                </c:pt>
                <c:pt idx="13">
                  <c:v>22500</c:v>
                </c:pt>
                <c:pt idx="14">
                  <c:v>25499.999999999996</c:v>
                </c:pt>
                <c:pt idx="15">
                  <c:v>28499.999999999996</c:v>
                </c:pt>
                <c:pt idx="16">
                  <c:v>31499.999999999993</c:v>
                </c:pt>
                <c:pt idx="17">
                  <c:v>34500</c:v>
                </c:pt>
              </c:numCache>
            </c:numRef>
          </c:yVal>
          <c:smooth val="1"/>
        </c:ser>
        <c:axId val="100953472"/>
        <c:axId val="100955648"/>
      </c:scatterChart>
      <c:valAx>
        <c:axId val="100953472"/>
        <c:scaling>
          <c:orientation val="minMax"/>
        </c:scaling>
        <c:axPos val="b"/>
        <c:numFmt formatCode="0" sourceLinked="1"/>
        <c:tickLblPos val="nextTo"/>
        <c:crossAx val="100955648"/>
        <c:crosses val="autoZero"/>
        <c:crossBetween val="midCat"/>
      </c:valAx>
      <c:valAx>
        <c:axId val="100955648"/>
        <c:scaling>
          <c:orientation val="minMax"/>
        </c:scaling>
        <c:axPos val="l"/>
        <c:majorGridlines/>
        <c:numFmt formatCode="General" sourceLinked="1"/>
        <c:tickLblPos val="nextTo"/>
        <c:crossAx val="100953472"/>
        <c:crosses val="autoZero"/>
        <c:crossBetween val="midCat"/>
      </c:valAx>
    </c:plotArea>
    <c:legend>
      <c:legendPos val="b"/>
    </c:legend>
    <c:plotVisOnly val="1"/>
  </c:chart>
  <c:txPr>
    <a:bodyPr/>
    <a:lstStyle/>
    <a:p>
      <a:pPr>
        <a:defRPr baseline="0">
          <a:solidFill>
            <a:schemeClr val="tx1"/>
          </a:solidFill>
        </a:defRPr>
      </a:pPr>
      <a:endParaRPr lang="ru-RU"/>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0.10708573928259379"/>
          <c:y val="2.8252405949256338E-2"/>
          <c:w val="0.70757392825896759"/>
          <c:h val="0.8326195683872849"/>
        </c:manualLayout>
      </c:layout>
      <c:scatterChart>
        <c:scatterStyle val="smoothMarker"/>
        <c:ser>
          <c:idx val="0"/>
          <c:order val="0"/>
          <c:tx>
            <c:v>v1</c:v>
          </c:tx>
          <c:xVal>
            <c:numRef>
              <c:f>Лист15!$R$3:$R$21</c:f>
              <c:numCache>
                <c:formatCode>0</c:formatCode>
                <c:ptCount val="19"/>
                <c:pt idx="0">
                  <c:v>30</c:v>
                </c:pt>
                <c:pt idx="1">
                  <c:v>40</c:v>
                </c:pt>
                <c:pt idx="2">
                  <c:v>60</c:v>
                </c:pt>
                <c:pt idx="3">
                  <c:v>90</c:v>
                </c:pt>
                <c:pt idx="4">
                  <c:v>120</c:v>
                </c:pt>
                <c:pt idx="5">
                  <c:v>150</c:v>
                </c:pt>
                <c:pt idx="6">
                  <c:v>180</c:v>
                </c:pt>
                <c:pt idx="7">
                  <c:v>240</c:v>
                </c:pt>
                <c:pt idx="8">
                  <c:v>300</c:v>
                </c:pt>
                <c:pt idx="9">
                  <c:v>360</c:v>
                </c:pt>
                <c:pt idx="10">
                  <c:v>420</c:v>
                </c:pt>
                <c:pt idx="11">
                  <c:v>480</c:v>
                </c:pt>
                <c:pt idx="12">
                  <c:v>540</c:v>
                </c:pt>
                <c:pt idx="13">
                  <c:v>600</c:v>
                </c:pt>
                <c:pt idx="14">
                  <c:v>660</c:v>
                </c:pt>
                <c:pt idx="15">
                  <c:v>720</c:v>
                </c:pt>
                <c:pt idx="16">
                  <c:v>780</c:v>
                </c:pt>
                <c:pt idx="17">
                  <c:v>840</c:v>
                </c:pt>
                <c:pt idx="18">
                  <c:v>900</c:v>
                </c:pt>
              </c:numCache>
            </c:numRef>
          </c:xVal>
          <c:yVal>
            <c:numRef>
              <c:f>Лист15!$T$3:$T$21</c:f>
              <c:numCache>
                <c:formatCode>0.00</c:formatCode>
                <c:ptCount val="19"/>
                <c:pt idx="0">
                  <c:v>0</c:v>
                </c:pt>
                <c:pt idx="1">
                  <c:v>15.47005383792515</c:v>
                </c:pt>
                <c:pt idx="2">
                  <c:v>25.951302399384332</c:v>
                </c:pt>
                <c:pt idx="3">
                  <c:v>31.783724519578215</c:v>
                </c:pt>
                <c:pt idx="4">
                  <c:v>26.794919243112247</c:v>
                </c:pt>
                <c:pt idx="5">
                  <c:v>23.606797749978966</c:v>
                </c:pt>
                <c:pt idx="6">
                  <c:v>21.342176528338825</c:v>
                </c:pt>
                <c:pt idx="7">
                  <c:v>37.893738196301172</c:v>
                </c:pt>
                <c:pt idx="8">
                  <c:v>33.385053542218941</c:v>
                </c:pt>
                <c:pt idx="9">
                  <c:v>30.182395496937488</c:v>
                </c:pt>
                <c:pt idx="10">
                  <c:v>27.755577163618682</c:v>
                </c:pt>
                <c:pt idx="11">
                  <c:v>25.834261322605869</c:v>
                </c:pt>
                <c:pt idx="12">
                  <c:v>24.264068711928473</c:v>
                </c:pt>
                <c:pt idx="13">
                  <c:v>22.949526788029459</c:v>
                </c:pt>
                <c:pt idx="14">
                  <c:v>21.827980482385044</c:v>
                </c:pt>
                <c:pt idx="15">
                  <c:v>20.856372574292664</c:v>
                </c:pt>
                <c:pt idx="16">
                  <c:v>20.004002802642844</c:v>
                </c:pt>
                <c:pt idx="17">
                  <c:v>19.248310853639566</c:v>
                </c:pt>
                <c:pt idx="18">
                  <c:v>18.572295292247986</c:v>
                </c:pt>
              </c:numCache>
            </c:numRef>
          </c:yVal>
          <c:smooth val="1"/>
        </c:ser>
        <c:ser>
          <c:idx val="1"/>
          <c:order val="1"/>
          <c:tx>
            <c:v>v2</c:v>
          </c:tx>
          <c:xVal>
            <c:numRef>
              <c:f>Лист15!$R$3:$R$21</c:f>
              <c:numCache>
                <c:formatCode>0</c:formatCode>
                <c:ptCount val="19"/>
                <c:pt idx="0">
                  <c:v>30</c:v>
                </c:pt>
                <c:pt idx="1">
                  <c:v>40</c:v>
                </c:pt>
                <c:pt idx="2">
                  <c:v>60</c:v>
                </c:pt>
                <c:pt idx="3">
                  <c:v>90</c:v>
                </c:pt>
                <c:pt idx="4">
                  <c:v>120</c:v>
                </c:pt>
                <c:pt idx="5">
                  <c:v>150</c:v>
                </c:pt>
                <c:pt idx="6">
                  <c:v>180</c:v>
                </c:pt>
                <c:pt idx="7">
                  <c:v>240</c:v>
                </c:pt>
                <c:pt idx="8">
                  <c:v>300</c:v>
                </c:pt>
                <c:pt idx="9">
                  <c:v>360</c:v>
                </c:pt>
                <c:pt idx="10">
                  <c:v>420</c:v>
                </c:pt>
                <c:pt idx="11">
                  <c:v>480</c:v>
                </c:pt>
                <c:pt idx="12">
                  <c:v>540</c:v>
                </c:pt>
                <c:pt idx="13">
                  <c:v>600</c:v>
                </c:pt>
                <c:pt idx="14">
                  <c:v>660</c:v>
                </c:pt>
                <c:pt idx="15">
                  <c:v>720</c:v>
                </c:pt>
                <c:pt idx="16">
                  <c:v>780</c:v>
                </c:pt>
                <c:pt idx="17">
                  <c:v>840</c:v>
                </c:pt>
                <c:pt idx="18">
                  <c:v>900</c:v>
                </c:pt>
              </c:numCache>
            </c:numRef>
          </c:xVal>
          <c:yVal>
            <c:numRef>
              <c:f>Лист15!$S$3:$S$21</c:f>
              <c:numCache>
                <c:formatCode>0.00</c:formatCode>
                <c:ptCount val="19"/>
                <c:pt idx="0">
                  <c:v>100</c:v>
                </c:pt>
                <c:pt idx="1">
                  <c:v>115.47005383792515</c:v>
                </c:pt>
                <c:pt idx="2">
                  <c:v>141.42135623730948</c:v>
                </c:pt>
                <c:pt idx="3">
                  <c:v>173.2050807568877</c:v>
                </c:pt>
                <c:pt idx="4">
                  <c:v>199.99999999999994</c:v>
                </c:pt>
                <c:pt idx="5">
                  <c:v>223.60679774997891</c:v>
                </c:pt>
                <c:pt idx="6">
                  <c:v>244.94897427831773</c:v>
                </c:pt>
                <c:pt idx="7">
                  <c:v>282.84271247461891</c:v>
                </c:pt>
                <c:pt idx="8">
                  <c:v>316.22776601683785</c:v>
                </c:pt>
                <c:pt idx="9">
                  <c:v>346.41016151377534</c:v>
                </c:pt>
                <c:pt idx="10">
                  <c:v>374.16573867739402</c:v>
                </c:pt>
                <c:pt idx="11">
                  <c:v>399.99999999999989</c:v>
                </c:pt>
                <c:pt idx="12">
                  <c:v>424.26406871192836</c:v>
                </c:pt>
                <c:pt idx="13">
                  <c:v>447.21359549995782</c:v>
                </c:pt>
                <c:pt idx="14">
                  <c:v>469.04157598234286</c:v>
                </c:pt>
                <c:pt idx="15">
                  <c:v>489.89794855663553</c:v>
                </c:pt>
                <c:pt idx="16">
                  <c:v>509.90195135927837</c:v>
                </c:pt>
                <c:pt idx="17">
                  <c:v>529.15026221291794</c:v>
                </c:pt>
                <c:pt idx="18">
                  <c:v>547.72255750516592</c:v>
                </c:pt>
              </c:numCache>
            </c:numRef>
          </c:yVal>
          <c:smooth val="1"/>
        </c:ser>
        <c:ser>
          <c:idx val="2"/>
          <c:order val="2"/>
          <c:tx>
            <c:v>k</c:v>
          </c:tx>
          <c:xVal>
            <c:numRef>
              <c:f>Лист15!$R$3:$R$21</c:f>
              <c:numCache>
                <c:formatCode>0</c:formatCode>
                <c:ptCount val="19"/>
                <c:pt idx="0">
                  <c:v>30</c:v>
                </c:pt>
                <c:pt idx="1">
                  <c:v>40</c:v>
                </c:pt>
                <c:pt idx="2">
                  <c:v>60</c:v>
                </c:pt>
                <c:pt idx="3">
                  <c:v>90</c:v>
                </c:pt>
                <c:pt idx="4">
                  <c:v>120</c:v>
                </c:pt>
                <c:pt idx="5">
                  <c:v>150</c:v>
                </c:pt>
                <c:pt idx="6">
                  <c:v>180</c:v>
                </c:pt>
                <c:pt idx="7">
                  <c:v>240</c:v>
                </c:pt>
                <c:pt idx="8">
                  <c:v>300</c:v>
                </c:pt>
                <c:pt idx="9">
                  <c:v>360</c:v>
                </c:pt>
                <c:pt idx="10">
                  <c:v>420</c:v>
                </c:pt>
                <c:pt idx="11">
                  <c:v>480</c:v>
                </c:pt>
                <c:pt idx="12">
                  <c:v>540</c:v>
                </c:pt>
                <c:pt idx="13">
                  <c:v>600</c:v>
                </c:pt>
                <c:pt idx="14">
                  <c:v>660</c:v>
                </c:pt>
                <c:pt idx="15">
                  <c:v>720</c:v>
                </c:pt>
                <c:pt idx="16">
                  <c:v>780</c:v>
                </c:pt>
                <c:pt idx="17">
                  <c:v>840</c:v>
                </c:pt>
                <c:pt idx="18">
                  <c:v>900</c:v>
                </c:pt>
              </c:numCache>
            </c:numRef>
          </c:xVal>
          <c:yVal>
            <c:numRef>
              <c:f>Лист15!$U$3:$U$21</c:f>
              <c:numCache>
                <c:formatCode>0.00</c:formatCode>
                <c:ptCount val="19"/>
                <c:pt idx="0">
                  <c:v>1</c:v>
                </c:pt>
                <c:pt idx="1">
                  <c:v>1.1547005383792515</c:v>
                </c:pt>
                <c:pt idx="2">
                  <c:v>1.2247448713915889</c:v>
                </c:pt>
                <c:pt idx="3">
                  <c:v>1.2247448713915889</c:v>
                </c:pt>
                <c:pt idx="4">
                  <c:v>1.1547005383792515</c:v>
                </c:pt>
                <c:pt idx="5">
                  <c:v>1.1180339887498949</c:v>
                </c:pt>
                <c:pt idx="6">
                  <c:v>1.0954451150103321</c:v>
                </c:pt>
                <c:pt idx="7">
                  <c:v>1.1547005383792515</c:v>
                </c:pt>
                <c:pt idx="8">
                  <c:v>1.1180339887498949</c:v>
                </c:pt>
                <c:pt idx="9">
                  <c:v>1.0954451150103321</c:v>
                </c:pt>
                <c:pt idx="10">
                  <c:v>1.0801234497346435</c:v>
                </c:pt>
                <c:pt idx="11">
                  <c:v>1.0690449676496976</c:v>
                </c:pt>
                <c:pt idx="12">
                  <c:v>1.0606601717798212</c:v>
                </c:pt>
                <c:pt idx="13">
                  <c:v>1.0540925533894598</c:v>
                </c:pt>
                <c:pt idx="14">
                  <c:v>1.0488088481701516</c:v>
                </c:pt>
                <c:pt idx="15">
                  <c:v>1.044465935734187</c:v>
                </c:pt>
                <c:pt idx="16">
                  <c:v>1.0408329997330663</c:v>
                </c:pt>
                <c:pt idx="17">
                  <c:v>1.0377490433255416</c:v>
                </c:pt>
                <c:pt idx="18">
                  <c:v>1.0350983390135313</c:v>
                </c:pt>
              </c:numCache>
            </c:numRef>
          </c:yVal>
          <c:smooth val="1"/>
        </c:ser>
        <c:axId val="69876736"/>
        <c:axId val="69894912"/>
      </c:scatterChart>
      <c:valAx>
        <c:axId val="69876736"/>
        <c:scaling>
          <c:orientation val="minMax"/>
        </c:scaling>
        <c:axPos val="b"/>
        <c:numFmt formatCode="0" sourceLinked="1"/>
        <c:tickLblPos val="nextTo"/>
        <c:crossAx val="69894912"/>
        <c:crosses val="autoZero"/>
        <c:crossBetween val="midCat"/>
      </c:valAx>
      <c:valAx>
        <c:axId val="69894912"/>
        <c:scaling>
          <c:orientation val="minMax"/>
        </c:scaling>
        <c:axPos val="l"/>
        <c:majorGridlines/>
        <c:numFmt formatCode="0.00" sourceLinked="1"/>
        <c:tickLblPos val="nextTo"/>
        <c:crossAx val="69876736"/>
        <c:crosses val="autoZero"/>
        <c:crossBetween val="midCat"/>
      </c:valAx>
    </c:plotArea>
    <c:legend>
      <c:legendPos val="r"/>
      <c:layout/>
    </c:legend>
    <c:plotVisOnly val="1"/>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0.10863793924493616"/>
          <c:y val="3.7227710172592215E-2"/>
          <c:w val="0.85309899553695023"/>
          <c:h val="0.84679233277660004"/>
        </c:manualLayout>
      </c:layout>
      <c:scatterChart>
        <c:scatterStyle val="smoothMarker"/>
        <c:ser>
          <c:idx val="1"/>
          <c:order val="1"/>
          <c:tx>
            <c:v>D1</c:v>
          </c:tx>
          <c:xVal>
            <c:numRef>
              <c:f>Лист16!$B$3:$B$8</c:f>
              <c:numCache>
                <c:formatCode>0</c:formatCode>
                <c:ptCount val="6"/>
                <c:pt idx="0">
                  <c:v>7</c:v>
                </c:pt>
                <c:pt idx="1">
                  <c:v>13</c:v>
                </c:pt>
                <c:pt idx="2">
                  <c:v>21</c:v>
                </c:pt>
                <c:pt idx="3">
                  <c:v>31</c:v>
                </c:pt>
                <c:pt idx="4">
                  <c:v>43</c:v>
                </c:pt>
                <c:pt idx="5">
                  <c:v>57</c:v>
                </c:pt>
              </c:numCache>
            </c:numRef>
          </c:xVal>
          <c:yVal>
            <c:numRef>
              <c:f>Лист16!$D$3:$D$8</c:f>
              <c:numCache>
                <c:formatCode>0.00</c:formatCode>
                <c:ptCount val="6"/>
                <c:pt idx="0">
                  <c:v>0</c:v>
                </c:pt>
                <c:pt idx="1">
                  <c:v>36.277028773849366</c:v>
                </c:pt>
                <c:pt idx="2">
                  <c:v>36.928051983038358</c:v>
                </c:pt>
                <c:pt idx="3">
                  <c:v>37.236631566772758</c:v>
                </c:pt>
                <c:pt idx="4">
                  <c:v>37.406167289160521</c:v>
                </c:pt>
                <c:pt idx="5">
                  <c:v>37.509039750581536</c:v>
                </c:pt>
              </c:numCache>
            </c:numRef>
          </c:yVal>
          <c:smooth val="1"/>
        </c:ser>
        <c:ser>
          <c:idx val="0"/>
          <c:order val="0"/>
          <c:tx>
            <c:v>V1</c:v>
          </c:tx>
          <c:xVal>
            <c:numRef>
              <c:f>Лист16!$B$3:$B$8</c:f>
              <c:numCache>
                <c:formatCode>0</c:formatCode>
                <c:ptCount val="6"/>
                <c:pt idx="0">
                  <c:v>7</c:v>
                </c:pt>
                <c:pt idx="1">
                  <c:v>13</c:v>
                </c:pt>
                <c:pt idx="2">
                  <c:v>21</c:v>
                </c:pt>
                <c:pt idx="3">
                  <c:v>31</c:v>
                </c:pt>
                <c:pt idx="4">
                  <c:v>43</c:v>
                </c:pt>
                <c:pt idx="5">
                  <c:v>57</c:v>
                </c:pt>
              </c:numCache>
            </c:numRef>
          </c:xVal>
          <c:yVal>
            <c:numRef>
              <c:f>Лист16!$C$3:$C$8</c:f>
              <c:numCache>
                <c:formatCode>0.00</c:formatCode>
                <c:ptCount val="6"/>
                <c:pt idx="0">
                  <c:v>100</c:v>
                </c:pt>
                <c:pt idx="1">
                  <c:v>136.27702877384937</c:v>
                </c:pt>
                <c:pt idx="2">
                  <c:v>173.20508075688772</c:v>
                </c:pt>
                <c:pt idx="3">
                  <c:v>210.44171232366048</c:v>
                </c:pt>
                <c:pt idx="4">
                  <c:v>247.847879612821</c:v>
                </c:pt>
                <c:pt idx="5">
                  <c:v>285.35691936340254</c:v>
                </c:pt>
              </c:numCache>
            </c:numRef>
          </c:yVal>
          <c:smooth val="1"/>
        </c:ser>
        <c:axId val="89511424"/>
        <c:axId val="89512960"/>
      </c:scatterChart>
      <c:valAx>
        <c:axId val="89511424"/>
        <c:scaling>
          <c:orientation val="minMax"/>
        </c:scaling>
        <c:axPos val="b"/>
        <c:numFmt formatCode="0" sourceLinked="1"/>
        <c:tickLblPos val="nextTo"/>
        <c:crossAx val="89512960"/>
        <c:crosses val="autoZero"/>
        <c:crossBetween val="midCat"/>
      </c:valAx>
      <c:valAx>
        <c:axId val="89512960"/>
        <c:scaling>
          <c:orientation val="minMax"/>
        </c:scaling>
        <c:axPos val="l"/>
        <c:majorGridlines/>
        <c:numFmt formatCode="0.00" sourceLinked="1"/>
        <c:tickLblPos val="nextTo"/>
        <c:crossAx val="8951142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0.10863793924493616"/>
          <c:y val="3.7227710172592215E-2"/>
          <c:w val="0.85309899553695023"/>
          <c:h val="0.84679233277660004"/>
        </c:manualLayout>
      </c:layout>
      <c:scatterChart>
        <c:scatterStyle val="smoothMarker"/>
        <c:ser>
          <c:idx val="1"/>
          <c:order val="1"/>
          <c:xVal>
            <c:numRef>
              <c:f>Лист16!$B$3:$B$10</c:f>
              <c:numCache>
                <c:formatCode>0</c:formatCode>
                <c:ptCount val="8"/>
                <c:pt idx="0">
                  <c:v>7</c:v>
                </c:pt>
                <c:pt idx="1">
                  <c:v>13</c:v>
                </c:pt>
                <c:pt idx="2">
                  <c:v>21</c:v>
                </c:pt>
                <c:pt idx="3">
                  <c:v>31</c:v>
                </c:pt>
                <c:pt idx="4">
                  <c:v>43</c:v>
                </c:pt>
                <c:pt idx="5">
                  <c:v>57</c:v>
                </c:pt>
                <c:pt idx="6">
                  <c:v>73</c:v>
                </c:pt>
                <c:pt idx="7">
                  <c:v>97</c:v>
                </c:pt>
              </c:numCache>
            </c:numRef>
          </c:xVal>
          <c:yVal>
            <c:numRef>
              <c:f>Лист16!$D$3:$D$10</c:f>
              <c:numCache>
                <c:formatCode>0.00</c:formatCode>
                <c:ptCount val="8"/>
                <c:pt idx="0">
                  <c:v>0</c:v>
                </c:pt>
                <c:pt idx="1">
                  <c:v>36.277028773849366</c:v>
                </c:pt>
                <c:pt idx="2">
                  <c:v>36.928051983038358</c:v>
                </c:pt>
                <c:pt idx="3">
                  <c:v>37.236631566772758</c:v>
                </c:pt>
                <c:pt idx="4">
                  <c:v>37.406167289160521</c:v>
                </c:pt>
                <c:pt idx="5">
                  <c:v>37.509039750581536</c:v>
                </c:pt>
                <c:pt idx="6">
                  <c:v>37.576067935377864</c:v>
                </c:pt>
                <c:pt idx="7">
                  <c:v>49.318847581087653</c:v>
                </c:pt>
              </c:numCache>
            </c:numRef>
          </c:yVal>
          <c:smooth val="1"/>
        </c:ser>
        <c:ser>
          <c:idx val="0"/>
          <c:order val="0"/>
          <c:xVal>
            <c:numRef>
              <c:f>Лист16!$B$3:$B$10</c:f>
              <c:numCache>
                <c:formatCode>0</c:formatCode>
                <c:ptCount val="8"/>
                <c:pt idx="0">
                  <c:v>7</c:v>
                </c:pt>
                <c:pt idx="1">
                  <c:v>13</c:v>
                </c:pt>
                <c:pt idx="2">
                  <c:v>21</c:v>
                </c:pt>
                <c:pt idx="3">
                  <c:v>31</c:v>
                </c:pt>
                <c:pt idx="4">
                  <c:v>43</c:v>
                </c:pt>
                <c:pt idx="5">
                  <c:v>57</c:v>
                </c:pt>
                <c:pt idx="6">
                  <c:v>73</c:v>
                </c:pt>
                <c:pt idx="7">
                  <c:v>97</c:v>
                </c:pt>
              </c:numCache>
            </c:numRef>
          </c:xVal>
          <c:yVal>
            <c:numRef>
              <c:f>Лист16!$C$3:$C$10</c:f>
              <c:numCache>
                <c:formatCode>0.00</c:formatCode>
                <c:ptCount val="8"/>
                <c:pt idx="0">
                  <c:v>100</c:v>
                </c:pt>
                <c:pt idx="1">
                  <c:v>136.27702877384937</c:v>
                </c:pt>
                <c:pt idx="2">
                  <c:v>173.20508075688772</c:v>
                </c:pt>
                <c:pt idx="3">
                  <c:v>210.44171232366048</c:v>
                </c:pt>
                <c:pt idx="4">
                  <c:v>247.847879612821</c:v>
                </c:pt>
                <c:pt idx="5">
                  <c:v>285.35691936340254</c:v>
                </c:pt>
                <c:pt idx="6">
                  <c:v>322.9329872987804</c:v>
                </c:pt>
                <c:pt idx="7">
                  <c:v>372.25183487986806</c:v>
                </c:pt>
              </c:numCache>
            </c:numRef>
          </c:yVal>
          <c:smooth val="1"/>
        </c:ser>
        <c:ser>
          <c:idx val="2"/>
          <c:order val="2"/>
          <c:xVal>
            <c:numRef>
              <c:f>Лист16!$B$3:$B$10</c:f>
              <c:numCache>
                <c:formatCode>0</c:formatCode>
                <c:ptCount val="8"/>
                <c:pt idx="0">
                  <c:v>7</c:v>
                </c:pt>
                <c:pt idx="1">
                  <c:v>13</c:v>
                </c:pt>
                <c:pt idx="2">
                  <c:v>21</c:v>
                </c:pt>
                <c:pt idx="3">
                  <c:v>31</c:v>
                </c:pt>
                <c:pt idx="4">
                  <c:v>43</c:v>
                </c:pt>
                <c:pt idx="5">
                  <c:v>57</c:v>
                </c:pt>
                <c:pt idx="6">
                  <c:v>73</c:v>
                </c:pt>
                <c:pt idx="7">
                  <c:v>97</c:v>
                </c:pt>
              </c:numCache>
            </c:numRef>
          </c:xVal>
          <c:yVal>
            <c:numRef>
              <c:f>Лист16!$F$3:$F$10</c:f>
              <c:numCache>
                <c:formatCode>0.00</c:formatCode>
                <c:ptCount val="8"/>
                <c:pt idx="0">
                  <c:v>100</c:v>
                </c:pt>
                <c:pt idx="1">
                  <c:v>106</c:v>
                </c:pt>
                <c:pt idx="2">
                  <c:v>108</c:v>
                </c:pt>
                <c:pt idx="3">
                  <c:v>110</c:v>
                </c:pt>
                <c:pt idx="4">
                  <c:v>112</c:v>
                </c:pt>
                <c:pt idx="5">
                  <c:v>114</c:v>
                </c:pt>
                <c:pt idx="6">
                  <c:v>116</c:v>
                </c:pt>
                <c:pt idx="7">
                  <c:v>124</c:v>
                </c:pt>
              </c:numCache>
            </c:numRef>
          </c:yVal>
          <c:smooth val="1"/>
        </c:ser>
        <c:axId val="85736832"/>
        <c:axId val="85746816"/>
      </c:scatterChart>
      <c:valAx>
        <c:axId val="85736832"/>
        <c:scaling>
          <c:orientation val="minMax"/>
        </c:scaling>
        <c:axPos val="b"/>
        <c:numFmt formatCode="0" sourceLinked="1"/>
        <c:tickLblPos val="nextTo"/>
        <c:crossAx val="85746816"/>
        <c:crosses val="autoZero"/>
        <c:crossBetween val="midCat"/>
      </c:valAx>
      <c:valAx>
        <c:axId val="85746816"/>
        <c:scaling>
          <c:orientation val="minMax"/>
        </c:scaling>
        <c:axPos val="l"/>
        <c:majorGridlines/>
        <c:numFmt formatCode="0.00" sourceLinked="1"/>
        <c:tickLblPos val="nextTo"/>
        <c:crossAx val="8573683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0.10863793924493616"/>
          <c:y val="3.7227710172592215E-2"/>
          <c:w val="0.85309899553695023"/>
          <c:h val="0.84679233277660004"/>
        </c:manualLayout>
      </c:layout>
      <c:scatterChart>
        <c:scatterStyle val="smoothMarker"/>
        <c:ser>
          <c:idx val="1"/>
          <c:order val="1"/>
          <c:xVal>
            <c:numRef>
              <c:f>Лист16!$J$3:$J$12</c:f>
              <c:numCache>
                <c:formatCode>0</c:formatCode>
                <c:ptCount val="10"/>
                <c:pt idx="0">
                  <c:v>5</c:v>
                </c:pt>
                <c:pt idx="1">
                  <c:v>14</c:v>
                </c:pt>
                <c:pt idx="2">
                  <c:v>26</c:v>
                </c:pt>
                <c:pt idx="3">
                  <c:v>42</c:v>
                </c:pt>
                <c:pt idx="4">
                  <c:v>62</c:v>
                </c:pt>
                <c:pt idx="5">
                  <c:v>86</c:v>
                </c:pt>
                <c:pt idx="6">
                  <c:v>120</c:v>
                </c:pt>
                <c:pt idx="7">
                  <c:v>167</c:v>
                </c:pt>
                <c:pt idx="8">
                  <c:v>232</c:v>
                </c:pt>
                <c:pt idx="9">
                  <c:v>320</c:v>
                </c:pt>
              </c:numCache>
            </c:numRef>
          </c:xVal>
          <c:yVal>
            <c:numRef>
              <c:f>Лист16!$L$3:$L$12</c:f>
              <c:numCache>
                <c:formatCode>0.00</c:formatCode>
                <c:ptCount val="10"/>
                <c:pt idx="0">
                  <c:v>0</c:v>
                </c:pt>
                <c:pt idx="1">
                  <c:v>67.33200530681512</c:v>
                </c:pt>
                <c:pt idx="2">
                  <c:v>60.703079713012471</c:v>
                </c:pt>
                <c:pt idx="3">
                  <c:v>61.792449903961199</c:v>
                </c:pt>
                <c:pt idx="4">
                  <c:v>62.30880230939141</c:v>
                </c:pt>
                <c:pt idx="5">
                  <c:v>62.592489833374259</c:v>
                </c:pt>
                <c:pt idx="6">
                  <c:v>75.169121490081181</c:v>
                </c:pt>
                <c:pt idx="7">
                  <c:v>88.029382515360055</c:v>
                </c:pt>
                <c:pt idx="8">
                  <c:v>103.2481235650605</c:v>
                </c:pt>
                <c:pt idx="9">
                  <c:v>118.82454536294404</c:v>
                </c:pt>
              </c:numCache>
            </c:numRef>
          </c:yVal>
          <c:smooth val="1"/>
        </c:ser>
        <c:ser>
          <c:idx val="0"/>
          <c:order val="0"/>
          <c:xVal>
            <c:numRef>
              <c:f>Лист16!$J$3:$J$12</c:f>
              <c:numCache>
                <c:formatCode>0</c:formatCode>
                <c:ptCount val="10"/>
                <c:pt idx="0">
                  <c:v>5</c:v>
                </c:pt>
                <c:pt idx="1">
                  <c:v>14</c:v>
                </c:pt>
                <c:pt idx="2">
                  <c:v>26</c:v>
                </c:pt>
                <c:pt idx="3">
                  <c:v>42</c:v>
                </c:pt>
                <c:pt idx="4">
                  <c:v>62</c:v>
                </c:pt>
                <c:pt idx="5">
                  <c:v>86</c:v>
                </c:pt>
                <c:pt idx="6">
                  <c:v>120</c:v>
                </c:pt>
                <c:pt idx="7">
                  <c:v>167</c:v>
                </c:pt>
                <c:pt idx="8">
                  <c:v>232</c:v>
                </c:pt>
                <c:pt idx="9">
                  <c:v>320</c:v>
                </c:pt>
              </c:numCache>
            </c:numRef>
          </c:xVal>
          <c:yVal>
            <c:numRef>
              <c:f>Лист16!$K$3:$K$12</c:f>
              <c:numCache>
                <c:formatCode>0.00</c:formatCode>
                <c:ptCount val="10"/>
                <c:pt idx="0">
                  <c:v>100</c:v>
                </c:pt>
                <c:pt idx="1">
                  <c:v>167.33200530681512</c:v>
                </c:pt>
                <c:pt idx="2">
                  <c:v>228.03508501982759</c:v>
                </c:pt>
                <c:pt idx="3">
                  <c:v>289.82753492378879</c:v>
                </c:pt>
                <c:pt idx="4">
                  <c:v>352.1363372331802</c:v>
                </c:pt>
                <c:pt idx="5">
                  <c:v>414.72882706655446</c:v>
                </c:pt>
                <c:pt idx="6">
                  <c:v>489.89794855663564</c:v>
                </c:pt>
                <c:pt idx="7">
                  <c:v>577.9273310719957</c:v>
                </c:pt>
                <c:pt idx="8">
                  <c:v>681.17545463705619</c:v>
                </c:pt>
                <c:pt idx="9">
                  <c:v>800.00000000000023</c:v>
                </c:pt>
              </c:numCache>
            </c:numRef>
          </c:yVal>
          <c:smooth val="1"/>
        </c:ser>
        <c:ser>
          <c:idx val="2"/>
          <c:order val="2"/>
          <c:xVal>
            <c:numRef>
              <c:f>Лист16!$J$3:$J$12</c:f>
              <c:numCache>
                <c:formatCode>0</c:formatCode>
                <c:ptCount val="10"/>
                <c:pt idx="0">
                  <c:v>5</c:v>
                </c:pt>
                <c:pt idx="1">
                  <c:v>14</c:v>
                </c:pt>
                <c:pt idx="2">
                  <c:v>26</c:v>
                </c:pt>
                <c:pt idx="3">
                  <c:v>42</c:v>
                </c:pt>
                <c:pt idx="4">
                  <c:v>62</c:v>
                </c:pt>
                <c:pt idx="5">
                  <c:v>86</c:v>
                </c:pt>
                <c:pt idx="6">
                  <c:v>120</c:v>
                </c:pt>
                <c:pt idx="7">
                  <c:v>167</c:v>
                </c:pt>
                <c:pt idx="8">
                  <c:v>232</c:v>
                </c:pt>
                <c:pt idx="9">
                  <c:v>320</c:v>
                </c:pt>
              </c:numCache>
            </c:numRef>
          </c:xVal>
          <c:yVal>
            <c:numRef>
              <c:f>Лист16!$J$3:$J$12</c:f>
              <c:numCache>
                <c:formatCode>0</c:formatCode>
                <c:ptCount val="10"/>
                <c:pt idx="0">
                  <c:v>5</c:v>
                </c:pt>
                <c:pt idx="1">
                  <c:v>14</c:v>
                </c:pt>
                <c:pt idx="2">
                  <c:v>26</c:v>
                </c:pt>
                <c:pt idx="3">
                  <c:v>42</c:v>
                </c:pt>
                <c:pt idx="4">
                  <c:v>62</c:v>
                </c:pt>
                <c:pt idx="5">
                  <c:v>86</c:v>
                </c:pt>
                <c:pt idx="6">
                  <c:v>120</c:v>
                </c:pt>
                <c:pt idx="7">
                  <c:v>167</c:v>
                </c:pt>
                <c:pt idx="8">
                  <c:v>232</c:v>
                </c:pt>
                <c:pt idx="9">
                  <c:v>320</c:v>
                </c:pt>
              </c:numCache>
            </c:numRef>
          </c:yVal>
          <c:smooth val="1"/>
        </c:ser>
        <c:axId val="85784064"/>
        <c:axId val="85785600"/>
      </c:scatterChart>
      <c:valAx>
        <c:axId val="85784064"/>
        <c:scaling>
          <c:orientation val="minMax"/>
        </c:scaling>
        <c:axPos val="b"/>
        <c:numFmt formatCode="0" sourceLinked="1"/>
        <c:tickLblPos val="nextTo"/>
        <c:crossAx val="85785600"/>
        <c:crosses val="autoZero"/>
        <c:crossBetween val="midCat"/>
      </c:valAx>
      <c:valAx>
        <c:axId val="85785600"/>
        <c:scaling>
          <c:orientation val="minMax"/>
        </c:scaling>
        <c:axPos val="l"/>
        <c:majorGridlines/>
        <c:numFmt formatCode="0.00" sourceLinked="1"/>
        <c:tickLblPos val="nextTo"/>
        <c:crossAx val="8578406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0.10863793924493616"/>
          <c:y val="3.7227710172592215E-2"/>
          <c:w val="0.85309899553695023"/>
          <c:h val="0.84679233277660004"/>
        </c:manualLayout>
      </c:layout>
      <c:scatterChart>
        <c:scatterStyle val="smoothMarker"/>
        <c:ser>
          <c:idx val="1"/>
          <c:order val="1"/>
          <c:xVal>
            <c:numRef>
              <c:f>Лист16!$R$3:$R$12</c:f>
              <c:numCache>
                <c:formatCode>0</c:formatCode>
                <c:ptCount val="10"/>
                <c:pt idx="0">
                  <c:v>5</c:v>
                </c:pt>
                <c:pt idx="1">
                  <c:v>8.1000000000000014</c:v>
                </c:pt>
                <c:pt idx="2">
                  <c:v>13.122000000000003</c:v>
                </c:pt>
                <c:pt idx="3">
                  <c:v>21.257640000000006</c:v>
                </c:pt>
                <c:pt idx="4">
                  <c:v>34.43737680000001</c:v>
                </c:pt>
                <c:pt idx="5">
                  <c:v>55.788550416000021</c:v>
                </c:pt>
                <c:pt idx="6">
                  <c:v>90.377451673920035</c:v>
                </c:pt>
                <c:pt idx="7">
                  <c:v>146.41147171175047</c:v>
                </c:pt>
                <c:pt idx="8">
                  <c:v>237.18658417303578</c:v>
                </c:pt>
                <c:pt idx="9">
                  <c:v>384.24226636031801</c:v>
                </c:pt>
              </c:numCache>
            </c:numRef>
          </c:xVal>
          <c:yVal>
            <c:numRef>
              <c:f>Лист16!$T$3:$T$12</c:f>
              <c:numCache>
                <c:formatCode>0.00</c:formatCode>
                <c:ptCount val="10"/>
                <c:pt idx="0">
                  <c:v>0</c:v>
                </c:pt>
                <c:pt idx="1">
                  <c:v>27.279220613578573</c:v>
                </c:pt>
                <c:pt idx="2">
                  <c:v>34.720779386421455</c:v>
                </c:pt>
                <c:pt idx="3">
                  <c:v>44.192337393997263</c:v>
                </c:pt>
                <c:pt idx="4">
                  <c:v>56.247662606002763</c:v>
                </c:pt>
                <c:pt idx="5">
                  <c:v>71.591586578275553</c:v>
                </c:pt>
                <c:pt idx="6">
                  <c:v>91.121213421724406</c:v>
                </c:pt>
                <c:pt idx="7">
                  <c:v>115.97837025680639</c:v>
                </c:pt>
                <c:pt idx="8">
                  <c:v>147.61636574319357</c:v>
                </c:pt>
                <c:pt idx="9">
                  <c:v>187.88495981602637</c:v>
                </c:pt>
              </c:numCache>
            </c:numRef>
          </c:yVal>
          <c:smooth val="1"/>
        </c:ser>
        <c:ser>
          <c:idx val="0"/>
          <c:order val="0"/>
          <c:xVal>
            <c:numRef>
              <c:f>Лист16!$R$3:$R$12</c:f>
              <c:numCache>
                <c:formatCode>0</c:formatCode>
                <c:ptCount val="10"/>
                <c:pt idx="0">
                  <c:v>5</c:v>
                </c:pt>
                <c:pt idx="1">
                  <c:v>8.1000000000000014</c:v>
                </c:pt>
                <c:pt idx="2">
                  <c:v>13.122000000000003</c:v>
                </c:pt>
                <c:pt idx="3">
                  <c:v>21.257640000000006</c:v>
                </c:pt>
                <c:pt idx="4">
                  <c:v>34.43737680000001</c:v>
                </c:pt>
                <c:pt idx="5">
                  <c:v>55.788550416000021</c:v>
                </c:pt>
                <c:pt idx="6">
                  <c:v>90.377451673920035</c:v>
                </c:pt>
                <c:pt idx="7">
                  <c:v>146.41147171175047</c:v>
                </c:pt>
                <c:pt idx="8">
                  <c:v>237.18658417303578</c:v>
                </c:pt>
                <c:pt idx="9">
                  <c:v>384.24226636031801</c:v>
                </c:pt>
              </c:numCache>
            </c:numRef>
          </c:xVal>
          <c:yVal>
            <c:numRef>
              <c:f>Лист16!$S$3:$S$12</c:f>
              <c:numCache>
                <c:formatCode>0.00</c:formatCode>
                <c:ptCount val="10"/>
                <c:pt idx="0">
                  <c:v>100</c:v>
                </c:pt>
                <c:pt idx="1">
                  <c:v>127.27922061357857</c:v>
                </c:pt>
                <c:pt idx="2">
                  <c:v>162.00000000000003</c:v>
                </c:pt>
                <c:pt idx="3">
                  <c:v>206.19233739399729</c:v>
                </c:pt>
                <c:pt idx="4">
                  <c:v>262.44000000000005</c:v>
                </c:pt>
                <c:pt idx="5">
                  <c:v>334.03158657827561</c:v>
                </c:pt>
                <c:pt idx="6">
                  <c:v>425.15280000000001</c:v>
                </c:pt>
                <c:pt idx="7">
                  <c:v>541.1311702568064</c:v>
                </c:pt>
                <c:pt idx="8">
                  <c:v>688.74753599999997</c:v>
                </c:pt>
                <c:pt idx="9">
                  <c:v>876.63249581602633</c:v>
                </c:pt>
              </c:numCache>
            </c:numRef>
          </c:yVal>
          <c:smooth val="1"/>
        </c:ser>
        <c:ser>
          <c:idx val="2"/>
          <c:order val="2"/>
          <c:xVal>
            <c:numRef>
              <c:f>Лист16!$R$3:$R$12</c:f>
              <c:numCache>
                <c:formatCode>0</c:formatCode>
                <c:ptCount val="10"/>
                <c:pt idx="0">
                  <c:v>5</c:v>
                </c:pt>
                <c:pt idx="1">
                  <c:v>8.1000000000000014</c:v>
                </c:pt>
                <c:pt idx="2">
                  <c:v>13.122000000000003</c:v>
                </c:pt>
                <c:pt idx="3">
                  <c:v>21.257640000000006</c:v>
                </c:pt>
                <c:pt idx="4">
                  <c:v>34.43737680000001</c:v>
                </c:pt>
                <c:pt idx="5">
                  <c:v>55.788550416000021</c:v>
                </c:pt>
                <c:pt idx="6">
                  <c:v>90.377451673920035</c:v>
                </c:pt>
                <c:pt idx="7">
                  <c:v>146.41147171175047</c:v>
                </c:pt>
                <c:pt idx="8">
                  <c:v>237.18658417303578</c:v>
                </c:pt>
                <c:pt idx="9">
                  <c:v>384.24226636031801</c:v>
                </c:pt>
              </c:numCache>
            </c:numRef>
          </c:xVal>
          <c:yVal>
            <c:numRef>
              <c:f>Лист16!$R$3:$R$12</c:f>
              <c:numCache>
                <c:formatCode>0</c:formatCode>
                <c:ptCount val="10"/>
                <c:pt idx="0">
                  <c:v>5</c:v>
                </c:pt>
                <c:pt idx="1">
                  <c:v>8.1000000000000014</c:v>
                </c:pt>
                <c:pt idx="2">
                  <c:v>13.122000000000003</c:v>
                </c:pt>
                <c:pt idx="3">
                  <c:v>21.257640000000006</c:v>
                </c:pt>
                <c:pt idx="4">
                  <c:v>34.43737680000001</c:v>
                </c:pt>
                <c:pt idx="5">
                  <c:v>55.788550416000021</c:v>
                </c:pt>
                <c:pt idx="6">
                  <c:v>90.377451673920035</c:v>
                </c:pt>
                <c:pt idx="7">
                  <c:v>146.41147171175047</c:v>
                </c:pt>
                <c:pt idx="8">
                  <c:v>237.18658417303578</c:v>
                </c:pt>
                <c:pt idx="9">
                  <c:v>384.24226636031801</c:v>
                </c:pt>
              </c:numCache>
            </c:numRef>
          </c:yVal>
          <c:smooth val="1"/>
        </c:ser>
        <c:axId val="99437952"/>
        <c:axId val="99447936"/>
      </c:scatterChart>
      <c:valAx>
        <c:axId val="99437952"/>
        <c:scaling>
          <c:orientation val="minMax"/>
        </c:scaling>
        <c:axPos val="b"/>
        <c:numFmt formatCode="0" sourceLinked="1"/>
        <c:tickLblPos val="nextTo"/>
        <c:crossAx val="99447936"/>
        <c:crosses val="autoZero"/>
        <c:crossBetween val="midCat"/>
      </c:valAx>
      <c:valAx>
        <c:axId val="99447936"/>
        <c:scaling>
          <c:orientation val="minMax"/>
        </c:scaling>
        <c:axPos val="l"/>
        <c:majorGridlines/>
        <c:numFmt formatCode="0.00" sourceLinked="1"/>
        <c:tickLblPos val="nextTo"/>
        <c:crossAx val="9943795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ru-RU"/>
  <c:chart>
    <c:autoTitleDeleted val="1"/>
    <c:plotArea>
      <c:layout/>
      <c:scatterChart>
        <c:scatterStyle val="smoothMarker"/>
        <c:ser>
          <c:idx val="0"/>
          <c:order val="0"/>
          <c:xVal>
            <c:numRef>
              <c:f>Лист16!$A$3:$A$12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Лист16!$B$3:$B$12</c:f>
              <c:numCache>
                <c:formatCode>0</c:formatCode>
                <c:ptCount val="10"/>
                <c:pt idx="0">
                  <c:v>7</c:v>
                </c:pt>
                <c:pt idx="1">
                  <c:v>13</c:v>
                </c:pt>
                <c:pt idx="2">
                  <c:v>21</c:v>
                </c:pt>
                <c:pt idx="3">
                  <c:v>31</c:v>
                </c:pt>
                <c:pt idx="4">
                  <c:v>43</c:v>
                </c:pt>
                <c:pt idx="5">
                  <c:v>57</c:v>
                </c:pt>
                <c:pt idx="6">
                  <c:v>73</c:v>
                </c:pt>
                <c:pt idx="7">
                  <c:v>97</c:v>
                </c:pt>
                <c:pt idx="8">
                  <c:v>132</c:v>
                </c:pt>
                <c:pt idx="9">
                  <c:v>182</c:v>
                </c:pt>
              </c:numCache>
            </c:numRef>
          </c:yVal>
          <c:smooth val="1"/>
        </c:ser>
        <c:ser>
          <c:idx val="1"/>
          <c:order val="1"/>
          <c:xVal>
            <c:numRef>
              <c:f>Лист16!$A$3:$A$12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Лист16!$C$3:$C$12</c:f>
              <c:numCache>
                <c:formatCode>0.00</c:formatCode>
                <c:ptCount val="10"/>
                <c:pt idx="0">
                  <c:v>100</c:v>
                </c:pt>
                <c:pt idx="1">
                  <c:v>136.27702877384937</c:v>
                </c:pt>
                <c:pt idx="2">
                  <c:v>173.20508075688772</c:v>
                </c:pt>
                <c:pt idx="3">
                  <c:v>210.44171232366048</c:v>
                </c:pt>
                <c:pt idx="4">
                  <c:v>247.847879612821</c:v>
                </c:pt>
                <c:pt idx="5">
                  <c:v>285.35691936340254</c:v>
                </c:pt>
                <c:pt idx="6">
                  <c:v>322.9329872987804</c:v>
                </c:pt>
                <c:pt idx="7">
                  <c:v>372.25183487986806</c:v>
                </c:pt>
                <c:pt idx="8">
                  <c:v>434.24811867344755</c:v>
                </c:pt>
                <c:pt idx="9">
                  <c:v>509.90195135927854</c:v>
                </c:pt>
              </c:numCache>
            </c:numRef>
          </c:yVal>
          <c:smooth val="1"/>
        </c:ser>
        <c:ser>
          <c:idx val="2"/>
          <c:order val="2"/>
          <c:xVal>
            <c:numRef>
              <c:f>Лист16!$A$3:$A$12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Лист16!$D$3:$D$12</c:f>
              <c:numCache>
                <c:formatCode>0.00</c:formatCode>
                <c:ptCount val="10"/>
                <c:pt idx="0">
                  <c:v>0</c:v>
                </c:pt>
                <c:pt idx="1">
                  <c:v>36.277028773849366</c:v>
                </c:pt>
                <c:pt idx="2">
                  <c:v>36.928051983038358</c:v>
                </c:pt>
                <c:pt idx="3">
                  <c:v>37.236631566772758</c:v>
                </c:pt>
                <c:pt idx="4">
                  <c:v>37.406167289160521</c:v>
                </c:pt>
                <c:pt idx="5">
                  <c:v>37.509039750581536</c:v>
                </c:pt>
                <c:pt idx="6">
                  <c:v>37.576067935377864</c:v>
                </c:pt>
                <c:pt idx="7">
                  <c:v>49.318847581087653</c:v>
                </c:pt>
                <c:pt idx="8">
                  <c:v>61.996283793579494</c:v>
                </c:pt>
                <c:pt idx="9">
                  <c:v>75.653832685830992</c:v>
                </c:pt>
              </c:numCache>
            </c:numRef>
          </c:yVal>
          <c:smooth val="1"/>
        </c:ser>
        <c:axId val="99476992"/>
        <c:axId val="99478528"/>
      </c:scatterChart>
      <c:valAx>
        <c:axId val="99476992"/>
        <c:scaling>
          <c:orientation val="minMax"/>
        </c:scaling>
        <c:axPos val="b"/>
        <c:numFmt formatCode="General" sourceLinked="1"/>
        <c:tickLblPos val="nextTo"/>
        <c:crossAx val="99478528"/>
        <c:crosses val="autoZero"/>
        <c:crossBetween val="midCat"/>
      </c:valAx>
      <c:valAx>
        <c:axId val="99478528"/>
        <c:scaling>
          <c:orientation val="minMax"/>
        </c:scaling>
        <c:axPos val="l"/>
        <c:majorGridlines/>
        <c:numFmt formatCode="0" sourceLinked="1"/>
        <c:tickLblPos val="nextTo"/>
        <c:crossAx val="99476992"/>
        <c:crosses val="autoZero"/>
        <c:crossBetween val="midCat"/>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7.2182852143482079E-2"/>
          <c:y val="2.8252405949256338E-2"/>
          <c:w val="0.89707414698162657"/>
          <c:h val="0.87891586468363925"/>
        </c:manualLayout>
      </c:layout>
      <c:scatterChart>
        <c:scatterStyle val="smoothMarker"/>
        <c:ser>
          <c:idx val="0"/>
          <c:order val="0"/>
          <c:xVal>
            <c:numRef>
              <c:f>Лист16!$I$3:$I$12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Лист16!$J$3:$J$12</c:f>
              <c:numCache>
                <c:formatCode>0</c:formatCode>
                <c:ptCount val="10"/>
                <c:pt idx="0">
                  <c:v>5</c:v>
                </c:pt>
                <c:pt idx="1">
                  <c:v>14</c:v>
                </c:pt>
                <c:pt idx="2">
                  <c:v>26</c:v>
                </c:pt>
                <c:pt idx="3">
                  <c:v>42</c:v>
                </c:pt>
                <c:pt idx="4">
                  <c:v>62</c:v>
                </c:pt>
                <c:pt idx="5">
                  <c:v>86</c:v>
                </c:pt>
                <c:pt idx="6">
                  <c:v>120</c:v>
                </c:pt>
                <c:pt idx="7">
                  <c:v>167</c:v>
                </c:pt>
                <c:pt idx="8">
                  <c:v>232</c:v>
                </c:pt>
                <c:pt idx="9">
                  <c:v>320</c:v>
                </c:pt>
              </c:numCache>
            </c:numRef>
          </c:yVal>
          <c:smooth val="1"/>
        </c:ser>
        <c:ser>
          <c:idx val="1"/>
          <c:order val="1"/>
          <c:xVal>
            <c:numRef>
              <c:f>Лист16!$I$3:$I$12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Лист16!$K$3:$K$12</c:f>
              <c:numCache>
                <c:formatCode>0.00</c:formatCode>
                <c:ptCount val="10"/>
                <c:pt idx="0">
                  <c:v>100</c:v>
                </c:pt>
                <c:pt idx="1">
                  <c:v>167.33200530681512</c:v>
                </c:pt>
                <c:pt idx="2">
                  <c:v>228.03508501982759</c:v>
                </c:pt>
                <c:pt idx="3">
                  <c:v>289.82753492378879</c:v>
                </c:pt>
                <c:pt idx="4">
                  <c:v>352.1363372331802</c:v>
                </c:pt>
                <c:pt idx="5">
                  <c:v>414.72882706655446</c:v>
                </c:pt>
                <c:pt idx="6">
                  <c:v>489.89794855663564</c:v>
                </c:pt>
                <c:pt idx="7">
                  <c:v>577.9273310719957</c:v>
                </c:pt>
                <c:pt idx="8">
                  <c:v>681.17545463705619</c:v>
                </c:pt>
                <c:pt idx="9">
                  <c:v>800.00000000000023</c:v>
                </c:pt>
              </c:numCache>
            </c:numRef>
          </c:yVal>
          <c:smooth val="1"/>
        </c:ser>
        <c:ser>
          <c:idx val="2"/>
          <c:order val="2"/>
          <c:xVal>
            <c:numRef>
              <c:f>Лист16!$I$3:$I$12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Лист16!$L$3:$L$12</c:f>
              <c:numCache>
                <c:formatCode>0.00</c:formatCode>
                <c:ptCount val="10"/>
                <c:pt idx="0">
                  <c:v>0</c:v>
                </c:pt>
                <c:pt idx="1">
                  <c:v>67.33200530681512</c:v>
                </c:pt>
                <c:pt idx="2">
                  <c:v>60.703079713012471</c:v>
                </c:pt>
                <c:pt idx="3">
                  <c:v>61.792449903961199</c:v>
                </c:pt>
                <c:pt idx="4">
                  <c:v>62.30880230939141</c:v>
                </c:pt>
                <c:pt idx="5">
                  <c:v>62.592489833374259</c:v>
                </c:pt>
                <c:pt idx="6">
                  <c:v>75.169121490081181</c:v>
                </c:pt>
                <c:pt idx="7">
                  <c:v>88.029382515360055</c:v>
                </c:pt>
                <c:pt idx="8">
                  <c:v>103.2481235650605</c:v>
                </c:pt>
                <c:pt idx="9">
                  <c:v>118.82454536294404</c:v>
                </c:pt>
              </c:numCache>
            </c:numRef>
          </c:yVal>
          <c:smooth val="1"/>
        </c:ser>
        <c:axId val="99507200"/>
        <c:axId val="99541760"/>
      </c:scatterChart>
      <c:valAx>
        <c:axId val="99507200"/>
        <c:scaling>
          <c:orientation val="minMax"/>
        </c:scaling>
        <c:axPos val="b"/>
        <c:numFmt formatCode="General" sourceLinked="1"/>
        <c:tickLblPos val="nextTo"/>
        <c:crossAx val="99541760"/>
        <c:crosses val="autoZero"/>
        <c:crossBetween val="midCat"/>
      </c:valAx>
      <c:valAx>
        <c:axId val="99541760"/>
        <c:scaling>
          <c:orientation val="minMax"/>
        </c:scaling>
        <c:axPos val="l"/>
        <c:majorGridlines/>
        <c:numFmt formatCode="0" sourceLinked="1"/>
        <c:tickLblPos val="nextTo"/>
        <c:crossAx val="99507200"/>
        <c:crosses val="autoZero"/>
        <c:crossBetween val="midCat"/>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7.2182852143482079E-2"/>
          <c:y val="2.8252405949256338E-2"/>
          <c:w val="0.89707414698162657"/>
          <c:h val="0.87891586468363958"/>
        </c:manualLayout>
      </c:layout>
      <c:scatterChart>
        <c:scatterStyle val="smoothMarker"/>
        <c:ser>
          <c:idx val="0"/>
          <c:order val="0"/>
          <c:xVal>
            <c:numRef>
              <c:f>Лист16!$Q$3:$Q$12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Лист16!$R$3:$R$12</c:f>
              <c:numCache>
                <c:formatCode>0</c:formatCode>
                <c:ptCount val="10"/>
                <c:pt idx="0">
                  <c:v>5</c:v>
                </c:pt>
                <c:pt idx="1">
                  <c:v>8.1000000000000014</c:v>
                </c:pt>
                <c:pt idx="2">
                  <c:v>13.122000000000003</c:v>
                </c:pt>
                <c:pt idx="3">
                  <c:v>21.257640000000006</c:v>
                </c:pt>
                <c:pt idx="4">
                  <c:v>34.43737680000001</c:v>
                </c:pt>
                <c:pt idx="5">
                  <c:v>55.788550416000021</c:v>
                </c:pt>
                <c:pt idx="6">
                  <c:v>90.377451673920035</c:v>
                </c:pt>
                <c:pt idx="7">
                  <c:v>146.41147171175047</c:v>
                </c:pt>
                <c:pt idx="8">
                  <c:v>237.18658417303578</c:v>
                </c:pt>
                <c:pt idx="9">
                  <c:v>384.24226636031801</c:v>
                </c:pt>
              </c:numCache>
            </c:numRef>
          </c:yVal>
          <c:smooth val="1"/>
        </c:ser>
        <c:ser>
          <c:idx val="1"/>
          <c:order val="1"/>
          <c:xVal>
            <c:numRef>
              <c:f>Лист16!$Q$3:$Q$12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Лист16!$S$3:$S$12</c:f>
              <c:numCache>
                <c:formatCode>0.00</c:formatCode>
                <c:ptCount val="10"/>
                <c:pt idx="0">
                  <c:v>100</c:v>
                </c:pt>
                <c:pt idx="1">
                  <c:v>127.27922061357857</c:v>
                </c:pt>
                <c:pt idx="2">
                  <c:v>162.00000000000003</c:v>
                </c:pt>
                <c:pt idx="3">
                  <c:v>206.19233739399729</c:v>
                </c:pt>
                <c:pt idx="4">
                  <c:v>262.44000000000005</c:v>
                </c:pt>
                <c:pt idx="5">
                  <c:v>334.03158657827561</c:v>
                </c:pt>
                <c:pt idx="6">
                  <c:v>425.15280000000001</c:v>
                </c:pt>
                <c:pt idx="7">
                  <c:v>541.1311702568064</c:v>
                </c:pt>
                <c:pt idx="8">
                  <c:v>688.74753599999997</c:v>
                </c:pt>
                <c:pt idx="9">
                  <c:v>876.63249581602633</c:v>
                </c:pt>
              </c:numCache>
            </c:numRef>
          </c:yVal>
          <c:smooth val="1"/>
        </c:ser>
        <c:ser>
          <c:idx val="2"/>
          <c:order val="2"/>
          <c:xVal>
            <c:numRef>
              <c:f>Лист16!$Q$3:$Q$12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Лист16!$T$3:$T$12</c:f>
              <c:numCache>
                <c:formatCode>0.00</c:formatCode>
                <c:ptCount val="10"/>
                <c:pt idx="0">
                  <c:v>0</c:v>
                </c:pt>
                <c:pt idx="1">
                  <c:v>27.279220613578573</c:v>
                </c:pt>
                <c:pt idx="2">
                  <c:v>34.720779386421455</c:v>
                </c:pt>
                <c:pt idx="3">
                  <c:v>44.192337393997263</c:v>
                </c:pt>
                <c:pt idx="4">
                  <c:v>56.247662606002763</c:v>
                </c:pt>
                <c:pt idx="5">
                  <c:v>71.591586578275553</c:v>
                </c:pt>
                <c:pt idx="6">
                  <c:v>91.121213421724406</c:v>
                </c:pt>
                <c:pt idx="7">
                  <c:v>115.97837025680639</c:v>
                </c:pt>
                <c:pt idx="8">
                  <c:v>147.61636574319357</c:v>
                </c:pt>
                <c:pt idx="9">
                  <c:v>187.88495981602637</c:v>
                </c:pt>
              </c:numCache>
            </c:numRef>
          </c:yVal>
          <c:smooth val="1"/>
        </c:ser>
        <c:axId val="99558528"/>
        <c:axId val="99560064"/>
      </c:scatterChart>
      <c:valAx>
        <c:axId val="99558528"/>
        <c:scaling>
          <c:orientation val="minMax"/>
        </c:scaling>
        <c:axPos val="b"/>
        <c:numFmt formatCode="General" sourceLinked="1"/>
        <c:tickLblPos val="nextTo"/>
        <c:crossAx val="99560064"/>
        <c:crosses val="autoZero"/>
        <c:crossBetween val="midCat"/>
      </c:valAx>
      <c:valAx>
        <c:axId val="99560064"/>
        <c:scaling>
          <c:orientation val="minMax"/>
        </c:scaling>
        <c:axPos val="l"/>
        <c:majorGridlines/>
        <c:numFmt formatCode="0" sourceLinked="1"/>
        <c:tickLblPos val="nextTo"/>
        <c:crossAx val="99558528"/>
        <c:crosses val="autoZero"/>
        <c:crossBetween val="midCat"/>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190500</xdr:colOff>
      <xdr:row>17</xdr:row>
      <xdr:rowOff>152400</xdr:rowOff>
    </xdr:from>
    <xdr:to>
      <xdr:col>16</xdr:col>
      <xdr:colOff>200025</xdr:colOff>
      <xdr:row>34</xdr:row>
      <xdr:rowOff>38100</xdr:rowOff>
    </xdr:to>
    <xdr:graphicFrame macro="">
      <xdr:nvGraphicFramePr>
        <xdr:cNvPr id="9" name="Диаграмма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21</xdr:row>
      <xdr:rowOff>47625</xdr:rowOff>
    </xdr:from>
    <xdr:to>
      <xdr:col>8</xdr:col>
      <xdr:colOff>171450</xdr:colOff>
      <xdr:row>35</xdr:row>
      <xdr:rowOff>123825</xdr:rowOff>
    </xdr:to>
    <xdr:graphicFrame macro="">
      <xdr:nvGraphicFramePr>
        <xdr:cNvPr id="13" name="Диаграмма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18</xdr:row>
      <xdr:rowOff>19050</xdr:rowOff>
    </xdr:from>
    <xdr:to>
      <xdr:col>7</xdr:col>
      <xdr:colOff>0</xdr:colOff>
      <xdr:row>32</xdr:row>
      <xdr:rowOff>161925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18</xdr:row>
      <xdr:rowOff>9525</xdr:rowOff>
    </xdr:from>
    <xdr:to>
      <xdr:col>7</xdr:col>
      <xdr:colOff>485775</xdr:colOff>
      <xdr:row>32</xdr:row>
      <xdr:rowOff>152400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18</xdr:row>
      <xdr:rowOff>0</xdr:rowOff>
    </xdr:from>
    <xdr:to>
      <xdr:col>14</xdr:col>
      <xdr:colOff>361950</xdr:colOff>
      <xdr:row>32</xdr:row>
      <xdr:rowOff>142875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47625</xdr:colOff>
      <xdr:row>18</xdr:row>
      <xdr:rowOff>0</xdr:rowOff>
    </xdr:from>
    <xdr:to>
      <xdr:col>22</xdr:col>
      <xdr:colOff>361950</xdr:colOff>
      <xdr:row>32</xdr:row>
      <xdr:rowOff>142875</xdr:rowOff>
    </xdr:to>
    <xdr:graphicFrame macro="">
      <xdr:nvGraphicFramePr>
        <xdr:cNvPr id="5" name="Диаграмма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85726</xdr:colOff>
      <xdr:row>34</xdr:row>
      <xdr:rowOff>171450</xdr:rowOff>
    </xdr:from>
    <xdr:to>
      <xdr:col>7</xdr:col>
      <xdr:colOff>476250</xdr:colOff>
      <xdr:row>49</xdr:row>
      <xdr:rowOff>57150</xdr:rowOff>
    </xdr:to>
    <xdr:graphicFrame macro="">
      <xdr:nvGraphicFramePr>
        <xdr:cNvPr id="6" name="Диаграмма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38101</xdr:colOff>
      <xdr:row>34</xdr:row>
      <xdr:rowOff>161925</xdr:rowOff>
    </xdr:from>
    <xdr:to>
      <xdr:col>14</xdr:col>
      <xdr:colOff>438151</xdr:colOff>
      <xdr:row>48</xdr:row>
      <xdr:rowOff>180974</xdr:rowOff>
    </xdr:to>
    <xdr:graphicFrame macro="">
      <xdr:nvGraphicFramePr>
        <xdr:cNvPr id="7" name="Диаграмма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19050</xdr:colOff>
      <xdr:row>34</xdr:row>
      <xdr:rowOff>19051</xdr:rowOff>
    </xdr:from>
    <xdr:to>
      <xdr:col>22</xdr:col>
      <xdr:colOff>476249</xdr:colOff>
      <xdr:row>48</xdr:row>
      <xdr:rowOff>171451</xdr:rowOff>
    </xdr:to>
    <xdr:graphicFrame macro="">
      <xdr:nvGraphicFramePr>
        <xdr:cNvPr id="8" name="Диаграмма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119</xdr:row>
      <xdr:rowOff>47625</xdr:rowOff>
    </xdr:from>
    <xdr:to>
      <xdr:col>15</xdr:col>
      <xdr:colOff>533400</xdr:colOff>
      <xdr:row>135</xdr:row>
      <xdr:rowOff>142875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19</xdr:col>
      <xdr:colOff>457200</xdr:colOff>
      <xdr:row>22</xdr:row>
      <xdr:rowOff>47625</xdr:rowOff>
    </xdr:to>
    <xdr:pic>
      <xdr:nvPicPr>
        <xdr:cNvPr id="2" name="Picture 1" descr="Xlarge"/>
        <xdr:cNvPicPr>
          <a:picLocks noChangeAspect="1" noChangeArrowheads="1"/>
        </xdr:cNvPicPr>
      </xdr:nvPicPr>
      <xdr:blipFill>
        <a:blip xmlns:r="http://schemas.openxmlformats.org/officeDocument/2006/relationships" r:embed="rId1" cstate="print"/>
        <a:srcRect/>
        <a:stretch>
          <a:fillRect/>
        </a:stretch>
      </xdr:blipFill>
      <xdr:spPr bwMode="auto">
        <a:xfrm>
          <a:off x="609600" y="381000"/>
          <a:ext cx="11430000" cy="3857625"/>
        </a:xfrm>
        <a:prstGeom prst="rect">
          <a:avLst/>
        </a:prstGeom>
        <a:noFill/>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fokinpickups.com/produktsiya/humbucker/hot-breeze-bridge/"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https://aliexpress.ru/item/1005002060151541.html?spm=a2g0o.store_pc_promotion.promotePruductList_2003978630483.5&amp;sku_id=12000018594498141" TargetMode="External"/><Relationship Id="rId2" Type="http://schemas.openxmlformats.org/officeDocument/2006/relationships/hyperlink" Target="https://aliexpress.ru/item/10000358074303.html?spm=a2g2w.productlist.list.0.6f50159eBIO51V&amp;sku_id=20000000184434533" TargetMode="External"/><Relationship Id="rId1" Type="http://schemas.openxmlformats.org/officeDocument/2006/relationships/hyperlink" Target="https://aliexpress.ru/item/1005001493919664.html?spm=a2g0o.store_pc_promotion.promotePruductList_2003978630483.1&amp;sku_id=12000016336661884" TargetMode="External"/><Relationship Id="rId4"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3" Type="http://schemas.openxmlformats.org/officeDocument/2006/relationships/hyperlink" Target="https://aliexpress.ru/item/1005002060151541.html?spm=a2g0o.store_pc_promotion.promotePruductList_2003978630483.5&amp;sku_id=12000018594498141" TargetMode="External"/><Relationship Id="rId2" Type="http://schemas.openxmlformats.org/officeDocument/2006/relationships/hyperlink" Target="https://aliexpress.ru/item/10000358074303.html?spm=a2g2w.productlist.list.0.6f50159eBIO51V&amp;sku_id=20000000184434533" TargetMode="External"/><Relationship Id="rId1" Type="http://schemas.openxmlformats.org/officeDocument/2006/relationships/hyperlink" Target="https://aliexpress.ru/item/1005001493919664.html?spm=a2g0o.store_pc_promotion.promotePruductList_2003978630483.1&amp;sku_id=12000016336661884" TargetMode="External"/><Relationship Id="rId5" Type="http://schemas.openxmlformats.org/officeDocument/2006/relationships/printerSettings" Target="../printerSettings/printerSettings23.bin"/><Relationship Id="rId4" Type="http://schemas.openxmlformats.org/officeDocument/2006/relationships/hyperlink" Target="https://aliexpress.ru/item/32796243853.html?sku_id=12000017750855058&amp;spm=a2g2w.productlist.list.8.613225e4CgDBJU" TargetMode="External"/></Relationships>
</file>

<file path=xl/worksheets/_rels/sheet42.xml.rels><?xml version="1.0" encoding="UTF-8" standalone="yes"?>
<Relationships xmlns="http://schemas.openxmlformats.org/package/2006/relationships"><Relationship Id="rId13" Type="http://schemas.openxmlformats.org/officeDocument/2006/relationships/hyperlink" Target="https://rttf.ru/items/723" TargetMode="External"/><Relationship Id="rId18" Type="http://schemas.openxmlformats.org/officeDocument/2006/relationships/hyperlink" Target="https://rttf.ru/items/164" TargetMode="External"/><Relationship Id="rId26" Type="http://schemas.openxmlformats.org/officeDocument/2006/relationships/hyperlink" Target="https://rttf.ru/items/92" TargetMode="External"/><Relationship Id="rId39" Type="http://schemas.openxmlformats.org/officeDocument/2006/relationships/hyperlink" Target="https://rttf.ru/items/821" TargetMode="External"/><Relationship Id="rId21" Type="http://schemas.openxmlformats.org/officeDocument/2006/relationships/hyperlink" Target="https://rttf.ru/items/79" TargetMode="External"/><Relationship Id="rId34" Type="http://schemas.openxmlformats.org/officeDocument/2006/relationships/hyperlink" Target="https://rttf.ru/items/723" TargetMode="External"/><Relationship Id="rId42" Type="http://schemas.openxmlformats.org/officeDocument/2006/relationships/hyperlink" Target="https://rttf.ru/items/567" TargetMode="External"/><Relationship Id="rId47" Type="http://schemas.openxmlformats.org/officeDocument/2006/relationships/hyperlink" Target="https://rttf.ru/items/1362" TargetMode="External"/><Relationship Id="rId50" Type="http://schemas.openxmlformats.org/officeDocument/2006/relationships/hyperlink" Target="https://rttf.ru/items/1269" TargetMode="External"/><Relationship Id="rId55" Type="http://schemas.openxmlformats.org/officeDocument/2006/relationships/hyperlink" Target="https://rttf.ru/items/725" TargetMode="External"/><Relationship Id="rId63" Type="http://schemas.openxmlformats.org/officeDocument/2006/relationships/hyperlink" Target="https://rttf.ru/items/1473" TargetMode="External"/><Relationship Id="rId68" Type="http://schemas.openxmlformats.org/officeDocument/2006/relationships/hyperlink" Target="https://rttf.ru/items/1457" TargetMode="External"/><Relationship Id="rId76" Type="http://schemas.openxmlformats.org/officeDocument/2006/relationships/hyperlink" Target="https://rttf.ru/items/724" TargetMode="External"/><Relationship Id="rId84" Type="http://schemas.openxmlformats.org/officeDocument/2006/relationships/hyperlink" Target="https://rttf.ru/items/723" TargetMode="External"/><Relationship Id="rId7" Type="http://schemas.openxmlformats.org/officeDocument/2006/relationships/hyperlink" Target="https://rttf.ru/items/1199" TargetMode="External"/><Relationship Id="rId71" Type="http://schemas.openxmlformats.org/officeDocument/2006/relationships/hyperlink" Target="https://rttf.ru/items/1457" TargetMode="External"/><Relationship Id="rId2" Type="http://schemas.openxmlformats.org/officeDocument/2006/relationships/hyperlink" Target="https://rttf.ru/items/1199" TargetMode="External"/><Relationship Id="rId16" Type="http://schemas.openxmlformats.org/officeDocument/2006/relationships/hyperlink" Target="https://rttf.ru/items/1199" TargetMode="External"/><Relationship Id="rId29" Type="http://schemas.openxmlformats.org/officeDocument/2006/relationships/hyperlink" Target="https://rttf.ru/items/85" TargetMode="External"/><Relationship Id="rId11" Type="http://schemas.openxmlformats.org/officeDocument/2006/relationships/hyperlink" Target="https://rttf.ru/items/2303" TargetMode="External"/><Relationship Id="rId24" Type="http://schemas.openxmlformats.org/officeDocument/2006/relationships/hyperlink" Target="https://rttf.ru/items/723" TargetMode="External"/><Relationship Id="rId32" Type="http://schemas.openxmlformats.org/officeDocument/2006/relationships/hyperlink" Target="https://rttf.ru/items/1255" TargetMode="External"/><Relationship Id="rId37" Type="http://schemas.openxmlformats.org/officeDocument/2006/relationships/hyperlink" Target="https://rttf.ru/items/1204" TargetMode="External"/><Relationship Id="rId40" Type="http://schemas.openxmlformats.org/officeDocument/2006/relationships/hyperlink" Target="https://rttf.ru/items/822" TargetMode="External"/><Relationship Id="rId45" Type="http://schemas.openxmlformats.org/officeDocument/2006/relationships/hyperlink" Target="https://rttf.ru/items/816" TargetMode="External"/><Relationship Id="rId53" Type="http://schemas.openxmlformats.org/officeDocument/2006/relationships/hyperlink" Target="https://rttf.ru/items/1253" TargetMode="External"/><Relationship Id="rId58" Type="http://schemas.openxmlformats.org/officeDocument/2006/relationships/hyperlink" Target="https://rttf.ru/items/1483" TargetMode="External"/><Relationship Id="rId66" Type="http://schemas.openxmlformats.org/officeDocument/2006/relationships/hyperlink" Target="https://rttf.ru/items/1931" TargetMode="External"/><Relationship Id="rId74" Type="http://schemas.openxmlformats.org/officeDocument/2006/relationships/hyperlink" Target="https://rttf.ru/items/717" TargetMode="External"/><Relationship Id="rId79" Type="http://schemas.openxmlformats.org/officeDocument/2006/relationships/hyperlink" Target="https://rttf.ru/items/2234" TargetMode="External"/><Relationship Id="rId87" Type="http://schemas.openxmlformats.org/officeDocument/2006/relationships/hyperlink" Target="https://rttf.ru/items/88" TargetMode="External"/><Relationship Id="rId5" Type="http://schemas.openxmlformats.org/officeDocument/2006/relationships/hyperlink" Target="https://rttf.ru/items/3870" TargetMode="External"/><Relationship Id="rId61" Type="http://schemas.openxmlformats.org/officeDocument/2006/relationships/hyperlink" Target="https://rttf.ru/items/814" TargetMode="External"/><Relationship Id="rId82" Type="http://schemas.openxmlformats.org/officeDocument/2006/relationships/hyperlink" Target="https://rttf.ru/items/1931" TargetMode="External"/><Relationship Id="rId19" Type="http://schemas.openxmlformats.org/officeDocument/2006/relationships/hyperlink" Target="https://rttf.ru/items/1402" TargetMode="External"/><Relationship Id="rId4" Type="http://schemas.openxmlformats.org/officeDocument/2006/relationships/hyperlink" Target="https://rttf.ru/items/1203" TargetMode="External"/><Relationship Id="rId9" Type="http://schemas.openxmlformats.org/officeDocument/2006/relationships/hyperlink" Target="https://rttf.ru/items/164" TargetMode="External"/><Relationship Id="rId14" Type="http://schemas.openxmlformats.org/officeDocument/2006/relationships/hyperlink" Target="https://rttf.ru/items/723" TargetMode="External"/><Relationship Id="rId22" Type="http://schemas.openxmlformats.org/officeDocument/2006/relationships/hyperlink" Target="https://rttf.ru/items/1243" TargetMode="External"/><Relationship Id="rId27" Type="http://schemas.openxmlformats.org/officeDocument/2006/relationships/hyperlink" Target="https://rttf.ru/items/92" TargetMode="External"/><Relationship Id="rId30" Type="http://schemas.openxmlformats.org/officeDocument/2006/relationships/hyperlink" Target="https://rttf.ru/items/8" TargetMode="External"/><Relationship Id="rId35" Type="http://schemas.openxmlformats.org/officeDocument/2006/relationships/hyperlink" Target="https://rttf.ru/items/856" TargetMode="External"/><Relationship Id="rId43" Type="http://schemas.openxmlformats.org/officeDocument/2006/relationships/hyperlink" Target="https://rttf.ru/items/2745" TargetMode="External"/><Relationship Id="rId48" Type="http://schemas.openxmlformats.org/officeDocument/2006/relationships/hyperlink" Target="https://rttf.ru/items/224" TargetMode="External"/><Relationship Id="rId56" Type="http://schemas.openxmlformats.org/officeDocument/2006/relationships/hyperlink" Target="https://rttf.ru/items/2049" TargetMode="External"/><Relationship Id="rId64" Type="http://schemas.openxmlformats.org/officeDocument/2006/relationships/hyperlink" Target="https://rttf.ru/items/822" TargetMode="External"/><Relationship Id="rId69" Type="http://schemas.openxmlformats.org/officeDocument/2006/relationships/hyperlink" Target="https://rttf.ru/items/78" TargetMode="External"/><Relationship Id="rId77" Type="http://schemas.openxmlformats.org/officeDocument/2006/relationships/hyperlink" Target="https://rttf.ru/items/108" TargetMode="External"/><Relationship Id="rId8" Type="http://schemas.openxmlformats.org/officeDocument/2006/relationships/hyperlink" Target="https://rttf.ru/items/2135" TargetMode="External"/><Relationship Id="rId51" Type="http://schemas.openxmlformats.org/officeDocument/2006/relationships/hyperlink" Target="https://rttf.ru/items/1202" TargetMode="External"/><Relationship Id="rId72" Type="http://schemas.openxmlformats.org/officeDocument/2006/relationships/hyperlink" Target="https://rttf.ru/items/814" TargetMode="External"/><Relationship Id="rId80" Type="http://schemas.openxmlformats.org/officeDocument/2006/relationships/hyperlink" Target="https://rttf.ru/items/1248" TargetMode="External"/><Relationship Id="rId85" Type="http://schemas.openxmlformats.org/officeDocument/2006/relationships/hyperlink" Target="https://rttf.ru/items/723" TargetMode="External"/><Relationship Id="rId3" Type="http://schemas.openxmlformats.org/officeDocument/2006/relationships/hyperlink" Target="https://rttf.ru/items/2836" TargetMode="External"/><Relationship Id="rId12" Type="http://schemas.openxmlformats.org/officeDocument/2006/relationships/hyperlink" Target="https://rttf.ru/items/164" TargetMode="External"/><Relationship Id="rId17" Type="http://schemas.openxmlformats.org/officeDocument/2006/relationships/hyperlink" Target="https://rttf.ru/items/1199" TargetMode="External"/><Relationship Id="rId25" Type="http://schemas.openxmlformats.org/officeDocument/2006/relationships/hyperlink" Target="https://rttf.ru/items/1275" TargetMode="External"/><Relationship Id="rId33" Type="http://schemas.openxmlformats.org/officeDocument/2006/relationships/hyperlink" Target="https://rttf.ru/items/723" TargetMode="External"/><Relationship Id="rId38" Type="http://schemas.openxmlformats.org/officeDocument/2006/relationships/hyperlink" Target="https://rttf.ru/items/1464" TargetMode="External"/><Relationship Id="rId46" Type="http://schemas.openxmlformats.org/officeDocument/2006/relationships/hyperlink" Target="https://rttf.ru/items/816" TargetMode="External"/><Relationship Id="rId59" Type="http://schemas.openxmlformats.org/officeDocument/2006/relationships/hyperlink" Target="https://rttf.ru/items/717" TargetMode="External"/><Relationship Id="rId67" Type="http://schemas.openxmlformats.org/officeDocument/2006/relationships/hyperlink" Target="https://rttf.ru/items/1834" TargetMode="External"/><Relationship Id="rId20" Type="http://schemas.openxmlformats.org/officeDocument/2006/relationships/hyperlink" Target="https://rttf.ru/items/79" TargetMode="External"/><Relationship Id="rId41" Type="http://schemas.openxmlformats.org/officeDocument/2006/relationships/hyperlink" Target="https://rttf.ru/items/1273" TargetMode="External"/><Relationship Id="rId54" Type="http://schemas.openxmlformats.org/officeDocument/2006/relationships/hyperlink" Target="https://rttf.ru/items/725" TargetMode="External"/><Relationship Id="rId62" Type="http://schemas.openxmlformats.org/officeDocument/2006/relationships/hyperlink" Target="https://rttf.ru/items/717" TargetMode="External"/><Relationship Id="rId70" Type="http://schemas.openxmlformats.org/officeDocument/2006/relationships/hyperlink" Target="https://rttf.ru/items/1474" TargetMode="External"/><Relationship Id="rId75" Type="http://schemas.openxmlformats.org/officeDocument/2006/relationships/hyperlink" Target="https://rttf.ru/items/724" TargetMode="External"/><Relationship Id="rId83" Type="http://schemas.openxmlformats.org/officeDocument/2006/relationships/hyperlink" Target="https://rttf.ru/items/1255" TargetMode="External"/><Relationship Id="rId88" Type="http://schemas.openxmlformats.org/officeDocument/2006/relationships/hyperlink" Target="https://rttf.ru/items/88" TargetMode="External"/><Relationship Id="rId1" Type="http://schemas.openxmlformats.org/officeDocument/2006/relationships/hyperlink" Target="https://rttf.ru/items/1457" TargetMode="External"/><Relationship Id="rId6" Type="http://schemas.openxmlformats.org/officeDocument/2006/relationships/hyperlink" Target="https://rttf.ru/items/108" TargetMode="External"/><Relationship Id="rId15" Type="http://schemas.openxmlformats.org/officeDocument/2006/relationships/hyperlink" Target="https://rttf.ru/items/1248" TargetMode="External"/><Relationship Id="rId23" Type="http://schemas.openxmlformats.org/officeDocument/2006/relationships/hyperlink" Target="https://rttf.ru/items/723" TargetMode="External"/><Relationship Id="rId28" Type="http://schemas.openxmlformats.org/officeDocument/2006/relationships/hyperlink" Target="https://rttf.ru/items/1258" TargetMode="External"/><Relationship Id="rId36" Type="http://schemas.openxmlformats.org/officeDocument/2006/relationships/hyperlink" Target="https://rttf.ru/items/1204" TargetMode="External"/><Relationship Id="rId49" Type="http://schemas.openxmlformats.org/officeDocument/2006/relationships/hyperlink" Target="https://rttf.ru/items/240" TargetMode="External"/><Relationship Id="rId57" Type="http://schemas.openxmlformats.org/officeDocument/2006/relationships/hyperlink" Target="https://rttf.ru/items/1483" TargetMode="External"/><Relationship Id="rId10" Type="http://schemas.openxmlformats.org/officeDocument/2006/relationships/hyperlink" Target="https://rttf.ru/items/1203" TargetMode="External"/><Relationship Id="rId31" Type="http://schemas.openxmlformats.org/officeDocument/2006/relationships/hyperlink" Target="https://rttf.ru/items/814" TargetMode="External"/><Relationship Id="rId44" Type="http://schemas.openxmlformats.org/officeDocument/2006/relationships/hyperlink" Target="https://rttf.ru/items/1273" TargetMode="External"/><Relationship Id="rId52" Type="http://schemas.openxmlformats.org/officeDocument/2006/relationships/hyperlink" Target="https://rttf.ru/items/1835" TargetMode="External"/><Relationship Id="rId60" Type="http://schemas.openxmlformats.org/officeDocument/2006/relationships/hyperlink" Target="https://rttf.ru/items/814" TargetMode="External"/><Relationship Id="rId65" Type="http://schemas.openxmlformats.org/officeDocument/2006/relationships/hyperlink" Target="https://rttf.ru/items/673" TargetMode="External"/><Relationship Id="rId73" Type="http://schemas.openxmlformats.org/officeDocument/2006/relationships/hyperlink" Target="https://rttf.ru/items/814" TargetMode="External"/><Relationship Id="rId78" Type="http://schemas.openxmlformats.org/officeDocument/2006/relationships/hyperlink" Target="https://rttf.ru/items/1199" TargetMode="External"/><Relationship Id="rId81" Type="http://schemas.openxmlformats.org/officeDocument/2006/relationships/hyperlink" Target="https://rttf.ru/items/418" TargetMode="External"/><Relationship Id="rId86" Type="http://schemas.openxmlformats.org/officeDocument/2006/relationships/hyperlink" Target="https://rttf.ru/items/1457"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8.xml.rels><?xml version="1.0" encoding="UTF-8" standalone="yes"?>
<Relationships xmlns="http://schemas.openxmlformats.org/package/2006/relationships"><Relationship Id="rId2" Type="http://schemas.openxmlformats.org/officeDocument/2006/relationships/hyperlink" Target="https://hurricane-pro.ru/nakladki/elitnyy-kitay/dhs-hurricane-3-neo-provincial-37-for-backhandorange-sponge-25/" TargetMode="External"/><Relationship Id="rId1" Type="http://schemas.openxmlformats.org/officeDocument/2006/relationships/hyperlink" Target="https://hurricane-pro.ru/nakladki/dhs/dhs-hurricane-8-33/?sku=1549" TargetMode="External"/></Relationships>
</file>

<file path=xl/worksheets/_rels/sheet49.xml.rels><?xml version="1.0" encoding="UTF-8" standalone="yes"?>
<Relationships xmlns="http://schemas.openxmlformats.org/package/2006/relationships"><Relationship Id="rId3" Type="http://schemas.openxmlformats.org/officeDocument/2006/relationships/hyperlink" Target="https://aliexpress.ru/item/1005002060151541.html?spm=a2g0o.store_pc_promotion.promotePruductList_2003978630483.5&amp;sku_id=12000018594498141" TargetMode="External"/><Relationship Id="rId2" Type="http://schemas.openxmlformats.org/officeDocument/2006/relationships/hyperlink" Target="https://aliexpress.ru/item/10000358074303.html?spm=a2g2w.productlist.list.0.6f50159eBIO51V&amp;sku_id=20000000184434533" TargetMode="External"/><Relationship Id="rId1" Type="http://schemas.openxmlformats.org/officeDocument/2006/relationships/hyperlink" Target="https://aliexpress.ru/item/1005001493919664.html?spm=a2g0o.store_pc_promotion.promotePruductList_2003978630483.1&amp;sku_id=12000016336661884" TargetMode="External"/><Relationship Id="rId4"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2.xml.rels><?xml version="1.0" encoding="UTF-8" standalone="yes"?>
<Relationships xmlns="http://schemas.openxmlformats.org/package/2006/relationships"><Relationship Id="rId8" Type="http://schemas.openxmlformats.org/officeDocument/2006/relationships/hyperlink" Target="https://aliexpress.ru/item/1005002707341386.html?spm=a2g2w.productlist.search_results.18.436f4aa6set5n9&amp;sku_id=12000021799902546" TargetMode="External"/><Relationship Id="rId3" Type="http://schemas.openxmlformats.org/officeDocument/2006/relationships/hyperlink" Target="https://aliexpress.ru/item/4001111927284.html?spm=a2g2w.productlist.search_results.18.436f4aa6set5n9&amp;sku_id=10000014443118803" TargetMode="External"/><Relationship Id="rId7" Type="http://schemas.openxmlformats.org/officeDocument/2006/relationships/hyperlink" Target="https://aliexpress.ru/item/4001112076273.html?spm=a2g2w.productlist.search_results.1.436f4aa6qgCVk0&amp;sku_id=10000014444012059" TargetMode="External"/><Relationship Id="rId2" Type="http://schemas.openxmlformats.org/officeDocument/2006/relationships/hyperlink" Target="https://aliexpress.ru/store/3683004" TargetMode="External"/><Relationship Id="rId1" Type="http://schemas.openxmlformats.org/officeDocument/2006/relationships/hyperlink" Target="https://aliexpress.ru/store/2330006" TargetMode="External"/><Relationship Id="rId6" Type="http://schemas.openxmlformats.org/officeDocument/2006/relationships/hyperlink" Target="https://www.youtube.com/watch?v=HO4hBVvokNA" TargetMode="External"/><Relationship Id="rId11" Type="http://schemas.openxmlformats.org/officeDocument/2006/relationships/printerSettings" Target="../printerSettings/printerSettings29.bin"/><Relationship Id="rId5" Type="http://schemas.openxmlformats.org/officeDocument/2006/relationships/hyperlink" Target="https://aliexpress.ru/item/32967619258.html?spm=a2g2w.productlist.search_results.7.436f4aa6set5n9&amp;sku_id=66627396842" TargetMode="External"/><Relationship Id="rId10" Type="http://schemas.openxmlformats.org/officeDocument/2006/relationships/hyperlink" Target="https://aliexpress.ru/item/1005001971678636.html?spm=a2g2w.productlist.search_results.8.436f4aa6set5n9&amp;sku_id=12000018273452351" TargetMode="External"/><Relationship Id="rId4" Type="http://schemas.openxmlformats.org/officeDocument/2006/relationships/hyperlink" Target="https://aliexpress.ru/item/4001112076273.html?spm=a2g2w.productlist.search_results.1.436f4aa6qgCVk0&amp;sku_id=10000014444012059" TargetMode="External"/><Relationship Id="rId9" Type="http://schemas.openxmlformats.org/officeDocument/2006/relationships/hyperlink" Target="https://aliexpress.ru/item/1005003874133422.html?spm=a2g2w.tracking.rcmdOrderDetails.3.77e44aa6NNdEtp&amp;sku_id=12000027367509593&amp;_ga=2.64419436.299042601.1681679365-2110988949.165740393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N97"/>
  <sheetViews>
    <sheetView workbookViewId="0">
      <selection activeCell="F69" sqref="F69"/>
    </sheetView>
  </sheetViews>
  <sheetFormatPr defaultRowHeight="15"/>
  <cols>
    <col min="1" max="1" width="11.140625" customWidth="1"/>
    <col min="2" max="2" width="11.42578125" customWidth="1"/>
    <col min="3" max="3" width="13.5703125" style="1" bestFit="1" customWidth="1"/>
    <col min="4" max="4" width="13.5703125" customWidth="1"/>
    <col min="5" max="5" width="14.5703125" customWidth="1"/>
    <col min="6" max="6" width="11.7109375" customWidth="1"/>
  </cols>
  <sheetData>
    <row r="1" spans="1:6">
      <c r="A1" s="5" t="s">
        <v>4</v>
      </c>
      <c r="B1" s="6"/>
      <c r="C1" s="7">
        <v>2790</v>
      </c>
      <c r="D1" s="6"/>
      <c r="E1" s="6"/>
      <c r="F1" s="8">
        <v>4650</v>
      </c>
    </row>
    <row r="2" spans="1:6">
      <c r="A2" s="9"/>
      <c r="B2" s="10"/>
      <c r="C2" s="11">
        <v>8500</v>
      </c>
      <c r="D2" s="10"/>
      <c r="E2" s="10"/>
      <c r="F2" s="12">
        <v>5900</v>
      </c>
    </row>
    <row r="3" spans="1:6">
      <c r="A3" s="9"/>
      <c r="B3" s="24">
        <f>SUM(C1:C3)</f>
        <v>17650</v>
      </c>
      <c r="C3" s="11">
        <v>6360</v>
      </c>
      <c r="D3" s="10"/>
      <c r="E3" s="14">
        <f>SUM(F1:F3)</f>
        <v>18970</v>
      </c>
      <c r="F3" s="12">
        <v>8420</v>
      </c>
    </row>
    <row r="4" spans="1:6">
      <c r="A4" s="9"/>
      <c r="B4" s="10"/>
      <c r="C4" s="15">
        <v>8600</v>
      </c>
      <c r="D4" s="10"/>
      <c r="E4" s="10"/>
      <c r="F4" s="16">
        <v>6090</v>
      </c>
    </row>
    <row r="5" spans="1:6">
      <c r="A5" s="9"/>
      <c r="B5" s="10"/>
      <c r="C5" s="15">
        <v>11880</v>
      </c>
      <c r="D5" s="10"/>
      <c r="E5" s="10"/>
      <c r="F5" s="16">
        <v>14550</v>
      </c>
    </row>
    <row r="6" spans="1:6">
      <c r="A6" s="17">
        <f>SUM(B3,B6)</f>
        <v>43050</v>
      </c>
      <c r="B6" s="18">
        <f>SUM(C4:C6)</f>
        <v>25400</v>
      </c>
      <c r="C6" s="15">
        <v>4920</v>
      </c>
      <c r="D6" s="13">
        <f>SUM(E3,E6)</f>
        <v>39160</v>
      </c>
      <c r="E6" s="24">
        <f>SUM(F4:F6)</f>
        <v>20190</v>
      </c>
      <c r="F6" s="16">
        <v>-450</v>
      </c>
    </row>
    <row r="7" spans="1:6">
      <c r="A7" s="9"/>
      <c r="B7" s="10"/>
      <c r="C7" s="18">
        <v>5870</v>
      </c>
      <c r="D7" s="10"/>
      <c r="E7" s="10"/>
      <c r="F7" s="19">
        <v>8010</v>
      </c>
    </row>
    <row r="8" spans="1:6">
      <c r="A8" s="9"/>
      <c r="B8" s="10"/>
      <c r="C8" s="18">
        <v>7590</v>
      </c>
      <c r="D8" s="10"/>
      <c r="E8" s="10"/>
      <c r="F8" s="19">
        <v>5700</v>
      </c>
    </row>
    <row r="9" spans="1:6" ht="15.75" thickBot="1">
      <c r="A9" s="23">
        <f>SUM(C1:C9)</f>
        <v>63330</v>
      </c>
      <c r="B9" s="25">
        <f>SUM(C7:C9)</f>
        <v>20280</v>
      </c>
      <c r="C9" s="21">
        <v>6820</v>
      </c>
      <c r="D9" s="25">
        <f>SUM(F1:F9)</f>
        <v>59690</v>
      </c>
      <c r="E9" s="20">
        <f>SUM(F7:F9)</f>
        <v>20530</v>
      </c>
      <c r="F9" s="22">
        <v>6820</v>
      </c>
    </row>
    <row r="10" spans="1:6">
      <c r="A10" s="5" t="s">
        <v>5</v>
      </c>
      <c r="B10" s="6"/>
      <c r="C10" s="7">
        <v>7620</v>
      </c>
      <c r="D10" s="6"/>
      <c r="E10" s="6"/>
      <c r="F10" s="8">
        <v>3980</v>
      </c>
    </row>
    <row r="11" spans="1:6">
      <c r="A11" s="9"/>
      <c r="B11" s="10"/>
      <c r="C11" s="11">
        <v>13320</v>
      </c>
      <c r="D11" s="10"/>
      <c r="E11" s="10"/>
      <c r="F11" s="12">
        <v>15710</v>
      </c>
    </row>
    <row r="12" spans="1:6">
      <c r="A12" s="9"/>
      <c r="B12" s="24">
        <f>SUM(C10:C12)</f>
        <v>23880</v>
      </c>
      <c r="C12" s="11">
        <v>2940</v>
      </c>
      <c r="D12" s="10"/>
      <c r="E12" s="14">
        <f>SUM(F10:F12)</f>
        <v>25100</v>
      </c>
      <c r="F12" s="12">
        <v>5410</v>
      </c>
    </row>
    <row r="13" spans="1:6">
      <c r="A13" s="9"/>
      <c r="B13" s="10"/>
      <c r="C13" s="15">
        <v>7060</v>
      </c>
      <c r="D13" s="10"/>
      <c r="E13" s="10"/>
      <c r="F13" s="16">
        <v>3950</v>
      </c>
    </row>
    <row r="14" spans="1:6">
      <c r="A14" s="9"/>
      <c r="B14" s="10"/>
      <c r="C14" s="15">
        <v>9770</v>
      </c>
      <c r="D14" s="10"/>
      <c r="E14" s="10"/>
      <c r="F14" s="16">
        <v>13340</v>
      </c>
    </row>
    <row r="15" spans="1:6">
      <c r="A15" s="17">
        <f>SUM(B12,B15)</f>
        <v>51690</v>
      </c>
      <c r="B15" s="18">
        <f>SUM(C13:C15)</f>
        <v>27810</v>
      </c>
      <c r="C15" s="15">
        <v>10980</v>
      </c>
      <c r="D15" s="24">
        <f>SUM(E12,E15)</f>
        <v>48210</v>
      </c>
      <c r="E15" s="24">
        <f>SUM(F13:F15)</f>
        <v>23110</v>
      </c>
      <c r="F15" s="16">
        <v>5820</v>
      </c>
    </row>
    <row r="16" spans="1:6">
      <c r="A16" s="9"/>
      <c r="B16" s="10"/>
      <c r="C16" s="18">
        <v>4850</v>
      </c>
      <c r="D16" s="10"/>
      <c r="E16" s="10"/>
      <c r="F16" s="19">
        <v>4650</v>
      </c>
    </row>
    <row r="17" spans="1:14">
      <c r="A17" s="9"/>
      <c r="B17" s="10"/>
      <c r="C17" s="18">
        <v>10860</v>
      </c>
      <c r="D17" s="10"/>
      <c r="E17" s="10"/>
      <c r="F17" s="19">
        <v>8680</v>
      </c>
    </row>
    <row r="18" spans="1:14" ht="15.75" thickBot="1">
      <c r="A18" s="23">
        <f>SUM(C10:C18)</f>
        <v>77440</v>
      </c>
      <c r="B18" s="20">
        <f>SUM(C16:C18)</f>
        <v>25750</v>
      </c>
      <c r="C18" s="21">
        <v>10040</v>
      </c>
      <c r="D18" s="25">
        <f>SUM(F10:F18)</f>
        <v>71800</v>
      </c>
      <c r="E18" s="25">
        <f>SUM(F16:F18)</f>
        <v>23590</v>
      </c>
      <c r="F18" s="22">
        <v>10260</v>
      </c>
    </row>
    <row r="19" spans="1:14">
      <c r="A19" s="9" t="s">
        <v>6</v>
      </c>
      <c r="B19" s="10"/>
      <c r="C19" s="11">
        <v>14530</v>
      </c>
      <c r="D19" s="10"/>
      <c r="E19" s="10"/>
      <c r="F19" s="12">
        <v>11090</v>
      </c>
    </row>
    <row r="20" spans="1:14">
      <c r="A20" s="9"/>
      <c r="B20" s="10"/>
      <c r="C20" s="11">
        <v>8580</v>
      </c>
      <c r="D20" s="10"/>
      <c r="E20" s="10"/>
      <c r="F20" s="12">
        <v>13480</v>
      </c>
    </row>
    <row r="21" spans="1:14">
      <c r="A21" s="9"/>
      <c r="B21" s="24">
        <f>SUM(C19:C21)</f>
        <v>30620</v>
      </c>
      <c r="C21" s="11">
        <v>7510</v>
      </c>
      <c r="D21" s="10"/>
      <c r="E21" s="14">
        <f>SUM(F19:F21)</f>
        <v>32350</v>
      </c>
      <c r="F21" s="12">
        <v>7780</v>
      </c>
    </row>
    <row r="22" spans="1:14">
      <c r="A22" s="9"/>
      <c r="B22" s="10"/>
      <c r="C22" s="15">
        <v>4310</v>
      </c>
      <c r="D22" s="10"/>
      <c r="E22" s="10"/>
      <c r="F22" s="16">
        <v>1520</v>
      </c>
    </row>
    <row r="23" spans="1:14">
      <c r="A23" s="9"/>
      <c r="B23" s="10"/>
      <c r="C23" s="15">
        <v>5840</v>
      </c>
      <c r="D23" s="10"/>
      <c r="E23" s="10"/>
      <c r="F23" s="16">
        <v>-990</v>
      </c>
    </row>
    <row r="24" spans="1:14">
      <c r="A24" s="17">
        <f>SUM(B21,B24)</f>
        <v>44330</v>
      </c>
      <c r="B24" s="18">
        <f>SUM(C22:C24)</f>
        <v>13710</v>
      </c>
      <c r="C24" s="15">
        <v>3560</v>
      </c>
      <c r="D24" s="24">
        <f>SUM(E21,E24)</f>
        <v>34920</v>
      </c>
      <c r="E24" s="24">
        <f>SUM(F22:F24)</f>
        <v>2570</v>
      </c>
      <c r="F24" s="16">
        <v>2040</v>
      </c>
    </row>
    <row r="25" spans="1:14">
      <c r="A25" s="9"/>
      <c r="B25" s="10"/>
      <c r="C25" s="18">
        <v>10570</v>
      </c>
      <c r="D25" s="10"/>
      <c r="E25" s="10"/>
      <c r="F25" s="19">
        <v>10220</v>
      </c>
    </row>
    <row r="26" spans="1:14">
      <c r="A26" s="9"/>
      <c r="B26" s="10"/>
      <c r="C26" s="18">
        <v>7270</v>
      </c>
      <c r="D26" s="10"/>
      <c r="E26" s="10"/>
      <c r="F26" s="19">
        <v>720</v>
      </c>
    </row>
    <row r="27" spans="1:14" ht="15.75" thickBot="1">
      <c r="A27" s="17">
        <f>SUM(C19:C27)</f>
        <v>62840</v>
      </c>
      <c r="B27" s="11">
        <f>SUM(C25:C27)</f>
        <v>18510</v>
      </c>
      <c r="C27" s="18">
        <v>670</v>
      </c>
      <c r="D27" s="24">
        <f>SUM(F19:F27)</f>
        <v>51240</v>
      </c>
      <c r="E27" s="24">
        <f>SUM(F25:F27)</f>
        <v>16320</v>
      </c>
      <c r="F27" s="19">
        <v>5380</v>
      </c>
    </row>
    <row r="28" spans="1:14">
      <c r="A28" s="5" t="s">
        <v>7</v>
      </c>
      <c r="B28" s="6"/>
      <c r="C28" s="7">
        <v>7760</v>
      </c>
      <c r="D28" s="6"/>
      <c r="E28" s="6"/>
      <c r="F28" s="8">
        <v>1820</v>
      </c>
    </row>
    <row r="29" spans="1:14">
      <c r="A29" s="9"/>
      <c r="B29" s="10"/>
      <c r="C29" s="11">
        <v>1370</v>
      </c>
      <c r="D29" s="10"/>
      <c r="E29" s="10"/>
      <c r="F29" s="12">
        <v>8490</v>
      </c>
    </row>
    <row r="30" spans="1:14">
      <c r="A30" s="9"/>
      <c r="B30" s="24">
        <f>SUM(C28:C30)</f>
        <v>12050</v>
      </c>
      <c r="C30" s="11">
        <v>2920</v>
      </c>
      <c r="D30" s="10"/>
      <c r="E30" s="14">
        <f>SUM(F28:F30)</f>
        <v>16000</v>
      </c>
      <c r="F30" s="12">
        <v>5690</v>
      </c>
    </row>
    <row r="31" spans="1:14">
      <c r="A31" s="9"/>
      <c r="B31" s="10"/>
      <c r="C31" s="15">
        <v>9920</v>
      </c>
      <c r="D31" s="10"/>
      <c r="E31" s="10"/>
      <c r="F31" s="16">
        <v>6770</v>
      </c>
      <c r="N31" s="2"/>
    </row>
    <row r="32" spans="1:14">
      <c r="A32" s="9"/>
      <c r="B32" s="10"/>
      <c r="C32" s="15">
        <v>-1810</v>
      </c>
      <c r="D32" s="10"/>
      <c r="E32" s="10"/>
      <c r="F32" s="16">
        <v>500</v>
      </c>
      <c r="N32" s="2"/>
    </row>
    <row r="33" spans="1:14">
      <c r="A33" s="17">
        <f>SUM(B30,B33)</f>
        <v>17210</v>
      </c>
      <c r="B33" s="18">
        <f>SUM(C31:C33)</f>
        <v>5160</v>
      </c>
      <c r="C33" s="15">
        <v>-2950</v>
      </c>
      <c r="D33" s="24">
        <f>SUM(E30,E33)</f>
        <v>3730</v>
      </c>
      <c r="E33" s="24">
        <f>SUM(F31:F33)</f>
        <v>-12270</v>
      </c>
      <c r="F33" s="16">
        <v>-19540</v>
      </c>
      <c r="N33" s="3"/>
    </row>
    <row r="34" spans="1:14">
      <c r="A34" s="9"/>
      <c r="B34" s="10"/>
      <c r="C34" s="18">
        <v>4310</v>
      </c>
      <c r="D34" s="10"/>
      <c r="E34" s="10"/>
      <c r="F34" s="19">
        <v>-1540</v>
      </c>
      <c r="N34" s="3"/>
    </row>
    <row r="35" spans="1:14">
      <c r="A35" s="9"/>
      <c r="B35" s="10"/>
      <c r="C35" s="18">
        <v>-5630</v>
      </c>
      <c r="D35" s="10"/>
      <c r="E35" s="10"/>
      <c r="F35" s="19">
        <v>-17110</v>
      </c>
      <c r="N35" s="3"/>
    </row>
    <row r="36" spans="1:14" ht="15.75" thickBot="1">
      <c r="A36" s="23">
        <f>SUM(C28:C36)</f>
        <v>580</v>
      </c>
      <c r="B36" s="20">
        <f>SUM(C34:C36)</f>
        <v>-16630</v>
      </c>
      <c r="C36" s="21">
        <v>-15310</v>
      </c>
      <c r="D36" s="25">
        <f>SUM(F28:F36)</f>
        <v>-20930</v>
      </c>
      <c r="E36" s="25">
        <f>SUM(F34:F36)</f>
        <v>-24660</v>
      </c>
      <c r="F36" s="22">
        <v>-6010</v>
      </c>
      <c r="N36" s="4"/>
    </row>
    <row r="37" spans="1:14">
      <c r="A37" s="5" t="s">
        <v>8</v>
      </c>
      <c r="B37" s="6"/>
      <c r="C37" s="7">
        <v>-1870</v>
      </c>
      <c r="D37" s="6"/>
      <c r="E37" s="6"/>
      <c r="F37" s="8">
        <v>7550</v>
      </c>
      <c r="N37" s="4"/>
    </row>
    <row r="38" spans="1:14">
      <c r="A38" s="9"/>
      <c r="B38" s="10"/>
      <c r="C38" s="11">
        <v>8680</v>
      </c>
      <c r="D38" s="10"/>
      <c r="E38" s="10"/>
      <c r="F38" s="12">
        <v>17880</v>
      </c>
      <c r="N38" s="4"/>
    </row>
    <row r="39" spans="1:14">
      <c r="A39" s="9"/>
      <c r="B39" s="24">
        <f>SUM(C37:C39)</f>
        <v>2020</v>
      </c>
      <c r="C39" s="11">
        <v>-4790</v>
      </c>
      <c r="D39" s="10"/>
      <c r="E39" s="14">
        <f>SUM(F37:F39)</f>
        <v>21380</v>
      </c>
      <c r="F39" s="12">
        <v>-4050</v>
      </c>
    </row>
    <row r="40" spans="1:14">
      <c r="A40" s="9"/>
      <c r="B40" s="10"/>
      <c r="C40" s="15">
        <v>4100</v>
      </c>
      <c r="D40" s="10"/>
      <c r="E40" s="10"/>
      <c r="F40" s="16">
        <v>3540</v>
      </c>
      <c r="J40" s="2"/>
    </row>
    <row r="41" spans="1:14">
      <c r="A41" s="9"/>
      <c r="B41" s="10"/>
      <c r="C41" s="15">
        <v>7220</v>
      </c>
      <c r="D41" s="10"/>
      <c r="E41" s="10"/>
      <c r="F41" s="16">
        <v>-1280</v>
      </c>
      <c r="J41" s="2"/>
    </row>
    <row r="42" spans="1:14">
      <c r="A42" s="17">
        <f>SUM(B39,B42)</f>
        <v>22340</v>
      </c>
      <c r="B42" s="18">
        <f>SUM(C40:C42)</f>
        <v>20320</v>
      </c>
      <c r="C42" s="15">
        <v>9000</v>
      </c>
      <c r="D42" s="24">
        <f>SUM(E39,E42)</f>
        <v>13240</v>
      </c>
      <c r="E42" s="24">
        <f>SUM(F40:F42)</f>
        <v>-8140</v>
      </c>
      <c r="F42" s="16">
        <v>-10400</v>
      </c>
      <c r="J42" s="2"/>
    </row>
    <row r="43" spans="1:14">
      <c r="A43" s="9"/>
      <c r="B43" s="10"/>
      <c r="C43" s="18">
        <v>-2330</v>
      </c>
      <c r="D43" s="10"/>
      <c r="E43" s="10"/>
      <c r="F43" s="19">
        <v>-9290</v>
      </c>
      <c r="J43" s="3"/>
    </row>
    <row r="44" spans="1:14">
      <c r="A44" s="9"/>
      <c r="B44" s="10"/>
      <c r="C44" s="18">
        <v>-13200</v>
      </c>
      <c r="D44" s="10"/>
      <c r="E44" s="10"/>
      <c r="F44" s="19">
        <v>-3870</v>
      </c>
      <c r="J44" s="3"/>
    </row>
    <row r="45" spans="1:14" ht="15.75" thickBot="1">
      <c r="A45" s="23">
        <f>SUM(C37:C45)</f>
        <v>-140</v>
      </c>
      <c r="B45" s="20">
        <f>SUM(C43:C45)</f>
        <v>-22480</v>
      </c>
      <c r="C45" s="21">
        <v>-6950</v>
      </c>
      <c r="D45" s="25">
        <f>SUM(F37:F45)</f>
        <v>-18790</v>
      </c>
      <c r="E45" s="25">
        <f>SUM(F43:F45)</f>
        <v>-32030</v>
      </c>
      <c r="F45" s="22">
        <v>-18870</v>
      </c>
      <c r="J45" s="3"/>
    </row>
    <row r="46" spans="1:14">
      <c r="A46" s="5" t="s">
        <v>9</v>
      </c>
      <c r="B46" s="6"/>
      <c r="C46" s="7">
        <v>13030</v>
      </c>
      <c r="D46" s="6"/>
      <c r="E46" s="6"/>
      <c r="F46" s="8">
        <v>17020</v>
      </c>
      <c r="J46" s="4"/>
    </row>
    <row r="47" spans="1:14">
      <c r="A47" s="9"/>
      <c r="B47" s="10"/>
      <c r="C47" s="11">
        <v>1510</v>
      </c>
      <c r="D47" s="10"/>
      <c r="E47" s="10"/>
      <c r="F47" s="12">
        <v>-2900</v>
      </c>
      <c r="J47" s="4"/>
    </row>
    <row r="48" spans="1:14">
      <c r="A48" s="9"/>
      <c r="B48" s="14">
        <f>SUM(C46:C48)</f>
        <v>7560</v>
      </c>
      <c r="C48" s="11">
        <v>-6980</v>
      </c>
      <c r="D48" s="10"/>
      <c r="E48" s="24">
        <f>SUM(F46:F48)</f>
        <v>-350</v>
      </c>
      <c r="F48" s="12">
        <v>-14470</v>
      </c>
      <c r="J48" s="4"/>
    </row>
    <row r="49" spans="1:6">
      <c r="A49" s="9"/>
      <c r="B49" s="10"/>
      <c r="C49" s="15">
        <v>-8320</v>
      </c>
      <c r="D49" s="10"/>
      <c r="E49" s="10"/>
      <c r="F49" s="16">
        <v>-8290</v>
      </c>
    </row>
    <row r="50" spans="1:6">
      <c r="A50" s="9"/>
      <c r="B50" s="10"/>
      <c r="C50" s="15">
        <v>6120</v>
      </c>
      <c r="D50" s="10"/>
      <c r="E50" s="10"/>
      <c r="F50" s="16">
        <v>-9260</v>
      </c>
    </row>
    <row r="51" spans="1:6">
      <c r="A51" s="17">
        <f>SUM(B48,B51)</f>
        <v>2650</v>
      </c>
      <c r="B51" s="18">
        <f>SUM(C49:C51)</f>
        <v>-4910</v>
      </c>
      <c r="C51" s="15">
        <v>-2710</v>
      </c>
      <c r="D51" s="24">
        <f>SUM(E48,E51)</f>
        <v>-24690</v>
      </c>
      <c r="E51" s="24">
        <f>SUM(F49:F51)</f>
        <v>-24340</v>
      </c>
      <c r="F51" s="16">
        <v>-6790</v>
      </c>
    </row>
    <row r="52" spans="1:6">
      <c r="A52" s="9"/>
      <c r="B52" s="10"/>
      <c r="C52" s="18">
        <v>-14560</v>
      </c>
      <c r="D52" s="10"/>
      <c r="E52" s="10"/>
      <c r="F52" s="19">
        <v>-5640</v>
      </c>
    </row>
    <row r="53" spans="1:6">
      <c r="A53" s="9"/>
      <c r="B53" s="10"/>
      <c r="C53" s="18">
        <v>-14170</v>
      </c>
      <c r="D53" s="10"/>
      <c r="E53" s="10"/>
      <c r="F53" s="19">
        <v>-5890</v>
      </c>
    </row>
    <row r="54" spans="1:6" ht="15.75" thickBot="1">
      <c r="A54" s="23">
        <f>SUM(C46:C54)</f>
        <v>-36670</v>
      </c>
      <c r="B54" s="25">
        <f>SUM(C52:C54)</f>
        <v>-39320</v>
      </c>
      <c r="C54" s="21">
        <v>-10590</v>
      </c>
      <c r="D54" s="25">
        <f>SUM(F46:F54)</f>
        <v>-48920</v>
      </c>
      <c r="E54" s="20">
        <f>SUM(F52:F54)</f>
        <v>-24230</v>
      </c>
      <c r="F54" s="22">
        <v>-12700</v>
      </c>
    </row>
    <row r="55" spans="1:6">
      <c r="A55" s="5" t="s">
        <v>10</v>
      </c>
      <c r="B55" s="6"/>
      <c r="C55" s="7">
        <v>5230</v>
      </c>
      <c r="D55" s="6"/>
      <c r="E55" s="6"/>
      <c r="F55" s="8">
        <v>4320</v>
      </c>
    </row>
    <row r="56" spans="1:6">
      <c r="A56" s="9"/>
      <c r="B56" s="10"/>
      <c r="C56" s="11">
        <v>11170</v>
      </c>
      <c r="D56" s="10"/>
      <c r="E56" s="10"/>
      <c r="F56" s="12">
        <v>9680</v>
      </c>
    </row>
    <row r="57" spans="1:6">
      <c r="A57" s="9"/>
      <c r="B57" s="13">
        <f>SUM(C55:C57)</f>
        <v>19930</v>
      </c>
      <c r="C57" s="11">
        <v>3530</v>
      </c>
      <c r="D57" s="10"/>
      <c r="E57" s="14">
        <f>SUM(F55:F57)</f>
        <v>27400</v>
      </c>
      <c r="F57" s="12">
        <v>13400</v>
      </c>
    </row>
    <row r="58" spans="1:6">
      <c r="A58" s="9"/>
      <c r="B58" s="10"/>
      <c r="C58" s="15">
        <v>4880</v>
      </c>
      <c r="D58" s="10"/>
      <c r="E58" s="10"/>
      <c r="F58" s="16">
        <v>3200</v>
      </c>
    </row>
    <row r="59" spans="1:6">
      <c r="A59" s="9"/>
      <c r="B59" s="10"/>
      <c r="C59" s="15">
        <v>4520</v>
      </c>
      <c r="D59" s="10"/>
      <c r="E59" s="10"/>
      <c r="F59" s="16">
        <v>2770</v>
      </c>
    </row>
    <row r="60" spans="1:6">
      <c r="A60" s="17">
        <f>SUM(B57,B60)</f>
        <v>42760</v>
      </c>
      <c r="B60" s="18">
        <f>SUM(C58:C60)</f>
        <v>22830</v>
      </c>
      <c r="C60" s="15">
        <v>13430</v>
      </c>
      <c r="D60" s="24">
        <f>SUM(E57,E60)</f>
        <v>33280</v>
      </c>
      <c r="E60" s="24">
        <f>SUM(F58:F60)</f>
        <v>5880</v>
      </c>
      <c r="F60" s="16">
        <v>-90</v>
      </c>
    </row>
    <row r="61" spans="1:6">
      <c r="A61" s="9"/>
      <c r="B61" s="10"/>
      <c r="C61" s="18">
        <v>4250</v>
      </c>
      <c r="D61" s="10"/>
      <c r="E61" s="10"/>
      <c r="F61" s="19">
        <v>-980</v>
      </c>
    </row>
    <row r="62" spans="1:6">
      <c r="A62" s="9"/>
      <c r="B62" s="10"/>
      <c r="C62" s="18">
        <v>-9720</v>
      </c>
      <c r="D62" s="10"/>
      <c r="E62" s="10"/>
      <c r="F62" s="19">
        <v>-6870</v>
      </c>
    </row>
    <row r="63" spans="1:6" ht="15.75" thickBot="1">
      <c r="A63" s="23">
        <f>SUM(C55:C63)</f>
        <v>40330</v>
      </c>
      <c r="B63" s="20">
        <f>SUM(C61:C63)</f>
        <v>-2430</v>
      </c>
      <c r="C63" s="21">
        <v>3040</v>
      </c>
      <c r="D63" s="25">
        <f>SUM(F55:F63)</f>
        <v>24940</v>
      </c>
      <c r="E63" s="25">
        <f>SUM(F61:F63)</f>
        <v>-8340</v>
      </c>
      <c r="F63" s="22">
        <v>-490</v>
      </c>
    </row>
    <row r="64" spans="1:6">
      <c r="A64" s="5" t="s">
        <v>11</v>
      </c>
      <c r="B64" s="6"/>
      <c r="C64" s="7">
        <v>14250</v>
      </c>
      <c r="D64" s="6"/>
      <c r="E64" s="6"/>
      <c r="F64" s="8">
        <v>7270</v>
      </c>
    </row>
    <row r="65" spans="1:6">
      <c r="A65" s="9"/>
      <c r="B65" s="10"/>
      <c r="C65" s="11">
        <v>5180</v>
      </c>
      <c r="D65" s="10"/>
      <c r="E65" s="10"/>
      <c r="F65" s="12">
        <v>4070</v>
      </c>
    </row>
    <row r="66" spans="1:6">
      <c r="A66" s="9"/>
      <c r="B66" s="14">
        <f>SUM(C64:C66)</f>
        <v>24850</v>
      </c>
      <c r="C66" s="11">
        <v>5420</v>
      </c>
      <c r="D66" s="10"/>
      <c r="E66" s="24">
        <f>SUM(F64:F66)</f>
        <v>18430</v>
      </c>
      <c r="F66" s="12">
        <v>7090</v>
      </c>
    </row>
    <row r="67" spans="1:6">
      <c r="A67" s="9"/>
      <c r="B67" s="10"/>
      <c r="C67" s="15">
        <v>3580</v>
      </c>
      <c r="D67" s="10"/>
      <c r="E67" s="10"/>
      <c r="F67" s="16">
        <v>1020</v>
      </c>
    </row>
    <row r="68" spans="1:6">
      <c r="A68" s="9"/>
      <c r="B68" s="10"/>
      <c r="C68" s="15">
        <v>-1250</v>
      </c>
      <c r="D68" s="10"/>
      <c r="E68" s="10"/>
      <c r="F68" s="16">
        <v>-2370</v>
      </c>
    </row>
    <row r="69" spans="1:6">
      <c r="A69" s="17">
        <f>SUM(B66,B69)</f>
        <v>32760</v>
      </c>
      <c r="B69" s="18">
        <f>SUM(C67:C69)</f>
        <v>7910</v>
      </c>
      <c r="C69" s="15">
        <v>5580</v>
      </c>
      <c r="D69" s="24">
        <f>SUM(E66,E69)</f>
        <v>18580</v>
      </c>
      <c r="E69" s="24">
        <f>SUM(F67:F69)</f>
        <v>150</v>
      </c>
      <c r="F69" s="16">
        <v>1500</v>
      </c>
    </row>
    <row r="70" spans="1:6">
      <c r="A70" s="9"/>
      <c r="B70" s="10"/>
      <c r="C70" s="18">
        <v>-280</v>
      </c>
      <c r="D70" s="10"/>
      <c r="E70" s="10"/>
      <c r="F70" s="19">
        <v>-3530</v>
      </c>
    </row>
    <row r="71" spans="1:6">
      <c r="A71" s="9"/>
      <c r="B71" s="10"/>
      <c r="C71" s="18">
        <v>780</v>
      </c>
      <c r="D71" s="10"/>
      <c r="E71" s="10"/>
      <c r="F71" s="19">
        <v>-5330</v>
      </c>
    </row>
    <row r="72" spans="1:6" ht="15.75" thickBot="1">
      <c r="A72" s="23">
        <f>SUM(C64:C72)</f>
        <v>35340</v>
      </c>
      <c r="B72" s="20">
        <f>SUM(C70:C72)</f>
        <v>2580</v>
      </c>
      <c r="C72" s="21">
        <v>2080</v>
      </c>
      <c r="D72" s="25">
        <f>SUM(F64:F72)</f>
        <v>8740</v>
      </c>
      <c r="E72" s="25">
        <f>SUM(F70:F72)</f>
        <v>-9840</v>
      </c>
      <c r="F72" s="22">
        <v>-980</v>
      </c>
    </row>
    <row r="73" spans="1:6">
      <c r="A73" s="9" t="s">
        <v>12</v>
      </c>
      <c r="B73" s="10"/>
      <c r="C73" s="11">
        <v>5690</v>
      </c>
      <c r="D73" s="10"/>
      <c r="E73" s="10"/>
      <c r="F73" s="12">
        <v>3280</v>
      </c>
    </row>
    <row r="74" spans="1:6">
      <c r="A74" s="9"/>
      <c r="B74" s="10"/>
      <c r="C74" s="11">
        <v>5680</v>
      </c>
      <c r="D74" s="10"/>
      <c r="E74" s="10"/>
      <c r="F74" s="12">
        <v>6240</v>
      </c>
    </row>
    <row r="75" spans="1:6">
      <c r="A75" s="9"/>
      <c r="B75" s="14">
        <f>SUM(C73:C75)</f>
        <v>17750</v>
      </c>
      <c r="C75" s="11">
        <v>6380</v>
      </c>
      <c r="D75" s="10"/>
      <c r="E75" s="24">
        <f>SUM(F73:F75)</f>
        <v>15570</v>
      </c>
      <c r="F75" s="12">
        <v>6050</v>
      </c>
    </row>
    <row r="76" spans="1:6">
      <c r="A76" s="9"/>
      <c r="B76" s="10"/>
      <c r="C76" s="15">
        <v>9640</v>
      </c>
      <c r="D76" s="10"/>
      <c r="E76" s="10"/>
      <c r="F76" s="16">
        <v>7380</v>
      </c>
    </row>
    <row r="77" spans="1:6">
      <c r="A77" s="9"/>
      <c r="B77" s="10"/>
      <c r="C77" s="15">
        <v>8870</v>
      </c>
      <c r="D77" s="10"/>
      <c r="E77" s="10"/>
      <c r="F77" s="16">
        <v>4250</v>
      </c>
    </row>
    <row r="78" spans="1:6">
      <c r="A78" s="17">
        <f>SUM(B75,B78)</f>
        <v>35920</v>
      </c>
      <c r="B78" s="18">
        <f>SUM(C76:C78)</f>
        <v>18170</v>
      </c>
      <c r="C78" s="15">
        <v>-340</v>
      </c>
      <c r="D78" s="24">
        <f>SUM(E75,E78)</f>
        <v>25080</v>
      </c>
      <c r="E78" s="24">
        <f>SUM(F76:F78)</f>
        <v>9510</v>
      </c>
      <c r="F78" s="16">
        <v>-2120</v>
      </c>
    </row>
    <row r="79" spans="1:6">
      <c r="A79" s="9"/>
      <c r="B79" s="10"/>
      <c r="C79" s="18">
        <v>-3530</v>
      </c>
      <c r="D79" s="10"/>
      <c r="E79" s="10"/>
      <c r="F79" s="19">
        <v>-1560</v>
      </c>
    </row>
    <row r="80" spans="1:6">
      <c r="A80" s="9"/>
      <c r="B80" s="10"/>
      <c r="C80" s="18">
        <v>3780</v>
      </c>
      <c r="D80" s="10"/>
      <c r="E80" s="10"/>
      <c r="F80" s="19">
        <v>-2430</v>
      </c>
    </row>
    <row r="81" spans="1:6" ht="15.75" thickBot="1">
      <c r="A81" s="23">
        <f>SUM(C73:C81)</f>
        <v>35230</v>
      </c>
      <c r="B81" s="20">
        <f>SUM(C79:C81)</f>
        <v>-690</v>
      </c>
      <c r="C81" s="21">
        <v>-940</v>
      </c>
      <c r="D81" s="25">
        <f>SUM(F73:F81)</f>
        <v>17980</v>
      </c>
      <c r="E81" s="25">
        <f>SUM(F79:F81)</f>
        <v>-7100</v>
      </c>
      <c r="F81" s="22">
        <v>-3110</v>
      </c>
    </row>
    <row r="84" spans="1:6">
      <c r="B84" t="s">
        <v>0</v>
      </c>
      <c r="C84" s="1">
        <f>SUM(C1:C81)</f>
        <v>278280</v>
      </c>
      <c r="F84" s="1">
        <f>SUM(F1:F81)</f>
        <v>145750</v>
      </c>
    </row>
    <row r="85" spans="1:6">
      <c r="B85" t="s">
        <v>1</v>
      </c>
      <c r="C85" s="1">
        <f>AVERAGE(C1:C81)</f>
        <v>3435.5555555555557</v>
      </c>
      <c r="F85" s="1">
        <f>AVERAGE(F1:F81)</f>
        <v>1799.3827160493827</v>
      </c>
    </row>
    <row r="86" spans="1:6">
      <c r="B86" t="s">
        <v>2</v>
      </c>
      <c r="C86" s="1">
        <f>STDEV(C1:C81)</f>
        <v>6888.9944839577274</v>
      </c>
      <c r="F86" s="1">
        <f>STDEV(F1:F81)</f>
        <v>7882.6710805536932</v>
      </c>
    </row>
    <row r="87" spans="1:6">
      <c r="B87" t="s">
        <v>3</v>
      </c>
      <c r="C87" s="1">
        <f>C85*81</f>
        <v>278280</v>
      </c>
      <c r="F87" s="1">
        <f>F85*81</f>
        <v>145750</v>
      </c>
    </row>
    <row r="89" spans="1:6">
      <c r="B89" s="1">
        <f>SUM(B3,B12,B21,B30,B39,B48,B57,B66,B75)</f>
        <v>156310</v>
      </c>
      <c r="E89" s="1">
        <f>SUM(E3,E12,E21,E30,E39,E48,E57,E66,E75)</f>
        <v>174850</v>
      </c>
    </row>
    <row r="90" spans="1:6">
      <c r="B90" s="1">
        <f>SUM(B6,B15,B24,B33,B42,B51,B60,B69,B78)</f>
        <v>136400</v>
      </c>
      <c r="E90" s="1">
        <f>SUM(E6,E15,E24,E33,E42,E51,E60,E69,E78)</f>
        <v>16660</v>
      </c>
    </row>
    <row r="91" spans="1:6">
      <c r="A91" s="1">
        <f>SUM(B89:B91)</f>
        <v>278280</v>
      </c>
      <c r="B91" s="1">
        <f>SUM(B9,B18,B27,B36,B45,B54,B63,B72,B81)</f>
        <v>-14430</v>
      </c>
      <c r="D91" s="1">
        <f>SUM(E89:E91)</f>
        <v>145750</v>
      </c>
      <c r="E91" s="1">
        <f>SUM(E9,E18,E27,E36,E45,E54,E63,E72,E81)</f>
        <v>-45760</v>
      </c>
    </row>
    <row r="94" spans="1:6">
      <c r="A94">
        <v>100</v>
      </c>
      <c r="C94" s="1">
        <f>SUM(A9,A36,A63)</f>
        <v>104240</v>
      </c>
      <c r="F94" s="1">
        <f>SUM(D9,D36,D63)</f>
        <v>63700</v>
      </c>
    </row>
    <row r="95" spans="1:6">
      <c r="A95">
        <v>125</v>
      </c>
      <c r="C95" s="1">
        <f>SUM(A18,A45,A72)</f>
        <v>112640</v>
      </c>
      <c r="F95" s="1">
        <f>SUM(D18,D45,D72)</f>
        <v>61750</v>
      </c>
    </row>
    <row r="96" spans="1:6">
      <c r="A96">
        <v>150</v>
      </c>
      <c r="C96" s="1">
        <f>SUM(A54,A27,A81)</f>
        <v>61400</v>
      </c>
      <c r="F96" s="1">
        <f>SUM(D54,D27,D81)</f>
        <v>20300</v>
      </c>
    </row>
    <row r="97" spans="3:6">
      <c r="C97" s="1">
        <f>SUM(C94:C96)</f>
        <v>278280</v>
      </c>
      <c r="F97" s="1">
        <f>SUM(F94:F96)</f>
        <v>145750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C2:F9"/>
  <sheetViews>
    <sheetView workbookViewId="0">
      <selection activeCell="F8" sqref="F8"/>
    </sheetView>
  </sheetViews>
  <sheetFormatPr defaultRowHeight="15"/>
  <cols>
    <col min="3" max="3" width="18.28515625" customWidth="1"/>
    <col min="4" max="5" width="24.42578125" customWidth="1"/>
    <col min="6" max="6" width="22.28515625" customWidth="1"/>
  </cols>
  <sheetData>
    <row r="2" spans="3:6">
      <c r="C2" t="s">
        <v>51</v>
      </c>
      <c r="D2" t="s">
        <v>63</v>
      </c>
      <c r="E2" t="s">
        <v>60</v>
      </c>
      <c r="F2" t="s">
        <v>52</v>
      </c>
    </row>
    <row r="3" spans="3:6">
      <c r="D3" t="s">
        <v>61</v>
      </c>
      <c r="E3" t="s">
        <v>62</v>
      </c>
      <c r="F3" t="s">
        <v>53</v>
      </c>
    </row>
    <row r="4" spans="3:6">
      <c r="D4" t="s">
        <v>46</v>
      </c>
      <c r="E4" t="s">
        <v>54</v>
      </c>
      <c r="F4" t="s">
        <v>54</v>
      </c>
    </row>
    <row r="5" spans="3:6">
      <c r="D5" t="s">
        <v>47</v>
      </c>
      <c r="E5" t="s">
        <v>64</v>
      </c>
      <c r="F5" t="s">
        <v>55</v>
      </c>
    </row>
    <row r="6" spans="3:6">
      <c r="D6" t="s">
        <v>48</v>
      </c>
      <c r="F6" t="s">
        <v>56</v>
      </c>
    </row>
    <row r="7" spans="3:6">
      <c r="D7" t="s">
        <v>49</v>
      </c>
      <c r="F7" t="s">
        <v>57</v>
      </c>
    </row>
    <row r="8" spans="3:6">
      <c r="D8" t="s">
        <v>50</v>
      </c>
      <c r="F8" t="s">
        <v>58</v>
      </c>
    </row>
    <row r="9" spans="3:6">
      <c r="F9" t="s">
        <v>59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BO146"/>
  <sheetViews>
    <sheetView workbookViewId="0">
      <selection activeCell="BA62" sqref="BA62:BG118"/>
    </sheetView>
  </sheetViews>
  <sheetFormatPr defaultRowHeight="15"/>
  <cols>
    <col min="2" max="2" width="14.7109375" customWidth="1"/>
    <col min="3" max="3" width="11.140625" customWidth="1"/>
    <col min="4" max="4" width="11.28515625" customWidth="1"/>
    <col min="5" max="5" width="7.7109375" customWidth="1"/>
    <col min="6" max="6" width="11.85546875" customWidth="1"/>
    <col min="7" max="7" width="12.140625" customWidth="1"/>
    <col min="8" max="8" width="12" customWidth="1"/>
    <col min="9" max="9" width="11.28515625" customWidth="1"/>
    <col min="10" max="10" width="10.7109375" customWidth="1"/>
    <col min="11" max="11" width="11" customWidth="1"/>
    <col min="12" max="12" width="11.28515625" customWidth="1"/>
    <col min="13" max="13" width="11" customWidth="1"/>
    <col min="14" max="14" width="10.5703125" customWidth="1"/>
    <col min="15" max="15" width="11.85546875" customWidth="1"/>
    <col min="16" max="16" width="12" customWidth="1"/>
    <col min="17" max="17" width="11.85546875" customWidth="1"/>
    <col min="18" max="18" width="10.7109375" customWidth="1"/>
    <col min="19" max="19" width="10.5703125" customWidth="1"/>
    <col min="24" max="24" width="11.42578125" customWidth="1"/>
    <col min="25" max="25" width="11.5703125" customWidth="1"/>
    <col min="33" max="33" width="13" customWidth="1"/>
    <col min="34" max="34" width="11.5703125" customWidth="1"/>
    <col min="40" max="40" width="7.7109375" customWidth="1"/>
    <col min="42" max="42" width="12.7109375" customWidth="1"/>
    <col min="43" max="43" width="12.28515625" customWidth="1"/>
    <col min="46" max="46" width="10.140625" customWidth="1"/>
    <col min="49" max="49" width="11" customWidth="1"/>
    <col min="50" max="50" width="11.28515625" customWidth="1"/>
    <col min="51" max="51" width="11.140625" customWidth="1"/>
    <col min="54" max="54" width="12.28515625" customWidth="1"/>
    <col min="55" max="55" width="10.28515625" customWidth="1"/>
    <col min="57" max="58" width="11" customWidth="1"/>
    <col min="59" max="59" width="11.7109375" customWidth="1"/>
    <col min="66" max="66" width="11" customWidth="1"/>
    <col min="67" max="67" width="11.5703125" customWidth="1"/>
  </cols>
  <sheetData>
    <row r="1" spans="2:19" ht="15.75" thickBot="1"/>
    <row r="2" spans="2:19" ht="15.75" thickBot="1">
      <c r="B2" s="130"/>
      <c r="C2" s="689" t="s">
        <v>77</v>
      </c>
      <c r="D2" s="690"/>
      <c r="E2" s="690"/>
      <c r="F2" s="690"/>
      <c r="G2" s="691"/>
      <c r="H2" s="686" t="s">
        <v>78</v>
      </c>
      <c r="I2" s="687"/>
      <c r="J2" s="687"/>
      <c r="K2" s="687"/>
      <c r="L2" s="688"/>
    </row>
    <row r="3" spans="2:19" ht="15.75" thickBot="1">
      <c r="B3" s="219" t="s">
        <v>80</v>
      </c>
      <c r="C3" s="219" t="s">
        <v>73</v>
      </c>
      <c r="D3" s="219" t="s">
        <v>71</v>
      </c>
      <c r="E3" s="219" t="s">
        <v>74</v>
      </c>
      <c r="F3" s="219" t="s">
        <v>97</v>
      </c>
      <c r="G3" s="219" t="s">
        <v>96</v>
      </c>
      <c r="H3" s="219" t="s">
        <v>68</v>
      </c>
      <c r="I3" s="219" t="s">
        <v>71</v>
      </c>
      <c r="J3" s="219" t="s">
        <v>74</v>
      </c>
      <c r="K3" s="219" t="s">
        <v>97</v>
      </c>
      <c r="L3" s="219" t="s">
        <v>96</v>
      </c>
    </row>
    <row r="4" spans="2:19">
      <c r="B4" t="s">
        <v>65</v>
      </c>
      <c r="C4" s="218">
        <v>0.89</v>
      </c>
      <c r="D4" s="218">
        <v>0.45</v>
      </c>
      <c r="E4" s="218">
        <f>C4+D4</f>
        <v>1.34</v>
      </c>
      <c r="F4" s="218">
        <f>E4</f>
        <v>1.34</v>
      </c>
      <c r="G4" s="218">
        <f>2*E4</f>
        <v>2.68</v>
      </c>
      <c r="H4" s="217">
        <f>C4/2</f>
        <v>0.44500000000000001</v>
      </c>
      <c r="I4" s="216">
        <v>0.45</v>
      </c>
      <c r="J4" s="217">
        <f>H4+I4</f>
        <v>0.89500000000000002</v>
      </c>
      <c r="K4" s="217">
        <f>J4</f>
        <v>0.89500000000000002</v>
      </c>
      <c r="L4" s="217">
        <f>2*J4</f>
        <v>1.79</v>
      </c>
      <c r="M4">
        <v>6308</v>
      </c>
      <c r="N4">
        <f>M4/L4</f>
        <v>3524.0223463687148</v>
      </c>
      <c r="O4">
        <f>L4/M4*1000</f>
        <v>0.28376664552948638</v>
      </c>
    </row>
    <row r="5" spans="2:19">
      <c r="B5" t="s">
        <v>66</v>
      </c>
      <c r="C5" s="218">
        <v>1.39</v>
      </c>
      <c r="D5" s="218">
        <v>0.45</v>
      </c>
      <c r="E5" s="218">
        <f t="shared" ref="E5:E6" si="0">C5+D5</f>
        <v>1.8399999999999999</v>
      </c>
      <c r="F5" s="218">
        <f t="shared" ref="F5:F6" si="1">E5</f>
        <v>1.8399999999999999</v>
      </c>
      <c r="G5" s="218">
        <f t="shared" ref="G5:G6" si="2">2*E5</f>
        <v>3.6799999999999997</v>
      </c>
      <c r="H5" s="217">
        <f t="shared" ref="H5:H6" si="3">C5/2</f>
        <v>0.69499999999999995</v>
      </c>
      <c r="I5" s="216">
        <v>0.45</v>
      </c>
      <c r="J5" s="217">
        <f t="shared" ref="J5:J6" si="4">H5+I5</f>
        <v>1.145</v>
      </c>
      <c r="K5" s="217">
        <f t="shared" ref="K5:K6" si="5">J5</f>
        <v>1.145</v>
      </c>
      <c r="L5" s="217">
        <f t="shared" ref="L5:L6" si="6">2*J5</f>
        <v>2.29</v>
      </c>
      <c r="M5">
        <v>4642</v>
      </c>
      <c r="N5">
        <f>M5/L5</f>
        <v>2027.0742358078603</v>
      </c>
      <c r="O5">
        <f t="shared" ref="O5:O6" si="7">L5/M5*1000</f>
        <v>0.49332184403274454</v>
      </c>
    </row>
    <row r="6" spans="2:19">
      <c r="B6" t="s">
        <v>67</v>
      </c>
      <c r="C6" s="218">
        <v>2.9</v>
      </c>
      <c r="D6" s="218">
        <v>0.45</v>
      </c>
      <c r="E6" s="218">
        <f t="shared" si="0"/>
        <v>3.35</v>
      </c>
      <c r="F6" s="218">
        <f t="shared" si="1"/>
        <v>3.35</v>
      </c>
      <c r="G6" s="218">
        <f t="shared" si="2"/>
        <v>6.7</v>
      </c>
      <c r="H6" s="217">
        <f t="shared" si="3"/>
        <v>1.45</v>
      </c>
      <c r="I6" s="216">
        <v>0.45</v>
      </c>
      <c r="J6" s="217">
        <f t="shared" si="4"/>
        <v>1.9</v>
      </c>
      <c r="K6" s="217">
        <f t="shared" si="5"/>
        <v>1.9</v>
      </c>
      <c r="L6" s="217">
        <f t="shared" si="6"/>
        <v>3.8</v>
      </c>
      <c r="M6">
        <v>20802</v>
      </c>
      <c r="N6">
        <f>M6/L6</f>
        <v>5474.21052631579</v>
      </c>
      <c r="O6">
        <f t="shared" si="7"/>
        <v>0.18267474281319102</v>
      </c>
    </row>
    <row r="8" spans="2:19" ht="15.75" thickBot="1">
      <c r="B8" s="172" t="s">
        <v>44</v>
      </c>
      <c r="C8" s="172"/>
      <c r="D8" s="172"/>
      <c r="E8" s="173"/>
      <c r="F8" s="172" t="s">
        <v>20</v>
      </c>
      <c r="G8" s="172" t="s">
        <v>20</v>
      </c>
      <c r="H8" s="172" t="s">
        <v>20</v>
      </c>
      <c r="I8" s="174" t="s">
        <v>13</v>
      </c>
      <c r="J8" s="174" t="s">
        <v>13</v>
      </c>
      <c r="K8" s="174" t="s">
        <v>13</v>
      </c>
      <c r="L8" s="172" t="s">
        <v>15</v>
      </c>
      <c r="M8" s="172" t="s">
        <v>16</v>
      </c>
      <c r="N8" s="172" t="s">
        <v>17</v>
      </c>
      <c r="O8" s="172" t="s">
        <v>18</v>
      </c>
      <c r="P8" s="172" t="s">
        <v>19</v>
      </c>
      <c r="Q8" s="172" t="s">
        <v>22</v>
      </c>
      <c r="R8" s="172" t="s">
        <v>23</v>
      </c>
      <c r="S8" s="172" t="s">
        <v>24</v>
      </c>
    </row>
    <row r="9" spans="2:19" ht="15.75" thickBot="1">
      <c r="B9" s="187">
        <f>SUM(I9:V9)</f>
        <v>279901.59999999998</v>
      </c>
      <c r="C9" s="188">
        <f>AVERAGE(I9:V9)</f>
        <v>25445.599999999999</v>
      </c>
      <c r="D9" s="189">
        <f>STDEV(I9:U9)</f>
        <v>10548.784887369738</v>
      </c>
      <c r="E9" s="190" t="s">
        <v>40</v>
      </c>
      <c r="F9" s="192">
        <v>1733</v>
      </c>
      <c r="G9" s="192">
        <v>33840</v>
      </c>
      <c r="H9" s="191">
        <f>G9-F9*$L$6</f>
        <v>27254.6</v>
      </c>
      <c r="I9" s="191">
        <v>1453</v>
      </c>
      <c r="J9" s="191">
        <v>35710</v>
      </c>
      <c r="K9" s="191">
        <f>J9-I9*$L$6</f>
        <v>30188.6</v>
      </c>
      <c r="L9" s="168">
        <v>16030</v>
      </c>
      <c r="M9" s="168">
        <v>16620</v>
      </c>
      <c r="N9" s="168">
        <v>33880</v>
      </c>
      <c r="O9" s="168">
        <v>31710</v>
      </c>
      <c r="P9" s="168">
        <v>22890</v>
      </c>
      <c r="Q9" s="168">
        <v>32200</v>
      </c>
      <c r="R9" s="168">
        <v>24840</v>
      </c>
      <c r="S9" s="168">
        <v>34380</v>
      </c>
    </row>
    <row r="10" spans="2:19" ht="15.75" thickBot="1">
      <c r="B10" s="134">
        <f>SUM(I10:V10)</f>
        <v>289927.59999999998</v>
      </c>
      <c r="C10" s="128">
        <f>AVERAGE(I10:V10)</f>
        <v>26357.054545454543</v>
      </c>
      <c r="D10" s="141">
        <f>STDEV(I10:U10)</f>
        <v>10587.237376800782</v>
      </c>
      <c r="E10" s="193" t="s">
        <v>41</v>
      </c>
      <c r="F10" s="194">
        <v>1794</v>
      </c>
      <c r="G10" s="194">
        <v>32390</v>
      </c>
      <c r="H10" s="191">
        <f t="shared" ref="H10:H12" si="8">G10-F10*$L$6</f>
        <v>25572.799999999999</v>
      </c>
      <c r="I10" s="58">
        <v>1808</v>
      </c>
      <c r="J10" s="58">
        <v>31800</v>
      </c>
      <c r="K10" s="191">
        <f t="shared" ref="K10:K12" si="9">J10-I10*$L$6</f>
        <v>24929.599999999999</v>
      </c>
      <c r="L10" s="59">
        <v>19040</v>
      </c>
      <c r="M10" s="59">
        <v>23220</v>
      </c>
      <c r="N10" s="59">
        <v>38930</v>
      </c>
      <c r="O10" s="59">
        <v>41100</v>
      </c>
      <c r="P10" s="59">
        <v>27090</v>
      </c>
      <c r="Q10" s="59">
        <v>27670</v>
      </c>
      <c r="R10" s="59">
        <v>22470</v>
      </c>
      <c r="S10" s="59">
        <v>31870</v>
      </c>
    </row>
    <row r="11" spans="2:19" ht="15.75" thickBot="1">
      <c r="B11" s="214">
        <f>SUM(I11:V11)</f>
        <v>296153.59999999998</v>
      </c>
      <c r="C11" s="128">
        <f>AVERAGE(I11:V11)</f>
        <v>26923.054545454543</v>
      </c>
      <c r="D11" s="141">
        <f>STDEV(I11:U11)</f>
        <v>11456.058670970893</v>
      </c>
      <c r="E11" s="193" t="s">
        <v>42</v>
      </c>
      <c r="F11" s="194">
        <v>2311</v>
      </c>
      <c r="G11" s="194">
        <v>46420</v>
      </c>
      <c r="H11" s="191">
        <f t="shared" si="8"/>
        <v>37638.199999999997</v>
      </c>
      <c r="I11" s="58">
        <v>2613</v>
      </c>
      <c r="J11" s="58">
        <v>32230</v>
      </c>
      <c r="K11" s="191">
        <f t="shared" si="9"/>
        <v>22300.6</v>
      </c>
      <c r="L11" s="59">
        <v>17130</v>
      </c>
      <c r="M11" s="59">
        <v>35730</v>
      </c>
      <c r="N11" s="59">
        <v>22500</v>
      </c>
      <c r="O11" s="59">
        <v>23630</v>
      </c>
      <c r="P11" s="59">
        <v>23960</v>
      </c>
      <c r="Q11" s="59">
        <v>35710</v>
      </c>
      <c r="R11" s="59">
        <v>44100</v>
      </c>
      <c r="S11" s="59">
        <v>36250</v>
      </c>
    </row>
    <row r="12" spans="2:19">
      <c r="B12" s="214">
        <f>SUM(I12:V12)</f>
        <v>312915.20000000001</v>
      </c>
      <c r="C12" s="128">
        <f>AVERAGE(I12:V12)</f>
        <v>28446.836363636365</v>
      </c>
      <c r="D12" s="141">
        <f>STDEV(I12:U12)</f>
        <v>12605.239008227707</v>
      </c>
      <c r="E12" s="193" t="s">
        <v>43</v>
      </c>
      <c r="F12" s="194">
        <v>2330</v>
      </c>
      <c r="G12" s="194">
        <v>44280</v>
      </c>
      <c r="H12" s="191">
        <f t="shared" si="8"/>
        <v>35426</v>
      </c>
      <c r="I12" s="58">
        <v>2691</v>
      </c>
      <c r="J12" s="58">
        <v>35170</v>
      </c>
      <c r="K12" s="191">
        <f t="shared" si="9"/>
        <v>24944.2</v>
      </c>
      <c r="L12" s="59">
        <v>17070</v>
      </c>
      <c r="M12" s="59">
        <v>37300</v>
      </c>
      <c r="N12" s="59">
        <v>19270</v>
      </c>
      <c r="O12" s="59">
        <v>28460</v>
      </c>
      <c r="P12" s="59">
        <v>24050</v>
      </c>
      <c r="Q12" s="59">
        <v>36240</v>
      </c>
      <c r="R12" s="59">
        <v>47090</v>
      </c>
      <c r="S12" s="59">
        <v>40630</v>
      </c>
    </row>
    <row r="13" spans="2:19">
      <c r="B13" s="132">
        <f>SUM(B9:B12)</f>
        <v>1178898</v>
      </c>
      <c r="C13" s="126">
        <f>AVERAGE(I9:AA12)</f>
        <v>26793.136363636364</v>
      </c>
      <c r="D13" s="139">
        <f>STDEV(I9:AA12)</f>
        <v>10983.424880247609</v>
      </c>
      <c r="E13" s="124"/>
      <c r="F13" s="207">
        <f t="shared" ref="F13:H13" si="10">SUM(F9:F12)</f>
        <v>8168</v>
      </c>
      <c r="G13" s="207">
        <f t="shared" si="10"/>
        <v>156930</v>
      </c>
      <c r="H13" s="207">
        <f t="shared" si="10"/>
        <v>125891.59999999999</v>
      </c>
      <c r="I13" s="207">
        <f t="shared" ref="I13:S13" si="11">SUM(I9:I12)</f>
        <v>8565</v>
      </c>
      <c r="J13" s="207">
        <f t="shared" ref="J13:K13" si="12">SUM(J9:J12)</f>
        <v>134910</v>
      </c>
      <c r="K13" s="207">
        <f t="shared" si="12"/>
        <v>102362.99999999999</v>
      </c>
      <c r="L13" s="209">
        <f t="shared" si="11"/>
        <v>69270</v>
      </c>
      <c r="M13" s="207">
        <f t="shared" si="11"/>
        <v>112870</v>
      </c>
      <c r="N13" s="207">
        <f t="shared" si="11"/>
        <v>114580</v>
      </c>
      <c r="O13" s="207">
        <f t="shared" si="11"/>
        <v>124900</v>
      </c>
      <c r="P13" s="207">
        <f t="shared" si="11"/>
        <v>97990</v>
      </c>
      <c r="Q13" s="207">
        <f t="shared" si="11"/>
        <v>131820</v>
      </c>
      <c r="R13" s="207">
        <f t="shared" si="11"/>
        <v>138500</v>
      </c>
      <c r="S13" s="208">
        <f t="shared" si="11"/>
        <v>143130</v>
      </c>
    </row>
    <row r="14" spans="2:19">
      <c r="B14" s="132">
        <f>AVERAGE(B9:B12)</f>
        <v>294724.5</v>
      </c>
      <c r="C14" s="126"/>
      <c r="D14" s="139"/>
      <c r="E14" s="124"/>
      <c r="F14" s="138">
        <f t="shared" ref="F14:H14" si="13">AVERAGE(F9:F12)</f>
        <v>2042</v>
      </c>
      <c r="G14" s="138">
        <f t="shared" si="13"/>
        <v>39232.5</v>
      </c>
      <c r="H14" s="138">
        <f t="shared" si="13"/>
        <v>31472.899999999998</v>
      </c>
      <c r="I14" s="125">
        <f t="shared" ref="I14:S14" si="14">AVERAGE(I9:I12)</f>
        <v>2141.25</v>
      </c>
      <c r="J14" s="125">
        <f t="shared" ref="J14:K14" si="15">AVERAGE(J9:J12)</f>
        <v>33727.5</v>
      </c>
      <c r="K14" s="125">
        <f t="shared" si="15"/>
        <v>25590.749999999996</v>
      </c>
      <c r="L14" s="125">
        <f t="shared" si="14"/>
        <v>17317.5</v>
      </c>
      <c r="M14" s="125">
        <f t="shared" si="14"/>
        <v>28217.5</v>
      </c>
      <c r="N14" s="125">
        <f t="shared" si="14"/>
        <v>28645</v>
      </c>
      <c r="O14" s="125">
        <f t="shared" si="14"/>
        <v>31225</v>
      </c>
      <c r="P14" s="125">
        <f t="shared" si="14"/>
        <v>24497.5</v>
      </c>
      <c r="Q14" s="125">
        <f t="shared" si="14"/>
        <v>32955</v>
      </c>
      <c r="R14" s="125">
        <f t="shared" si="14"/>
        <v>34625</v>
      </c>
      <c r="S14" s="125">
        <f t="shared" si="14"/>
        <v>35782.5</v>
      </c>
    </row>
    <row r="15" spans="2:19" ht="15.75" thickBot="1">
      <c r="B15" s="169">
        <f>STDEV(B9:B12)</f>
        <v>13852.466775752087</v>
      </c>
      <c r="C15" s="170"/>
      <c r="D15" s="171"/>
      <c r="E15" s="124"/>
      <c r="F15" s="178">
        <f t="shared" ref="F15:H15" si="16">STDEV(F9:F12)</f>
        <v>322.64015042561994</v>
      </c>
      <c r="G15" s="178">
        <f t="shared" si="16"/>
        <v>7142.2749643700126</v>
      </c>
      <c r="H15" s="178">
        <f t="shared" si="16"/>
        <v>5950.9987565113915</v>
      </c>
      <c r="I15" s="177">
        <f t="shared" ref="I15:S15" si="17">STDEV(I9:I12)</f>
        <v>608.14382893084326</v>
      </c>
      <c r="J15" s="177">
        <f t="shared" ref="J15:K15" si="18">STDEV(J9:J12)</f>
        <v>1997.4045659304977</v>
      </c>
      <c r="K15" s="177">
        <f t="shared" si="18"/>
        <v>3307.5901534702894</v>
      </c>
      <c r="L15" s="177">
        <f t="shared" si="17"/>
        <v>1254.4686790297583</v>
      </c>
      <c r="M15" s="177">
        <f t="shared" si="17"/>
        <v>9973.4058876594409</v>
      </c>
      <c r="N15" s="177">
        <f t="shared" si="17"/>
        <v>9288.6687241319287</v>
      </c>
      <c r="O15" s="177">
        <f t="shared" si="17"/>
        <v>7372.9256969898552</v>
      </c>
      <c r="P15" s="177">
        <f t="shared" si="17"/>
        <v>1806.8642265907347</v>
      </c>
      <c r="Q15" s="177">
        <f t="shared" si="17"/>
        <v>3953.1632903283921</v>
      </c>
      <c r="R15" s="177">
        <f t="shared" si="17"/>
        <v>12762.472331018</v>
      </c>
      <c r="S15" s="177">
        <f t="shared" si="17"/>
        <v>3696.4611454741412</v>
      </c>
    </row>
    <row r="16" spans="2:19" ht="15.75" thickBot="1">
      <c r="B16" s="133">
        <f>SUM(I16:V16)</f>
        <v>212647.2</v>
      </c>
      <c r="C16" s="127">
        <f>AVERAGE(I16:V16)</f>
        <v>19331.563636363637</v>
      </c>
      <c r="D16" s="140">
        <f>STDEV(I16:U16)</f>
        <v>9570.398395811193</v>
      </c>
      <c r="E16" s="190" t="s">
        <v>40</v>
      </c>
      <c r="F16" s="155">
        <v>909</v>
      </c>
      <c r="G16" s="155">
        <v>33360</v>
      </c>
      <c r="H16" s="191">
        <f>G16-F16*$L$6</f>
        <v>29905.8</v>
      </c>
      <c r="I16" s="161">
        <v>876</v>
      </c>
      <c r="J16" s="161">
        <v>19020</v>
      </c>
      <c r="K16" s="191">
        <f>J16-I16*$L$6</f>
        <v>15691.2</v>
      </c>
      <c r="L16" s="162">
        <v>12160</v>
      </c>
      <c r="M16" s="162">
        <v>11330</v>
      </c>
      <c r="N16" s="162">
        <v>18370</v>
      </c>
      <c r="O16" s="162">
        <v>25400</v>
      </c>
      <c r="P16" s="162">
        <v>17400</v>
      </c>
      <c r="Q16" s="162">
        <v>28160</v>
      </c>
      <c r="R16" s="162">
        <v>32140</v>
      </c>
      <c r="S16" s="163">
        <v>32100</v>
      </c>
    </row>
    <row r="17" spans="2:19" ht="15.75" thickBot="1">
      <c r="B17" s="133">
        <f>SUM(I17:V17)</f>
        <v>212473.60000000001</v>
      </c>
      <c r="C17" s="127">
        <f>AVERAGE(I17:V17)</f>
        <v>19315.781818181818</v>
      </c>
      <c r="D17" s="140">
        <f>STDEV(I17:U17)</f>
        <v>10109.23165050818</v>
      </c>
      <c r="E17" s="193" t="s">
        <v>41</v>
      </c>
      <c r="F17" s="155">
        <v>939</v>
      </c>
      <c r="G17" s="155">
        <v>32190</v>
      </c>
      <c r="H17" s="191">
        <f t="shared" ref="H17:H19" si="19">G17-F17*$L$6</f>
        <v>28621.8</v>
      </c>
      <c r="I17" s="54">
        <v>1013</v>
      </c>
      <c r="J17" s="54">
        <v>21330</v>
      </c>
      <c r="K17" s="191">
        <f t="shared" ref="K17:K19" si="20">J17-I17*$L$6</f>
        <v>17480.599999999999</v>
      </c>
      <c r="L17" s="55">
        <v>12260</v>
      </c>
      <c r="M17" s="55">
        <v>11430</v>
      </c>
      <c r="N17" s="55">
        <v>21830</v>
      </c>
      <c r="O17" s="55">
        <v>18480</v>
      </c>
      <c r="P17" s="55">
        <v>12440</v>
      </c>
      <c r="Q17" s="55">
        <v>28970</v>
      </c>
      <c r="R17" s="55">
        <v>31290</v>
      </c>
      <c r="S17" s="56">
        <v>35950</v>
      </c>
    </row>
    <row r="18" spans="2:19" ht="15.75" thickBot="1">
      <c r="B18" s="214">
        <f>SUM(I18:V18)</f>
        <v>320365.2</v>
      </c>
      <c r="C18" s="127">
        <f>AVERAGE(I18:V18)</f>
        <v>29124.109090909093</v>
      </c>
      <c r="D18" s="140">
        <f>STDEV(I18:U18)</f>
        <v>17248.838189597263</v>
      </c>
      <c r="E18" s="193" t="s">
        <v>42</v>
      </c>
      <c r="F18" s="155">
        <v>1257</v>
      </c>
      <c r="G18" s="155">
        <v>43600</v>
      </c>
      <c r="H18" s="191">
        <f t="shared" si="19"/>
        <v>38823.4</v>
      </c>
      <c r="I18" s="54">
        <v>1441</v>
      </c>
      <c r="J18" s="54">
        <v>29590</v>
      </c>
      <c r="K18" s="191">
        <f t="shared" si="20"/>
        <v>24114.2</v>
      </c>
      <c r="L18" s="55">
        <v>20250</v>
      </c>
      <c r="M18" s="55">
        <v>14820</v>
      </c>
      <c r="N18" s="55">
        <v>30080</v>
      </c>
      <c r="O18" s="55">
        <v>41750</v>
      </c>
      <c r="P18" s="55">
        <v>13150</v>
      </c>
      <c r="Q18" s="55">
        <v>42480</v>
      </c>
      <c r="R18" s="55">
        <v>38720</v>
      </c>
      <c r="S18" s="56">
        <v>63970</v>
      </c>
    </row>
    <row r="19" spans="2:19" ht="15.75" thickBot="1">
      <c r="B19" s="133">
        <f>SUM(I19:V19)</f>
        <v>309428.8</v>
      </c>
      <c r="C19" s="127">
        <f>AVERAGE(I19:V19)</f>
        <v>28129.890909090907</v>
      </c>
      <c r="D19" s="140">
        <f>STDEV(I19:U19)</f>
        <v>16812.460530538334</v>
      </c>
      <c r="E19" s="193" t="s">
        <v>43</v>
      </c>
      <c r="F19" s="155">
        <v>1263</v>
      </c>
      <c r="G19" s="155">
        <v>42950</v>
      </c>
      <c r="H19" s="191">
        <f t="shared" si="19"/>
        <v>38150.6</v>
      </c>
      <c r="I19" s="164">
        <v>1504</v>
      </c>
      <c r="J19" s="164">
        <v>31120</v>
      </c>
      <c r="K19" s="191">
        <f t="shared" si="20"/>
        <v>25404.799999999999</v>
      </c>
      <c r="L19" s="165">
        <v>18510</v>
      </c>
      <c r="M19" s="165">
        <v>16080</v>
      </c>
      <c r="N19" s="165">
        <v>25030</v>
      </c>
      <c r="O19" s="165">
        <v>35920</v>
      </c>
      <c r="P19" s="165">
        <v>12900</v>
      </c>
      <c r="Q19" s="165">
        <v>42150</v>
      </c>
      <c r="R19" s="165">
        <v>36760</v>
      </c>
      <c r="S19" s="166">
        <v>64050</v>
      </c>
    </row>
    <row r="20" spans="2:19">
      <c r="B20" s="132">
        <f>SUM(B16:B19)</f>
        <v>1054914.8</v>
      </c>
      <c r="C20" s="126">
        <f>AVERAGE(I16:AA19)</f>
        <v>23975.336363636365</v>
      </c>
      <c r="D20" s="139">
        <f>STDEV(I16:AA19)</f>
        <v>14221.840569972534</v>
      </c>
      <c r="E20" s="124"/>
      <c r="F20" s="138">
        <f t="shared" ref="F20:H20" si="21">SUM(F16:F19)</f>
        <v>4368</v>
      </c>
      <c r="G20" s="138">
        <f t="shared" si="21"/>
        <v>152100</v>
      </c>
      <c r="H20" s="138">
        <f t="shared" si="21"/>
        <v>135501.6</v>
      </c>
      <c r="I20" s="211">
        <f t="shared" ref="I20:S20" si="22">SUM(I16:I19)</f>
        <v>4834</v>
      </c>
      <c r="J20" s="211">
        <f t="shared" ref="J20:K20" si="23">SUM(J16:J19)</f>
        <v>101060</v>
      </c>
      <c r="K20" s="211">
        <f t="shared" si="23"/>
        <v>82690.8</v>
      </c>
      <c r="L20" s="211">
        <f t="shared" si="22"/>
        <v>63180</v>
      </c>
      <c r="M20" s="212">
        <f t="shared" si="22"/>
        <v>53660</v>
      </c>
      <c r="N20" s="211">
        <f t="shared" si="22"/>
        <v>95310</v>
      </c>
      <c r="O20" s="211">
        <f t="shared" si="22"/>
        <v>121550</v>
      </c>
      <c r="P20" s="211">
        <f t="shared" si="22"/>
        <v>55890</v>
      </c>
      <c r="Q20" s="211">
        <f t="shared" si="22"/>
        <v>141760</v>
      </c>
      <c r="R20" s="211">
        <f t="shared" si="22"/>
        <v>138910</v>
      </c>
      <c r="S20" s="210">
        <f t="shared" si="22"/>
        <v>196070</v>
      </c>
    </row>
    <row r="21" spans="2:19">
      <c r="B21" s="132">
        <f>AVERAGE(B16:B19)</f>
        <v>263728.7</v>
      </c>
      <c r="C21" s="126"/>
      <c r="D21" s="139"/>
      <c r="E21" s="124"/>
      <c r="F21" s="138">
        <f t="shared" ref="F21:H21" si="24">AVERAGE(F16:F19)</f>
        <v>1092</v>
      </c>
      <c r="G21" s="138">
        <f t="shared" si="24"/>
        <v>38025</v>
      </c>
      <c r="H21" s="138">
        <f t="shared" si="24"/>
        <v>33875.4</v>
      </c>
      <c r="I21" s="125">
        <f t="shared" ref="I21:S21" si="25">AVERAGE(I16:I19)</f>
        <v>1208.5</v>
      </c>
      <c r="J21" s="125">
        <f t="shared" ref="J21:K21" si="26">AVERAGE(J16:J19)</f>
        <v>25265</v>
      </c>
      <c r="K21" s="125">
        <f t="shared" si="26"/>
        <v>20672.7</v>
      </c>
      <c r="L21" s="125">
        <f t="shared" si="25"/>
        <v>15795</v>
      </c>
      <c r="M21" s="125">
        <f t="shared" si="25"/>
        <v>13415</v>
      </c>
      <c r="N21" s="125">
        <f t="shared" si="25"/>
        <v>23827.5</v>
      </c>
      <c r="O21" s="125">
        <f t="shared" si="25"/>
        <v>30387.5</v>
      </c>
      <c r="P21" s="125">
        <f t="shared" si="25"/>
        <v>13972.5</v>
      </c>
      <c r="Q21" s="125">
        <f t="shared" si="25"/>
        <v>35440</v>
      </c>
      <c r="R21" s="125">
        <f t="shared" si="25"/>
        <v>34727.5</v>
      </c>
      <c r="S21" s="125">
        <f t="shared" si="25"/>
        <v>49017.5</v>
      </c>
    </row>
    <row r="22" spans="2:19" ht="15.75" thickBot="1">
      <c r="B22" s="169">
        <f>STDEV(B16:B19)</f>
        <v>59252.55884916144</v>
      </c>
      <c r="C22" s="170"/>
      <c r="D22" s="171"/>
      <c r="E22" s="144"/>
      <c r="F22" s="178">
        <f t="shared" ref="F22:H22" si="27">STDEV(F16:F19)</f>
        <v>194.39135783259502</v>
      </c>
      <c r="G22" s="178">
        <f t="shared" si="27"/>
        <v>6086.7533765273147</v>
      </c>
      <c r="H22" s="178">
        <f t="shared" si="27"/>
        <v>5357.8004243034857</v>
      </c>
      <c r="I22" s="177">
        <f t="shared" ref="I22:S22" si="28">STDEV(I16:I19)</f>
        <v>310.99464089702042</v>
      </c>
      <c r="J22" s="177">
        <f t="shared" ref="J22:K22" si="29">STDEV(J16:J19)</f>
        <v>5985.2847328538464</v>
      </c>
      <c r="K22" s="177">
        <f t="shared" si="29"/>
        <v>4804.2181923805229</v>
      </c>
      <c r="L22" s="177">
        <f t="shared" si="28"/>
        <v>4200.3055444415786</v>
      </c>
      <c r="M22" s="177">
        <f t="shared" si="28"/>
        <v>2405.8054784208966</v>
      </c>
      <c r="N22" s="177">
        <f t="shared" si="28"/>
        <v>4977.0833158922842</v>
      </c>
      <c r="O22" s="177">
        <f t="shared" si="28"/>
        <v>10430.383102583848</v>
      </c>
      <c r="P22" s="177">
        <f t="shared" si="28"/>
        <v>2303.8428042439587</v>
      </c>
      <c r="Q22" s="177">
        <f t="shared" si="28"/>
        <v>7946.5925611757229</v>
      </c>
      <c r="R22" s="177">
        <f t="shared" si="28"/>
        <v>3586.2085364165127</v>
      </c>
      <c r="S22" s="177">
        <f t="shared" si="28"/>
        <v>17383.082532546789</v>
      </c>
    </row>
    <row r="23" spans="2:19" ht="15.75" thickBot="1">
      <c r="B23" s="172" t="s">
        <v>14</v>
      </c>
      <c r="C23" s="172"/>
      <c r="D23" s="172"/>
      <c r="E23" s="173"/>
      <c r="F23" s="172" t="s">
        <v>20</v>
      </c>
      <c r="G23" s="172" t="s">
        <v>20</v>
      </c>
      <c r="H23" s="172" t="s">
        <v>20</v>
      </c>
      <c r="I23" s="174" t="s">
        <v>13</v>
      </c>
      <c r="J23" s="174" t="s">
        <v>13</v>
      </c>
      <c r="K23" s="174" t="s">
        <v>13</v>
      </c>
      <c r="L23" s="172" t="s">
        <v>15</v>
      </c>
      <c r="M23" s="172" t="s">
        <v>16</v>
      </c>
      <c r="N23" s="172" t="s">
        <v>17</v>
      </c>
      <c r="O23" s="172" t="s">
        <v>18</v>
      </c>
      <c r="P23" s="172" t="s">
        <v>19</v>
      </c>
      <c r="Q23" s="172" t="s">
        <v>22</v>
      </c>
      <c r="R23" s="172" t="s">
        <v>23</v>
      </c>
      <c r="S23" s="172" t="s">
        <v>24</v>
      </c>
    </row>
    <row r="24" spans="2:19" ht="15.75" thickBot="1">
      <c r="B24" s="133">
        <f>SUM(I24:V24)</f>
        <v>182371.6</v>
      </c>
      <c r="C24" s="127">
        <f>AVERAGE(I24:V24)</f>
        <v>16579.236363636363</v>
      </c>
      <c r="D24" s="140">
        <f>STDEV(I24:U24)</f>
        <v>10455.951408386778</v>
      </c>
      <c r="E24" s="190" t="s">
        <v>40</v>
      </c>
      <c r="F24" s="155">
        <v>646</v>
      </c>
      <c r="G24" s="155">
        <v>18240</v>
      </c>
      <c r="H24" s="191">
        <f>G24-F24*$L$6</f>
        <v>15785.2</v>
      </c>
      <c r="I24" s="181">
        <v>628</v>
      </c>
      <c r="J24" s="181">
        <v>24260</v>
      </c>
      <c r="K24" s="191">
        <f>J24-I24*$L$6</f>
        <v>21873.599999999999</v>
      </c>
      <c r="L24" s="182">
        <v>10530</v>
      </c>
      <c r="M24" s="162">
        <v>8580</v>
      </c>
      <c r="N24" s="162">
        <v>10840</v>
      </c>
      <c r="O24" s="162">
        <v>23160</v>
      </c>
      <c r="P24" s="162">
        <v>11750</v>
      </c>
      <c r="Q24" s="162">
        <v>35640</v>
      </c>
      <c r="R24" s="162">
        <v>7900</v>
      </c>
      <c r="S24" s="163">
        <v>27210</v>
      </c>
    </row>
    <row r="25" spans="2:19" ht="15.75" thickBot="1">
      <c r="B25" s="133">
        <f>SUM(I25:V25)</f>
        <v>172162.4</v>
      </c>
      <c r="C25" s="127">
        <f>AVERAGE(I25:V25)</f>
        <v>15651.127272727272</v>
      </c>
      <c r="D25" s="140">
        <f>STDEV(I25:U25)</f>
        <v>7630.8340578328525</v>
      </c>
      <c r="E25" s="193" t="s">
        <v>41</v>
      </c>
      <c r="F25" s="155">
        <v>665</v>
      </c>
      <c r="G25" s="155">
        <v>18860</v>
      </c>
      <c r="H25" s="191">
        <f t="shared" ref="H25:H27" si="30">G25-F25*$L$6</f>
        <v>16333</v>
      </c>
      <c r="I25" s="183">
        <v>717</v>
      </c>
      <c r="J25" s="183">
        <v>21730</v>
      </c>
      <c r="K25" s="191">
        <f t="shared" ref="K25:K27" si="31">J25-I25*$L$6</f>
        <v>19005.400000000001</v>
      </c>
      <c r="L25" s="55">
        <v>16390</v>
      </c>
      <c r="M25" s="55">
        <v>10230</v>
      </c>
      <c r="N25" s="55">
        <v>17630</v>
      </c>
      <c r="O25" s="55">
        <v>18730</v>
      </c>
      <c r="P25" s="55">
        <v>9220</v>
      </c>
      <c r="Q25" s="55">
        <v>27240</v>
      </c>
      <c r="R25" s="55">
        <v>8850</v>
      </c>
      <c r="S25" s="56">
        <v>22420</v>
      </c>
    </row>
    <row r="26" spans="2:19" ht="15.75" thickBot="1">
      <c r="B26" s="214">
        <f>SUM(I26:V26)</f>
        <v>257024</v>
      </c>
      <c r="C26" s="127">
        <f>AVERAGE(I26:V26)</f>
        <v>23365.81818181818</v>
      </c>
      <c r="D26" s="140">
        <f>STDEV(I26:U26)</f>
        <v>12000.913813690873</v>
      </c>
      <c r="E26" s="193" t="s">
        <v>42</v>
      </c>
      <c r="F26" s="155">
        <v>852</v>
      </c>
      <c r="G26" s="155">
        <v>30530</v>
      </c>
      <c r="H26" s="191">
        <f t="shared" si="30"/>
        <v>27292.400000000001</v>
      </c>
      <c r="I26" s="54">
        <v>1020</v>
      </c>
      <c r="J26" s="54">
        <v>28250</v>
      </c>
      <c r="K26" s="191">
        <f t="shared" si="31"/>
        <v>24374</v>
      </c>
      <c r="L26" s="55">
        <v>14860</v>
      </c>
      <c r="M26" s="55">
        <v>28480</v>
      </c>
      <c r="N26" s="55">
        <v>30260</v>
      </c>
      <c r="O26" s="55">
        <v>20900</v>
      </c>
      <c r="P26" s="55">
        <v>6260</v>
      </c>
      <c r="Q26" s="55">
        <v>28810</v>
      </c>
      <c r="R26" s="55">
        <v>43030</v>
      </c>
      <c r="S26" s="56">
        <v>30780</v>
      </c>
    </row>
    <row r="27" spans="2:19" ht="15.75" thickBot="1">
      <c r="B27" s="214">
        <f>SUM(I27:V27)</f>
        <v>245337.2</v>
      </c>
      <c r="C27" s="127">
        <f>AVERAGE(I27:V27)</f>
        <v>22303.381818181821</v>
      </c>
      <c r="D27" s="140">
        <f>STDEV(I27:U27)</f>
        <v>11048.970927812074</v>
      </c>
      <c r="E27" s="193" t="s">
        <v>43</v>
      </c>
      <c r="F27" s="155">
        <v>859</v>
      </c>
      <c r="G27" s="155">
        <v>29810</v>
      </c>
      <c r="H27" s="191">
        <f t="shared" si="30"/>
        <v>26545.8</v>
      </c>
      <c r="I27" s="164">
        <v>1051</v>
      </c>
      <c r="J27" s="164">
        <v>26580</v>
      </c>
      <c r="K27" s="191">
        <f t="shared" si="31"/>
        <v>22586.2</v>
      </c>
      <c r="L27" s="165">
        <v>15120</v>
      </c>
      <c r="M27" s="165">
        <v>24020</v>
      </c>
      <c r="N27" s="165">
        <v>27020</v>
      </c>
      <c r="O27" s="165">
        <v>24360</v>
      </c>
      <c r="P27" s="165">
        <v>8270</v>
      </c>
      <c r="Q27" s="165">
        <v>26840</v>
      </c>
      <c r="R27" s="165">
        <v>43190</v>
      </c>
      <c r="S27" s="166">
        <v>26300</v>
      </c>
    </row>
    <row r="28" spans="2:19">
      <c r="B28" s="132">
        <f>SUM(B24:B27)</f>
        <v>856895.2</v>
      </c>
      <c r="C28" s="126">
        <f>AVERAGE(I24:AA27)</f>
        <v>19474.890909090907</v>
      </c>
      <c r="D28" s="139">
        <f>STDEV(I24:AA27)</f>
        <v>10613.927495727799</v>
      </c>
      <c r="E28" s="124"/>
      <c r="F28" s="138">
        <f t="shared" ref="F28:H28" si="32">SUM(F24:F27)</f>
        <v>3022</v>
      </c>
      <c r="G28" s="138">
        <f t="shared" si="32"/>
        <v>97440</v>
      </c>
      <c r="H28" s="138">
        <f t="shared" si="32"/>
        <v>85956.400000000009</v>
      </c>
      <c r="I28" s="213">
        <f t="shared" ref="I28:S28" si="33">SUM(I24:I27)</f>
        <v>3416</v>
      </c>
      <c r="J28" s="213">
        <f t="shared" ref="J28:K28" si="34">SUM(J24:J27)</f>
        <v>100820</v>
      </c>
      <c r="K28" s="213">
        <f t="shared" si="34"/>
        <v>87839.2</v>
      </c>
      <c r="L28" s="212">
        <f t="shared" si="33"/>
        <v>56900</v>
      </c>
      <c r="M28" s="211">
        <f t="shared" si="33"/>
        <v>71310</v>
      </c>
      <c r="N28" s="211">
        <f t="shared" si="33"/>
        <v>85750</v>
      </c>
      <c r="O28" s="211">
        <f t="shared" si="33"/>
        <v>87150</v>
      </c>
      <c r="P28" s="211">
        <f t="shared" si="33"/>
        <v>35500</v>
      </c>
      <c r="Q28" s="210">
        <f t="shared" si="33"/>
        <v>118530</v>
      </c>
      <c r="R28" s="211">
        <f t="shared" si="33"/>
        <v>102970</v>
      </c>
      <c r="S28" s="211">
        <f t="shared" si="33"/>
        <v>106710</v>
      </c>
    </row>
    <row r="29" spans="2:19">
      <c r="B29" s="132">
        <f>AVERAGE(B24:B27)</f>
        <v>214223.8</v>
      </c>
      <c r="C29" s="126"/>
      <c r="D29" s="139"/>
      <c r="E29" s="124"/>
      <c r="F29" s="138">
        <f t="shared" ref="F29:H29" si="35">AVERAGE(F24:F27)</f>
        <v>755.5</v>
      </c>
      <c r="G29" s="138">
        <f t="shared" si="35"/>
        <v>24360</v>
      </c>
      <c r="H29" s="138">
        <f t="shared" si="35"/>
        <v>21489.100000000002</v>
      </c>
      <c r="I29" s="131">
        <f>AVERAGE(I24:I27)</f>
        <v>854</v>
      </c>
      <c r="J29" s="131">
        <f>AVERAGE(J24:J27)</f>
        <v>25205</v>
      </c>
      <c r="K29" s="131">
        <f>AVERAGE(K24:K27)</f>
        <v>21959.8</v>
      </c>
      <c r="L29" s="125">
        <f t="shared" ref="L29:S29" si="36">AVERAGE(L24:L27)</f>
        <v>14225</v>
      </c>
      <c r="M29" s="125">
        <f t="shared" si="36"/>
        <v>17827.5</v>
      </c>
      <c r="N29" s="125">
        <f t="shared" si="36"/>
        <v>21437.5</v>
      </c>
      <c r="O29" s="125">
        <f t="shared" si="36"/>
        <v>21787.5</v>
      </c>
      <c r="P29" s="125">
        <f t="shared" si="36"/>
        <v>8875</v>
      </c>
      <c r="Q29" s="125">
        <f t="shared" si="36"/>
        <v>29632.5</v>
      </c>
      <c r="R29" s="125">
        <f t="shared" si="36"/>
        <v>25742.5</v>
      </c>
      <c r="S29" s="125">
        <f t="shared" si="36"/>
        <v>26677.5</v>
      </c>
    </row>
    <row r="30" spans="2:19" ht="15.75" thickBot="1">
      <c r="B30" s="132">
        <f>STDEV(B24:B27)</f>
        <v>43141.723016124517</v>
      </c>
      <c r="C30" s="126"/>
      <c r="D30" s="139"/>
      <c r="E30" s="124"/>
      <c r="F30" s="178">
        <f t="shared" ref="F30:H30" si="37">STDEV(F24:F27)</f>
        <v>115.76556770761619</v>
      </c>
      <c r="G30" s="178">
        <f t="shared" si="37"/>
        <v>6720.0148809359043</v>
      </c>
      <c r="H30" s="178">
        <f t="shared" si="37"/>
        <v>6281.4103564937168</v>
      </c>
      <c r="I30" s="176">
        <f>STDEV(I24:I27)</f>
        <v>213.08057943729489</v>
      </c>
      <c r="J30" s="176">
        <f>STDEV(J24:J27)</f>
        <v>2836.1534984317523</v>
      </c>
      <c r="K30" s="176">
        <f>STDEV(K24:K27)</f>
        <v>2232.8344019802944</v>
      </c>
      <c r="L30" s="177">
        <f t="shared" ref="L30:S30" si="38">STDEV(L24:L27)</f>
        <v>2552.4171550382066</v>
      </c>
      <c r="M30" s="177">
        <f t="shared" si="38"/>
        <v>9917.3429741371092</v>
      </c>
      <c r="N30" s="177">
        <f t="shared" si="38"/>
        <v>8865.7557489477458</v>
      </c>
      <c r="O30" s="177">
        <f t="shared" si="38"/>
        <v>2492.4870444330631</v>
      </c>
      <c r="P30" s="177">
        <f t="shared" si="38"/>
        <v>2279.539427165058</v>
      </c>
      <c r="Q30" s="177">
        <f t="shared" si="38"/>
        <v>4094.2510507621128</v>
      </c>
      <c r="R30" s="177">
        <f t="shared" si="38"/>
        <v>20058.117849555743</v>
      </c>
      <c r="S30" s="177">
        <f t="shared" si="38"/>
        <v>3434.2818269132581</v>
      </c>
    </row>
    <row r="31" spans="2:19">
      <c r="B31" s="135">
        <f>SUM(I31:S31)</f>
        <v>3090708</v>
      </c>
      <c r="C31" s="13">
        <f>AVERAGE(I31:S31)</f>
        <v>280973.45454545453</v>
      </c>
      <c r="D31" s="142">
        <f>STDEV(I31:S31)</f>
        <v>120011.20811104574</v>
      </c>
      <c r="E31" s="124"/>
      <c r="F31" s="200">
        <f t="shared" ref="F31:H31" si="39">SUM(F9:F12,F16:F19,F24:F27)</f>
        <v>15558</v>
      </c>
      <c r="G31" s="200">
        <f t="shared" si="39"/>
        <v>406470</v>
      </c>
      <c r="H31" s="200">
        <f t="shared" si="39"/>
        <v>347349.6</v>
      </c>
      <c r="I31" s="198">
        <f t="shared" ref="I31:S31" si="40">SUM(I9:I12,I16:I19,I24:I27)</f>
        <v>16815</v>
      </c>
      <c r="J31" s="198">
        <f t="shared" ref="J31:K31" si="41">SUM(J9:J12,J16:J19,J24:J27)</f>
        <v>336790</v>
      </c>
      <c r="K31" s="198">
        <f t="shared" si="41"/>
        <v>272893</v>
      </c>
      <c r="L31" s="212">
        <f t="shared" si="40"/>
        <v>189350</v>
      </c>
      <c r="M31" s="199">
        <f t="shared" si="40"/>
        <v>237840</v>
      </c>
      <c r="N31" s="199">
        <f t="shared" si="40"/>
        <v>295640</v>
      </c>
      <c r="O31" s="199">
        <f t="shared" si="40"/>
        <v>333600</v>
      </c>
      <c r="P31" s="212">
        <f t="shared" si="40"/>
        <v>189380</v>
      </c>
      <c r="Q31" s="199">
        <f t="shared" si="40"/>
        <v>392110</v>
      </c>
      <c r="R31" s="199">
        <f t="shared" si="40"/>
        <v>380380</v>
      </c>
      <c r="S31" s="210">
        <f t="shared" si="40"/>
        <v>445910</v>
      </c>
    </row>
    <row r="32" spans="2:19" ht="15.75" thickBot="1">
      <c r="B32" s="136">
        <f>SUM(I9:S12,I16:S19,I24:S27)</f>
        <v>3090708</v>
      </c>
      <c r="C32" s="137">
        <f>AVERAGE(I9:S12,I16:S19,I24:S27)</f>
        <v>23414.454545454544</v>
      </c>
      <c r="D32" s="143">
        <f>STDEV(I9:S12,I16:S19,I24:S27)</f>
        <v>12333.699633443108</v>
      </c>
      <c r="E32" s="144"/>
      <c r="F32" s="203">
        <f t="shared" ref="F32:H32" si="42">AVERAGE(F9:F12,F16:F19,F24:F27)</f>
        <v>1296.5</v>
      </c>
      <c r="G32" s="203">
        <f t="shared" si="42"/>
        <v>33872.5</v>
      </c>
      <c r="H32" s="203">
        <f t="shared" si="42"/>
        <v>28945.8</v>
      </c>
      <c r="I32" s="201">
        <f t="shared" ref="I32:S32" si="43">AVERAGE(I9:I12,I16:I19,I24:I27)</f>
        <v>1401.25</v>
      </c>
      <c r="J32" s="201">
        <f t="shared" ref="J32:K32" si="44">AVERAGE(J9:J12,J16:J19,J24:J27)</f>
        <v>28065.833333333332</v>
      </c>
      <c r="K32" s="201">
        <f t="shared" si="44"/>
        <v>22741.083333333332</v>
      </c>
      <c r="L32" s="202">
        <f t="shared" si="43"/>
        <v>15779.166666666666</v>
      </c>
      <c r="M32" s="202">
        <f t="shared" si="43"/>
        <v>19820</v>
      </c>
      <c r="N32" s="202">
        <f t="shared" si="43"/>
        <v>24636.666666666668</v>
      </c>
      <c r="O32" s="202">
        <f t="shared" si="43"/>
        <v>27800</v>
      </c>
      <c r="P32" s="202">
        <f t="shared" si="43"/>
        <v>15781.666666666666</v>
      </c>
      <c r="Q32" s="202">
        <f t="shared" si="43"/>
        <v>32675.833333333332</v>
      </c>
      <c r="R32" s="202">
        <f t="shared" si="43"/>
        <v>31698.333333333332</v>
      </c>
      <c r="S32" s="202">
        <f t="shared" si="43"/>
        <v>37159.166666666664</v>
      </c>
    </row>
    <row r="33" spans="2:45" ht="15.75" thickBot="1">
      <c r="E33" s="122"/>
      <c r="F33" s="206">
        <f t="shared" ref="F33:H33" si="45">STDEV(F9:F12,F16:F19,F24:F27,)</f>
        <v>681.82086526278465</v>
      </c>
      <c r="G33" s="206">
        <f t="shared" si="45"/>
        <v>12924.745893450145</v>
      </c>
      <c r="H33" s="206">
        <f t="shared" si="45"/>
        <v>10913.662935971595</v>
      </c>
      <c r="I33" s="204">
        <f t="shared" ref="I33:S33" si="46">STDEV(I9:I12,I16:I19,I24:I27,)</f>
        <v>757.47845023083175</v>
      </c>
      <c r="J33" s="204">
        <f t="shared" ref="J33:K33" si="47">STDEV(J9:J12,J16:J19,J24:J27,)</f>
        <v>9411.8917551285285</v>
      </c>
      <c r="K33" s="204">
        <f t="shared" si="47"/>
        <v>7339.5678259900078</v>
      </c>
      <c r="L33" s="205">
        <f t="shared" si="46"/>
        <v>5213.3764097505536</v>
      </c>
      <c r="M33" s="205">
        <f t="shared" si="46"/>
        <v>10937.299038446845</v>
      </c>
      <c r="N33" s="205">
        <f t="shared" si="46"/>
        <v>10153.231707321767</v>
      </c>
      <c r="O33" s="205">
        <f t="shared" si="46"/>
        <v>10953.655284997976</v>
      </c>
      <c r="P33" s="205">
        <f t="shared" si="46"/>
        <v>8056.944368934327</v>
      </c>
      <c r="Q33" s="205">
        <f t="shared" si="46"/>
        <v>10567.704066199487</v>
      </c>
      <c r="R33" s="205">
        <f t="shared" si="46"/>
        <v>15477.28173808308</v>
      </c>
      <c r="S33" s="205">
        <f t="shared" si="46"/>
        <v>16499.998717948667</v>
      </c>
    </row>
    <row r="34" spans="2:45">
      <c r="AB34" t="s">
        <v>115</v>
      </c>
    </row>
    <row r="35" spans="2:45">
      <c r="J35" t="s">
        <v>109</v>
      </c>
    </row>
    <row r="36" spans="2:45">
      <c r="B36" t="s">
        <v>108</v>
      </c>
      <c r="AS36" t="s">
        <v>118</v>
      </c>
    </row>
    <row r="37" spans="2:45" ht="15.75" thickBot="1">
      <c r="B37" s="172" t="s">
        <v>101</v>
      </c>
      <c r="C37" s="172"/>
      <c r="D37" s="172"/>
      <c r="E37" s="173"/>
      <c r="F37" s="172" t="s">
        <v>20</v>
      </c>
      <c r="G37" s="172" t="s">
        <v>20</v>
      </c>
      <c r="H37" s="172" t="s">
        <v>20</v>
      </c>
      <c r="J37" s="172" t="s">
        <v>101</v>
      </c>
      <c r="K37" s="172"/>
      <c r="L37" s="172"/>
      <c r="M37" s="173"/>
      <c r="N37" s="172" t="s">
        <v>20</v>
      </c>
      <c r="O37" s="172" t="s">
        <v>20</v>
      </c>
      <c r="P37" s="172" t="s">
        <v>20</v>
      </c>
      <c r="S37" s="172" t="s">
        <v>110</v>
      </c>
      <c r="T37" s="172"/>
      <c r="U37" s="172"/>
      <c r="V37" s="173"/>
      <c r="W37" s="172" t="s">
        <v>20</v>
      </c>
      <c r="X37" s="172" t="s">
        <v>20</v>
      </c>
      <c r="Y37" s="172" t="s">
        <v>20</v>
      </c>
      <c r="AB37" s="172" t="s">
        <v>116</v>
      </c>
      <c r="AC37" s="172"/>
      <c r="AD37" s="172"/>
      <c r="AE37" s="173"/>
      <c r="AF37" s="172" t="s">
        <v>20</v>
      </c>
      <c r="AG37" s="172" t="s">
        <v>20</v>
      </c>
      <c r="AH37" s="172" t="s">
        <v>20</v>
      </c>
      <c r="AK37" s="172" t="s">
        <v>114</v>
      </c>
      <c r="AL37" s="172"/>
      <c r="AM37" s="172"/>
      <c r="AN37" s="173"/>
      <c r="AO37" s="172" t="s">
        <v>20</v>
      </c>
      <c r="AP37" s="172" t="s">
        <v>20</v>
      </c>
      <c r="AQ37" s="172" t="s">
        <v>20</v>
      </c>
    </row>
    <row r="38" spans="2:45" ht="15.75" thickBot="1">
      <c r="B38" s="187" t="e">
        <f>SUM(I38:V38)</f>
        <v>#DIV/0!</v>
      </c>
      <c r="C38" s="188" t="e">
        <f>AVERAGE(I38:V38)</f>
        <v>#DIV/0!</v>
      </c>
      <c r="D38" s="189" t="e">
        <f>STDEV(I38:U38)</f>
        <v>#DIV/0!</v>
      </c>
      <c r="E38" s="190" t="s">
        <v>40</v>
      </c>
      <c r="F38" s="192">
        <v>1165</v>
      </c>
      <c r="G38" s="192">
        <v>37660</v>
      </c>
      <c r="H38" s="191">
        <f>G38-F38*$L$6</f>
        <v>33233</v>
      </c>
      <c r="J38" s="187">
        <f>SUM(I149:V149)</f>
        <v>0</v>
      </c>
      <c r="K38" s="188" t="e">
        <f>AVERAGE(I149:V149)</f>
        <v>#DIV/0!</v>
      </c>
      <c r="L38" s="189" t="e">
        <f>STDEV(I149:U149)</f>
        <v>#DIV/0!</v>
      </c>
      <c r="M38" s="190" t="s">
        <v>40</v>
      </c>
      <c r="N38" s="192">
        <v>1170</v>
      </c>
      <c r="O38" s="192">
        <v>36360</v>
      </c>
      <c r="P38" s="191">
        <f>O38-N38*$L$6</f>
        <v>31914</v>
      </c>
      <c r="R38">
        <v>500</v>
      </c>
      <c r="S38" s="187">
        <f>SUM(R149:AE149)</f>
        <v>0</v>
      </c>
      <c r="T38" s="188" t="e">
        <f>AVERAGE(R149:AE149)</f>
        <v>#DIV/0!</v>
      </c>
      <c r="U38" s="189" t="e">
        <f>STDEV(R149:AD149)</f>
        <v>#DIV/0!</v>
      </c>
      <c r="V38" s="190" t="s">
        <v>40</v>
      </c>
      <c r="W38" s="192">
        <v>682</v>
      </c>
      <c r="X38" s="192">
        <v>18970</v>
      </c>
      <c r="Y38" s="191">
        <f>X38-W38*$L$6</f>
        <v>16378.4</v>
      </c>
      <c r="AB38" s="187">
        <f>SUM(AA149:AN149)</f>
        <v>0</v>
      </c>
      <c r="AC38" s="188" t="e">
        <f>AVERAGE(AA149:AN149)</f>
        <v>#DIV/0!</v>
      </c>
      <c r="AD38" s="189" t="e">
        <f>STDEV(AA149:AM149)</f>
        <v>#DIV/0!</v>
      </c>
      <c r="AE38" s="190" t="s">
        <v>40</v>
      </c>
      <c r="AF38" s="192">
        <v>664</v>
      </c>
      <c r="AG38" s="192">
        <v>18160</v>
      </c>
      <c r="AH38" s="191">
        <f>AG38-AF38*$L$6</f>
        <v>15636.8</v>
      </c>
      <c r="AK38" s="187">
        <f>SUM(AJ149:AV149)</f>
        <v>0</v>
      </c>
      <c r="AL38" s="188" t="e">
        <f>AVERAGE(AJ149:AV149)</f>
        <v>#DIV/0!</v>
      </c>
      <c r="AM38" s="189" t="e">
        <f>STDEV(AJ149:AU149)</f>
        <v>#DIV/0!</v>
      </c>
      <c r="AN38" s="190" t="s">
        <v>40</v>
      </c>
      <c r="AO38" s="192">
        <v>1168</v>
      </c>
      <c r="AP38" s="192">
        <v>37100</v>
      </c>
      <c r="AQ38" s="191">
        <f>AP38-AO38*$L$6</f>
        <v>32661.599999999999</v>
      </c>
    </row>
    <row r="39" spans="2:45" ht="15.75" thickBot="1">
      <c r="B39" s="134" t="e">
        <f>SUM(I39:V39)</f>
        <v>#DIV/0!</v>
      </c>
      <c r="C39" s="128" t="e">
        <f>AVERAGE(I39:V39)</f>
        <v>#DIV/0!</v>
      </c>
      <c r="D39" s="141" t="e">
        <f>STDEV(I39:U39)</f>
        <v>#DIV/0!</v>
      </c>
      <c r="E39" s="193" t="s">
        <v>41</v>
      </c>
      <c r="F39" s="194">
        <v>1987</v>
      </c>
      <c r="G39" s="194">
        <v>46180</v>
      </c>
      <c r="H39" s="222">
        <f t="shared" ref="H39:H41" si="48">G39-F39*$L$6</f>
        <v>38629.4</v>
      </c>
      <c r="J39" s="134">
        <f>SUM(I150:V150)</f>
        <v>0</v>
      </c>
      <c r="K39" s="128" t="e">
        <f>AVERAGE(I150:V150)</f>
        <v>#DIV/0!</v>
      </c>
      <c r="L39" s="141" t="e">
        <f>STDEV(I150:U150)</f>
        <v>#DIV/0!</v>
      </c>
      <c r="M39" s="193" t="s">
        <v>41</v>
      </c>
      <c r="N39" s="194">
        <v>1993</v>
      </c>
      <c r="O39" s="194">
        <v>50070</v>
      </c>
      <c r="P39" s="222">
        <f t="shared" ref="P39:P41" si="49">O39-N39*$L$6</f>
        <v>42496.6</v>
      </c>
      <c r="S39" s="134">
        <f>SUM(R150:AE150)</f>
        <v>0</v>
      </c>
      <c r="T39" s="128" t="e">
        <f>AVERAGE(R150:AE150)</f>
        <v>#DIV/0!</v>
      </c>
      <c r="U39" s="141" t="e">
        <f>STDEV(R150:AD150)</f>
        <v>#DIV/0!</v>
      </c>
      <c r="V39" s="193" t="s">
        <v>41</v>
      </c>
      <c r="W39" s="194">
        <v>1111</v>
      </c>
      <c r="X39" s="194">
        <v>7760</v>
      </c>
      <c r="Y39" s="222">
        <f t="shared" ref="Y39:Y41" si="50">X39-W39*$L$6</f>
        <v>3538.2</v>
      </c>
      <c r="AB39" s="134">
        <f>SUM(AA150:AN150)</f>
        <v>0</v>
      </c>
      <c r="AC39" s="128" t="e">
        <f>AVERAGE(AA150:AN150)</f>
        <v>#DIV/0!</v>
      </c>
      <c r="AD39" s="141" t="e">
        <f>STDEV(AA150:AM150)</f>
        <v>#DIV/0!</v>
      </c>
      <c r="AE39" s="193" t="s">
        <v>41</v>
      </c>
      <c r="AF39" s="194">
        <v>890</v>
      </c>
      <c r="AG39" s="194">
        <v>15700</v>
      </c>
      <c r="AH39" s="222">
        <f t="shared" ref="AH39:AH41" si="51">AG39-AF39*$L$6</f>
        <v>12318</v>
      </c>
      <c r="AK39" s="134">
        <f>SUM(AJ150:AV150)</f>
        <v>0</v>
      </c>
      <c r="AL39" s="128" t="e">
        <f>AVERAGE(AJ150:AV150)</f>
        <v>#DIV/0!</v>
      </c>
      <c r="AM39" s="141" t="e">
        <f>STDEV(AJ150:AU150)</f>
        <v>#DIV/0!</v>
      </c>
      <c r="AN39" s="193" t="s">
        <v>41</v>
      </c>
      <c r="AO39" s="194">
        <v>1606</v>
      </c>
      <c r="AP39" s="194">
        <v>38780</v>
      </c>
      <c r="AQ39" s="222">
        <f t="shared" ref="AQ39:AQ41" si="52">AP39-AO39*$L$6</f>
        <v>32677.200000000001</v>
      </c>
    </row>
    <row r="40" spans="2:45" ht="15.75" thickBot="1">
      <c r="B40" s="214" t="e">
        <f>SUM(I40:V40)</f>
        <v>#DIV/0!</v>
      </c>
      <c r="C40" s="128" t="e">
        <f>AVERAGE(I40:V40)</f>
        <v>#DIV/0!</v>
      </c>
      <c r="D40" s="141" t="e">
        <f>STDEV(I40:U40)</f>
        <v>#DIV/0!</v>
      </c>
      <c r="E40" s="193" t="s">
        <v>42</v>
      </c>
      <c r="F40" s="194">
        <v>2324</v>
      </c>
      <c r="G40" s="194">
        <v>49430</v>
      </c>
      <c r="H40" s="222">
        <f t="shared" si="48"/>
        <v>40598.800000000003</v>
      </c>
      <c r="J40" s="214">
        <f>SUM(I151:V151)</f>
        <v>0</v>
      </c>
      <c r="K40" s="128" t="e">
        <f>AVERAGE(I151:V151)</f>
        <v>#DIV/0!</v>
      </c>
      <c r="L40" s="141" t="e">
        <f>STDEV(I151:U151)</f>
        <v>#DIV/0!</v>
      </c>
      <c r="M40" s="193" t="s">
        <v>42</v>
      </c>
      <c r="N40" s="194">
        <v>2337</v>
      </c>
      <c r="O40" s="194">
        <v>49030</v>
      </c>
      <c r="P40" s="222">
        <f t="shared" si="49"/>
        <v>40149.4</v>
      </c>
      <c r="S40" s="214">
        <f>SUM(R151:AE151)</f>
        <v>0</v>
      </c>
      <c r="T40" s="128" t="e">
        <f>AVERAGE(R151:AE151)</f>
        <v>#DIV/0!</v>
      </c>
      <c r="U40" s="141" t="e">
        <f>STDEV(R151:AD151)</f>
        <v>#DIV/0!</v>
      </c>
      <c r="V40" s="193" t="s">
        <v>42</v>
      </c>
      <c r="W40" s="194">
        <v>1293</v>
      </c>
      <c r="X40" s="194">
        <v>31640</v>
      </c>
      <c r="Y40" s="222">
        <f t="shared" si="50"/>
        <v>26726.6</v>
      </c>
      <c r="AB40" s="214">
        <f>SUM(AA151:AN151)</f>
        <v>0</v>
      </c>
      <c r="AC40" s="128" t="e">
        <f>AVERAGE(AA151:AN151)</f>
        <v>#DIV/0!</v>
      </c>
      <c r="AD40" s="141" t="e">
        <f>STDEV(AA151:AM151)</f>
        <v>#DIV/0!</v>
      </c>
      <c r="AE40" s="193" t="s">
        <v>42</v>
      </c>
      <c r="AF40" s="194">
        <v>1292</v>
      </c>
      <c r="AG40" s="194">
        <v>29520</v>
      </c>
      <c r="AH40" s="222">
        <f t="shared" si="51"/>
        <v>24610.400000000001</v>
      </c>
      <c r="AK40" s="214">
        <f>SUM(AJ151:AV151)</f>
        <v>0</v>
      </c>
      <c r="AL40" s="128" t="e">
        <f>AVERAGE(AJ151:AV151)</f>
        <v>#DIV/0!</v>
      </c>
      <c r="AM40" s="141" t="e">
        <f>STDEV(AJ151:AU151)</f>
        <v>#DIV/0!</v>
      </c>
      <c r="AN40" s="193" t="s">
        <v>42</v>
      </c>
      <c r="AO40" s="194">
        <v>2333</v>
      </c>
      <c r="AP40" s="194">
        <v>47500</v>
      </c>
      <c r="AQ40" s="222">
        <f t="shared" si="52"/>
        <v>38634.6</v>
      </c>
    </row>
    <row r="41" spans="2:45">
      <c r="B41" s="214" t="e">
        <f>SUM(I41:V41)</f>
        <v>#DIV/0!</v>
      </c>
      <c r="C41" s="128" t="e">
        <f>AVERAGE(I41:V41)</f>
        <v>#DIV/0!</v>
      </c>
      <c r="D41" s="141" t="e">
        <f>STDEV(I41:U41)</f>
        <v>#DIV/0!</v>
      </c>
      <c r="E41" s="193" t="s">
        <v>43</v>
      </c>
      <c r="F41" s="194">
        <v>3029</v>
      </c>
      <c r="G41" s="194">
        <v>50620</v>
      </c>
      <c r="H41" s="224">
        <f t="shared" si="48"/>
        <v>39109.800000000003</v>
      </c>
      <c r="J41" s="214">
        <f>SUM(I152:V152)</f>
        <v>0</v>
      </c>
      <c r="K41" s="128" t="e">
        <f>AVERAGE(I152:V152)</f>
        <v>#DIV/0!</v>
      </c>
      <c r="L41" s="141" t="e">
        <f>STDEV(I152:U152)</f>
        <v>#DIV/0!</v>
      </c>
      <c r="M41" s="193" t="s">
        <v>43</v>
      </c>
      <c r="N41" s="194">
        <v>3055</v>
      </c>
      <c r="O41" s="194">
        <v>51770</v>
      </c>
      <c r="P41" s="224">
        <f t="shared" si="49"/>
        <v>40161</v>
      </c>
      <c r="S41" s="214">
        <f>SUM(R152:AE152)</f>
        <v>0</v>
      </c>
      <c r="T41" s="128" t="e">
        <f>AVERAGE(R152:AE152)</f>
        <v>#DIV/0!</v>
      </c>
      <c r="U41" s="141" t="e">
        <f>STDEV(R152:AD152)</f>
        <v>#DIV/0!</v>
      </c>
      <c r="V41" s="193" t="s">
        <v>43</v>
      </c>
      <c r="W41" s="194">
        <v>1668</v>
      </c>
      <c r="X41" s="194">
        <v>22600</v>
      </c>
      <c r="Y41" s="224">
        <f t="shared" si="50"/>
        <v>16261.6</v>
      </c>
      <c r="AB41" s="214">
        <f>SUM(AA152:AN152)</f>
        <v>0</v>
      </c>
      <c r="AC41" s="128" t="e">
        <f>AVERAGE(AA152:AN152)</f>
        <v>#DIV/0!</v>
      </c>
      <c r="AD41" s="141" t="e">
        <f>STDEV(AA152:AM152)</f>
        <v>#DIV/0!</v>
      </c>
      <c r="AE41" s="193" t="s">
        <v>43</v>
      </c>
      <c r="AF41" s="194">
        <v>1407</v>
      </c>
      <c r="AG41" s="194">
        <v>28250</v>
      </c>
      <c r="AH41" s="224">
        <f t="shared" si="51"/>
        <v>22903.4</v>
      </c>
      <c r="AK41" s="214">
        <f>SUM(AJ152:AV152)</f>
        <v>0</v>
      </c>
      <c r="AL41" s="128" t="e">
        <f>AVERAGE(AJ152:AV152)</f>
        <v>#DIV/0!</v>
      </c>
      <c r="AM41" s="141" t="e">
        <f>STDEV(AJ152:AU152)</f>
        <v>#DIV/0!</v>
      </c>
      <c r="AN41" s="193" t="s">
        <v>43</v>
      </c>
      <c r="AO41" s="194">
        <v>2526</v>
      </c>
      <c r="AP41" s="194">
        <v>41830</v>
      </c>
      <c r="AQ41" s="224">
        <f t="shared" si="52"/>
        <v>32231.200000000001</v>
      </c>
    </row>
    <row r="42" spans="2:45">
      <c r="B42" s="132" t="e">
        <f>SUM(B38:B41)</f>
        <v>#DIV/0!</v>
      </c>
      <c r="C42" s="126" t="e">
        <f>AVERAGE(I38:AA41)</f>
        <v>#DIV/0!</v>
      </c>
      <c r="D42" s="139" t="e">
        <f>STDEV(I38:AA41)</f>
        <v>#DIV/0!</v>
      </c>
      <c r="E42" s="124"/>
      <c r="F42" s="207">
        <f t="shared" ref="F42:H42" si="53">SUM(F38:F41)</f>
        <v>8505</v>
      </c>
      <c r="G42" s="207">
        <f t="shared" si="53"/>
        <v>183890</v>
      </c>
      <c r="H42" s="207">
        <f t="shared" si="53"/>
        <v>151571</v>
      </c>
      <c r="J42" s="132">
        <f>SUM(J38:J41)</f>
        <v>0</v>
      </c>
      <c r="K42" s="126" t="e">
        <f>AVERAGE(I149:AA152)</f>
        <v>#DIV/0!</v>
      </c>
      <c r="L42" s="139" t="e">
        <f>STDEV(I149:AA152)</f>
        <v>#DIV/0!</v>
      </c>
      <c r="M42" s="124"/>
      <c r="N42" s="207">
        <f t="shared" ref="N42:P42" si="54">SUM(N38:N41)</f>
        <v>8555</v>
      </c>
      <c r="O42" s="207">
        <f t="shared" si="54"/>
        <v>187230</v>
      </c>
      <c r="P42" s="207">
        <f t="shared" si="54"/>
        <v>154721</v>
      </c>
      <c r="S42" s="132">
        <f>SUM(S38:S41)</f>
        <v>0</v>
      </c>
      <c r="T42" s="126" t="e">
        <f>AVERAGE(R149:AJ152)</f>
        <v>#DIV/0!</v>
      </c>
      <c r="U42" s="139" t="e">
        <f>STDEV(R149:AJ152)</f>
        <v>#DIV/0!</v>
      </c>
      <c r="V42" s="124"/>
      <c r="W42" s="207">
        <f t="shared" ref="W42:Y42" si="55">SUM(W38:W41)</f>
        <v>4754</v>
      </c>
      <c r="X42" s="207">
        <f t="shared" si="55"/>
        <v>80970</v>
      </c>
      <c r="Y42" s="207">
        <f t="shared" si="55"/>
        <v>62904.799999999996</v>
      </c>
      <c r="AB42" s="132">
        <f>SUM(AB38:AB41)</f>
        <v>0</v>
      </c>
      <c r="AC42" s="126" t="e">
        <f>AVERAGE(AA149:AR152)</f>
        <v>#DIV/0!</v>
      </c>
      <c r="AD42" s="139" t="e">
        <f>STDEV(AA149:AR152)</f>
        <v>#DIV/0!</v>
      </c>
      <c r="AE42" s="124"/>
      <c r="AF42" s="207">
        <f t="shared" ref="AF42:AH42" si="56">SUM(AF38:AF41)</f>
        <v>4253</v>
      </c>
      <c r="AG42" s="207">
        <f t="shared" si="56"/>
        <v>91630</v>
      </c>
      <c r="AH42" s="207">
        <f t="shared" si="56"/>
        <v>75468.600000000006</v>
      </c>
      <c r="AK42" s="132">
        <f>SUM(AK38:AK41)</f>
        <v>0</v>
      </c>
      <c r="AL42" s="126" t="e">
        <f>AVERAGE(AJ149:BA152)</f>
        <v>#DIV/0!</v>
      </c>
      <c r="AM42" s="139" t="e">
        <f>STDEV(AJ149:BA152)</f>
        <v>#DIV/0!</v>
      </c>
      <c r="AN42" s="124"/>
      <c r="AO42" s="207">
        <f t="shared" ref="AO42:AQ42" si="57">SUM(AO38:AO41)</f>
        <v>7633</v>
      </c>
      <c r="AP42" s="207">
        <f t="shared" si="57"/>
        <v>165210</v>
      </c>
      <c r="AQ42" s="207">
        <f t="shared" si="57"/>
        <v>136204.6</v>
      </c>
    </row>
    <row r="43" spans="2:45">
      <c r="B43" s="132" t="e">
        <f>AVERAGE(B38:B41)</f>
        <v>#DIV/0!</v>
      </c>
      <c r="C43" s="126"/>
      <c r="D43" s="139"/>
      <c r="E43" s="124"/>
      <c r="F43" s="138">
        <f t="shared" ref="F43:H43" si="58">AVERAGE(F38:F41)</f>
        <v>2126.25</v>
      </c>
      <c r="G43" s="138">
        <f t="shared" si="58"/>
        <v>45972.5</v>
      </c>
      <c r="H43" s="138">
        <f t="shared" si="58"/>
        <v>37892.75</v>
      </c>
      <c r="J43" s="132">
        <f>AVERAGE(J38:J41)</f>
        <v>0</v>
      </c>
      <c r="K43" s="126"/>
      <c r="L43" s="139"/>
      <c r="M43" s="124"/>
      <c r="N43" s="138">
        <f t="shared" ref="N43:P43" si="59">AVERAGE(N38:N41)</f>
        <v>2138.75</v>
      </c>
      <c r="O43" s="138">
        <f t="shared" si="59"/>
        <v>46807.5</v>
      </c>
      <c r="P43" s="138">
        <f t="shared" si="59"/>
        <v>38680.25</v>
      </c>
      <c r="S43" s="132">
        <f>AVERAGE(S38:S41)</f>
        <v>0</v>
      </c>
      <c r="T43" s="126"/>
      <c r="U43" s="139"/>
      <c r="V43" s="124"/>
      <c r="W43" s="138">
        <f t="shared" ref="W43:Y43" si="60">AVERAGE(W38:W41)</f>
        <v>1188.5</v>
      </c>
      <c r="X43" s="138">
        <f t="shared" si="60"/>
        <v>20242.5</v>
      </c>
      <c r="Y43" s="138">
        <f t="shared" si="60"/>
        <v>15726.199999999999</v>
      </c>
      <c r="AB43" s="132">
        <f>AVERAGE(AB38:AB41)</f>
        <v>0</v>
      </c>
      <c r="AC43" s="126"/>
      <c r="AD43" s="139"/>
      <c r="AE43" s="124"/>
      <c r="AF43" s="138">
        <f t="shared" ref="AF43:AH43" si="61">AVERAGE(AF38:AF41)</f>
        <v>1063.25</v>
      </c>
      <c r="AG43" s="138">
        <f t="shared" si="61"/>
        <v>22907.5</v>
      </c>
      <c r="AH43" s="138">
        <f t="shared" si="61"/>
        <v>18867.150000000001</v>
      </c>
      <c r="AK43" s="132">
        <f>AVERAGE(AK38:AK41)</f>
        <v>0</v>
      </c>
      <c r="AL43" s="126"/>
      <c r="AM43" s="139"/>
      <c r="AN43" s="124"/>
      <c r="AO43" s="138">
        <f t="shared" ref="AO43:AQ43" si="62">AVERAGE(AO38:AO41)</f>
        <v>1908.25</v>
      </c>
      <c r="AP43" s="138">
        <f t="shared" si="62"/>
        <v>41302.5</v>
      </c>
      <c r="AQ43" s="138">
        <f t="shared" si="62"/>
        <v>34051.15</v>
      </c>
    </row>
    <row r="44" spans="2:45" ht="15.75" thickBot="1">
      <c r="B44" s="169" t="e">
        <f>STDEV(B38:B41)</f>
        <v>#DIV/0!</v>
      </c>
      <c r="C44" s="170"/>
      <c r="D44" s="171"/>
      <c r="E44" s="124"/>
      <c r="F44" s="178">
        <f t="shared" ref="F44:H44" si="63">STDEV(F38:F41)</f>
        <v>774.04882490275338</v>
      </c>
      <c r="G44" s="178">
        <f t="shared" si="63"/>
        <v>5850.7627707846777</v>
      </c>
      <c r="H44" s="178">
        <f t="shared" si="63"/>
        <v>3217.6513479037344</v>
      </c>
      <c r="J44" s="169">
        <f>STDEV(J38:J41)</f>
        <v>0</v>
      </c>
      <c r="K44" s="170"/>
      <c r="L44" s="171"/>
      <c r="M44" s="124"/>
      <c r="N44" s="178">
        <f t="shared" ref="N44:P44" si="64">STDEV(N38:N41)</f>
        <v>782.84454608391661</v>
      </c>
      <c r="O44" s="178">
        <f t="shared" si="64"/>
        <v>7055.9685137241549</v>
      </c>
      <c r="P44" s="178">
        <f t="shared" si="64"/>
        <v>4643.9095838887042</v>
      </c>
      <c r="S44" s="169">
        <f>STDEV(S38:S41)</f>
        <v>0</v>
      </c>
      <c r="T44" s="170"/>
      <c r="U44" s="171"/>
      <c r="V44" s="124"/>
      <c r="W44" s="178">
        <f t="shared" ref="W44:Y44" si="65">STDEV(W38:W41)</f>
        <v>409.62950740069169</v>
      </c>
      <c r="X44" s="178">
        <f t="shared" si="65"/>
        <v>9880.8379368013793</v>
      </c>
      <c r="Y44" s="178">
        <f t="shared" si="65"/>
        <v>9491.5429402530044</v>
      </c>
      <c r="AB44" s="169">
        <f>STDEV(AB38:AB41)</f>
        <v>0</v>
      </c>
      <c r="AC44" s="170"/>
      <c r="AD44" s="171"/>
      <c r="AE44" s="124"/>
      <c r="AF44" s="178">
        <f t="shared" ref="AF44:AH44" si="66">STDEV(AF38:AF41)</f>
        <v>346.36529368091527</v>
      </c>
      <c r="AG44" s="178">
        <f t="shared" si="66"/>
        <v>6994.1469577545095</v>
      </c>
      <c r="AH44" s="178">
        <f t="shared" si="66"/>
        <v>5848.155306590269</v>
      </c>
      <c r="AK44" s="169">
        <f>STDEV(AK38:AK41)</f>
        <v>0</v>
      </c>
      <c r="AL44" s="170"/>
      <c r="AM44" s="171"/>
      <c r="AN44" s="124"/>
      <c r="AO44" s="178">
        <f t="shared" ref="AO44:AQ44" si="67">STDEV(AO38:AO41)</f>
        <v>632.81191255116767</v>
      </c>
      <c r="AP44" s="178">
        <f t="shared" si="67"/>
        <v>4572.0628094256681</v>
      </c>
      <c r="AQ44" s="178">
        <f t="shared" si="67"/>
        <v>3062.6143358248705</v>
      </c>
    </row>
    <row r="45" spans="2:45" ht="15.75" thickBot="1">
      <c r="B45" s="133" t="e">
        <f>SUM(I45:V45)</f>
        <v>#DIV/0!</v>
      </c>
      <c r="C45" s="127" t="e">
        <f>AVERAGE(I45:V45)</f>
        <v>#DIV/0!</v>
      </c>
      <c r="D45" s="140" t="e">
        <f>STDEV(I45:U45)</f>
        <v>#DIV/0!</v>
      </c>
      <c r="E45" s="190" t="s">
        <v>40</v>
      </c>
      <c r="F45" s="155">
        <v>1306</v>
      </c>
      <c r="G45" s="155">
        <v>36190</v>
      </c>
      <c r="H45" s="191">
        <f>G45-F45*$L$6</f>
        <v>31227.200000000001</v>
      </c>
      <c r="J45" s="133">
        <f>SUM(I156:V156)</f>
        <v>0</v>
      </c>
      <c r="K45" s="127" t="e">
        <f>AVERAGE(I156:V156)</f>
        <v>#DIV/0!</v>
      </c>
      <c r="L45" s="140" t="e">
        <f>STDEV(I156:U156)</f>
        <v>#DIV/0!</v>
      </c>
      <c r="M45" s="190" t="s">
        <v>40</v>
      </c>
      <c r="N45" s="155">
        <v>1315</v>
      </c>
      <c r="O45" s="155">
        <v>36130</v>
      </c>
      <c r="P45" s="191">
        <f>O45-N45*$L$6</f>
        <v>31133</v>
      </c>
      <c r="R45">
        <v>425</v>
      </c>
      <c r="S45" s="133">
        <f>SUM(R156:AE156)</f>
        <v>0</v>
      </c>
      <c r="T45" s="127" t="e">
        <f>AVERAGE(R156:AE156)</f>
        <v>#DIV/0!</v>
      </c>
      <c r="U45" s="140" t="e">
        <f>STDEV(R156:AD156)</f>
        <v>#DIV/0!</v>
      </c>
      <c r="V45" s="190" t="s">
        <v>40</v>
      </c>
      <c r="W45" s="155">
        <v>702</v>
      </c>
      <c r="X45" s="155">
        <v>24730</v>
      </c>
      <c r="Y45" s="191">
        <f>X45-W45*$L$6</f>
        <v>22062.400000000001</v>
      </c>
      <c r="AB45" s="133">
        <f>SUM(AA156:AN156)</f>
        <v>0</v>
      </c>
      <c r="AC45" s="127" t="e">
        <f>AVERAGE(AA156:AN156)</f>
        <v>#DIV/0!</v>
      </c>
      <c r="AD45" s="140" t="e">
        <f>STDEV(AA156:AM156)</f>
        <v>#DIV/0!</v>
      </c>
      <c r="AE45" s="190" t="s">
        <v>40</v>
      </c>
      <c r="AF45" s="155">
        <v>704</v>
      </c>
      <c r="AG45" s="155">
        <v>24260</v>
      </c>
      <c r="AH45" s="191">
        <f>AG45-AF45*$L$6</f>
        <v>21584.799999999999</v>
      </c>
      <c r="AK45" s="133">
        <f>SUM(AJ156:AV156)</f>
        <v>0</v>
      </c>
      <c r="AL45" s="127" t="e">
        <f>AVERAGE(AJ156:AV156)</f>
        <v>#DIV/0!</v>
      </c>
      <c r="AM45" s="140" t="e">
        <f>STDEV(AJ156:AU156)</f>
        <v>#DIV/0!</v>
      </c>
      <c r="AN45" s="190" t="s">
        <v>40</v>
      </c>
      <c r="AO45" s="155">
        <v>1313</v>
      </c>
      <c r="AP45" s="155">
        <v>35740</v>
      </c>
      <c r="AQ45" s="191">
        <f>AP45-AO45*$L$6</f>
        <v>30750.6</v>
      </c>
    </row>
    <row r="46" spans="2:45" ht="15.75" thickBot="1">
      <c r="B46" s="133" t="e">
        <f>SUM(I46:V46)</f>
        <v>#DIV/0!</v>
      </c>
      <c r="C46" s="127" t="e">
        <f>AVERAGE(I46:V46)</f>
        <v>#DIV/0!</v>
      </c>
      <c r="D46" s="140" t="e">
        <f>STDEV(I46:U46)</f>
        <v>#DIV/0!</v>
      </c>
      <c r="E46" s="193" t="s">
        <v>41</v>
      </c>
      <c r="F46" s="155">
        <v>2166</v>
      </c>
      <c r="G46" s="155">
        <v>37850</v>
      </c>
      <c r="H46" s="191">
        <f t="shared" ref="H46:H48" si="68">G46-F46*$L$6</f>
        <v>29619.200000000001</v>
      </c>
      <c r="J46" s="133">
        <f>SUM(I157:V157)</f>
        <v>0</v>
      </c>
      <c r="K46" s="127" t="e">
        <f>AVERAGE(I157:V157)</f>
        <v>#DIV/0!</v>
      </c>
      <c r="L46" s="140" t="e">
        <f>STDEV(I157:U157)</f>
        <v>#DIV/0!</v>
      </c>
      <c r="M46" s="193" t="s">
        <v>41</v>
      </c>
      <c r="N46" s="155">
        <v>2175</v>
      </c>
      <c r="O46" s="155">
        <v>38950</v>
      </c>
      <c r="P46" s="191">
        <f t="shared" ref="P46:P48" si="69">O46-N46*$L$6</f>
        <v>30685</v>
      </c>
      <c r="S46" s="133">
        <f>SUM(R157:AE157)</f>
        <v>0</v>
      </c>
      <c r="T46" s="127" t="e">
        <f>AVERAGE(R157:AE157)</f>
        <v>#DIV/0!</v>
      </c>
      <c r="U46" s="140" t="e">
        <f>STDEV(R157:AD157)</f>
        <v>#DIV/0!</v>
      </c>
      <c r="V46" s="193" t="s">
        <v>41</v>
      </c>
      <c r="W46" s="155">
        <v>1184</v>
      </c>
      <c r="X46" s="155">
        <v>8890</v>
      </c>
      <c r="Y46" s="191">
        <f t="shared" ref="Y46:Y48" si="70">X46-W46*$L$6</f>
        <v>4390.8</v>
      </c>
      <c r="AB46" s="133">
        <f>SUM(AA157:AN157)</f>
        <v>0</v>
      </c>
      <c r="AC46" s="127" t="e">
        <f>AVERAGE(AA157:AN157)</f>
        <v>#DIV/0!</v>
      </c>
      <c r="AD46" s="140" t="e">
        <f>STDEV(AA157:AM157)</f>
        <v>#DIV/0!</v>
      </c>
      <c r="AE46" s="193" t="s">
        <v>41</v>
      </c>
      <c r="AF46" s="155">
        <v>938</v>
      </c>
      <c r="AG46" s="155">
        <v>15250</v>
      </c>
      <c r="AH46" s="191">
        <f t="shared" ref="AH46:AH48" si="71">AG46-AF46*$L$6</f>
        <v>11685.6</v>
      </c>
      <c r="AK46" s="133">
        <f>SUM(AJ157:AV157)</f>
        <v>0</v>
      </c>
      <c r="AL46" s="127" t="e">
        <f>AVERAGE(AJ157:AV157)</f>
        <v>#DIV/0!</v>
      </c>
      <c r="AM46" s="140" t="e">
        <f>STDEV(AJ157:AU157)</f>
        <v>#DIV/0!</v>
      </c>
      <c r="AN46" s="193" t="s">
        <v>41</v>
      </c>
      <c r="AO46" s="155">
        <v>1731</v>
      </c>
      <c r="AP46" s="155">
        <v>31350</v>
      </c>
      <c r="AQ46" s="191">
        <f t="shared" ref="AQ46:AQ48" si="72">AP46-AO46*$L$6</f>
        <v>24772.2</v>
      </c>
    </row>
    <row r="47" spans="2:45" ht="15.75" thickBot="1">
      <c r="B47" s="214" t="e">
        <f>SUM(I47:V47)</f>
        <v>#DIV/0!</v>
      </c>
      <c r="C47" s="127" t="e">
        <f>AVERAGE(I47:V47)</f>
        <v>#DIV/0!</v>
      </c>
      <c r="D47" s="140" t="e">
        <f>STDEV(I47:U47)</f>
        <v>#DIV/0!</v>
      </c>
      <c r="E47" s="193" t="s">
        <v>42</v>
      </c>
      <c r="F47" s="155">
        <v>2476</v>
      </c>
      <c r="G47" s="155">
        <v>51820</v>
      </c>
      <c r="H47" s="224">
        <f t="shared" si="68"/>
        <v>42411.199999999997</v>
      </c>
      <c r="J47" s="214">
        <f>SUM(I158:V158)</f>
        <v>0</v>
      </c>
      <c r="K47" s="127" t="e">
        <f>AVERAGE(I158:V158)</f>
        <v>#DIV/0!</v>
      </c>
      <c r="L47" s="140" t="e">
        <f>STDEV(I158:U158)</f>
        <v>#DIV/0!</v>
      </c>
      <c r="M47" s="193" t="s">
        <v>42</v>
      </c>
      <c r="N47" s="155">
        <v>2491</v>
      </c>
      <c r="O47" s="155">
        <v>52390</v>
      </c>
      <c r="P47" s="224">
        <f t="shared" si="69"/>
        <v>42924.2</v>
      </c>
      <c r="S47" s="214">
        <f>SUM(R158:AE158)</f>
        <v>0</v>
      </c>
      <c r="T47" s="127" t="e">
        <f>AVERAGE(R158:AE158)</f>
        <v>#DIV/0!</v>
      </c>
      <c r="U47" s="140" t="e">
        <f>STDEV(R158:AD158)</f>
        <v>#DIV/0!</v>
      </c>
      <c r="V47" s="193" t="s">
        <v>42</v>
      </c>
      <c r="W47" s="155">
        <v>1355</v>
      </c>
      <c r="X47" s="155">
        <v>39600</v>
      </c>
      <c r="Y47" s="224">
        <f t="shared" si="70"/>
        <v>34451</v>
      </c>
      <c r="AB47" s="214">
        <f>SUM(AA158:AN158)</f>
        <v>0</v>
      </c>
      <c r="AC47" s="127" t="e">
        <f>AVERAGE(AA158:AN158)</f>
        <v>#DIV/0!</v>
      </c>
      <c r="AD47" s="140" t="e">
        <f>STDEV(AA158:AM158)</f>
        <v>#DIV/0!</v>
      </c>
      <c r="AE47" s="193" t="s">
        <v>42</v>
      </c>
      <c r="AF47" s="155">
        <v>1353</v>
      </c>
      <c r="AG47" s="155">
        <v>40930</v>
      </c>
      <c r="AH47" s="224">
        <f t="shared" si="71"/>
        <v>35788.6</v>
      </c>
      <c r="AK47" s="214">
        <f>SUM(AJ158:AV158)</f>
        <v>0</v>
      </c>
      <c r="AL47" s="127" t="e">
        <f>AVERAGE(AJ158:AV158)</f>
        <v>#DIV/0!</v>
      </c>
      <c r="AM47" s="140" t="e">
        <f>STDEV(AJ158:AU158)</f>
        <v>#DIV/0!</v>
      </c>
      <c r="AN47" s="193" t="s">
        <v>42</v>
      </c>
      <c r="AO47" s="155">
        <v>2480</v>
      </c>
      <c r="AP47" s="155">
        <v>48820</v>
      </c>
      <c r="AQ47" s="224">
        <f t="shared" si="72"/>
        <v>39396</v>
      </c>
    </row>
    <row r="48" spans="2:45">
      <c r="B48" s="133" t="e">
        <f>SUM(I48:V48)</f>
        <v>#DIV/0!</v>
      </c>
      <c r="C48" s="127" t="e">
        <f>AVERAGE(I48:V48)</f>
        <v>#DIV/0!</v>
      </c>
      <c r="D48" s="140" t="e">
        <f>STDEV(I48:U48)</f>
        <v>#DIV/0!</v>
      </c>
      <c r="E48" s="193" t="s">
        <v>43</v>
      </c>
      <c r="F48" s="155">
        <v>3193</v>
      </c>
      <c r="G48" s="155">
        <v>51160</v>
      </c>
      <c r="H48" s="224">
        <f t="shared" si="68"/>
        <v>39026.6</v>
      </c>
      <c r="J48" s="133">
        <f>SUM(I159:V159)</f>
        <v>0</v>
      </c>
      <c r="K48" s="127" t="e">
        <f>AVERAGE(I159:V159)</f>
        <v>#DIV/0!</v>
      </c>
      <c r="L48" s="140" t="e">
        <f>STDEV(I159:U159)</f>
        <v>#DIV/0!</v>
      </c>
      <c r="M48" s="193" t="s">
        <v>43</v>
      </c>
      <c r="N48" s="155">
        <v>3216</v>
      </c>
      <c r="O48" s="155">
        <v>54510</v>
      </c>
      <c r="P48" s="224">
        <f t="shared" si="69"/>
        <v>42289.2</v>
      </c>
      <c r="S48" s="133">
        <f>SUM(R159:AE159)</f>
        <v>0</v>
      </c>
      <c r="T48" s="127" t="e">
        <f>AVERAGE(R159:AE159)</f>
        <v>#DIV/0!</v>
      </c>
      <c r="U48" s="140" t="e">
        <f>STDEV(R159:AD159)</f>
        <v>#DIV/0!</v>
      </c>
      <c r="V48" s="193" t="s">
        <v>43</v>
      </c>
      <c r="W48" s="155">
        <v>1777</v>
      </c>
      <c r="X48" s="155">
        <v>25870</v>
      </c>
      <c r="Y48" s="224">
        <f t="shared" si="70"/>
        <v>19117.400000000001</v>
      </c>
      <c r="AB48" s="133">
        <f>SUM(AA159:AN159)</f>
        <v>0</v>
      </c>
      <c r="AC48" s="127" t="e">
        <f>AVERAGE(AA159:AN159)</f>
        <v>#DIV/0!</v>
      </c>
      <c r="AD48" s="140" t="e">
        <f>STDEV(AA159:AM159)</f>
        <v>#DIV/0!</v>
      </c>
      <c r="AE48" s="193" t="s">
        <v>43</v>
      </c>
      <c r="AF48" s="155">
        <v>1468</v>
      </c>
      <c r="AG48" s="155">
        <v>34940</v>
      </c>
      <c r="AH48" s="224">
        <f t="shared" si="71"/>
        <v>29361.599999999999</v>
      </c>
      <c r="AK48" s="133">
        <f>SUM(AJ159:AV159)</f>
        <v>0</v>
      </c>
      <c r="AL48" s="127" t="e">
        <f>AVERAGE(AJ159:AV159)</f>
        <v>#DIV/0!</v>
      </c>
      <c r="AM48" s="140" t="e">
        <f>STDEV(AJ159:AU159)</f>
        <v>#DIV/0!</v>
      </c>
      <c r="AN48" s="193" t="s">
        <v>43</v>
      </c>
      <c r="AO48" s="155">
        <v>2655</v>
      </c>
      <c r="AP48" s="155">
        <v>48180</v>
      </c>
      <c r="AQ48" s="224">
        <f t="shared" si="72"/>
        <v>38091</v>
      </c>
    </row>
    <row r="49" spans="2:61">
      <c r="B49" s="132" t="e">
        <f>SUM(B45:B48)</f>
        <v>#DIV/0!</v>
      </c>
      <c r="C49" s="126" t="e">
        <f>AVERAGE(I45:AA48)</f>
        <v>#DIV/0!</v>
      </c>
      <c r="D49" s="139" t="e">
        <f>STDEV(I45:AA48)</f>
        <v>#DIV/0!</v>
      </c>
      <c r="E49" s="124"/>
      <c r="F49" s="138">
        <f t="shared" ref="F49:H49" si="73">SUM(F45:F48)</f>
        <v>9141</v>
      </c>
      <c r="G49" s="138">
        <f t="shared" si="73"/>
        <v>177020</v>
      </c>
      <c r="H49" s="138">
        <f t="shared" si="73"/>
        <v>142284.20000000001</v>
      </c>
      <c r="J49" s="132">
        <f>SUM(J45:J48)</f>
        <v>0</v>
      </c>
      <c r="K49" s="126" t="e">
        <f>AVERAGE(I156:AA159)</f>
        <v>#DIV/0!</v>
      </c>
      <c r="L49" s="139" t="e">
        <f>STDEV(I156:AA159)</f>
        <v>#DIV/0!</v>
      </c>
      <c r="M49" s="124"/>
      <c r="N49" s="138">
        <f t="shared" ref="N49:P49" si="74">SUM(N45:N48)</f>
        <v>9197</v>
      </c>
      <c r="O49" s="138">
        <f t="shared" si="74"/>
        <v>181980</v>
      </c>
      <c r="P49" s="138">
        <f t="shared" si="74"/>
        <v>147031.4</v>
      </c>
      <c r="S49" s="132">
        <f>SUM(S45:S48)</f>
        <v>0</v>
      </c>
      <c r="T49" s="126" t="e">
        <f>AVERAGE(R156:AJ159)</f>
        <v>#DIV/0!</v>
      </c>
      <c r="U49" s="139" t="e">
        <f>STDEV(R156:AJ159)</f>
        <v>#DIV/0!</v>
      </c>
      <c r="V49" s="124"/>
      <c r="W49" s="138">
        <f t="shared" ref="W49:Y49" si="75">SUM(W45:W48)</f>
        <v>5018</v>
      </c>
      <c r="X49" s="138">
        <f t="shared" si="75"/>
        <v>99090</v>
      </c>
      <c r="Y49" s="138">
        <f t="shared" si="75"/>
        <v>80021.600000000006</v>
      </c>
      <c r="AB49" s="132">
        <f>SUM(AB45:AB48)</f>
        <v>0</v>
      </c>
      <c r="AC49" s="126" t="e">
        <f>AVERAGE(AA156:AR159)</f>
        <v>#DIV/0!</v>
      </c>
      <c r="AD49" s="139" t="e">
        <f>STDEV(AA156:AR159)</f>
        <v>#DIV/0!</v>
      </c>
      <c r="AE49" s="124"/>
      <c r="AF49" s="138">
        <f t="shared" ref="AF49:AH49" si="76">SUM(AF45:AF48)</f>
        <v>4463</v>
      </c>
      <c r="AG49" s="138">
        <f t="shared" si="76"/>
        <v>115380</v>
      </c>
      <c r="AH49" s="138">
        <f t="shared" si="76"/>
        <v>98420.6</v>
      </c>
      <c r="AK49" s="132">
        <f>SUM(AK45:AK48)</f>
        <v>0</v>
      </c>
      <c r="AL49" s="126" t="e">
        <f>AVERAGE(AJ156:BA159)</f>
        <v>#DIV/0!</v>
      </c>
      <c r="AM49" s="139" t="e">
        <f>STDEV(AJ156:BA159)</f>
        <v>#DIV/0!</v>
      </c>
      <c r="AN49" s="124"/>
      <c r="AO49" s="138">
        <f t="shared" ref="AO49:AQ49" si="77">SUM(AO45:AO48)</f>
        <v>8179</v>
      </c>
      <c r="AP49" s="138">
        <f t="shared" si="77"/>
        <v>164090</v>
      </c>
      <c r="AQ49" s="138">
        <f t="shared" si="77"/>
        <v>133009.79999999999</v>
      </c>
    </row>
    <row r="50" spans="2:61">
      <c r="B50" s="132" t="e">
        <f>AVERAGE(B45:B48)</f>
        <v>#DIV/0!</v>
      </c>
      <c r="C50" s="126"/>
      <c r="D50" s="139"/>
      <c r="E50" s="124"/>
      <c r="F50" s="138">
        <f t="shared" ref="F50:H50" si="78">AVERAGE(F45:F48)</f>
        <v>2285.25</v>
      </c>
      <c r="G50" s="138">
        <f t="shared" si="78"/>
        <v>44255</v>
      </c>
      <c r="H50" s="138">
        <f t="shared" si="78"/>
        <v>35571.050000000003</v>
      </c>
      <c r="J50" s="132">
        <f>AVERAGE(J45:J48)</f>
        <v>0</v>
      </c>
      <c r="K50" s="126"/>
      <c r="L50" s="139"/>
      <c r="M50" s="124"/>
      <c r="N50" s="138">
        <f t="shared" ref="N50:P50" si="79">AVERAGE(N45:N48)</f>
        <v>2299.25</v>
      </c>
      <c r="O50" s="138">
        <f t="shared" si="79"/>
        <v>45495</v>
      </c>
      <c r="P50" s="138">
        <f t="shared" si="79"/>
        <v>36757.85</v>
      </c>
      <c r="S50" s="132">
        <f>AVERAGE(S45:S48)</f>
        <v>0</v>
      </c>
      <c r="T50" s="126"/>
      <c r="U50" s="139"/>
      <c r="V50" s="124"/>
      <c r="W50" s="138">
        <f t="shared" ref="W50:Y50" si="80">AVERAGE(W45:W48)</f>
        <v>1254.5</v>
      </c>
      <c r="X50" s="138">
        <f t="shared" si="80"/>
        <v>24772.5</v>
      </c>
      <c r="Y50" s="138">
        <f t="shared" si="80"/>
        <v>20005.400000000001</v>
      </c>
      <c r="AB50" s="132">
        <f>AVERAGE(AB45:AB48)</f>
        <v>0</v>
      </c>
      <c r="AC50" s="126"/>
      <c r="AD50" s="139"/>
      <c r="AE50" s="124"/>
      <c r="AF50" s="138">
        <f t="shared" ref="AF50:AH50" si="81">AVERAGE(AF45:AF48)</f>
        <v>1115.75</v>
      </c>
      <c r="AG50" s="138">
        <f t="shared" si="81"/>
        <v>28845</v>
      </c>
      <c r="AH50" s="138">
        <f t="shared" si="81"/>
        <v>24605.15</v>
      </c>
      <c r="AK50" s="132">
        <f>AVERAGE(AK45:AK48)</f>
        <v>0</v>
      </c>
      <c r="AL50" s="126"/>
      <c r="AM50" s="139"/>
      <c r="AN50" s="124"/>
      <c r="AO50" s="138">
        <f t="shared" ref="AO50:AQ50" si="82">AVERAGE(AO45:AO48)</f>
        <v>2044.75</v>
      </c>
      <c r="AP50" s="138">
        <f t="shared" si="82"/>
        <v>41022.5</v>
      </c>
      <c r="AQ50" s="138">
        <f t="shared" si="82"/>
        <v>33252.449999999997</v>
      </c>
    </row>
    <row r="51" spans="2:61" ht="15.75" thickBot="1">
      <c r="B51" s="169" t="e">
        <f>STDEV(B45:B48)</f>
        <v>#DIV/0!</v>
      </c>
      <c r="C51" s="170"/>
      <c r="D51" s="171"/>
      <c r="E51" s="144"/>
      <c r="F51" s="178">
        <f t="shared" ref="F51:H51" si="83">STDEV(F45:F48)</f>
        <v>781.78145923269381</v>
      </c>
      <c r="G51" s="178">
        <f t="shared" si="83"/>
        <v>8386.0300500296325</v>
      </c>
      <c r="H51" s="178">
        <f t="shared" si="83"/>
        <v>6137.915744778481</v>
      </c>
      <c r="J51" s="169">
        <f>STDEV(J45:J48)</f>
        <v>0</v>
      </c>
      <c r="K51" s="170"/>
      <c r="L51" s="171"/>
      <c r="M51" s="144"/>
      <c r="N51" s="178">
        <f t="shared" ref="N51:P51" si="84">STDEV(N45:N48)</f>
        <v>787.69383857773914</v>
      </c>
      <c r="O51" s="178">
        <f t="shared" si="84"/>
        <v>9297.8761015621203</v>
      </c>
      <c r="P51" s="178">
        <f t="shared" si="84"/>
        <v>6761.1179990195897</v>
      </c>
      <c r="S51" s="169">
        <f>STDEV(S45:S48)</f>
        <v>0</v>
      </c>
      <c r="T51" s="170"/>
      <c r="U51" s="171"/>
      <c r="V51" s="144"/>
      <c r="W51" s="178">
        <f t="shared" ref="W51:Y51" si="85">STDEV(W45:W48)</f>
        <v>444.72201054891207</v>
      </c>
      <c r="X51" s="178">
        <f t="shared" si="85"/>
        <v>12560.717535236592</v>
      </c>
      <c r="Y51" s="178">
        <f t="shared" si="85"/>
        <v>12349.235948295205</v>
      </c>
      <c r="AB51" s="169">
        <f>STDEV(AB45:AB48)</f>
        <v>0</v>
      </c>
      <c r="AC51" s="170"/>
      <c r="AD51" s="171"/>
      <c r="AE51" s="144"/>
      <c r="AF51" s="178">
        <f t="shared" ref="AF51:AH51" si="86">STDEV(AF45:AF48)</f>
        <v>356.60470645613566</v>
      </c>
      <c r="AG51" s="178">
        <f t="shared" si="86"/>
        <v>11387.749265475304</v>
      </c>
      <c r="AH51" s="178">
        <f t="shared" si="86"/>
        <v>10387.98435421103</v>
      </c>
      <c r="AK51" s="169">
        <f>STDEV(AK45:AK48)</f>
        <v>0</v>
      </c>
      <c r="AL51" s="170"/>
      <c r="AM51" s="171"/>
      <c r="AN51" s="144"/>
      <c r="AO51" s="178">
        <f t="shared" ref="AO51:AQ51" si="87">STDEV(AO45:AO48)</f>
        <v>631.33317933824242</v>
      </c>
      <c r="AP51" s="178">
        <f t="shared" si="87"/>
        <v>8822.1855757705143</v>
      </c>
      <c r="AQ51" s="178">
        <f t="shared" si="87"/>
        <v>6814.9019604100085</v>
      </c>
    </row>
    <row r="52" spans="2:61" ht="15.75" thickBot="1">
      <c r="B52" s="172" t="s">
        <v>14</v>
      </c>
      <c r="C52" s="172"/>
      <c r="D52" s="172"/>
      <c r="E52" s="173"/>
      <c r="F52" s="172" t="s">
        <v>20</v>
      </c>
      <c r="G52" s="172" t="s">
        <v>20</v>
      </c>
      <c r="H52" s="172" t="s">
        <v>20</v>
      </c>
      <c r="J52" s="172" t="s">
        <v>14</v>
      </c>
      <c r="K52" s="172"/>
      <c r="L52" s="172"/>
      <c r="M52" s="173"/>
      <c r="N52" s="172" t="s">
        <v>20</v>
      </c>
      <c r="O52" s="172" t="s">
        <v>20</v>
      </c>
      <c r="P52" s="172" t="s">
        <v>20</v>
      </c>
      <c r="R52">
        <v>350</v>
      </c>
      <c r="S52" s="172" t="s">
        <v>14</v>
      </c>
      <c r="T52" s="172"/>
      <c r="U52" s="172"/>
      <c r="V52" s="173"/>
      <c r="W52" s="172" t="s">
        <v>20</v>
      </c>
      <c r="X52" s="172" t="s">
        <v>20</v>
      </c>
      <c r="Y52" s="172" t="s">
        <v>20</v>
      </c>
      <c r="AB52" s="172" t="s">
        <v>14</v>
      </c>
      <c r="AC52" s="172"/>
      <c r="AD52" s="172"/>
      <c r="AE52" s="173"/>
      <c r="AF52" s="172" t="s">
        <v>20</v>
      </c>
      <c r="AG52" s="172" t="s">
        <v>20</v>
      </c>
      <c r="AH52" s="172" t="s">
        <v>20</v>
      </c>
      <c r="AK52" s="172" t="s">
        <v>14</v>
      </c>
      <c r="AL52" s="172"/>
      <c r="AM52" s="172"/>
      <c r="AN52" s="173"/>
      <c r="AO52" s="172" t="s">
        <v>20</v>
      </c>
      <c r="AP52" s="172" t="s">
        <v>20</v>
      </c>
      <c r="AQ52" s="172" t="s">
        <v>20</v>
      </c>
    </row>
    <row r="53" spans="2:61" ht="15.75" thickBot="1">
      <c r="B53" s="133" t="e">
        <f>SUM(I53:V53)</f>
        <v>#DIV/0!</v>
      </c>
      <c r="C53" s="127" t="e">
        <f>AVERAGE(I53:V53)</f>
        <v>#DIV/0!</v>
      </c>
      <c r="D53" s="140" t="e">
        <f>STDEV(I53:U53)</f>
        <v>#DIV/0!</v>
      </c>
      <c r="E53" s="190" t="s">
        <v>40</v>
      </c>
      <c r="F53" s="155">
        <v>1454</v>
      </c>
      <c r="G53" s="155">
        <v>37560</v>
      </c>
      <c r="H53" s="191">
        <f>G53-F53*$L$6</f>
        <v>32034.799999999999</v>
      </c>
      <c r="J53" s="133">
        <f>SUM(I164:V164)</f>
        <v>0</v>
      </c>
      <c r="K53" s="127" t="e">
        <f>AVERAGE(I164:V164)</f>
        <v>#DIV/0!</v>
      </c>
      <c r="L53" s="140" t="e">
        <f>STDEV(I164:U164)</f>
        <v>#DIV/0!</v>
      </c>
      <c r="M53" s="190" t="s">
        <v>40</v>
      </c>
      <c r="N53" s="155">
        <v>1463</v>
      </c>
      <c r="O53" s="155">
        <v>36930</v>
      </c>
      <c r="P53" s="191">
        <f>O53-N53*$L$6</f>
        <v>31370.6</v>
      </c>
      <c r="S53" s="133">
        <f>SUM(R164:AE164)</f>
        <v>0</v>
      </c>
      <c r="T53" s="127" t="e">
        <f>AVERAGE(R164:AE164)</f>
        <v>#DIV/0!</v>
      </c>
      <c r="U53" s="140" t="e">
        <f>STDEV(R164:AD164)</f>
        <v>#DIV/0!</v>
      </c>
      <c r="V53" s="190" t="s">
        <v>40</v>
      </c>
      <c r="W53" s="155">
        <v>783</v>
      </c>
      <c r="X53" s="155">
        <v>24540</v>
      </c>
      <c r="Y53" s="191">
        <f>X53-W53*$L$6</f>
        <v>21564.6</v>
      </c>
      <c r="AB53" s="133">
        <f>SUM(AA164:AN164)</f>
        <v>0</v>
      </c>
      <c r="AC53" s="127" t="e">
        <f>AVERAGE(AA164:AN164)</f>
        <v>#DIV/0!</v>
      </c>
      <c r="AD53" s="140" t="e">
        <f>STDEV(AA164:AM164)</f>
        <v>#DIV/0!</v>
      </c>
      <c r="AE53" s="190" t="s">
        <v>40</v>
      </c>
      <c r="AF53" s="155">
        <v>783</v>
      </c>
      <c r="AG53" s="155">
        <v>22620</v>
      </c>
      <c r="AH53" s="191">
        <f>AG53-AF53*$L$6</f>
        <v>19644.599999999999</v>
      </c>
      <c r="AK53" s="133">
        <f>SUM(AJ164:AV164)</f>
        <v>0</v>
      </c>
      <c r="AL53" s="127" t="e">
        <f>AVERAGE(AJ164:AV164)</f>
        <v>#DIV/0!</v>
      </c>
      <c r="AM53" s="140" t="e">
        <f>STDEV(AJ164:AU164)</f>
        <v>#DIV/0!</v>
      </c>
      <c r="AN53" s="190" t="s">
        <v>40</v>
      </c>
      <c r="AO53" s="155">
        <v>1466</v>
      </c>
      <c r="AP53" s="155">
        <v>35770</v>
      </c>
      <c r="AQ53" s="191">
        <f>AP53-AO53*$L$6</f>
        <v>30199.200000000001</v>
      </c>
    </row>
    <row r="54" spans="2:61" ht="15.75" thickBot="1">
      <c r="B54" s="133" t="e">
        <f>SUM(I54:V54)</f>
        <v>#DIV/0!</v>
      </c>
      <c r="C54" s="127" t="e">
        <f>AVERAGE(I54:V54)</f>
        <v>#DIV/0!</v>
      </c>
      <c r="D54" s="140" t="e">
        <f>STDEV(I54:U54)</f>
        <v>#DIV/0!</v>
      </c>
      <c r="E54" s="193" t="s">
        <v>41</v>
      </c>
      <c r="F54" s="155">
        <v>2320</v>
      </c>
      <c r="G54" s="155">
        <v>40960</v>
      </c>
      <c r="H54" s="191">
        <f t="shared" ref="H54:H56" si="88">G54-F54*$L$6</f>
        <v>32144</v>
      </c>
      <c r="J54" s="133">
        <f>SUM(I165:V165)</f>
        <v>0</v>
      </c>
      <c r="K54" s="127" t="e">
        <f>AVERAGE(I165:V165)</f>
        <v>#DIV/0!</v>
      </c>
      <c r="L54" s="140" t="e">
        <f>STDEV(I165:U165)</f>
        <v>#DIV/0!</v>
      </c>
      <c r="M54" s="193" t="s">
        <v>41</v>
      </c>
      <c r="N54" s="155">
        <v>2316</v>
      </c>
      <c r="O54" s="155">
        <v>44410</v>
      </c>
      <c r="P54" s="191">
        <f t="shared" ref="P54:P56" si="89">O54-N54*$L$6</f>
        <v>35609.199999999997</v>
      </c>
      <c r="S54" s="133">
        <f>SUM(R165:AE165)</f>
        <v>0</v>
      </c>
      <c r="T54" s="127" t="e">
        <f>AVERAGE(R165:AE165)</f>
        <v>#DIV/0!</v>
      </c>
      <c r="U54" s="140" t="e">
        <f>STDEV(R165:AD165)</f>
        <v>#DIV/0!</v>
      </c>
      <c r="V54" s="193" t="s">
        <v>41</v>
      </c>
      <c r="W54" s="155">
        <v>1235</v>
      </c>
      <c r="X54" s="155">
        <v>19170</v>
      </c>
      <c r="Y54" s="191">
        <f t="shared" ref="Y54:Y56" si="90">X54-W54*$L$6</f>
        <v>14477</v>
      </c>
      <c r="AB54" s="133">
        <f>SUM(AA165:AN165)</f>
        <v>0</v>
      </c>
      <c r="AC54" s="127" t="e">
        <f>AVERAGE(AA165:AN165)</f>
        <v>#DIV/0!</v>
      </c>
      <c r="AD54" s="140" t="e">
        <f>STDEV(AA165:AM165)</f>
        <v>#DIV/0!</v>
      </c>
      <c r="AE54" s="193" t="s">
        <v>41</v>
      </c>
      <c r="AF54" s="155">
        <v>987</v>
      </c>
      <c r="AG54" s="155">
        <v>15760</v>
      </c>
      <c r="AH54" s="191">
        <f t="shared" ref="AH54:AH56" si="91">AG54-AF54*$L$6</f>
        <v>12009.4</v>
      </c>
      <c r="AK54" s="133">
        <f>SUM(AJ165:AV165)</f>
        <v>0</v>
      </c>
      <c r="AL54" s="127" t="e">
        <f>AVERAGE(AJ165:AV165)</f>
        <v>#DIV/0!</v>
      </c>
      <c r="AM54" s="140" t="e">
        <f>STDEV(AJ165:AU165)</f>
        <v>#DIV/0!</v>
      </c>
      <c r="AN54" s="193" t="s">
        <v>41</v>
      </c>
      <c r="AO54" s="155">
        <v>1842</v>
      </c>
      <c r="AP54" s="155">
        <v>33800</v>
      </c>
      <c r="AQ54" s="191">
        <f t="shared" ref="AQ54:AQ56" si="92">AP54-AO54*$L$6</f>
        <v>26800.400000000001</v>
      </c>
    </row>
    <row r="55" spans="2:61" ht="15.75" thickBot="1">
      <c r="B55" s="214" t="e">
        <f>SUM(I55:V55)</f>
        <v>#DIV/0!</v>
      </c>
      <c r="C55" s="127" t="e">
        <f>AVERAGE(I55:V55)</f>
        <v>#DIV/0!</v>
      </c>
      <c r="D55" s="140" t="e">
        <f>STDEV(I55:U55)</f>
        <v>#DIV/0!</v>
      </c>
      <c r="E55" s="193" t="s">
        <v>42</v>
      </c>
      <c r="F55" s="155">
        <v>2654</v>
      </c>
      <c r="G55" s="155">
        <v>50200</v>
      </c>
      <c r="H55" s="224">
        <f t="shared" si="88"/>
        <v>40114.800000000003</v>
      </c>
      <c r="J55" s="214">
        <f>SUM(I166:V166)</f>
        <v>0</v>
      </c>
      <c r="K55" s="127" t="e">
        <f>AVERAGE(I166:V166)</f>
        <v>#DIV/0!</v>
      </c>
      <c r="L55" s="140" t="e">
        <f>STDEV(I166:U166)</f>
        <v>#DIV/0!</v>
      </c>
      <c r="M55" s="193" t="s">
        <v>42</v>
      </c>
      <c r="N55" s="155">
        <v>2666</v>
      </c>
      <c r="O55" s="155">
        <v>49760</v>
      </c>
      <c r="P55" s="224">
        <f t="shared" si="89"/>
        <v>39629.199999999997</v>
      </c>
      <c r="S55" s="214">
        <f>SUM(R166:AE166)</f>
        <v>0</v>
      </c>
      <c r="T55" s="127" t="e">
        <f>AVERAGE(R166:AE166)</f>
        <v>#DIV/0!</v>
      </c>
      <c r="U55" s="140" t="e">
        <f>STDEV(R166:AD166)</f>
        <v>#DIV/0!</v>
      </c>
      <c r="V55" s="193" t="s">
        <v>42</v>
      </c>
      <c r="W55" s="155">
        <v>1440</v>
      </c>
      <c r="X55" s="155">
        <v>28750</v>
      </c>
      <c r="Y55" s="224">
        <f t="shared" si="90"/>
        <v>23278</v>
      </c>
      <c r="AB55" s="214">
        <f>SUM(AA166:AN166)</f>
        <v>0</v>
      </c>
      <c r="AC55" s="127" t="e">
        <f>AVERAGE(AA166:AN166)</f>
        <v>#DIV/0!</v>
      </c>
      <c r="AD55" s="140" t="e">
        <f>STDEV(AA166:AM166)</f>
        <v>#DIV/0!</v>
      </c>
      <c r="AE55" s="193" t="s">
        <v>42</v>
      </c>
      <c r="AF55" s="155">
        <v>1436</v>
      </c>
      <c r="AG55" s="155">
        <v>26260</v>
      </c>
      <c r="AH55" s="224">
        <f t="shared" si="91"/>
        <v>20803.2</v>
      </c>
      <c r="AK55" s="214">
        <f>SUM(AJ166:AV166)</f>
        <v>0</v>
      </c>
      <c r="AL55" s="127" t="e">
        <f>AVERAGE(AJ166:AV166)</f>
        <v>#DIV/0!</v>
      </c>
      <c r="AM55" s="140" t="e">
        <f>STDEV(AJ166:AU166)</f>
        <v>#DIV/0!</v>
      </c>
      <c r="AN55" s="193" t="s">
        <v>42</v>
      </c>
      <c r="AO55" s="155">
        <v>2652</v>
      </c>
      <c r="AP55" s="155">
        <v>50350</v>
      </c>
      <c r="AQ55" s="224">
        <f t="shared" si="92"/>
        <v>40272.400000000001</v>
      </c>
    </row>
    <row r="56" spans="2:61">
      <c r="B56" s="214" t="e">
        <f>SUM(I56:V56)</f>
        <v>#DIV/0!</v>
      </c>
      <c r="C56" s="127" t="e">
        <f>AVERAGE(I56:V56)</f>
        <v>#DIV/0!</v>
      </c>
      <c r="D56" s="140" t="e">
        <f>STDEV(I56:U56)</f>
        <v>#DIV/0!</v>
      </c>
      <c r="E56" s="193" t="s">
        <v>43</v>
      </c>
      <c r="F56" s="155">
        <v>3376</v>
      </c>
      <c r="G56" s="155">
        <v>50600</v>
      </c>
      <c r="H56" s="224">
        <f t="shared" si="88"/>
        <v>37771.199999999997</v>
      </c>
      <c r="J56" s="214">
        <f>SUM(I167:V167)</f>
        <v>0</v>
      </c>
      <c r="K56" s="127" t="e">
        <f>AVERAGE(I167:V167)</f>
        <v>#DIV/0!</v>
      </c>
      <c r="L56" s="140" t="e">
        <f>STDEV(I167:U167)</f>
        <v>#DIV/0!</v>
      </c>
      <c r="M56" s="193" t="s">
        <v>43</v>
      </c>
      <c r="N56" s="155">
        <v>3403</v>
      </c>
      <c r="O56" s="155">
        <v>54370</v>
      </c>
      <c r="P56" s="224">
        <f t="shared" si="89"/>
        <v>41438.6</v>
      </c>
      <c r="S56" s="214">
        <f>SUM(R167:AE167)</f>
        <v>0</v>
      </c>
      <c r="T56" s="127" t="e">
        <f>AVERAGE(R167:AE167)</f>
        <v>#DIV/0!</v>
      </c>
      <c r="U56" s="140" t="e">
        <f>STDEV(R167:AD167)</f>
        <v>#DIV/0!</v>
      </c>
      <c r="V56" s="193" t="s">
        <v>43</v>
      </c>
      <c r="W56" s="155">
        <v>1881</v>
      </c>
      <c r="X56" s="155">
        <v>31490</v>
      </c>
      <c r="Y56" s="224">
        <f t="shared" si="90"/>
        <v>24342.2</v>
      </c>
      <c r="AB56" s="214">
        <f>SUM(AA167:AN167)</f>
        <v>0</v>
      </c>
      <c r="AC56" s="127" t="e">
        <f>AVERAGE(AA167:AN167)</f>
        <v>#DIV/0!</v>
      </c>
      <c r="AD56" s="140" t="e">
        <f>STDEV(AA167:AM167)</f>
        <v>#DIV/0!</v>
      </c>
      <c r="AE56" s="193" t="s">
        <v>43</v>
      </c>
      <c r="AF56" s="155">
        <v>1548</v>
      </c>
      <c r="AG56" s="155">
        <v>25680</v>
      </c>
      <c r="AH56" s="224">
        <f t="shared" si="91"/>
        <v>19797.599999999999</v>
      </c>
      <c r="AK56" s="214">
        <f>SUM(AJ167:AV167)</f>
        <v>0</v>
      </c>
      <c r="AL56" s="127" t="e">
        <f>AVERAGE(AJ167:AV167)</f>
        <v>#DIV/0!</v>
      </c>
      <c r="AM56" s="140" t="e">
        <f>STDEV(AJ167:AU167)</f>
        <v>#DIV/0!</v>
      </c>
      <c r="AN56" s="193" t="s">
        <v>43</v>
      </c>
      <c r="AO56" s="155">
        <v>2806</v>
      </c>
      <c r="AP56" s="155">
        <v>38550</v>
      </c>
      <c r="AQ56" s="224">
        <f t="shared" si="92"/>
        <v>27887.200000000001</v>
      </c>
    </row>
    <row r="57" spans="2:61">
      <c r="B57" s="132" t="e">
        <f>SUM(B53:B56)</f>
        <v>#DIV/0!</v>
      </c>
      <c r="C57" s="126" t="e">
        <f>AVERAGE(I53:AA56)</f>
        <v>#DIV/0!</v>
      </c>
      <c r="D57" s="139" t="e">
        <f>STDEV(I53:AA56)</f>
        <v>#DIV/0!</v>
      </c>
      <c r="E57" s="124"/>
      <c r="F57" s="138">
        <f t="shared" ref="F57:H57" si="93">SUM(F53:F56)</f>
        <v>9804</v>
      </c>
      <c r="G57" s="138">
        <f t="shared" si="93"/>
        <v>179320</v>
      </c>
      <c r="H57" s="138">
        <f t="shared" si="93"/>
        <v>142064.79999999999</v>
      </c>
      <c r="J57" s="132">
        <f>SUM(J53:J56)</f>
        <v>0</v>
      </c>
      <c r="K57" s="126" t="e">
        <f>AVERAGE(I164:AA167)</f>
        <v>#DIV/0!</v>
      </c>
      <c r="L57" s="139" t="e">
        <f>STDEV(I164:AA167)</f>
        <v>#DIV/0!</v>
      </c>
      <c r="M57" s="124"/>
      <c r="N57" s="138">
        <f t="shared" ref="N57:P57" si="94">SUM(N53:N56)</f>
        <v>9848</v>
      </c>
      <c r="O57" s="138">
        <f t="shared" si="94"/>
        <v>185470</v>
      </c>
      <c r="P57" s="138">
        <f t="shared" si="94"/>
        <v>148047.59999999998</v>
      </c>
      <c r="S57" s="132">
        <f>SUM(S53:S56)</f>
        <v>0</v>
      </c>
      <c r="T57" s="126" t="e">
        <f>AVERAGE(R164:AJ167)</f>
        <v>#DIV/0!</v>
      </c>
      <c r="U57" s="139" t="e">
        <f>STDEV(R164:AJ167)</f>
        <v>#DIV/0!</v>
      </c>
      <c r="V57" s="124"/>
      <c r="W57" s="138">
        <f t="shared" ref="W57:Y57" si="95">SUM(W53:W56)</f>
        <v>5339</v>
      </c>
      <c r="X57" s="138">
        <f t="shared" si="95"/>
        <v>103950</v>
      </c>
      <c r="Y57" s="138">
        <f t="shared" si="95"/>
        <v>83661.8</v>
      </c>
      <c r="AB57" s="132">
        <f>SUM(AB53:AB56)</f>
        <v>0</v>
      </c>
      <c r="AC57" s="126" t="e">
        <f>AVERAGE(AA164:AR167)</f>
        <v>#DIV/0!</v>
      </c>
      <c r="AD57" s="139" t="e">
        <f>STDEV(AA164:AR167)</f>
        <v>#DIV/0!</v>
      </c>
      <c r="AE57" s="124"/>
      <c r="AF57" s="138">
        <f t="shared" ref="AF57:AH57" si="96">SUM(AF53:AF56)</f>
        <v>4754</v>
      </c>
      <c r="AG57" s="138">
        <f t="shared" si="96"/>
        <v>90320</v>
      </c>
      <c r="AH57" s="138">
        <f t="shared" si="96"/>
        <v>72254.799999999988</v>
      </c>
      <c r="AK57" s="132">
        <f>SUM(AK53:AK56)</f>
        <v>0</v>
      </c>
      <c r="AL57" s="126" t="e">
        <f>AVERAGE(AJ164:BA167)</f>
        <v>#DIV/0!</v>
      </c>
      <c r="AM57" s="139" t="e">
        <f>STDEV(AJ164:BA167)</f>
        <v>#DIV/0!</v>
      </c>
      <c r="AN57" s="124"/>
      <c r="AO57" s="138">
        <f t="shared" ref="AO57:AQ57" si="97">SUM(AO53:AO56)</f>
        <v>8766</v>
      </c>
      <c r="AP57" s="138">
        <f t="shared" si="97"/>
        <v>158470</v>
      </c>
      <c r="AQ57" s="138">
        <f t="shared" si="97"/>
        <v>125159.2</v>
      </c>
    </row>
    <row r="58" spans="2:61">
      <c r="B58" s="132" t="e">
        <f>AVERAGE(B53:B56)</f>
        <v>#DIV/0!</v>
      </c>
      <c r="C58" s="126"/>
      <c r="D58" s="139"/>
      <c r="E58" s="124"/>
      <c r="F58" s="138">
        <f t="shared" ref="F58:H58" si="98">AVERAGE(F53:F56)</f>
        <v>2451</v>
      </c>
      <c r="G58" s="138">
        <f t="shared" si="98"/>
        <v>44830</v>
      </c>
      <c r="H58" s="138">
        <f t="shared" si="98"/>
        <v>35516.199999999997</v>
      </c>
      <c r="J58" s="132">
        <f>AVERAGE(J53:J56)</f>
        <v>0</v>
      </c>
      <c r="K58" s="126"/>
      <c r="L58" s="139"/>
      <c r="M58" s="124"/>
      <c r="N58" s="138">
        <f t="shared" ref="N58:P58" si="99">AVERAGE(N53:N56)</f>
        <v>2462</v>
      </c>
      <c r="O58" s="138">
        <f t="shared" si="99"/>
        <v>46367.5</v>
      </c>
      <c r="P58" s="138">
        <f t="shared" si="99"/>
        <v>37011.899999999994</v>
      </c>
      <c r="S58" s="132">
        <f>AVERAGE(S53:S56)</f>
        <v>0</v>
      </c>
      <c r="T58" s="126"/>
      <c r="U58" s="139"/>
      <c r="V58" s="124"/>
      <c r="W58" s="138">
        <f t="shared" ref="W58:Y58" si="100">AVERAGE(W53:W56)</f>
        <v>1334.75</v>
      </c>
      <c r="X58" s="138">
        <f t="shared" si="100"/>
        <v>25987.5</v>
      </c>
      <c r="Y58" s="138">
        <f t="shared" si="100"/>
        <v>20915.45</v>
      </c>
      <c r="AB58" s="132">
        <f>AVERAGE(AB53:AB56)</f>
        <v>0</v>
      </c>
      <c r="AC58" s="126"/>
      <c r="AD58" s="139"/>
      <c r="AE58" s="124"/>
      <c r="AF58" s="138">
        <f t="shared" ref="AF58:AH58" si="101">AVERAGE(AF53:AF56)</f>
        <v>1188.5</v>
      </c>
      <c r="AG58" s="138">
        <f t="shared" si="101"/>
        <v>22580</v>
      </c>
      <c r="AH58" s="138">
        <f t="shared" si="101"/>
        <v>18063.699999999997</v>
      </c>
      <c r="AK58" s="132">
        <f>AVERAGE(AK53:AK56)</f>
        <v>0</v>
      </c>
      <c r="AL58" s="126"/>
      <c r="AM58" s="139"/>
      <c r="AN58" s="124"/>
      <c r="AO58" s="138">
        <f t="shared" ref="AO58:AQ58" si="102">AVERAGE(AO53:AO56)</f>
        <v>2191.5</v>
      </c>
      <c r="AP58" s="138">
        <f t="shared" si="102"/>
        <v>39617.5</v>
      </c>
      <c r="AQ58" s="138">
        <f t="shared" si="102"/>
        <v>31289.8</v>
      </c>
    </row>
    <row r="59" spans="2:61" ht="15.75" thickBot="1">
      <c r="B59" s="132" t="e">
        <f>STDEV(B53:B56)</f>
        <v>#DIV/0!</v>
      </c>
      <c r="C59" s="126"/>
      <c r="D59" s="139"/>
      <c r="E59" s="124"/>
      <c r="F59" s="178">
        <f t="shared" ref="F59:H59" si="103">STDEV(F53:F56)</f>
        <v>797.49691744440827</v>
      </c>
      <c r="G59" s="178">
        <f t="shared" si="103"/>
        <v>6581.7829398018484</v>
      </c>
      <c r="H59" s="178">
        <f t="shared" si="103"/>
        <v>4071.2007139581574</v>
      </c>
      <c r="J59" s="132">
        <f>STDEV(J53:J56)</f>
        <v>0</v>
      </c>
      <c r="K59" s="126"/>
      <c r="L59" s="139"/>
      <c r="M59" s="124"/>
      <c r="N59" s="178">
        <f t="shared" ref="N59:P59" si="104">STDEV(N53:N56)</f>
        <v>805.48411943791086</v>
      </c>
      <c r="O59" s="178">
        <f t="shared" si="104"/>
        <v>7493.2697580339827</v>
      </c>
      <c r="P59" s="178">
        <f t="shared" si="104"/>
        <v>4480.9881782184602</v>
      </c>
      <c r="S59" s="132">
        <f>STDEV(S53:S56)</f>
        <v>0</v>
      </c>
      <c r="T59" s="126"/>
      <c r="U59" s="139"/>
      <c r="V59" s="124"/>
      <c r="W59" s="178">
        <f t="shared" ref="W59:Y59" si="105">STDEV(W53:W56)</f>
        <v>456.01343181972175</v>
      </c>
      <c r="X59" s="178">
        <f t="shared" si="105"/>
        <v>5369.12391984639</v>
      </c>
      <c r="Y59" s="178">
        <f t="shared" si="105"/>
        <v>4442.1951101529303</v>
      </c>
      <c r="AB59" s="132">
        <f>STDEV(AB53:AB56)</f>
        <v>0</v>
      </c>
      <c r="AC59" s="126"/>
      <c r="AD59" s="139"/>
      <c r="AE59" s="124"/>
      <c r="AF59" s="178">
        <f t="shared" ref="AF59:AH59" si="106">STDEV(AF53:AF56)</f>
        <v>363.10191406821309</v>
      </c>
      <c r="AG59" s="178">
        <f t="shared" si="106"/>
        <v>4818.9348753986424</v>
      </c>
      <c r="AH59" s="178">
        <f t="shared" si="106"/>
        <v>4068.7861728038938</v>
      </c>
      <c r="AK59" s="132">
        <f>STDEV(AK53:AK56)</f>
        <v>0</v>
      </c>
      <c r="AL59" s="126"/>
      <c r="AM59" s="139"/>
      <c r="AN59" s="124"/>
      <c r="AO59" s="178">
        <f t="shared" ref="AO59:AQ59" si="107">STDEV(AO53:AO56)</f>
        <v>642.4357295999863</v>
      </c>
      <c r="AP59" s="178">
        <f t="shared" si="107"/>
        <v>7415.5843779615016</v>
      </c>
      <c r="AQ59" s="178">
        <f t="shared" si="107"/>
        <v>6153.8310625712584</v>
      </c>
    </row>
    <row r="60" spans="2:61">
      <c r="B60" s="18"/>
      <c r="C60" s="18"/>
      <c r="D60" s="18"/>
      <c r="E60" s="124"/>
      <c r="F60" s="200">
        <f t="shared" ref="F60:H60" si="108">SUM(F38:F41,F45:F48,F53:F56)</f>
        <v>27450</v>
      </c>
      <c r="G60" s="200">
        <f t="shared" si="108"/>
        <v>540230</v>
      </c>
      <c r="H60" s="200">
        <f t="shared" si="108"/>
        <v>435920</v>
      </c>
      <c r="J60" s="18"/>
      <c r="K60" s="18"/>
      <c r="L60" s="18"/>
      <c r="M60" s="124"/>
      <c r="N60" s="200">
        <f t="shared" ref="N60:P60" si="109">SUM(N38:N41,N45:N48,N53:N56)</f>
        <v>27600</v>
      </c>
      <c r="O60" s="200">
        <f t="shared" si="109"/>
        <v>554680</v>
      </c>
      <c r="P60" s="200">
        <f t="shared" si="109"/>
        <v>449800</v>
      </c>
      <c r="S60" s="18"/>
      <c r="T60" s="18"/>
      <c r="U60" s="18"/>
      <c r="V60" s="124"/>
      <c r="W60" s="200">
        <f t="shared" ref="W60:Y60" si="110">SUM(W38:W41,W45:W48,W53:W56)</f>
        <v>15111</v>
      </c>
      <c r="X60" s="200">
        <f t="shared" si="110"/>
        <v>284010</v>
      </c>
      <c r="Y60" s="200">
        <f t="shared" si="110"/>
        <v>226588.2</v>
      </c>
      <c r="AB60" s="18"/>
      <c r="AC60" s="18"/>
      <c r="AD60" s="18"/>
      <c r="AE60" s="124"/>
      <c r="AF60" s="200">
        <f t="shared" ref="AF60:AH60" si="111">SUM(AF38:AF41,AF45:AF48,AF53:AF56)</f>
        <v>13470</v>
      </c>
      <c r="AG60" s="200">
        <f t="shared" si="111"/>
        <v>297330</v>
      </c>
      <c r="AH60" s="200">
        <f t="shared" si="111"/>
        <v>246144.00000000003</v>
      </c>
      <c r="AK60" s="18"/>
      <c r="AL60" s="18"/>
      <c r="AM60" s="18"/>
      <c r="AN60" s="124"/>
      <c r="AO60" s="200">
        <f t="shared" ref="AO60:AQ60" si="112">SUM(AO38:AO41,AO45:AO48,AO53:AO56)</f>
        <v>24578</v>
      </c>
      <c r="AP60" s="200">
        <f t="shared" si="112"/>
        <v>487770</v>
      </c>
      <c r="AQ60" s="200">
        <f t="shared" si="112"/>
        <v>394373.60000000009</v>
      </c>
    </row>
    <row r="61" spans="2:61">
      <c r="B61" s="18"/>
      <c r="C61" s="18"/>
      <c r="D61" s="18"/>
      <c r="E61" s="124"/>
      <c r="F61" s="203">
        <f t="shared" ref="F61:H61" si="113">AVERAGE(F38:F41,F45:F48,F53:F56)</f>
        <v>2287.5</v>
      </c>
      <c r="G61" s="203">
        <f t="shared" si="113"/>
        <v>45019.166666666664</v>
      </c>
      <c r="H61" s="203">
        <f t="shared" si="113"/>
        <v>36326.666666666664</v>
      </c>
      <c r="J61" s="18"/>
      <c r="K61" s="18"/>
      <c r="L61" s="18"/>
      <c r="M61" s="124"/>
      <c r="N61" s="203">
        <f t="shared" ref="N61:P61" si="114">AVERAGE(N38:N41,N45:N48,N53:N56)</f>
        <v>2300</v>
      </c>
      <c r="O61" s="203">
        <f t="shared" si="114"/>
        <v>46223.333333333336</v>
      </c>
      <c r="P61" s="203">
        <f t="shared" si="114"/>
        <v>37483.333333333336</v>
      </c>
      <c r="S61" s="18"/>
      <c r="T61" s="18"/>
      <c r="U61" s="18"/>
      <c r="V61" s="124"/>
      <c r="W61" s="203">
        <f t="shared" ref="W61:Y61" si="115">AVERAGE(W38:W41,W45:W48,W53:W56)</f>
        <v>1259.25</v>
      </c>
      <c r="X61" s="203">
        <f t="shared" si="115"/>
        <v>23667.5</v>
      </c>
      <c r="Y61" s="203">
        <f t="shared" si="115"/>
        <v>18882.350000000002</v>
      </c>
      <c r="AB61" s="18"/>
      <c r="AC61" s="18"/>
      <c r="AD61" s="18"/>
      <c r="AE61" s="124"/>
      <c r="AF61" s="203">
        <f t="shared" ref="AF61:AH61" si="116">AVERAGE(AF38:AF41,AF45:AF48,AF53:AF56)</f>
        <v>1122.5</v>
      </c>
      <c r="AG61" s="203">
        <f t="shared" si="116"/>
        <v>24777.5</v>
      </c>
      <c r="AH61" s="203">
        <f t="shared" si="116"/>
        <v>20512.000000000004</v>
      </c>
      <c r="AK61" s="18"/>
      <c r="AL61" s="18"/>
      <c r="AM61" s="18"/>
      <c r="AN61" s="124"/>
      <c r="AO61" s="203">
        <f t="shared" ref="AO61:AQ61" si="117">AVERAGE(AO38:AO41,AO45:AO48,AO53:AO56)</f>
        <v>2048.1666666666665</v>
      </c>
      <c r="AP61" s="203">
        <f t="shared" si="117"/>
        <v>40647.5</v>
      </c>
      <c r="AQ61" s="203">
        <f t="shared" si="117"/>
        <v>32864.466666666674</v>
      </c>
    </row>
    <row r="62" spans="2:61" ht="15.75" thickBot="1">
      <c r="B62" s="18"/>
      <c r="C62" s="18"/>
      <c r="D62" s="18"/>
      <c r="E62" s="124"/>
      <c r="F62" s="206">
        <f t="shared" ref="F62:H62" si="118">STDEV(F38:F41,F45:F48,F53:F56,)</f>
        <v>938.97573765110462</v>
      </c>
      <c r="G62" s="206">
        <f t="shared" si="118"/>
        <v>13906.138056305408</v>
      </c>
      <c r="H62" s="206">
        <f t="shared" si="118"/>
        <v>10903.533749085018</v>
      </c>
      <c r="J62" s="18"/>
      <c r="K62" s="18"/>
      <c r="L62" s="18"/>
      <c r="M62" s="124"/>
      <c r="N62" s="206">
        <f t="shared" ref="N62:P62" si="119">STDEV(N38:N41,N45:N48,N53:N56,)</f>
        <v>945.97378941301008</v>
      </c>
      <c r="O62" s="206">
        <f t="shared" si="119"/>
        <v>14585.871676526654</v>
      </c>
      <c r="P62" s="206">
        <f t="shared" si="119"/>
        <v>11429.937579298779</v>
      </c>
      <c r="S62" s="18"/>
      <c r="T62" s="18"/>
      <c r="U62" s="18"/>
      <c r="V62" s="124"/>
      <c r="W62" s="206">
        <f t="shared" ref="W62:Y62" si="120">STDEV(W38:W41,W45:W48,W53:W56,)</f>
        <v>518.58887673852303</v>
      </c>
      <c r="X62" s="206">
        <f t="shared" si="120"/>
        <v>10966.19227794785</v>
      </c>
      <c r="Y62" s="206">
        <f t="shared" si="120"/>
        <v>9905.886990533998</v>
      </c>
      <c r="AB62" s="18"/>
      <c r="AC62" s="18"/>
      <c r="AD62" s="18"/>
      <c r="AE62" s="124"/>
      <c r="AF62" s="206">
        <f t="shared" ref="AF62:AH62" si="121">STDEV(AF38:AF41,AF45:AF48,AF53:AF56,)</f>
        <v>440.80113546319387</v>
      </c>
      <c r="AG62" s="206">
        <f t="shared" si="121"/>
        <v>10294.191603483529</v>
      </c>
      <c r="AH62" s="206">
        <f t="shared" si="121"/>
        <v>8973.0623260786597</v>
      </c>
      <c r="AK62" s="18"/>
      <c r="AL62" s="18"/>
      <c r="AM62" s="18"/>
      <c r="AN62" s="124"/>
      <c r="AO62" s="206">
        <f t="shared" ref="AO62:AQ62" si="122">STDEV(AO38:AO41,AO45:AO48,AO53:AO56,)</f>
        <v>799.37971144939831</v>
      </c>
      <c r="AP62" s="206">
        <f t="shared" si="122"/>
        <v>12886.764826453062</v>
      </c>
      <c r="AQ62" s="206">
        <f t="shared" si="122"/>
        <v>10385.166938104903</v>
      </c>
      <c r="AS62" t="s">
        <v>122</v>
      </c>
      <c r="BA62" t="s">
        <v>120</v>
      </c>
      <c r="BI62" t="s">
        <v>121</v>
      </c>
    </row>
    <row r="64" spans="2:61">
      <c r="B64" t="s">
        <v>107</v>
      </c>
      <c r="J64" t="s">
        <v>107</v>
      </c>
    </row>
    <row r="65" spans="2:67" ht="15.75" thickBot="1">
      <c r="B65" s="172" t="s">
        <v>102</v>
      </c>
      <c r="C65" s="172"/>
      <c r="D65" s="172"/>
      <c r="E65" s="173"/>
      <c r="F65" s="172" t="s">
        <v>20</v>
      </c>
      <c r="G65" s="172" t="s">
        <v>20</v>
      </c>
      <c r="H65" s="172" t="s">
        <v>20</v>
      </c>
      <c r="J65" s="172" t="s">
        <v>102</v>
      </c>
      <c r="K65" s="172"/>
      <c r="L65" s="172"/>
      <c r="M65" s="173"/>
      <c r="N65" s="172" t="s">
        <v>20</v>
      </c>
      <c r="O65" s="172" t="s">
        <v>20</v>
      </c>
      <c r="P65" s="172" t="s">
        <v>20</v>
      </c>
      <c r="S65" s="172" t="s">
        <v>111</v>
      </c>
      <c r="T65" s="172"/>
      <c r="U65" s="172"/>
      <c r="V65" s="173"/>
      <c r="W65" s="172" t="s">
        <v>20</v>
      </c>
      <c r="X65" s="172" t="s">
        <v>20</v>
      </c>
      <c r="Y65" s="172" t="s">
        <v>20</v>
      </c>
      <c r="AB65" s="172" t="s">
        <v>112</v>
      </c>
      <c r="AC65" s="172"/>
      <c r="AD65" s="172"/>
      <c r="AE65" s="173"/>
      <c r="AF65" s="172" t="s">
        <v>20</v>
      </c>
      <c r="AG65" s="172" t="s">
        <v>20</v>
      </c>
      <c r="AH65" s="172" t="s">
        <v>20</v>
      </c>
      <c r="AK65" s="172" t="s">
        <v>113</v>
      </c>
      <c r="AL65" s="172"/>
      <c r="AM65" s="172"/>
      <c r="AN65" s="173"/>
      <c r="AO65" s="172" t="s">
        <v>20</v>
      </c>
      <c r="AP65" s="172" t="s">
        <v>20</v>
      </c>
      <c r="AQ65" s="172" t="s">
        <v>20</v>
      </c>
      <c r="AS65" s="172" t="s">
        <v>117</v>
      </c>
      <c r="AT65" s="172"/>
      <c r="AU65" s="172"/>
      <c r="AV65" s="173"/>
      <c r="AW65" s="172" t="s">
        <v>20</v>
      </c>
      <c r="AX65" s="172" t="s">
        <v>20</v>
      </c>
      <c r="AY65" s="172" t="s">
        <v>20</v>
      </c>
      <c r="BA65" s="172" t="s">
        <v>117</v>
      </c>
      <c r="BB65" s="172"/>
      <c r="BC65" s="172"/>
      <c r="BD65" s="173"/>
      <c r="BE65" s="172" t="s">
        <v>20</v>
      </c>
      <c r="BF65" s="172" t="s">
        <v>20</v>
      </c>
      <c r="BG65" s="172" t="s">
        <v>20</v>
      </c>
      <c r="BI65" s="172" t="s">
        <v>117</v>
      </c>
      <c r="BJ65" s="172"/>
      <c r="BK65" s="172"/>
      <c r="BL65" s="173"/>
      <c r="BM65" s="172" t="s">
        <v>20</v>
      </c>
      <c r="BN65" s="172" t="s">
        <v>20</v>
      </c>
      <c r="BO65" s="172" t="s">
        <v>20</v>
      </c>
    </row>
    <row r="66" spans="2:67" ht="15.75" thickBot="1">
      <c r="B66" s="187" t="e">
        <f>SUM(I66:V66)</f>
        <v>#DIV/0!</v>
      </c>
      <c r="C66" s="188" t="e">
        <f>AVERAGE(I66:V66)</f>
        <v>#DIV/0!</v>
      </c>
      <c r="D66" s="189" t="e">
        <f>STDEV(I66:U66)</f>
        <v>#DIV/0!</v>
      </c>
      <c r="E66" s="190" t="s">
        <v>40</v>
      </c>
      <c r="F66" s="192">
        <v>1135</v>
      </c>
      <c r="G66" s="192">
        <v>30810</v>
      </c>
      <c r="H66" s="223">
        <f>G66-F66*$L$6</f>
        <v>26497</v>
      </c>
      <c r="J66" s="187" t="e">
        <f>SUM(Q66:AD66)</f>
        <v>#DIV/0!</v>
      </c>
      <c r="K66" s="188" t="e">
        <f>AVERAGE(Q66:AD66)</f>
        <v>#DIV/0!</v>
      </c>
      <c r="L66" s="189" t="e">
        <f>STDEV(Q66:AC66)</f>
        <v>#DIV/0!</v>
      </c>
      <c r="M66" s="190" t="s">
        <v>40</v>
      </c>
      <c r="N66" s="192">
        <v>1133</v>
      </c>
      <c r="O66" s="192">
        <v>33420</v>
      </c>
      <c r="P66" s="223">
        <f>O66-N66*$L$6</f>
        <v>29114.6</v>
      </c>
      <c r="R66">
        <v>500</v>
      </c>
      <c r="S66" s="187">
        <f>SUM(R177:AE177)</f>
        <v>0</v>
      </c>
      <c r="T66" s="188" t="e">
        <f>AVERAGE(R177:AE177)</f>
        <v>#DIV/0!</v>
      </c>
      <c r="U66" s="189" t="e">
        <f>STDEV(R177:AD177)</f>
        <v>#DIV/0!</v>
      </c>
      <c r="V66" s="190" t="s">
        <v>40</v>
      </c>
      <c r="W66" s="192">
        <v>572</v>
      </c>
      <c r="X66" s="192">
        <v>15160</v>
      </c>
      <c r="Y66" s="191">
        <f>X66-W66*$L$6</f>
        <v>12986.4</v>
      </c>
      <c r="AA66">
        <v>500</v>
      </c>
      <c r="AB66" s="187">
        <f>SUM(AA177:AN177)</f>
        <v>0</v>
      </c>
      <c r="AC66" s="188" t="e">
        <f>AVERAGE(AA177:AN177)</f>
        <v>#DIV/0!</v>
      </c>
      <c r="AD66" s="189" t="e">
        <f>STDEV(AA177:AM177)</f>
        <v>#DIV/0!</v>
      </c>
      <c r="AE66" s="190" t="s">
        <v>40</v>
      </c>
      <c r="AF66" s="192">
        <v>571</v>
      </c>
      <c r="AG66" s="192">
        <v>15990</v>
      </c>
      <c r="AH66" s="191">
        <f>AG66-AF66*$L$6</f>
        <v>13820.2</v>
      </c>
      <c r="AK66" s="187">
        <f>SUM(AJ177:AV177)</f>
        <v>0</v>
      </c>
      <c r="AL66" s="188" t="e">
        <f>AVERAGE(AJ177:AV177)</f>
        <v>#DIV/0!</v>
      </c>
      <c r="AM66" s="189" t="e">
        <f>STDEV(AJ177:AU177)</f>
        <v>#DIV/0!</v>
      </c>
      <c r="AN66" s="190" t="s">
        <v>40</v>
      </c>
      <c r="AO66" s="192">
        <v>1131</v>
      </c>
      <c r="AP66" s="192">
        <v>34240</v>
      </c>
      <c r="AQ66" s="191">
        <f>AP66-AO66*$L$6</f>
        <v>29942.2</v>
      </c>
      <c r="AS66" s="187">
        <f>SUM(AS177:BE177)</f>
        <v>0</v>
      </c>
      <c r="AT66" s="188" t="e">
        <f>AVERAGE(AS177:BE177)</f>
        <v>#DIV/0!</v>
      </c>
      <c r="AU66" s="189" t="e">
        <f>STDEV(AS177:BD177)</f>
        <v>#DIV/0!</v>
      </c>
      <c r="AV66" s="190" t="s">
        <v>40</v>
      </c>
      <c r="AW66" s="192">
        <v>1131</v>
      </c>
      <c r="AX66" s="192">
        <v>32800</v>
      </c>
      <c r="AY66" s="191">
        <f>AX66-AW66*$L$6</f>
        <v>28502.2</v>
      </c>
      <c r="BA66" s="187">
        <f>SUM(BA177:BM177)</f>
        <v>0</v>
      </c>
      <c r="BB66" s="188" t="e">
        <f>AVERAGE(BA177:BM177)</f>
        <v>#DIV/0!</v>
      </c>
      <c r="BC66" s="189" t="e">
        <f>STDEV(BA177:BL177)</f>
        <v>#DIV/0!</v>
      </c>
      <c r="BD66" s="190" t="s">
        <v>40</v>
      </c>
      <c r="BE66" s="192">
        <v>1143</v>
      </c>
      <c r="BF66" s="192">
        <v>32540</v>
      </c>
      <c r="BG66" s="191">
        <f>BF66-BE66*$L$6</f>
        <v>28196.6</v>
      </c>
      <c r="BI66" s="187">
        <f>SUM(BI177:BU177)</f>
        <v>0</v>
      </c>
      <c r="BJ66" s="188" t="e">
        <f>AVERAGE(BI177:BU177)</f>
        <v>#DIV/0!</v>
      </c>
      <c r="BK66" s="189" t="e">
        <f>STDEV(BI177:BT177)</f>
        <v>#DIV/0!</v>
      </c>
      <c r="BL66" s="190" t="s">
        <v>40</v>
      </c>
      <c r="BM66" s="192">
        <v>1129</v>
      </c>
      <c r="BN66" s="192">
        <v>34480</v>
      </c>
      <c r="BO66" s="191">
        <f>BN66-BM66*$L$6</f>
        <v>30189.8</v>
      </c>
    </row>
    <row r="67" spans="2:67" ht="15.75" thickBot="1">
      <c r="B67" s="134" t="e">
        <f>SUM(I67:V67)</f>
        <v>#DIV/0!</v>
      </c>
      <c r="C67" s="128" t="e">
        <f>AVERAGE(I67:V67)</f>
        <v>#DIV/0!</v>
      </c>
      <c r="D67" s="141" t="e">
        <f>STDEV(I67:U67)</f>
        <v>#DIV/0!</v>
      </c>
      <c r="E67" s="193" t="s">
        <v>41</v>
      </c>
      <c r="F67" s="194">
        <v>1921</v>
      </c>
      <c r="G67" s="194">
        <v>44470</v>
      </c>
      <c r="H67" s="223">
        <f t="shared" ref="H67:H69" si="123">G67-F67*$L$6</f>
        <v>37170.199999999997</v>
      </c>
      <c r="J67" s="134" t="e">
        <f>SUM(Q67:AD67)</f>
        <v>#DIV/0!</v>
      </c>
      <c r="K67" s="128" t="e">
        <f>AVERAGE(Q67:AD67)</f>
        <v>#DIV/0!</v>
      </c>
      <c r="L67" s="141" t="e">
        <f>STDEV(Q67:AC67)</f>
        <v>#DIV/0!</v>
      </c>
      <c r="M67" s="193" t="s">
        <v>41</v>
      </c>
      <c r="N67" s="194">
        <v>1937</v>
      </c>
      <c r="O67" s="194">
        <v>42560</v>
      </c>
      <c r="P67" s="223">
        <f>O67-N67*$L$6</f>
        <v>35199.4</v>
      </c>
      <c r="S67" s="134">
        <f>SUM(R178:AE178)</f>
        <v>0</v>
      </c>
      <c r="T67" s="128" t="e">
        <f>AVERAGE(R178:AE178)</f>
        <v>#DIV/0!</v>
      </c>
      <c r="U67" s="141" t="e">
        <f>STDEV(R178:AD178)</f>
        <v>#DIV/0!</v>
      </c>
      <c r="V67" s="193" t="s">
        <v>41</v>
      </c>
      <c r="W67" s="194">
        <v>1031</v>
      </c>
      <c r="X67" s="194">
        <v>10790</v>
      </c>
      <c r="Y67" s="222">
        <f t="shared" ref="Y67:Y69" si="124">X67-W67*$L$6</f>
        <v>6872.2000000000007</v>
      </c>
      <c r="AB67" s="134">
        <f>SUM(AA178:AN178)</f>
        <v>0</v>
      </c>
      <c r="AC67" s="128" t="e">
        <f>AVERAGE(AA178:AN178)</f>
        <v>#DIV/0!</v>
      </c>
      <c r="AD67" s="141" t="e">
        <f>STDEV(AA178:AM178)</f>
        <v>#DIV/0!</v>
      </c>
      <c r="AE67" s="193" t="s">
        <v>41</v>
      </c>
      <c r="AF67" s="194">
        <v>793</v>
      </c>
      <c r="AG67" s="194">
        <v>25510</v>
      </c>
      <c r="AH67" s="222">
        <f t="shared" ref="AH67:AH69" si="125">AG67-AF67*$L$6</f>
        <v>22496.6</v>
      </c>
      <c r="AK67" s="134">
        <f>SUM(AJ178:AV178)</f>
        <v>0</v>
      </c>
      <c r="AL67" s="128" t="e">
        <f>AVERAGE(AJ178:AV178)</f>
        <v>#DIV/0!</v>
      </c>
      <c r="AM67" s="141" t="e">
        <f>STDEV(AJ178:AU178)</f>
        <v>#DIV/0!</v>
      </c>
      <c r="AN67" s="193" t="s">
        <v>41</v>
      </c>
      <c r="AO67" s="194">
        <v>1558</v>
      </c>
      <c r="AP67" s="194">
        <v>39220</v>
      </c>
      <c r="AQ67" s="222">
        <f t="shared" ref="AQ67:AQ69" si="126">AP67-AO67*$L$6</f>
        <v>33299.599999999999</v>
      </c>
      <c r="AS67" s="134">
        <f>SUM(AS178:BE178)</f>
        <v>0</v>
      </c>
      <c r="AT67" s="128" t="e">
        <f>AVERAGE(AS178:BE178)</f>
        <v>#DIV/0!</v>
      </c>
      <c r="AU67" s="141" t="e">
        <f>STDEV(AS178:BD178)</f>
        <v>#DIV/0!</v>
      </c>
      <c r="AV67" s="193" t="s">
        <v>41</v>
      </c>
      <c r="AW67" s="194">
        <v>1555</v>
      </c>
      <c r="AX67" s="194">
        <v>39000</v>
      </c>
      <c r="AY67" s="222">
        <f t="shared" ref="AY67:AY69" si="127">AX67-AW67*$L$6</f>
        <v>33091</v>
      </c>
      <c r="BA67" s="134">
        <f>SUM(BA178:BM178)</f>
        <v>0</v>
      </c>
      <c r="BB67" s="128" t="e">
        <f>AVERAGE(BA178:BM178)</f>
        <v>#DIV/0!</v>
      </c>
      <c r="BC67" s="141" t="e">
        <f>STDEV(BA178:BL178)</f>
        <v>#DIV/0!</v>
      </c>
      <c r="BD67" s="193" t="s">
        <v>41</v>
      </c>
      <c r="BE67" s="194">
        <v>1565</v>
      </c>
      <c r="BF67" s="194">
        <v>36010</v>
      </c>
      <c r="BG67" s="222">
        <f t="shared" ref="BG67:BG69" si="128">BF67-BE67*$L$6</f>
        <v>30063</v>
      </c>
      <c r="BI67" s="134">
        <f>SUM(BI178:BU178)</f>
        <v>0</v>
      </c>
      <c r="BJ67" s="128" t="e">
        <f>AVERAGE(BI178:BU178)</f>
        <v>#DIV/0!</v>
      </c>
      <c r="BK67" s="141" t="e">
        <f>STDEV(BI178:BT178)</f>
        <v>#DIV/0!</v>
      </c>
      <c r="BL67" s="193" t="s">
        <v>41</v>
      </c>
      <c r="BM67" s="194">
        <v>1553</v>
      </c>
      <c r="BN67" s="194">
        <v>42440</v>
      </c>
      <c r="BO67" s="222">
        <f t="shared" ref="BO67:BO69" si="129">BN67-BM67*$L$6</f>
        <v>36538.6</v>
      </c>
    </row>
    <row r="68" spans="2:67" ht="15.75" thickBot="1">
      <c r="B68" s="214" t="e">
        <f>SUM(I68:V68)</f>
        <v>#DIV/0!</v>
      </c>
      <c r="C68" s="128" t="e">
        <f>AVERAGE(I68:V68)</f>
        <v>#DIV/0!</v>
      </c>
      <c r="D68" s="141" t="e">
        <f>STDEV(I68:U68)</f>
        <v>#DIV/0!</v>
      </c>
      <c r="E68" s="193" t="s">
        <v>42</v>
      </c>
      <c r="F68" s="194">
        <v>2277</v>
      </c>
      <c r="G68" s="194">
        <v>51390</v>
      </c>
      <c r="H68" s="222">
        <f t="shared" si="123"/>
        <v>42737.4</v>
      </c>
      <c r="J68" s="214" t="e">
        <f>SUM(Q68:AD68)</f>
        <v>#DIV/0!</v>
      </c>
      <c r="K68" s="128" t="e">
        <f>AVERAGE(Q68:AD68)</f>
        <v>#DIV/0!</v>
      </c>
      <c r="L68" s="141" t="e">
        <f>STDEV(Q68:AC68)</f>
        <v>#DIV/0!</v>
      </c>
      <c r="M68" s="193" t="s">
        <v>42</v>
      </c>
      <c r="N68" s="194">
        <v>2300</v>
      </c>
      <c r="O68" s="194">
        <v>49780</v>
      </c>
      <c r="P68" s="222">
        <f t="shared" ref="P68:P69" si="130">O68-N68*$L$6</f>
        <v>41040</v>
      </c>
      <c r="S68" s="214">
        <f>SUM(R179:AE179)</f>
        <v>0</v>
      </c>
      <c r="T68" s="128" t="e">
        <f>AVERAGE(R179:AE179)</f>
        <v>#DIV/0!</v>
      </c>
      <c r="U68" s="141" t="e">
        <f>STDEV(R179:AD179)</f>
        <v>#DIV/0!</v>
      </c>
      <c r="V68" s="193" t="s">
        <v>42</v>
      </c>
      <c r="W68" s="194">
        <v>1200</v>
      </c>
      <c r="X68" s="194">
        <v>27740</v>
      </c>
      <c r="Y68" s="222">
        <f t="shared" si="124"/>
        <v>23180</v>
      </c>
      <c r="AB68" s="214">
        <f>SUM(AA179:AN179)</f>
        <v>0</v>
      </c>
      <c r="AC68" s="128" t="e">
        <f>AVERAGE(AA179:AN179)</f>
        <v>#DIV/0!</v>
      </c>
      <c r="AD68" s="141" t="e">
        <f>STDEV(AA179:AM179)</f>
        <v>#DIV/0!</v>
      </c>
      <c r="AE68" s="193" t="s">
        <v>42</v>
      </c>
      <c r="AF68" s="194">
        <v>1198</v>
      </c>
      <c r="AG68" s="194">
        <v>26670</v>
      </c>
      <c r="AH68" s="222">
        <f t="shared" si="125"/>
        <v>22117.599999999999</v>
      </c>
      <c r="AK68" s="214">
        <f>SUM(AJ179:AV179)</f>
        <v>0</v>
      </c>
      <c r="AL68" s="128" t="e">
        <f>AVERAGE(AJ179:AV179)</f>
        <v>#DIV/0!</v>
      </c>
      <c r="AM68" s="141" t="e">
        <f>STDEV(AJ179:AU179)</f>
        <v>#DIV/0!</v>
      </c>
      <c r="AN68" s="193" t="s">
        <v>42</v>
      </c>
      <c r="AO68" s="194">
        <v>2295</v>
      </c>
      <c r="AP68" s="194">
        <v>49240</v>
      </c>
      <c r="AQ68" s="222">
        <f t="shared" si="126"/>
        <v>40519</v>
      </c>
      <c r="AS68" s="214">
        <f>SUM(AS179:BE179)</f>
        <v>0</v>
      </c>
      <c r="AT68" s="128" t="e">
        <f>AVERAGE(AS179:BE179)</f>
        <v>#DIV/0!</v>
      </c>
      <c r="AU68" s="141" t="e">
        <f>STDEV(AS179:BD179)</f>
        <v>#DIV/0!</v>
      </c>
      <c r="AV68" s="193" t="s">
        <v>42</v>
      </c>
      <c r="AW68" s="194">
        <v>2279</v>
      </c>
      <c r="AX68" s="194">
        <v>53180</v>
      </c>
      <c r="AY68" s="222">
        <f t="shared" si="127"/>
        <v>44519.8</v>
      </c>
      <c r="BA68" s="214">
        <f>SUM(BA179:BM179)</f>
        <v>0</v>
      </c>
      <c r="BB68" s="128" t="e">
        <f>AVERAGE(BA179:BM179)</f>
        <v>#DIV/0!</v>
      </c>
      <c r="BC68" s="141" t="e">
        <f>STDEV(BA179:BL179)</f>
        <v>#DIV/0!</v>
      </c>
      <c r="BD68" s="193" t="s">
        <v>42</v>
      </c>
      <c r="BE68" s="194">
        <v>2290</v>
      </c>
      <c r="BF68" s="194">
        <v>48560</v>
      </c>
      <c r="BG68" s="222">
        <f t="shared" si="128"/>
        <v>39858</v>
      </c>
      <c r="BI68" s="214">
        <f>SUM(BI179:BU179)</f>
        <v>0</v>
      </c>
      <c r="BJ68" s="128" t="e">
        <f>AVERAGE(BI179:BU179)</f>
        <v>#DIV/0!</v>
      </c>
      <c r="BK68" s="141" t="e">
        <f>STDEV(BI179:BT179)</f>
        <v>#DIV/0!</v>
      </c>
      <c r="BL68" s="193" t="s">
        <v>42</v>
      </c>
      <c r="BM68" s="194">
        <v>2288</v>
      </c>
      <c r="BN68" s="194">
        <v>47990</v>
      </c>
      <c r="BO68" s="222">
        <f t="shared" si="129"/>
        <v>39295.599999999999</v>
      </c>
    </row>
    <row r="69" spans="2:67">
      <c r="B69" s="214" t="e">
        <f>SUM(I69:V69)</f>
        <v>#DIV/0!</v>
      </c>
      <c r="C69" s="128" t="e">
        <f>AVERAGE(I69:V69)</f>
        <v>#DIV/0!</v>
      </c>
      <c r="D69" s="141" t="e">
        <f>STDEV(I69:U69)</f>
        <v>#DIV/0!</v>
      </c>
      <c r="E69" s="193" t="s">
        <v>43</v>
      </c>
      <c r="F69" s="194">
        <v>2977</v>
      </c>
      <c r="G69" s="194">
        <v>49600</v>
      </c>
      <c r="H69" s="222">
        <f t="shared" si="123"/>
        <v>38287.4</v>
      </c>
      <c r="J69" s="214" t="e">
        <f>SUM(Q69:AD69)</f>
        <v>#DIV/0!</v>
      </c>
      <c r="K69" s="128" t="e">
        <f>AVERAGE(Q69:AD69)</f>
        <v>#DIV/0!</v>
      </c>
      <c r="L69" s="141" t="e">
        <f>STDEV(Q69:AC69)</f>
        <v>#DIV/0!</v>
      </c>
      <c r="M69" s="193" t="s">
        <v>43</v>
      </c>
      <c r="N69" s="194">
        <v>3010</v>
      </c>
      <c r="O69" s="194">
        <v>52310</v>
      </c>
      <c r="P69" s="222">
        <f t="shared" si="130"/>
        <v>40872</v>
      </c>
      <c r="S69" s="214">
        <f>SUM(R180:AE180)</f>
        <v>0</v>
      </c>
      <c r="T69" s="128" t="e">
        <f>AVERAGE(R180:AE180)</f>
        <v>#DIV/0!</v>
      </c>
      <c r="U69" s="141" t="e">
        <f>STDEV(R180:AD180)</f>
        <v>#DIV/0!</v>
      </c>
      <c r="V69" s="193" t="s">
        <v>43</v>
      </c>
      <c r="W69" s="194">
        <v>1587</v>
      </c>
      <c r="X69" s="194">
        <v>21890</v>
      </c>
      <c r="Y69" s="224">
        <f t="shared" si="124"/>
        <v>15859.400000000001</v>
      </c>
      <c r="AB69" s="214">
        <f>SUM(AA180:AN180)</f>
        <v>0</v>
      </c>
      <c r="AC69" s="128" t="e">
        <f>AVERAGE(AA180:AN180)</f>
        <v>#DIV/0!</v>
      </c>
      <c r="AD69" s="141" t="e">
        <f>STDEV(AA180:AM180)</f>
        <v>#DIV/0!</v>
      </c>
      <c r="AE69" s="193" t="s">
        <v>43</v>
      </c>
      <c r="AF69" s="194">
        <v>1322</v>
      </c>
      <c r="AG69" s="194">
        <v>26910</v>
      </c>
      <c r="AH69" s="224">
        <f t="shared" si="125"/>
        <v>21886.400000000001</v>
      </c>
      <c r="AK69" s="214">
        <f>SUM(AJ180:AV180)</f>
        <v>0</v>
      </c>
      <c r="AL69" s="128" t="e">
        <f>AVERAGE(AJ180:AV180)</f>
        <v>#DIV/0!</v>
      </c>
      <c r="AM69" s="141" t="e">
        <f>STDEV(AJ180:AU180)</f>
        <v>#DIV/0!</v>
      </c>
      <c r="AN69" s="193" t="s">
        <v>43</v>
      </c>
      <c r="AO69" s="194">
        <v>2466</v>
      </c>
      <c r="AP69" s="194">
        <v>40040</v>
      </c>
      <c r="AQ69" s="224">
        <f t="shared" si="126"/>
        <v>30669.200000000001</v>
      </c>
      <c r="AS69" s="214">
        <f>SUM(AS180:BE180)</f>
        <v>0</v>
      </c>
      <c r="AT69" s="128" t="e">
        <f>AVERAGE(AS180:BE180)</f>
        <v>#DIV/0!</v>
      </c>
      <c r="AU69" s="141" t="e">
        <f>STDEV(AS180:BD180)</f>
        <v>#DIV/0!</v>
      </c>
      <c r="AV69" s="193" t="s">
        <v>43</v>
      </c>
      <c r="AW69" s="194">
        <v>2455</v>
      </c>
      <c r="AX69" s="194">
        <v>44510</v>
      </c>
      <c r="AY69" s="224">
        <f t="shared" si="127"/>
        <v>35181</v>
      </c>
      <c r="BA69" s="214">
        <f>SUM(BA180:BM180)</f>
        <v>0</v>
      </c>
      <c r="BB69" s="128" t="e">
        <f>AVERAGE(BA180:BM180)</f>
        <v>#DIV/0!</v>
      </c>
      <c r="BC69" s="141" t="e">
        <f>STDEV(BA180:BL180)</f>
        <v>#DIV/0!</v>
      </c>
      <c r="BD69" s="193" t="s">
        <v>43</v>
      </c>
      <c r="BE69" s="194">
        <v>2460</v>
      </c>
      <c r="BF69" s="194">
        <v>45120</v>
      </c>
      <c r="BG69" s="224">
        <f t="shared" si="128"/>
        <v>35772</v>
      </c>
      <c r="BI69" s="214">
        <f>SUM(BI180:BU180)</f>
        <v>0</v>
      </c>
      <c r="BJ69" s="128" t="e">
        <f>AVERAGE(BI180:BU180)</f>
        <v>#DIV/0!</v>
      </c>
      <c r="BK69" s="141" t="e">
        <f>STDEV(BI180:BT180)</f>
        <v>#DIV/0!</v>
      </c>
      <c r="BL69" s="193" t="s">
        <v>43</v>
      </c>
      <c r="BM69" s="194">
        <v>2463</v>
      </c>
      <c r="BN69" s="194">
        <v>38690</v>
      </c>
      <c r="BO69" s="224">
        <f t="shared" si="129"/>
        <v>29330.6</v>
      </c>
    </row>
    <row r="70" spans="2:67">
      <c r="B70" s="132" t="e">
        <f>SUM(B66:B69)</f>
        <v>#DIV/0!</v>
      </c>
      <c r="C70" s="126" t="e">
        <f>AVERAGE(I66:AA69)</f>
        <v>#DIV/0!</v>
      </c>
      <c r="D70" s="139" t="e">
        <f>STDEV(I66:AA69)</f>
        <v>#DIV/0!</v>
      </c>
      <c r="E70" s="124"/>
      <c r="F70" s="207">
        <f t="shared" ref="F70:H70" si="131">SUM(F66:F69)</f>
        <v>8310</v>
      </c>
      <c r="G70" s="207">
        <f t="shared" si="131"/>
        <v>176270</v>
      </c>
      <c r="H70" s="207">
        <f t="shared" si="131"/>
        <v>144692</v>
      </c>
      <c r="J70" s="132" t="e">
        <f>SUM(J66:J69)</f>
        <v>#DIV/0!</v>
      </c>
      <c r="K70" s="126" t="e">
        <f>AVERAGE(Q66:AI69)</f>
        <v>#DIV/0!</v>
      </c>
      <c r="L70" s="139" t="e">
        <f>STDEV(Q66:AI69)</f>
        <v>#DIV/0!</v>
      </c>
      <c r="M70" s="124"/>
      <c r="N70" s="207">
        <f t="shared" ref="N70:P70" si="132">SUM(N66:N69)</f>
        <v>8380</v>
      </c>
      <c r="O70" s="207">
        <f t="shared" si="132"/>
        <v>178070</v>
      </c>
      <c r="P70" s="207">
        <f t="shared" si="132"/>
        <v>146226</v>
      </c>
      <c r="S70" s="132">
        <f>SUM(S66:S69)</f>
        <v>0</v>
      </c>
      <c r="T70" s="126" t="e">
        <f>AVERAGE(R177:AJ180)</f>
        <v>#DIV/0!</v>
      </c>
      <c r="U70" s="139" t="e">
        <f>STDEV(R177:AJ180)</f>
        <v>#DIV/0!</v>
      </c>
      <c r="V70" s="124"/>
      <c r="W70" s="207">
        <f t="shared" ref="W70:Y70" si="133">SUM(W66:W69)</f>
        <v>4390</v>
      </c>
      <c r="X70" s="207">
        <f t="shared" si="133"/>
        <v>75580</v>
      </c>
      <c r="Y70" s="207">
        <f t="shared" si="133"/>
        <v>58898</v>
      </c>
      <c r="AB70" s="132">
        <f>SUM(AB66:AB69)</f>
        <v>0</v>
      </c>
      <c r="AC70" s="126" t="e">
        <f>AVERAGE(AA177:AR180)</f>
        <v>#DIV/0!</v>
      </c>
      <c r="AD70" s="139" t="e">
        <f>STDEV(AA177:AR180)</f>
        <v>#DIV/0!</v>
      </c>
      <c r="AE70" s="124"/>
      <c r="AF70" s="207">
        <f t="shared" ref="AF70:AH70" si="134">SUM(AF66:AF69)</f>
        <v>3884</v>
      </c>
      <c r="AG70" s="207">
        <f t="shared" si="134"/>
        <v>95080</v>
      </c>
      <c r="AH70" s="207">
        <f t="shared" si="134"/>
        <v>80320.800000000003</v>
      </c>
      <c r="AK70" s="132">
        <f>SUM(AK66:AK69)</f>
        <v>0</v>
      </c>
      <c r="AL70" s="126" t="e">
        <f>AVERAGE(AJ177:BA180)</f>
        <v>#DIV/0!</v>
      </c>
      <c r="AM70" s="139" t="e">
        <f>STDEV(AJ177:BA180)</f>
        <v>#DIV/0!</v>
      </c>
      <c r="AN70" s="124"/>
      <c r="AO70" s="207">
        <f t="shared" ref="AO70:AQ70" si="135">SUM(AO66:AO69)</f>
        <v>7450</v>
      </c>
      <c r="AP70" s="207">
        <f t="shared" si="135"/>
        <v>162740</v>
      </c>
      <c r="AQ70" s="207">
        <f t="shared" si="135"/>
        <v>134430</v>
      </c>
      <c r="AS70" s="132">
        <f>SUM(AS66:AS69)</f>
        <v>0</v>
      </c>
      <c r="AT70" s="126" t="e">
        <f>AVERAGE(AS177:BJ180)</f>
        <v>#DIV/0!</v>
      </c>
      <c r="AU70" s="139" t="e">
        <f>STDEV(AS177:BJ180)</f>
        <v>#DIV/0!</v>
      </c>
      <c r="AV70" s="124"/>
      <c r="AW70" s="207">
        <f t="shared" ref="AW70:AY70" si="136">SUM(AW66:AW69)</f>
        <v>7420</v>
      </c>
      <c r="AX70" s="207">
        <f t="shared" si="136"/>
        <v>169490</v>
      </c>
      <c r="AY70" s="207">
        <f t="shared" si="136"/>
        <v>141294</v>
      </c>
      <c r="BA70" s="132">
        <f>SUM(BA66:BA69)</f>
        <v>0</v>
      </c>
      <c r="BB70" s="126" t="e">
        <f>AVERAGE(BA177:BR180)</f>
        <v>#DIV/0!</v>
      </c>
      <c r="BC70" s="139" t="e">
        <f>STDEV(BA177:BR180)</f>
        <v>#DIV/0!</v>
      </c>
      <c r="BD70" s="124"/>
      <c r="BE70" s="207">
        <f t="shared" ref="BE70:BG70" si="137">SUM(BE66:BE69)</f>
        <v>7458</v>
      </c>
      <c r="BF70" s="207">
        <f t="shared" si="137"/>
        <v>162230</v>
      </c>
      <c r="BG70" s="207">
        <f t="shared" si="137"/>
        <v>133889.60000000001</v>
      </c>
      <c r="BI70" s="132">
        <f>SUM(BI66:BI69)</f>
        <v>0</v>
      </c>
      <c r="BJ70" s="126" t="e">
        <f>AVERAGE(BI177:BZ180)</f>
        <v>#DIV/0!</v>
      </c>
      <c r="BK70" s="139" t="e">
        <f>STDEV(BI177:BZ180)</f>
        <v>#DIV/0!</v>
      </c>
      <c r="BL70" s="124"/>
      <c r="BM70" s="207">
        <f t="shared" ref="BM70:BO70" si="138">SUM(BM66:BM69)</f>
        <v>7433</v>
      </c>
      <c r="BN70" s="207">
        <f t="shared" si="138"/>
        <v>163600</v>
      </c>
      <c r="BO70" s="207">
        <f t="shared" si="138"/>
        <v>135354.6</v>
      </c>
    </row>
    <row r="71" spans="2:67">
      <c r="B71" s="132" t="e">
        <f>AVERAGE(B66:B69)</f>
        <v>#DIV/0!</v>
      </c>
      <c r="C71" s="126"/>
      <c r="D71" s="139"/>
      <c r="E71" s="124"/>
      <c r="F71" s="138">
        <f t="shared" ref="F71:H71" si="139">AVERAGE(F66:F69)</f>
        <v>2077.5</v>
      </c>
      <c r="G71" s="138">
        <f t="shared" si="139"/>
        <v>44067.5</v>
      </c>
      <c r="H71" s="138">
        <f t="shared" si="139"/>
        <v>36173</v>
      </c>
      <c r="J71" s="132" t="e">
        <f>AVERAGE(J66:J69)</f>
        <v>#DIV/0!</v>
      </c>
      <c r="K71" s="126"/>
      <c r="L71" s="139"/>
      <c r="M71" s="124"/>
      <c r="N71" s="138">
        <f t="shared" ref="N71:P71" si="140">AVERAGE(N66:N69)</f>
        <v>2095</v>
      </c>
      <c r="O71" s="138">
        <f t="shared" si="140"/>
        <v>44517.5</v>
      </c>
      <c r="P71" s="138">
        <f t="shared" si="140"/>
        <v>36556.5</v>
      </c>
      <c r="S71" s="132">
        <f>AVERAGE(S66:S69)</f>
        <v>0</v>
      </c>
      <c r="T71" s="126"/>
      <c r="U71" s="139"/>
      <c r="V71" s="124"/>
      <c r="W71" s="138">
        <f t="shared" ref="W71:Y71" si="141">AVERAGE(W66:W69)</f>
        <v>1097.5</v>
      </c>
      <c r="X71" s="138">
        <f t="shared" si="141"/>
        <v>18895</v>
      </c>
      <c r="Y71" s="138">
        <f t="shared" si="141"/>
        <v>14724.5</v>
      </c>
      <c r="AB71" s="132">
        <f>AVERAGE(AB66:AB69)</f>
        <v>0</v>
      </c>
      <c r="AC71" s="126"/>
      <c r="AD71" s="139"/>
      <c r="AE71" s="124"/>
      <c r="AF71" s="138">
        <f t="shared" ref="AF71:AH71" si="142">AVERAGE(AF66:AF69)</f>
        <v>971</v>
      </c>
      <c r="AG71" s="138">
        <f t="shared" si="142"/>
        <v>23770</v>
      </c>
      <c r="AH71" s="138">
        <f t="shared" si="142"/>
        <v>20080.2</v>
      </c>
      <c r="AK71" s="132">
        <f>AVERAGE(AK66:AK69)</f>
        <v>0</v>
      </c>
      <c r="AL71" s="126"/>
      <c r="AM71" s="139"/>
      <c r="AN71" s="124"/>
      <c r="AO71" s="138">
        <f t="shared" ref="AO71:AQ71" si="143">AVERAGE(AO66:AO69)</f>
        <v>1862.5</v>
      </c>
      <c r="AP71" s="138">
        <f t="shared" si="143"/>
        <v>40685</v>
      </c>
      <c r="AQ71" s="138">
        <f t="shared" si="143"/>
        <v>33607.5</v>
      </c>
      <c r="AS71" s="132">
        <f>AVERAGE(AS66:AS69)</f>
        <v>0</v>
      </c>
      <c r="AT71" s="126"/>
      <c r="AU71" s="139"/>
      <c r="AV71" s="124"/>
      <c r="AW71" s="138">
        <f t="shared" ref="AW71:AY71" si="144">AVERAGE(AW66:AW69)</f>
        <v>1855</v>
      </c>
      <c r="AX71" s="138">
        <f t="shared" si="144"/>
        <v>42372.5</v>
      </c>
      <c r="AY71" s="138">
        <f t="shared" si="144"/>
        <v>35323.5</v>
      </c>
      <c r="BA71" s="132">
        <f>AVERAGE(BA66:BA69)</f>
        <v>0</v>
      </c>
      <c r="BB71" s="126"/>
      <c r="BC71" s="139"/>
      <c r="BD71" s="124"/>
      <c r="BE71" s="138">
        <f t="shared" ref="BE71:BG71" si="145">AVERAGE(BE66:BE69)</f>
        <v>1864.5</v>
      </c>
      <c r="BF71" s="138">
        <f t="shared" si="145"/>
        <v>40557.5</v>
      </c>
      <c r="BG71" s="138">
        <f t="shared" si="145"/>
        <v>33472.400000000001</v>
      </c>
      <c r="BI71" s="132">
        <f>AVERAGE(BI66:BI69)</f>
        <v>0</v>
      </c>
      <c r="BJ71" s="126"/>
      <c r="BK71" s="139"/>
      <c r="BL71" s="124"/>
      <c r="BM71" s="138">
        <f t="shared" ref="BM71:BO71" si="146">AVERAGE(BM66:BM69)</f>
        <v>1858.25</v>
      </c>
      <c r="BN71" s="138">
        <f t="shared" si="146"/>
        <v>40900</v>
      </c>
      <c r="BO71" s="138">
        <f t="shared" si="146"/>
        <v>33838.65</v>
      </c>
    </row>
    <row r="72" spans="2:67" ht="15.75" thickBot="1">
      <c r="B72" s="169" t="e">
        <f>STDEV(B66:B69)</f>
        <v>#DIV/0!</v>
      </c>
      <c r="C72" s="170"/>
      <c r="D72" s="171"/>
      <c r="E72" s="124"/>
      <c r="F72" s="178">
        <f t="shared" ref="F72:H72" si="147">STDEV(F66:F69)</f>
        <v>766.3112944489335</v>
      </c>
      <c r="G72" s="178">
        <f t="shared" si="147"/>
        <v>9312.1940665631173</v>
      </c>
      <c r="H72" s="178">
        <f t="shared" si="147"/>
        <v>6884.315956336316</v>
      </c>
      <c r="J72" s="169" t="e">
        <f>STDEV(J66:J69)</f>
        <v>#DIV/0!</v>
      </c>
      <c r="K72" s="170"/>
      <c r="L72" s="171"/>
      <c r="M72" s="124"/>
      <c r="N72" s="178">
        <f t="shared" ref="N72:P72" si="148">STDEV(N66:N69)</f>
        <v>780.95198315901598</v>
      </c>
      <c r="O72" s="178">
        <f t="shared" si="148"/>
        <v>8473.5524820860501</v>
      </c>
      <c r="P72" s="178">
        <f t="shared" si="148"/>
        <v>5655.3487519928267</v>
      </c>
      <c r="S72" s="169">
        <f>STDEV(S66:S69)</f>
        <v>0</v>
      </c>
      <c r="T72" s="170"/>
      <c r="U72" s="171"/>
      <c r="V72" s="124"/>
      <c r="W72" s="178">
        <f t="shared" ref="W72:Y72" si="149">STDEV(W66:W69)</f>
        <v>420.59045796752611</v>
      </c>
      <c r="X72" s="178">
        <f t="shared" si="149"/>
        <v>7457.5532180467881</v>
      </c>
      <c r="Y72" s="178">
        <f t="shared" si="149"/>
        <v>6769.123162320705</v>
      </c>
      <c r="AB72" s="169">
        <f>STDEV(AB66:AB69)</f>
        <v>0</v>
      </c>
      <c r="AC72" s="170"/>
      <c r="AD72" s="171"/>
      <c r="AE72" s="124"/>
      <c r="AF72" s="178">
        <f t="shared" ref="AF72:AH72" si="150">STDEV(AF66:AF69)</f>
        <v>349.48247452483224</v>
      </c>
      <c r="AG72" s="178">
        <f t="shared" si="150"/>
        <v>5222.5664189170438</v>
      </c>
      <c r="AH72" s="178">
        <f t="shared" si="150"/>
        <v>4180.906845809086</v>
      </c>
      <c r="AK72" s="169">
        <f>STDEV(AK66:AK69)</f>
        <v>0</v>
      </c>
      <c r="AL72" s="170"/>
      <c r="AM72" s="171"/>
      <c r="AN72" s="124"/>
      <c r="AO72" s="178">
        <f t="shared" ref="AO72:AQ72" si="151">STDEV(AO66:AO69)</f>
        <v>626.91865501036102</v>
      </c>
      <c r="AP72" s="178">
        <f t="shared" si="151"/>
        <v>6252.6874222209444</v>
      </c>
      <c r="AQ72" s="178">
        <f t="shared" si="151"/>
        <v>4828.1005802834561</v>
      </c>
      <c r="AS72" s="169">
        <f>STDEV(AS66:AS69)</f>
        <v>0</v>
      </c>
      <c r="AT72" s="170"/>
      <c r="AU72" s="171"/>
      <c r="AV72" s="124"/>
      <c r="AW72" s="178">
        <f t="shared" ref="AW72:AY72" si="152">STDEV(AW66:AW69)</f>
        <v>620.20211759285917</v>
      </c>
      <c r="AX72" s="178">
        <f t="shared" si="152"/>
        <v>8648.2652403049415</v>
      </c>
      <c r="AY72" s="178">
        <f t="shared" si="152"/>
        <v>6735.6373091193118</v>
      </c>
      <c r="BA72" s="169">
        <f>STDEV(BA66:BA69)</f>
        <v>0</v>
      </c>
      <c r="BB72" s="170"/>
      <c r="BC72" s="171"/>
      <c r="BD72" s="124"/>
      <c r="BE72" s="178">
        <f t="shared" ref="BE72:BG72" si="153">STDEV(BE66:BE69)</f>
        <v>618.04341810803771</v>
      </c>
      <c r="BF72" s="178">
        <f t="shared" si="153"/>
        <v>7523.6621180557186</v>
      </c>
      <c r="BG72" s="178">
        <f t="shared" si="153"/>
        <v>5339.2297047420461</v>
      </c>
      <c r="BI72" s="169">
        <f>STDEV(BI66:BI69)</f>
        <v>0</v>
      </c>
      <c r="BJ72" s="170"/>
      <c r="BK72" s="171"/>
      <c r="BL72" s="124"/>
      <c r="BM72" s="178">
        <f t="shared" ref="BM72:BO72" si="154">STDEV(BM66:BM69)</f>
        <v>625.93683121115873</v>
      </c>
      <c r="BN72" s="178">
        <f t="shared" si="154"/>
        <v>5737.0201324380932</v>
      </c>
      <c r="BO72" s="178">
        <f t="shared" si="154"/>
        <v>4854.7109227360925</v>
      </c>
    </row>
    <row r="73" spans="2:67" ht="15.75" thickBot="1">
      <c r="B73" s="133" t="e">
        <f>SUM(I73:V73)</f>
        <v>#DIV/0!</v>
      </c>
      <c r="C73" s="127" t="e">
        <f>AVERAGE(I73:V73)</f>
        <v>#DIV/0!</v>
      </c>
      <c r="D73" s="140" t="e">
        <f>STDEV(I73:U73)</f>
        <v>#DIV/0!</v>
      </c>
      <c r="E73" s="190" t="s">
        <v>40</v>
      </c>
      <c r="F73" s="155">
        <v>1140</v>
      </c>
      <c r="G73" s="155">
        <v>43700</v>
      </c>
      <c r="H73" s="222">
        <f>G73-F73*$L$6</f>
        <v>39368</v>
      </c>
      <c r="J73" s="133" t="e">
        <f>SUM(Q73:AD73)</f>
        <v>#DIV/0!</v>
      </c>
      <c r="K73" s="127" t="e">
        <f>AVERAGE(Q73:AD73)</f>
        <v>#DIV/0!</v>
      </c>
      <c r="L73" s="140" t="e">
        <f>STDEV(Q73:AC73)</f>
        <v>#DIV/0!</v>
      </c>
      <c r="M73" s="190" t="s">
        <v>40</v>
      </c>
      <c r="N73" s="155">
        <v>1148</v>
      </c>
      <c r="O73" s="155">
        <v>42360</v>
      </c>
      <c r="P73" s="222">
        <f>O73-N73*$L$6</f>
        <v>37997.599999999999</v>
      </c>
      <c r="R73">
        <v>425</v>
      </c>
      <c r="S73" s="133">
        <f>SUM(R184:AE184)</f>
        <v>0</v>
      </c>
      <c r="T73" s="127" t="e">
        <f>AVERAGE(R184:AE184)</f>
        <v>#DIV/0!</v>
      </c>
      <c r="U73" s="140" t="e">
        <f>STDEV(R184:AD184)</f>
        <v>#DIV/0!</v>
      </c>
      <c r="V73" s="190" t="s">
        <v>40</v>
      </c>
      <c r="W73" s="155">
        <v>584</v>
      </c>
      <c r="X73" s="155">
        <v>9840</v>
      </c>
      <c r="Y73" s="191">
        <f>X73-W73*$L$6</f>
        <v>7620.8</v>
      </c>
      <c r="AA73">
        <v>425</v>
      </c>
      <c r="AB73" s="133">
        <f>SUM(AA184:AN184)</f>
        <v>0</v>
      </c>
      <c r="AC73" s="127" t="e">
        <f>AVERAGE(AA184:AN184)</f>
        <v>#DIV/0!</v>
      </c>
      <c r="AD73" s="140" t="e">
        <f>STDEV(AA184:AM184)</f>
        <v>#DIV/0!</v>
      </c>
      <c r="AE73" s="190" t="s">
        <v>40</v>
      </c>
      <c r="AF73" s="155">
        <v>584</v>
      </c>
      <c r="AG73" s="155">
        <v>9840</v>
      </c>
      <c r="AH73" s="191">
        <f>AG73-AF73*$L$6</f>
        <v>7620.8</v>
      </c>
      <c r="AK73" s="133">
        <f>SUM(AJ184:AV184)</f>
        <v>0</v>
      </c>
      <c r="AL73" s="127" t="e">
        <f>AVERAGE(AJ184:AV184)</f>
        <v>#DIV/0!</v>
      </c>
      <c r="AM73" s="140" t="e">
        <f>STDEV(AJ184:AU184)</f>
        <v>#DIV/0!</v>
      </c>
      <c r="AN73" s="190" t="s">
        <v>40</v>
      </c>
      <c r="AO73" s="155">
        <v>1144</v>
      </c>
      <c r="AP73" s="155">
        <v>42740</v>
      </c>
      <c r="AQ73" s="191">
        <f>AP73-AO73*$L$6</f>
        <v>38392.800000000003</v>
      </c>
      <c r="AS73" s="133">
        <f>SUM(AS184:BE184)</f>
        <v>0</v>
      </c>
      <c r="AT73" s="127" t="e">
        <f>AVERAGE(AS184:BE184)</f>
        <v>#DIV/0!</v>
      </c>
      <c r="AU73" s="140" t="e">
        <f>STDEV(AS184:BD184)</f>
        <v>#DIV/0!</v>
      </c>
      <c r="AV73" s="190" t="s">
        <v>40</v>
      </c>
      <c r="AW73" s="155">
        <v>1146</v>
      </c>
      <c r="AX73" s="155">
        <v>43690</v>
      </c>
      <c r="AY73" s="191">
        <f>AX73-AW73*$L$6</f>
        <v>39335.199999999997</v>
      </c>
      <c r="BA73" s="133">
        <f>SUM(BA184:BM184)</f>
        <v>0</v>
      </c>
      <c r="BB73" s="127" t="e">
        <f>AVERAGE(BA184:BM184)</f>
        <v>#DIV/0!</v>
      </c>
      <c r="BC73" s="140" t="e">
        <f>STDEV(BA184:BL184)</f>
        <v>#DIV/0!</v>
      </c>
      <c r="BD73" s="190" t="s">
        <v>40</v>
      </c>
      <c r="BE73" s="155">
        <v>1159</v>
      </c>
      <c r="BF73" s="155">
        <v>40620</v>
      </c>
      <c r="BG73" s="191">
        <f>BF73-BE73*$L$6</f>
        <v>36215.800000000003</v>
      </c>
      <c r="BI73" s="133">
        <f>SUM(BI184:BU184)</f>
        <v>0</v>
      </c>
      <c r="BJ73" s="127" t="e">
        <f>AVERAGE(BI184:BU184)</f>
        <v>#DIV/0!</v>
      </c>
      <c r="BK73" s="140" t="e">
        <f>STDEV(BI184:BT184)</f>
        <v>#DIV/0!</v>
      </c>
      <c r="BL73" s="190" t="s">
        <v>40</v>
      </c>
      <c r="BM73" s="155">
        <v>1143</v>
      </c>
      <c r="BN73" s="155">
        <v>43000</v>
      </c>
      <c r="BO73" s="191">
        <f>BN73-BM73*$L$6</f>
        <v>38656.6</v>
      </c>
    </row>
    <row r="74" spans="2:67" ht="15.75" thickBot="1">
      <c r="B74" s="133" t="e">
        <f>SUM(I74:V74)</f>
        <v>#DIV/0!</v>
      </c>
      <c r="C74" s="127" t="e">
        <f>AVERAGE(I74:V74)</f>
        <v>#DIV/0!</v>
      </c>
      <c r="D74" s="140" t="e">
        <f>STDEV(I74:U74)</f>
        <v>#DIV/0!</v>
      </c>
      <c r="E74" s="193" t="s">
        <v>41</v>
      </c>
      <c r="F74" s="155">
        <v>2018</v>
      </c>
      <c r="G74" s="155">
        <v>49070</v>
      </c>
      <c r="H74" s="222">
        <f t="shared" ref="H74:H76" si="155">G74-F74*$L$6</f>
        <v>41401.599999999999</v>
      </c>
      <c r="J74" s="133" t="e">
        <f>SUM(Q74:AD74)</f>
        <v>#DIV/0!</v>
      </c>
      <c r="K74" s="127" t="e">
        <f>AVERAGE(Q74:AD74)</f>
        <v>#DIV/0!</v>
      </c>
      <c r="L74" s="140" t="e">
        <f>STDEV(Q74:AC74)</f>
        <v>#DIV/0!</v>
      </c>
      <c r="M74" s="193" t="s">
        <v>41</v>
      </c>
      <c r="N74" s="155">
        <v>2034</v>
      </c>
      <c r="O74" s="155">
        <v>44720</v>
      </c>
      <c r="P74" s="222">
        <f t="shared" ref="P74:P76" si="156">O74-N74*$L$6</f>
        <v>36990.800000000003</v>
      </c>
      <c r="S74" s="133">
        <f>SUM(R185:AE185)</f>
        <v>0</v>
      </c>
      <c r="T74" s="127" t="e">
        <f>AVERAGE(R185:AE185)</f>
        <v>#DIV/0!</v>
      </c>
      <c r="U74" s="140" t="e">
        <f>STDEV(R185:AD185)</f>
        <v>#DIV/0!</v>
      </c>
      <c r="V74" s="193" t="s">
        <v>41</v>
      </c>
      <c r="W74" s="155">
        <v>1086</v>
      </c>
      <c r="X74" s="155">
        <v>17360</v>
      </c>
      <c r="Y74" s="191">
        <f t="shared" ref="Y74:Y76" si="157">X74-W74*$L$6</f>
        <v>13233.2</v>
      </c>
      <c r="AB74" s="133">
        <f>SUM(AA185:AN185)</f>
        <v>0</v>
      </c>
      <c r="AC74" s="127" t="e">
        <f>AVERAGE(AA185:AN185)</f>
        <v>#DIV/0!</v>
      </c>
      <c r="AD74" s="140" t="e">
        <f>STDEV(AA185:AM185)</f>
        <v>#DIV/0!</v>
      </c>
      <c r="AE74" s="193" t="s">
        <v>41</v>
      </c>
      <c r="AF74" s="155">
        <v>803</v>
      </c>
      <c r="AG74" s="155">
        <v>23580</v>
      </c>
      <c r="AH74" s="191">
        <f t="shared" ref="AH74:AH76" si="158">AG74-AF74*$L$6</f>
        <v>20528.599999999999</v>
      </c>
      <c r="AK74" s="133">
        <f>SUM(AJ185:AV185)</f>
        <v>0</v>
      </c>
      <c r="AL74" s="127" t="e">
        <f>AVERAGE(AJ185:AV185)</f>
        <v>#DIV/0!</v>
      </c>
      <c r="AM74" s="140" t="e">
        <f>STDEV(AJ185:AU185)</f>
        <v>#DIV/0!</v>
      </c>
      <c r="AN74" s="193" t="s">
        <v>41</v>
      </c>
      <c r="AO74" s="155">
        <v>1614</v>
      </c>
      <c r="AP74" s="155">
        <v>40490</v>
      </c>
      <c r="AQ74" s="191">
        <f t="shared" ref="AQ74:AQ76" si="159">AP74-AO74*$L$6</f>
        <v>34356.800000000003</v>
      </c>
      <c r="AS74" s="133">
        <f>SUM(AS185:BE185)</f>
        <v>0</v>
      </c>
      <c r="AT74" s="127" t="e">
        <f>AVERAGE(AS185:BE185)</f>
        <v>#DIV/0!</v>
      </c>
      <c r="AU74" s="140" t="e">
        <f>STDEV(AS185:BD185)</f>
        <v>#DIV/0!</v>
      </c>
      <c r="AV74" s="193" t="s">
        <v>41</v>
      </c>
      <c r="AW74" s="155">
        <v>1611</v>
      </c>
      <c r="AX74" s="155">
        <v>43150</v>
      </c>
      <c r="AY74" s="191">
        <f t="shared" ref="AY74:AY76" si="160">AX74-AW74*$L$6</f>
        <v>37028.199999999997</v>
      </c>
      <c r="BA74" s="133">
        <f>SUM(BA185:BM185)</f>
        <v>0</v>
      </c>
      <c r="BB74" s="127" t="e">
        <f>AVERAGE(BA185:BM185)</f>
        <v>#DIV/0!</v>
      </c>
      <c r="BC74" s="140" t="e">
        <f>STDEV(BA185:BL185)</f>
        <v>#DIV/0!</v>
      </c>
      <c r="BD74" s="193" t="s">
        <v>41</v>
      </c>
      <c r="BE74" s="155">
        <v>1609</v>
      </c>
      <c r="BF74" s="155">
        <v>41020</v>
      </c>
      <c r="BG74" s="191">
        <f t="shared" ref="BG74:BG76" si="161">BF74-BE74*$L$6</f>
        <v>34905.800000000003</v>
      </c>
      <c r="BI74" s="133">
        <f>SUM(BI185:BU185)</f>
        <v>0</v>
      </c>
      <c r="BJ74" s="127" t="e">
        <f>AVERAGE(BI185:BU185)</f>
        <v>#DIV/0!</v>
      </c>
      <c r="BK74" s="140" t="e">
        <f>STDEV(BI185:BT185)</f>
        <v>#DIV/0!</v>
      </c>
      <c r="BL74" s="193" t="s">
        <v>41</v>
      </c>
      <c r="BM74" s="155">
        <v>1611</v>
      </c>
      <c r="BN74" s="155">
        <v>38300</v>
      </c>
      <c r="BO74" s="191">
        <f t="shared" ref="BO74:BO76" si="162">BN74-BM74*$L$6</f>
        <v>32178.2</v>
      </c>
    </row>
    <row r="75" spans="2:67" ht="15.75" thickBot="1">
      <c r="B75" s="214" t="e">
        <f>SUM(I75:V75)</f>
        <v>#DIV/0!</v>
      </c>
      <c r="C75" s="127" t="e">
        <f>AVERAGE(I75:V75)</f>
        <v>#DIV/0!</v>
      </c>
      <c r="D75" s="140" t="e">
        <f>STDEV(I75:U75)</f>
        <v>#DIV/0!</v>
      </c>
      <c r="E75" s="193" t="s">
        <v>42</v>
      </c>
      <c r="F75" s="155">
        <v>2314</v>
      </c>
      <c r="G75" s="155">
        <v>46080</v>
      </c>
      <c r="H75" s="191">
        <f t="shared" si="155"/>
        <v>37286.800000000003</v>
      </c>
      <c r="J75" s="214" t="e">
        <f>SUM(Q75:AD75)</f>
        <v>#DIV/0!</v>
      </c>
      <c r="K75" s="127" t="e">
        <f>AVERAGE(Q75:AD75)</f>
        <v>#DIV/0!</v>
      </c>
      <c r="L75" s="140" t="e">
        <f>STDEV(Q75:AC75)</f>
        <v>#DIV/0!</v>
      </c>
      <c r="M75" s="193" t="s">
        <v>42</v>
      </c>
      <c r="N75" s="155">
        <v>2335</v>
      </c>
      <c r="O75" s="155">
        <v>51550</v>
      </c>
      <c r="P75" s="191">
        <f t="shared" si="156"/>
        <v>42677</v>
      </c>
      <c r="S75" s="214">
        <f>SUM(R186:AE186)</f>
        <v>0</v>
      </c>
      <c r="T75" s="127" t="e">
        <f>AVERAGE(R186:AE186)</f>
        <v>#DIV/0!</v>
      </c>
      <c r="U75" s="140" t="e">
        <f>STDEV(R186:AD186)</f>
        <v>#DIV/0!</v>
      </c>
      <c r="V75" s="193" t="s">
        <v>42</v>
      </c>
      <c r="W75" s="155">
        <v>1197</v>
      </c>
      <c r="X75" s="155">
        <v>44730</v>
      </c>
      <c r="Y75" s="224">
        <f t="shared" si="157"/>
        <v>40181.4</v>
      </c>
      <c r="AB75" s="214">
        <f>SUM(AA186:AN186)</f>
        <v>0</v>
      </c>
      <c r="AC75" s="127" t="e">
        <f>AVERAGE(AA186:AN186)</f>
        <v>#DIV/0!</v>
      </c>
      <c r="AD75" s="140" t="e">
        <f>STDEV(AA186:AM186)</f>
        <v>#DIV/0!</v>
      </c>
      <c r="AE75" s="193" t="s">
        <v>42</v>
      </c>
      <c r="AF75" s="155">
        <v>1194</v>
      </c>
      <c r="AG75" s="155">
        <v>44320</v>
      </c>
      <c r="AH75" s="224">
        <f t="shared" si="158"/>
        <v>39782.800000000003</v>
      </c>
      <c r="AK75" s="214">
        <f>SUM(AJ186:AV186)</f>
        <v>0</v>
      </c>
      <c r="AL75" s="127" t="e">
        <f>AVERAGE(AJ186:AV186)</f>
        <v>#DIV/0!</v>
      </c>
      <c r="AM75" s="140" t="e">
        <f>STDEV(AJ186:AU186)</f>
        <v>#DIV/0!</v>
      </c>
      <c r="AN75" s="193" t="s">
        <v>42</v>
      </c>
      <c r="AO75" s="155">
        <v>2325</v>
      </c>
      <c r="AP75" s="155">
        <v>51040</v>
      </c>
      <c r="AQ75" s="224">
        <f t="shared" si="159"/>
        <v>42205</v>
      </c>
      <c r="AS75" s="214">
        <f>SUM(AS186:BE186)</f>
        <v>0</v>
      </c>
      <c r="AT75" s="127" t="e">
        <f>AVERAGE(AS186:BE186)</f>
        <v>#DIV/0!</v>
      </c>
      <c r="AU75" s="140" t="e">
        <f>STDEV(AS186:BD186)</f>
        <v>#DIV/0!</v>
      </c>
      <c r="AV75" s="193" t="s">
        <v>42</v>
      </c>
      <c r="AW75" s="155">
        <v>2311</v>
      </c>
      <c r="AX75" s="155">
        <v>55190</v>
      </c>
      <c r="AY75" s="224">
        <f t="shared" si="160"/>
        <v>46408.2</v>
      </c>
      <c r="BA75" s="214">
        <f>SUM(BA186:BM186)</f>
        <v>0</v>
      </c>
      <c r="BB75" s="127" t="e">
        <f>AVERAGE(BA186:BM186)</f>
        <v>#DIV/0!</v>
      </c>
      <c r="BC75" s="140" t="e">
        <f>STDEV(BA186:BL186)</f>
        <v>#DIV/0!</v>
      </c>
      <c r="BD75" s="193" t="s">
        <v>42</v>
      </c>
      <c r="BE75" s="155">
        <v>2360</v>
      </c>
      <c r="BF75" s="155">
        <v>54710</v>
      </c>
      <c r="BG75" s="224">
        <f t="shared" si="161"/>
        <v>45742</v>
      </c>
      <c r="BI75" s="214">
        <f>SUM(BI186:BU186)</f>
        <v>0</v>
      </c>
      <c r="BJ75" s="127" t="e">
        <f>AVERAGE(BI186:BU186)</f>
        <v>#DIV/0!</v>
      </c>
      <c r="BK75" s="140" t="e">
        <f>STDEV(BI186:BT186)</f>
        <v>#DIV/0!</v>
      </c>
      <c r="BL75" s="193" t="s">
        <v>42</v>
      </c>
      <c r="BM75" s="155">
        <v>2329</v>
      </c>
      <c r="BN75" s="155">
        <v>52280</v>
      </c>
      <c r="BO75" s="224">
        <f t="shared" si="162"/>
        <v>43429.8</v>
      </c>
    </row>
    <row r="76" spans="2:67">
      <c r="B76" s="133" t="e">
        <f>SUM(I76:V76)</f>
        <v>#DIV/0!</v>
      </c>
      <c r="C76" s="127" t="e">
        <f>AVERAGE(I76:V76)</f>
        <v>#DIV/0!</v>
      </c>
      <c r="D76" s="140" t="e">
        <f>STDEV(I76:U76)</f>
        <v>#DIV/0!</v>
      </c>
      <c r="E76" s="193" t="s">
        <v>43</v>
      </c>
      <c r="F76" s="155">
        <v>3083</v>
      </c>
      <c r="G76" s="155">
        <v>50060</v>
      </c>
      <c r="H76" s="191">
        <f t="shared" si="155"/>
        <v>38344.6</v>
      </c>
      <c r="J76" s="133" t="e">
        <f>SUM(Q76:AD76)</f>
        <v>#DIV/0!</v>
      </c>
      <c r="K76" s="127" t="e">
        <f>AVERAGE(Q76:AD76)</f>
        <v>#DIV/0!</v>
      </c>
      <c r="L76" s="140" t="e">
        <f>STDEV(Q76:AC76)</f>
        <v>#DIV/0!</v>
      </c>
      <c r="M76" s="193" t="s">
        <v>43</v>
      </c>
      <c r="N76" s="155">
        <v>3101</v>
      </c>
      <c r="O76" s="155">
        <v>52280</v>
      </c>
      <c r="P76" s="191">
        <f t="shared" si="156"/>
        <v>40496.199999999997</v>
      </c>
      <c r="S76" s="133">
        <f>SUM(R187:AE187)</f>
        <v>0</v>
      </c>
      <c r="T76" s="127" t="e">
        <f>AVERAGE(R187:AE187)</f>
        <v>#DIV/0!</v>
      </c>
      <c r="U76" s="140" t="e">
        <f>STDEV(R187:AD187)</f>
        <v>#DIV/0!</v>
      </c>
      <c r="V76" s="193" t="s">
        <v>43</v>
      </c>
      <c r="W76" s="155">
        <v>1674</v>
      </c>
      <c r="X76" s="155">
        <v>26730</v>
      </c>
      <c r="Y76" s="224">
        <f t="shared" si="157"/>
        <v>20368.8</v>
      </c>
      <c r="AB76" s="133">
        <f>SUM(AA187:AN187)</f>
        <v>0</v>
      </c>
      <c r="AC76" s="127" t="e">
        <f>AVERAGE(AA187:AN187)</f>
        <v>#DIV/0!</v>
      </c>
      <c r="AD76" s="140" t="e">
        <f>STDEV(AA187:AM187)</f>
        <v>#DIV/0!</v>
      </c>
      <c r="AE76" s="193" t="s">
        <v>43</v>
      </c>
      <c r="AF76" s="155">
        <v>1336</v>
      </c>
      <c r="AG76" s="155">
        <v>45980</v>
      </c>
      <c r="AH76" s="224">
        <f t="shared" si="158"/>
        <v>40903.199999999997</v>
      </c>
      <c r="AK76" s="133">
        <f>SUM(AJ187:AV187)</f>
        <v>0</v>
      </c>
      <c r="AL76" s="127" t="e">
        <f>AVERAGE(AJ187:AV187)</f>
        <v>#DIV/0!</v>
      </c>
      <c r="AM76" s="140" t="e">
        <f>STDEV(AJ187:AU187)</f>
        <v>#DIV/0!</v>
      </c>
      <c r="AN76" s="193" t="s">
        <v>43</v>
      </c>
      <c r="AO76" s="155">
        <v>2518</v>
      </c>
      <c r="AP76" s="155">
        <v>46300</v>
      </c>
      <c r="AQ76" s="224">
        <f t="shared" si="159"/>
        <v>36731.599999999999</v>
      </c>
      <c r="AS76" s="133">
        <f>SUM(AS187:BE187)</f>
        <v>0</v>
      </c>
      <c r="AT76" s="127" t="e">
        <f>AVERAGE(AS187:BE187)</f>
        <v>#DIV/0!</v>
      </c>
      <c r="AU76" s="140" t="e">
        <f>STDEV(AS187:BD187)</f>
        <v>#DIV/0!</v>
      </c>
      <c r="AV76" s="193" t="s">
        <v>43</v>
      </c>
      <c r="AW76" s="155">
        <v>2523</v>
      </c>
      <c r="AX76" s="155">
        <v>48160</v>
      </c>
      <c r="AY76" s="224">
        <f t="shared" si="160"/>
        <v>38572.6</v>
      </c>
      <c r="BA76" s="133">
        <f>SUM(BA187:BM187)</f>
        <v>0</v>
      </c>
      <c r="BB76" s="127" t="e">
        <f>AVERAGE(BA187:BM187)</f>
        <v>#DIV/0!</v>
      </c>
      <c r="BC76" s="140" t="e">
        <f>STDEV(BA187:BL187)</f>
        <v>#DIV/0!</v>
      </c>
      <c r="BD76" s="193" t="s">
        <v>43</v>
      </c>
      <c r="BE76" s="155">
        <v>2526</v>
      </c>
      <c r="BF76" s="155">
        <v>48080</v>
      </c>
      <c r="BG76" s="224">
        <f t="shared" si="161"/>
        <v>38481.199999999997</v>
      </c>
      <c r="BI76" s="133">
        <f>SUM(BI187:BU187)</f>
        <v>0</v>
      </c>
      <c r="BJ76" s="127" t="e">
        <f>AVERAGE(BI187:BU187)</f>
        <v>#DIV/0!</v>
      </c>
      <c r="BK76" s="140" t="e">
        <f>STDEV(BI187:BT187)</f>
        <v>#DIV/0!</v>
      </c>
      <c r="BL76" s="193" t="s">
        <v>43</v>
      </c>
      <c r="BM76" s="155">
        <v>2521</v>
      </c>
      <c r="BN76" s="155">
        <v>47390</v>
      </c>
      <c r="BO76" s="224">
        <f t="shared" si="162"/>
        <v>37810.199999999997</v>
      </c>
    </row>
    <row r="77" spans="2:67">
      <c r="B77" s="132" t="e">
        <f>SUM(B73:B76)</f>
        <v>#DIV/0!</v>
      </c>
      <c r="C77" s="126" t="e">
        <f>AVERAGE(I73:AA76)</f>
        <v>#DIV/0!</v>
      </c>
      <c r="D77" s="139" t="e">
        <f>STDEV(I73:AA76)</f>
        <v>#DIV/0!</v>
      </c>
      <c r="E77" s="124"/>
      <c r="F77" s="138">
        <f t="shared" ref="F77:H77" si="163">SUM(F73:F76)</f>
        <v>8555</v>
      </c>
      <c r="G77" s="138">
        <f t="shared" si="163"/>
        <v>188910</v>
      </c>
      <c r="H77" s="138">
        <f t="shared" si="163"/>
        <v>156401</v>
      </c>
      <c r="J77" s="132" t="e">
        <f>SUM(J73:J76)</f>
        <v>#DIV/0!</v>
      </c>
      <c r="K77" s="126" t="e">
        <f>AVERAGE(Q73:AI76)</f>
        <v>#DIV/0!</v>
      </c>
      <c r="L77" s="139" t="e">
        <f>STDEV(Q73:AI76)</f>
        <v>#DIV/0!</v>
      </c>
      <c r="M77" s="124"/>
      <c r="N77" s="138">
        <f t="shared" ref="N77:P77" si="164">SUM(N73:N76)</f>
        <v>8618</v>
      </c>
      <c r="O77" s="138">
        <f t="shared" si="164"/>
        <v>190910</v>
      </c>
      <c r="P77" s="138">
        <f t="shared" si="164"/>
        <v>158161.59999999998</v>
      </c>
      <c r="S77" s="132">
        <f>SUM(S73:S76)</f>
        <v>0</v>
      </c>
      <c r="T77" s="126" t="e">
        <f>AVERAGE(R184:AJ187)</f>
        <v>#DIV/0!</v>
      </c>
      <c r="U77" s="139" t="e">
        <f>STDEV(R184:AJ187)</f>
        <v>#DIV/0!</v>
      </c>
      <c r="V77" s="124"/>
      <c r="W77" s="138">
        <f t="shared" ref="W77:Y77" si="165">SUM(W73:W76)</f>
        <v>4541</v>
      </c>
      <c r="X77" s="138">
        <f t="shared" si="165"/>
        <v>98660</v>
      </c>
      <c r="Y77" s="138">
        <f t="shared" si="165"/>
        <v>81404.2</v>
      </c>
      <c r="AB77" s="132">
        <f>SUM(AB73:AB76)</f>
        <v>0</v>
      </c>
      <c r="AC77" s="126" t="e">
        <f>AVERAGE(AA184:AR187)</f>
        <v>#DIV/0!</v>
      </c>
      <c r="AD77" s="139" t="e">
        <f>STDEV(AA184:AR187)</f>
        <v>#DIV/0!</v>
      </c>
      <c r="AE77" s="124"/>
      <c r="AF77" s="138">
        <f t="shared" ref="AF77:AH77" si="166">SUM(AF73:AF76)</f>
        <v>3917</v>
      </c>
      <c r="AG77" s="138">
        <f t="shared" si="166"/>
        <v>123720</v>
      </c>
      <c r="AH77" s="138">
        <f t="shared" si="166"/>
        <v>108835.4</v>
      </c>
      <c r="AK77" s="132">
        <f>SUM(AK73:AK76)</f>
        <v>0</v>
      </c>
      <c r="AL77" s="126" t="e">
        <f>AVERAGE(AJ184:BA187)</f>
        <v>#DIV/0!</v>
      </c>
      <c r="AM77" s="139" t="e">
        <f>STDEV(AJ184:BA187)</f>
        <v>#DIV/0!</v>
      </c>
      <c r="AN77" s="124"/>
      <c r="AO77" s="138">
        <f t="shared" ref="AO77:AQ77" si="167">SUM(AO73:AO76)</f>
        <v>7601</v>
      </c>
      <c r="AP77" s="138">
        <f t="shared" si="167"/>
        <v>180570</v>
      </c>
      <c r="AQ77" s="138">
        <f t="shared" si="167"/>
        <v>151686.20000000001</v>
      </c>
      <c r="AS77" s="132">
        <f>SUM(AS73:AS76)</f>
        <v>0</v>
      </c>
      <c r="AT77" s="126" t="e">
        <f>AVERAGE(AS184:BJ187)</f>
        <v>#DIV/0!</v>
      </c>
      <c r="AU77" s="139" t="e">
        <f>STDEV(AS184:BJ187)</f>
        <v>#DIV/0!</v>
      </c>
      <c r="AV77" s="124"/>
      <c r="AW77" s="138">
        <f t="shared" ref="AW77:AY77" si="168">SUM(AW73:AW76)</f>
        <v>7591</v>
      </c>
      <c r="AX77" s="138">
        <f t="shared" si="168"/>
        <v>190190</v>
      </c>
      <c r="AY77" s="138">
        <f t="shared" si="168"/>
        <v>161344.19999999998</v>
      </c>
      <c r="BA77" s="132">
        <f>SUM(BA73:BA76)</f>
        <v>0</v>
      </c>
      <c r="BB77" s="126" t="e">
        <f>AVERAGE(BA184:BR187)</f>
        <v>#DIV/0!</v>
      </c>
      <c r="BC77" s="139" t="e">
        <f>STDEV(BA184:BR187)</f>
        <v>#DIV/0!</v>
      </c>
      <c r="BD77" s="124"/>
      <c r="BE77" s="138">
        <f t="shared" ref="BE77:BG77" si="169">SUM(BE73:BE76)</f>
        <v>7654</v>
      </c>
      <c r="BF77" s="138">
        <f t="shared" si="169"/>
        <v>184430</v>
      </c>
      <c r="BG77" s="138">
        <f t="shared" si="169"/>
        <v>155344.79999999999</v>
      </c>
      <c r="BI77" s="132">
        <f>SUM(BI73:BI76)</f>
        <v>0</v>
      </c>
      <c r="BJ77" s="126" t="e">
        <f>AVERAGE(BI184:BZ187)</f>
        <v>#DIV/0!</v>
      </c>
      <c r="BK77" s="139" t="e">
        <f>STDEV(BI184:BZ187)</f>
        <v>#DIV/0!</v>
      </c>
      <c r="BL77" s="124"/>
      <c r="BM77" s="138">
        <f t="shared" ref="BM77:BO77" si="170">SUM(BM73:BM76)</f>
        <v>7604</v>
      </c>
      <c r="BN77" s="138">
        <f t="shared" si="170"/>
        <v>180970</v>
      </c>
      <c r="BO77" s="138">
        <f t="shared" si="170"/>
        <v>152074.79999999999</v>
      </c>
    </row>
    <row r="78" spans="2:67">
      <c r="B78" s="132" t="e">
        <f>AVERAGE(B73:B76)</f>
        <v>#DIV/0!</v>
      </c>
      <c r="C78" s="126"/>
      <c r="D78" s="139"/>
      <c r="E78" s="124"/>
      <c r="F78" s="138">
        <f t="shared" ref="F78:H78" si="171">AVERAGE(F73:F76)</f>
        <v>2138.75</v>
      </c>
      <c r="G78" s="138">
        <f t="shared" si="171"/>
        <v>47227.5</v>
      </c>
      <c r="H78" s="138">
        <f t="shared" si="171"/>
        <v>39100.25</v>
      </c>
      <c r="J78" s="132" t="e">
        <f>AVERAGE(J73:J76)</f>
        <v>#DIV/0!</v>
      </c>
      <c r="K78" s="126"/>
      <c r="L78" s="139"/>
      <c r="M78" s="124"/>
      <c r="N78" s="138">
        <f t="shared" ref="N78:P78" si="172">AVERAGE(N73:N76)</f>
        <v>2154.5</v>
      </c>
      <c r="O78" s="138">
        <f t="shared" si="172"/>
        <v>47727.5</v>
      </c>
      <c r="P78" s="138">
        <f t="shared" si="172"/>
        <v>39540.399999999994</v>
      </c>
      <c r="S78" s="132">
        <f>AVERAGE(S73:S76)</f>
        <v>0</v>
      </c>
      <c r="T78" s="126"/>
      <c r="U78" s="139"/>
      <c r="V78" s="124"/>
      <c r="W78" s="138">
        <f t="shared" ref="W78:Y78" si="173">AVERAGE(W73:W76)</f>
        <v>1135.25</v>
      </c>
      <c r="X78" s="138">
        <f t="shared" si="173"/>
        <v>24665</v>
      </c>
      <c r="Y78" s="138">
        <f t="shared" si="173"/>
        <v>20351.05</v>
      </c>
      <c r="AB78" s="132">
        <f>AVERAGE(AB73:AB76)</f>
        <v>0</v>
      </c>
      <c r="AC78" s="126"/>
      <c r="AD78" s="139"/>
      <c r="AE78" s="124"/>
      <c r="AF78" s="138">
        <f t="shared" ref="AF78:AH78" si="174">AVERAGE(AF73:AF76)</f>
        <v>979.25</v>
      </c>
      <c r="AG78" s="138">
        <f t="shared" si="174"/>
        <v>30930</v>
      </c>
      <c r="AH78" s="138">
        <f t="shared" si="174"/>
        <v>27208.85</v>
      </c>
      <c r="AK78" s="132">
        <f>AVERAGE(AK73:AK76)</f>
        <v>0</v>
      </c>
      <c r="AL78" s="126"/>
      <c r="AM78" s="139"/>
      <c r="AN78" s="124"/>
      <c r="AO78" s="138">
        <f t="shared" ref="AO78:AQ78" si="175">AVERAGE(AO73:AO76)</f>
        <v>1900.25</v>
      </c>
      <c r="AP78" s="138">
        <f t="shared" si="175"/>
        <v>45142.5</v>
      </c>
      <c r="AQ78" s="138">
        <f t="shared" si="175"/>
        <v>37921.550000000003</v>
      </c>
      <c r="AS78" s="132">
        <f>AVERAGE(AS73:AS76)</f>
        <v>0</v>
      </c>
      <c r="AT78" s="126"/>
      <c r="AU78" s="139"/>
      <c r="AV78" s="124"/>
      <c r="AW78" s="138">
        <f t="shared" ref="AW78:AY78" si="176">AVERAGE(AW73:AW76)</f>
        <v>1897.75</v>
      </c>
      <c r="AX78" s="138">
        <f t="shared" si="176"/>
        <v>47547.5</v>
      </c>
      <c r="AY78" s="138">
        <f t="shared" si="176"/>
        <v>40336.049999999996</v>
      </c>
      <c r="BA78" s="132">
        <f>AVERAGE(BA73:BA76)</f>
        <v>0</v>
      </c>
      <c r="BB78" s="126"/>
      <c r="BC78" s="139"/>
      <c r="BD78" s="124"/>
      <c r="BE78" s="138">
        <f t="shared" ref="BE78:BG78" si="177">AVERAGE(BE73:BE76)</f>
        <v>1913.5</v>
      </c>
      <c r="BF78" s="138">
        <f t="shared" si="177"/>
        <v>46107.5</v>
      </c>
      <c r="BG78" s="138">
        <f t="shared" si="177"/>
        <v>38836.199999999997</v>
      </c>
      <c r="BI78" s="132">
        <f>AVERAGE(BI73:BI76)</f>
        <v>0</v>
      </c>
      <c r="BJ78" s="126"/>
      <c r="BK78" s="139"/>
      <c r="BL78" s="124"/>
      <c r="BM78" s="138">
        <f t="shared" ref="BM78:BO78" si="178">AVERAGE(BM73:BM76)</f>
        <v>1901</v>
      </c>
      <c r="BN78" s="138">
        <f t="shared" si="178"/>
        <v>45242.5</v>
      </c>
      <c r="BO78" s="138">
        <f t="shared" si="178"/>
        <v>38018.699999999997</v>
      </c>
    </row>
    <row r="79" spans="2:67" ht="15.75" thickBot="1">
      <c r="B79" s="169" t="e">
        <f>STDEV(B73:B76)</f>
        <v>#DIV/0!</v>
      </c>
      <c r="C79" s="170"/>
      <c r="D79" s="171"/>
      <c r="E79" s="144"/>
      <c r="F79" s="178">
        <f t="shared" ref="F79:H79" si="179">STDEV(F73:F76)</f>
        <v>802.9949667754255</v>
      </c>
      <c r="G79" s="178">
        <f t="shared" si="179"/>
        <v>2897.0027614760743</v>
      </c>
      <c r="H79" s="178">
        <f t="shared" si="179"/>
        <v>1753.8063091459139</v>
      </c>
      <c r="J79" s="169" t="e">
        <f>STDEV(J73:J76)</f>
        <v>#DIV/0!</v>
      </c>
      <c r="K79" s="170"/>
      <c r="L79" s="171"/>
      <c r="M79" s="144"/>
      <c r="N79" s="178">
        <f t="shared" ref="N79:P79" si="180">STDEV(N73:N76)</f>
        <v>807.46620156305403</v>
      </c>
      <c r="O79" s="178">
        <f t="shared" si="180"/>
        <v>4939.3614634552378</v>
      </c>
      <c r="P79" s="178">
        <f t="shared" si="180"/>
        <v>2558.1572273807283</v>
      </c>
      <c r="S79" s="169">
        <f>STDEV(S73:S76)</f>
        <v>0</v>
      </c>
      <c r="T79" s="170"/>
      <c r="U79" s="171"/>
      <c r="V79" s="144"/>
      <c r="W79" s="178">
        <f t="shared" ref="W79:Y79" si="181">STDEV(W73:W76)</f>
        <v>447.35025427510379</v>
      </c>
      <c r="X79" s="178">
        <f t="shared" si="181"/>
        <v>15055.587002837186</v>
      </c>
      <c r="Y79" s="178">
        <f t="shared" si="181"/>
        <v>14212.273450202591</v>
      </c>
      <c r="AB79" s="169">
        <f>STDEV(AB73:AB76)</f>
        <v>0</v>
      </c>
      <c r="AC79" s="170"/>
      <c r="AD79" s="171"/>
      <c r="AE79" s="144"/>
      <c r="AF79" s="178">
        <f t="shared" ref="AF79:AH79" si="182">STDEV(AF73:AF76)</f>
        <v>346.73464878299467</v>
      </c>
      <c r="AG79" s="178">
        <f t="shared" si="182"/>
        <v>17364.76509103036</v>
      </c>
      <c r="AH79" s="178">
        <f t="shared" si="182"/>
        <v>16061.931010830136</v>
      </c>
      <c r="AK79" s="169">
        <f>STDEV(AK73:AK76)</f>
        <v>0</v>
      </c>
      <c r="AL79" s="170"/>
      <c r="AM79" s="171"/>
      <c r="AN79" s="144"/>
      <c r="AO79" s="178">
        <f t="shared" ref="AO79:AQ79" si="183">STDEV(AO73:AO76)</f>
        <v>636.62672213262715</v>
      </c>
      <c r="AP79" s="178">
        <f t="shared" si="183"/>
        <v>4602.1036856347919</v>
      </c>
      <c r="AQ79" s="178">
        <f t="shared" si="183"/>
        <v>3301.1838295778471</v>
      </c>
      <c r="AS79" s="169">
        <f>STDEV(AS73:AS76)</f>
        <v>0</v>
      </c>
      <c r="AT79" s="170"/>
      <c r="AU79" s="171"/>
      <c r="AV79" s="144"/>
      <c r="AW79" s="178">
        <f t="shared" ref="AW79:AY79" si="184">STDEV(AW73:AW76)</f>
        <v>634.84033425736266</v>
      </c>
      <c r="AX79" s="178">
        <f t="shared" si="184"/>
        <v>5567.8025288258923</v>
      </c>
      <c r="AY79" s="178">
        <f t="shared" si="184"/>
        <v>4160.3018267909692</v>
      </c>
      <c r="BA79" s="169">
        <f>STDEV(BA73:BA76)</f>
        <v>0</v>
      </c>
      <c r="BB79" s="170"/>
      <c r="BC79" s="171"/>
      <c r="BD79" s="144"/>
      <c r="BE79" s="178">
        <f t="shared" ref="BE79:BG79" si="185">STDEV(BE73:BE76)</f>
        <v>642.00441327662747</v>
      </c>
      <c r="BF79" s="178">
        <f t="shared" si="185"/>
        <v>6680.5457611385809</v>
      </c>
      <c r="BG79" s="178">
        <f t="shared" si="185"/>
        <v>4834.9642866657932</v>
      </c>
      <c r="BI79" s="169">
        <f>STDEV(BI73:BI76)</f>
        <v>0</v>
      </c>
      <c r="BJ79" s="170"/>
      <c r="BK79" s="171"/>
      <c r="BL79" s="144"/>
      <c r="BM79" s="178">
        <f t="shared" ref="BM79:BO79" si="186">STDEV(BM73:BM76)</f>
        <v>639.33507125241715</v>
      </c>
      <c r="BN79" s="178">
        <f t="shared" si="186"/>
        <v>5982.3427685146899</v>
      </c>
      <c r="BO79" s="178">
        <f t="shared" si="186"/>
        <v>4613.0912311233287</v>
      </c>
    </row>
    <row r="80" spans="2:67" ht="15.75" thickBot="1">
      <c r="B80" s="172" t="s">
        <v>14</v>
      </c>
      <c r="C80" s="172"/>
      <c r="D80" s="172"/>
      <c r="E80" s="173"/>
      <c r="F80" s="172" t="s">
        <v>20</v>
      </c>
      <c r="G80" s="172" t="s">
        <v>20</v>
      </c>
      <c r="H80" s="172" t="s">
        <v>20</v>
      </c>
      <c r="J80" s="172" t="s">
        <v>14</v>
      </c>
      <c r="K80" s="172"/>
      <c r="L80" s="172"/>
      <c r="M80" s="173"/>
      <c r="N80" s="172" t="s">
        <v>20</v>
      </c>
      <c r="O80" s="172" t="s">
        <v>20</v>
      </c>
      <c r="P80" s="172" t="s">
        <v>20</v>
      </c>
      <c r="R80">
        <v>350</v>
      </c>
      <c r="S80" s="172" t="s">
        <v>14</v>
      </c>
      <c r="T80" s="172"/>
      <c r="U80" s="172"/>
      <c r="V80" s="173"/>
      <c r="W80" s="172" t="s">
        <v>20</v>
      </c>
      <c r="X80" s="172" t="s">
        <v>20</v>
      </c>
      <c r="Y80" s="172" t="s">
        <v>20</v>
      </c>
      <c r="AA80">
        <v>350</v>
      </c>
      <c r="AB80" s="172" t="s">
        <v>14</v>
      </c>
      <c r="AC80" s="172"/>
      <c r="AD80" s="172"/>
      <c r="AE80" s="173"/>
      <c r="AF80" s="172" t="s">
        <v>20</v>
      </c>
      <c r="AG80" s="172" t="s">
        <v>20</v>
      </c>
      <c r="AH80" s="172" t="s">
        <v>20</v>
      </c>
      <c r="AK80" s="172" t="s">
        <v>14</v>
      </c>
      <c r="AL80" s="172"/>
      <c r="AM80" s="172"/>
      <c r="AN80" s="173"/>
      <c r="AO80" s="172" t="s">
        <v>20</v>
      </c>
      <c r="AP80" s="172" t="s">
        <v>20</v>
      </c>
      <c r="AQ80" s="172" t="s">
        <v>20</v>
      </c>
      <c r="AS80" s="172" t="s">
        <v>14</v>
      </c>
      <c r="AT80" s="172"/>
      <c r="AU80" s="172"/>
      <c r="AV80" s="173"/>
      <c r="AW80" s="172" t="s">
        <v>20</v>
      </c>
      <c r="AX80" s="172" t="s">
        <v>20</v>
      </c>
      <c r="AY80" s="172" t="s">
        <v>20</v>
      </c>
      <c r="BA80" s="172" t="s">
        <v>14</v>
      </c>
      <c r="BB80" s="172"/>
      <c r="BC80" s="172"/>
      <c r="BD80" s="173"/>
      <c r="BE80" s="172" t="s">
        <v>20</v>
      </c>
      <c r="BF80" s="172" t="s">
        <v>20</v>
      </c>
      <c r="BG80" s="172" t="s">
        <v>20</v>
      </c>
      <c r="BI80" s="172" t="s">
        <v>14</v>
      </c>
      <c r="BJ80" s="172"/>
      <c r="BK80" s="172"/>
      <c r="BL80" s="173"/>
      <c r="BM80" s="172" t="s">
        <v>20</v>
      </c>
      <c r="BN80" s="172" t="s">
        <v>20</v>
      </c>
      <c r="BO80" s="172" t="s">
        <v>20</v>
      </c>
    </row>
    <row r="81" spans="2:67" ht="15.75" thickBot="1">
      <c r="B81" s="133" t="e">
        <f>SUM(I81:V81)</f>
        <v>#DIV/0!</v>
      </c>
      <c r="C81" s="127" t="e">
        <f>AVERAGE(I81:V81)</f>
        <v>#DIV/0!</v>
      </c>
      <c r="D81" s="140" t="e">
        <f>STDEV(I81:U81)</f>
        <v>#DIV/0!</v>
      </c>
      <c r="E81" s="190" t="s">
        <v>40</v>
      </c>
      <c r="F81" s="155">
        <v>1140</v>
      </c>
      <c r="G81" s="155">
        <v>30970</v>
      </c>
      <c r="H81" s="191">
        <f>G81-F81*$L$6</f>
        <v>26638</v>
      </c>
      <c r="J81" s="133" t="e">
        <f>SUM(Q81:AD81)</f>
        <v>#DIV/0!</v>
      </c>
      <c r="K81" s="127" t="e">
        <f>AVERAGE(Q81:AD81)</f>
        <v>#DIV/0!</v>
      </c>
      <c r="L81" s="140" t="e">
        <f>STDEV(Q81:AC81)</f>
        <v>#DIV/0!</v>
      </c>
      <c r="M81" s="190" t="s">
        <v>40</v>
      </c>
      <c r="N81" s="155">
        <v>1144</v>
      </c>
      <c r="O81" s="155">
        <v>32720</v>
      </c>
      <c r="P81" s="191">
        <f>O81-N81*$L$6</f>
        <v>28372.799999999999</v>
      </c>
      <c r="S81" s="133">
        <f>SUM(R192:AE192)</f>
        <v>0</v>
      </c>
      <c r="T81" s="127" t="e">
        <f>AVERAGE(R192:AE192)</f>
        <v>#DIV/0!</v>
      </c>
      <c r="U81" s="140" t="e">
        <f>STDEV(R192:AD192)</f>
        <v>#DIV/0!</v>
      </c>
      <c r="V81" s="190" t="s">
        <v>40</v>
      </c>
      <c r="W81" s="155">
        <v>548</v>
      </c>
      <c r="X81" s="155">
        <v>27600</v>
      </c>
      <c r="Y81" s="191">
        <f>X81-W81*$L$6</f>
        <v>25517.599999999999</v>
      </c>
      <c r="AB81" s="133">
        <f>SUM(AA192:AN192)</f>
        <v>0</v>
      </c>
      <c r="AC81" s="127" t="e">
        <f>AVERAGE(AA192:AN192)</f>
        <v>#DIV/0!</v>
      </c>
      <c r="AD81" s="140" t="e">
        <f>STDEV(AA192:AM192)</f>
        <v>#DIV/0!</v>
      </c>
      <c r="AE81" s="190" t="s">
        <v>40</v>
      </c>
      <c r="AF81" s="155">
        <v>548</v>
      </c>
      <c r="AG81" s="155">
        <v>27320</v>
      </c>
      <c r="AH81" s="191">
        <f>AG81-AF81*$L$6</f>
        <v>25237.599999999999</v>
      </c>
      <c r="AK81" s="133">
        <f>SUM(AJ192:AV192)</f>
        <v>0</v>
      </c>
      <c r="AL81" s="127" t="e">
        <f>AVERAGE(AJ192:AV192)</f>
        <v>#DIV/0!</v>
      </c>
      <c r="AM81" s="140" t="e">
        <f>STDEV(AJ192:AU192)</f>
        <v>#DIV/0!</v>
      </c>
      <c r="AN81" s="190" t="s">
        <v>40</v>
      </c>
      <c r="AO81" s="155">
        <v>1143</v>
      </c>
      <c r="AP81" s="155">
        <v>33040</v>
      </c>
      <c r="AQ81" s="191">
        <f>AP81-AO81*$L$6</f>
        <v>28696.6</v>
      </c>
      <c r="AS81" s="133">
        <f>SUM(AS192:BE192)</f>
        <v>0</v>
      </c>
      <c r="AT81" s="127" t="e">
        <f>AVERAGE(AS192:BE192)</f>
        <v>#DIV/0!</v>
      </c>
      <c r="AU81" s="140" t="e">
        <f>STDEV(AS192:BD192)</f>
        <v>#DIV/0!</v>
      </c>
      <c r="AV81" s="190" t="s">
        <v>40</v>
      </c>
      <c r="AW81" s="155">
        <v>1132</v>
      </c>
      <c r="AX81" s="155">
        <v>34180</v>
      </c>
      <c r="AY81" s="191">
        <f>AX81-AW81*$L$6</f>
        <v>29878.400000000001</v>
      </c>
      <c r="BA81" s="133">
        <f>SUM(BA192:BM192)</f>
        <v>0</v>
      </c>
      <c r="BB81" s="127" t="e">
        <f>AVERAGE(BA192:BM192)</f>
        <v>#DIV/0!</v>
      </c>
      <c r="BC81" s="140" t="e">
        <f>STDEV(BA192:BL192)</f>
        <v>#DIV/0!</v>
      </c>
      <c r="BD81" s="190" t="s">
        <v>40</v>
      </c>
      <c r="BE81" s="155">
        <v>1160</v>
      </c>
      <c r="BF81" s="155">
        <v>32460</v>
      </c>
      <c r="BG81" s="191">
        <f>BF81-BE81*$L$6</f>
        <v>28052</v>
      </c>
      <c r="BI81" s="133">
        <f>SUM(BI192:BU192)</f>
        <v>0</v>
      </c>
      <c r="BJ81" s="127" t="e">
        <f>AVERAGE(BI192:BU192)</f>
        <v>#DIV/0!</v>
      </c>
      <c r="BK81" s="140" t="e">
        <f>STDEV(BI192:BT192)</f>
        <v>#DIV/0!</v>
      </c>
      <c r="BL81" s="190" t="s">
        <v>40</v>
      </c>
      <c r="BM81" s="155">
        <v>1127</v>
      </c>
      <c r="BN81" s="155">
        <v>35500</v>
      </c>
      <c r="BO81" s="191">
        <f>BN81-BM81*$L$6</f>
        <v>31217.4</v>
      </c>
    </row>
    <row r="82" spans="2:67" ht="15.75" thickBot="1">
      <c r="B82" s="133" t="e">
        <f>SUM(I82:V82)</f>
        <v>#DIV/0!</v>
      </c>
      <c r="C82" s="127" t="e">
        <f>AVERAGE(I82:V82)</f>
        <v>#DIV/0!</v>
      </c>
      <c r="D82" s="140" t="e">
        <f>STDEV(I82:U82)</f>
        <v>#DIV/0!</v>
      </c>
      <c r="E82" s="193" t="s">
        <v>41</v>
      </c>
      <c r="F82" s="155">
        <v>2131</v>
      </c>
      <c r="G82" s="155">
        <v>51900</v>
      </c>
      <c r="H82" s="222">
        <f t="shared" ref="H82:H84" si="187">G82-F82*$L$6</f>
        <v>43802.2</v>
      </c>
      <c r="J82" s="133" t="e">
        <f>SUM(Q82:AD82)</f>
        <v>#DIV/0!</v>
      </c>
      <c r="K82" s="127" t="e">
        <f>AVERAGE(Q82:AD82)</f>
        <v>#DIV/0!</v>
      </c>
      <c r="L82" s="140" t="e">
        <f>STDEV(Q82:AC82)</f>
        <v>#DIV/0!</v>
      </c>
      <c r="M82" s="193" t="s">
        <v>41</v>
      </c>
      <c r="N82" s="155">
        <v>2147</v>
      </c>
      <c r="O82" s="155">
        <v>50630</v>
      </c>
      <c r="P82" s="222">
        <f t="shared" ref="P82:P84" si="188">O82-N82*$L$6</f>
        <v>42471.4</v>
      </c>
      <c r="S82" s="133">
        <f>SUM(R193:AE193)</f>
        <v>0</v>
      </c>
      <c r="T82" s="127" t="e">
        <f>AVERAGE(R193:AE193)</f>
        <v>#DIV/0!</v>
      </c>
      <c r="U82" s="140" t="e">
        <f>STDEV(R193:AD193)</f>
        <v>#DIV/0!</v>
      </c>
      <c r="V82" s="193" t="s">
        <v>41</v>
      </c>
      <c r="W82" s="155">
        <v>1076</v>
      </c>
      <c r="X82" s="155">
        <v>23890</v>
      </c>
      <c r="Y82" s="191">
        <f t="shared" ref="Y82:Y84" si="189">X82-W82*$L$6</f>
        <v>19801.2</v>
      </c>
      <c r="AB82" s="133">
        <f>SUM(AA193:AN193)</f>
        <v>0</v>
      </c>
      <c r="AC82" s="127" t="e">
        <f>AVERAGE(AA193:AN193)</f>
        <v>#DIV/0!</v>
      </c>
      <c r="AD82" s="140" t="e">
        <f>STDEV(AA193:AM193)</f>
        <v>#DIV/0!</v>
      </c>
      <c r="AE82" s="193" t="s">
        <v>41</v>
      </c>
      <c r="AF82" s="155">
        <v>820</v>
      </c>
      <c r="AG82" s="155">
        <v>26490</v>
      </c>
      <c r="AH82" s="191">
        <f t="shared" ref="AH82:AH84" si="190">AG82-AF82*$L$6</f>
        <v>23374</v>
      </c>
      <c r="AK82" s="133">
        <f>SUM(AJ193:AV193)</f>
        <v>0</v>
      </c>
      <c r="AL82" s="127" t="e">
        <f>AVERAGE(AJ193:AV193)</f>
        <v>#DIV/0!</v>
      </c>
      <c r="AM82" s="140" t="e">
        <f>STDEV(AJ193:AU193)</f>
        <v>#DIV/0!</v>
      </c>
      <c r="AN82" s="193" t="s">
        <v>41</v>
      </c>
      <c r="AO82" s="155">
        <v>1666</v>
      </c>
      <c r="AP82" s="155">
        <v>45390</v>
      </c>
      <c r="AQ82" s="191">
        <f t="shared" ref="AQ82:AQ84" si="191">AP82-AO82*$L$6</f>
        <v>39059.199999999997</v>
      </c>
      <c r="AS82" s="133">
        <f>SUM(AS193:BE193)</f>
        <v>0</v>
      </c>
      <c r="AT82" s="127" t="e">
        <f>AVERAGE(AS193:BE193)</f>
        <v>#DIV/0!</v>
      </c>
      <c r="AU82" s="140" t="e">
        <f>STDEV(AS193:BD193)</f>
        <v>#DIV/0!</v>
      </c>
      <c r="AV82" s="193" t="s">
        <v>41</v>
      </c>
      <c r="AW82" s="155">
        <v>1663</v>
      </c>
      <c r="AX82" s="155">
        <v>47360</v>
      </c>
      <c r="AY82" s="191">
        <f t="shared" ref="AY82:AY84" si="192">AX82-AW82*$L$6</f>
        <v>41040.6</v>
      </c>
      <c r="BA82" s="133">
        <f>SUM(BA193:BM193)</f>
        <v>0</v>
      </c>
      <c r="BB82" s="127" t="e">
        <f>AVERAGE(BA193:BM193)</f>
        <v>#DIV/0!</v>
      </c>
      <c r="BC82" s="140" t="e">
        <f>STDEV(BA193:BL193)</f>
        <v>#DIV/0!</v>
      </c>
      <c r="BD82" s="193" t="s">
        <v>41</v>
      </c>
      <c r="BE82" s="155">
        <v>1682</v>
      </c>
      <c r="BF82" s="155">
        <v>40060</v>
      </c>
      <c r="BG82" s="191">
        <f t="shared" ref="BG82:BG84" si="193">BF82-BE82*$L$6</f>
        <v>33668.400000000001</v>
      </c>
      <c r="BI82" s="133">
        <f>SUM(BI193:BU193)</f>
        <v>0</v>
      </c>
      <c r="BJ82" s="127" t="e">
        <f>AVERAGE(BI193:BU193)</f>
        <v>#DIV/0!</v>
      </c>
      <c r="BK82" s="140" t="e">
        <f>STDEV(BI193:BT193)</f>
        <v>#DIV/0!</v>
      </c>
      <c r="BL82" s="193" t="s">
        <v>41</v>
      </c>
      <c r="BM82" s="155">
        <v>1668</v>
      </c>
      <c r="BN82" s="155">
        <v>42840</v>
      </c>
      <c r="BO82" s="191">
        <f t="shared" ref="BO82:BO84" si="194">BN82-BM82*$L$6</f>
        <v>36501.599999999999</v>
      </c>
    </row>
    <row r="83" spans="2:67" ht="15.75" thickBot="1">
      <c r="B83" s="214" t="e">
        <f>SUM(I83:V83)</f>
        <v>#DIV/0!</v>
      </c>
      <c r="C83" s="127" t="e">
        <f>AVERAGE(I83:V83)</f>
        <v>#DIV/0!</v>
      </c>
      <c r="D83" s="140" t="e">
        <f>STDEV(I83:U83)</f>
        <v>#DIV/0!</v>
      </c>
      <c r="E83" s="193" t="s">
        <v>42</v>
      </c>
      <c r="F83" s="155">
        <v>2457</v>
      </c>
      <c r="G83" s="155">
        <v>50070</v>
      </c>
      <c r="H83" s="223">
        <f t="shared" si="187"/>
        <v>40733.4</v>
      </c>
      <c r="J83" s="214" t="e">
        <f>SUM(Q83:AD83)</f>
        <v>#DIV/0!</v>
      </c>
      <c r="K83" s="127" t="e">
        <f>AVERAGE(Q83:AD83)</f>
        <v>#DIV/0!</v>
      </c>
      <c r="L83" s="140" t="e">
        <f>STDEV(Q83:AC83)</f>
        <v>#DIV/0!</v>
      </c>
      <c r="M83" s="193" t="s">
        <v>42</v>
      </c>
      <c r="N83" s="155">
        <v>2463</v>
      </c>
      <c r="O83" s="225">
        <v>56420</v>
      </c>
      <c r="P83" s="223">
        <f t="shared" si="188"/>
        <v>47060.6</v>
      </c>
      <c r="S83" s="214">
        <f>SUM(R194:AE194)</f>
        <v>0</v>
      </c>
      <c r="T83" s="127" t="e">
        <f>AVERAGE(R194:AE194)</f>
        <v>#DIV/0!</v>
      </c>
      <c r="U83" s="140" t="e">
        <f>STDEV(R194:AD194)</f>
        <v>#DIV/0!</v>
      </c>
      <c r="V83" s="193" t="s">
        <v>42</v>
      </c>
      <c r="W83" s="155">
        <v>1321</v>
      </c>
      <c r="X83" s="155">
        <v>40260</v>
      </c>
      <c r="Y83" s="224">
        <f t="shared" si="189"/>
        <v>35240.199999999997</v>
      </c>
      <c r="AB83" s="214">
        <f>SUM(AA194:AN194)</f>
        <v>0</v>
      </c>
      <c r="AC83" s="127" t="e">
        <f>AVERAGE(AA194:AN194)</f>
        <v>#DIV/0!</v>
      </c>
      <c r="AD83" s="140" t="e">
        <f>STDEV(AA194:AM194)</f>
        <v>#DIV/0!</v>
      </c>
      <c r="AE83" s="193" t="s">
        <v>42</v>
      </c>
      <c r="AF83" s="155">
        <v>1319</v>
      </c>
      <c r="AG83" s="155">
        <v>38240</v>
      </c>
      <c r="AH83" s="224">
        <f t="shared" si="190"/>
        <v>33227.800000000003</v>
      </c>
      <c r="AK83" s="214">
        <f>SUM(AJ194:AV194)</f>
        <v>0</v>
      </c>
      <c r="AL83" s="127" t="e">
        <f>AVERAGE(AJ194:AV194)</f>
        <v>#DIV/0!</v>
      </c>
      <c r="AM83" s="140" t="e">
        <f>STDEV(AJ194:AU194)</f>
        <v>#DIV/0!</v>
      </c>
      <c r="AN83" s="193" t="s">
        <v>42</v>
      </c>
      <c r="AO83" s="155">
        <v>2453</v>
      </c>
      <c r="AP83" s="155">
        <v>55550</v>
      </c>
      <c r="AQ83" s="224">
        <f t="shared" si="191"/>
        <v>46228.6</v>
      </c>
      <c r="AS83" s="214">
        <f>SUM(AS194:BE194)</f>
        <v>0</v>
      </c>
      <c r="AT83" s="127" t="e">
        <f>AVERAGE(AS194:BE194)</f>
        <v>#DIV/0!</v>
      </c>
      <c r="AU83" s="140" t="e">
        <f>STDEV(AS194:BD194)</f>
        <v>#DIV/0!</v>
      </c>
      <c r="AV83" s="193" t="s">
        <v>42</v>
      </c>
      <c r="AW83" s="155">
        <v>2451</v>
      </c>
      <c r="AX83" s="155">
        <v>61760</v>
      </c>
      <c r="AY83" s="224">
        <f t="shared" si="192"/>
        <v>52446.2</v>
      </c>
      <c r="BA83" s="214">
        <f>SUM(BA194:BM194)</f>
        <v>0</v>
      </c>
      <c r="BB83" s="127" t="e">
        <f>AVERAGE(BA194:BM194)</f>
        <v>#DIV/0!</v>
      </c>
      <c r="BC83" s="140" t="e">
        <f>STDEV(BA194:BL194)</f>
        <v>#DIV/0!</v>
      </c>
      <c r="BD83" s="193" t="s">
        <v>42</v>
      </c>
      <c r="BE83" s="155">
        <v>2491</v>
      </c>
      <c r="BF83" s="155">
        <v>52600</v>
      </c>
      <c r="BG83" s="224">
        <f t="shared" si="193"/>
        <v>43134.2</v>
      </c>
      <c r="BI83" s="214">
        <f>SUM(BI194:BU194)</f>
        <v>0</v>
      </c>
      <c r="BJ83" s="127" t="e">
        <f>AVERAGE(BI194:BU194)</f>
        <v>#DIV/0!</v>
      </c>
      <c r="BK83" s="140" t="e">
        <f>STDEV(BI194:BT194)</f>
        <v>#DIV/0!</v>
      </c>
      <c r="BL83" s="193" t="s">
        <v>42</v>
      </c>
      <c r="BM83" s="155">
        <v>2444</v>
      </c>
      <c r="BN83" s="155">
        <v>58220</v>
      </c>
      <c r="BO83" s="224">
        <f t="shared" si="194"/>
        <v>48932.800000000003</v>
      </c>
    </row>
    <row r="84" spans="2:67">
      <c r="B84" s="214" t="e">
        <f>SUM(I84:V84)</f>
        <v>#DIV/0!</v>
      </c>
      <c r="C84" s="127" t="e">
        <f>AVERAGE(I84:V84)</f>
        <v>#DIV/0!</v>
      </c>
      <c r="D84" s="140" t="e">
        <f>STDEV(I84:U84)</f>
        <v>#DIV/0!</v>
      </c>
      <c r="E84" s="193" t="s">
        <v>43</v>
      </c>
      <c r="F84" s="155">
        <v>3235</v>
      </c>
      <c r="G84" s="155">
        <v>57100</v>
      </c>
      <c r="H84" s="222">
        <f t="shared" si="187"/>
        <v>44807</v>
      </c>
      <c r="J84" s="214" t="e">
        <f>SUM(Q84:AD84)</f>
        <v>#DIV/0!</v>
      </c>
      <c r="K84" s="127" t="e">
        <f>AVERAGE(Q84:AD84)</f>
        <v>#DIV/0!</v>
      </c>
      <c r="L84" s="140" t="e">
        <f>STDEV(Q84:AC84)</f>
        <v>#DIV/0!</v>
      </c>
      <c r="M84" s="193" t="s">
        <v>43</v>
      </c>
      <c r="N84" s="155">
        <v>3265</v>
      </c>
      <c r="O84" s="225">
        <v>59610</v>
      </c>
      <c r="P84" s="222">
        <f t="shared" si="188"/>
        <v>47203</v>
      </c>
      <c r="S84" s="214">
        <f>SUM(R195:AE195)</f>
        <v>0</v>
      </c>
      <c r="T84" s="127" t="e">
        <f>AVERAGE(R195:AE195)</f>
        <v>#DIV/0!</v>
      </c>
      <c r="U84" s="140" t="e">
        <f>STDEV(R195:AD195)</f>
        <v>#DIV/0!</v>
      </c>
      <c r="V84" s="193" t="s">
        <v>43</v>
      </c>
      <c r="W84" s="155">
        <v>1746</v>
      </c>
      <c r="X84" s="155">
        <v>37740</v>
      </c>
      <c r="Y84" s="224">
        <f t="shared" si="189"/>
        <v>31105.200000000001</v>
      </c>
      <c r="AB84" s="214">
        <f>SUM(AA195:AN195)</f>
        <v>0</v>
      </c>
      <c r="AC84" s="127" t="e">
        <f>AVERAGE(AA195:AN195)</f>
        <v>#DIV/0!</v>
      </c>
      <c r="AD84" s="140" t="e">
        <f>STDEV(AA195:AM195)</f>
        <v>#DIV/0!</v>
      </c>
      <c r="AE84" s="193" t="s">
        <v>43</v>
      </c>
      <c r="AF84" s="155">
        <v>1417</v>
      </c>
      <c r="AG84" s="155">
        <v>41860</v>
      </c>
      <c r="AH84" s="224">
        <f t="shared" si="190"/>
        <v>36475.4</v>
      </c>
      <c r="AK84" s="214">
        <f>SUM(AJ195:AV195)</f>
        <v>0</v>
      </c>
      <c r="AL84" s="127" t="e">
        <f>AVERAGE(AJ195:AV195)</f>
        <v>#DIV/0!</v>
      </c>
      <c r="AM84" s="140" t="e">
        <f>STDEV(AJ195:AU195)</f>
        <v>#DIV/0!</v>
      </c>
      <c r="AN84" s="193" t="s">
        <v>43</v>
      </c>
      <c r="AO84" s="155">
        <v>2617</v>
      </c>
      <c r="AP84" s="155">
        <v>47650</v>
      </c>
      <c r="AQ84" s="224">
        <f t="shared" si="191"/>
        <v>37705.4</v>
      </c>
      <c r="AS84" s="214">
        <f>SUM(AS195:BE195)</f>
        <v>0</v>
      </c>
      <c r="AT84" s="127" t="e">
        <f>AVERAGE(AS195:BE195)</f>
        <v>#DIV/0!</v>
      </c>
      <c r="AU84" s="140" t="e">
        <f>STDEV(AS195:BD195)</f>
        <v>#DIV/0!</v>
      </c>
      <c r="AV84" s="193" t="s">
        <v>43</v>
      </c>
      <c r="AW84" s="155">
        <v>2615</v>
      </c>
      <c r="AX84" s="155">
        <v>48070</v>
      </c>
      <c r="AY84" s="224">
        <f t="shared" si="192"/>
        <v>38133</v>
      </c>
      <c r="BA84" s="214">
        <f>SUM(BA195:BM195)</f>
        <v>0</v>
      </c>
      <c r="BB84" s="127" t="e">
        <f>AVERAGE(BA195:BM195)</f>
        <v>#DIV/0!</v>
      </c>
      <c r="BC84" s="140" t="e">
        <f>STDEV(BA195:BL195)</f>
        <v>#DIV/0!</v>
      </c>
      <c r="BD84" s="193" t="s">
        <v>43</v>
      </c>
      <c r="BE84" s="155">
        <v>2635</v>
      </c>
      <c r="BF84" s="155">
        <v>43460</v>
      </c>
      <c r="BG84" s="224">
        <f t="shared" si="193"/>
        <v>33447</v>
      </c>
      <c r="BI84" s="214">
        <f>SUM(BI195:BU195)</f>
        <v>0</v>
      </c>
      <c r="BJ84" s="127" t="e">
        <f>AVERAGE(BI195:BU195)</f>
        <v>#DIV/0!</v>
      </c>
      <c r="BK84" s="140" t="e">
        <f>STDEV(BI195:BT195)</f>
        <v>#DIV/0!</v>
      </c>
      <c r="BL84" s="193" t="s">
        <v>43</v>
      </c>
      <c r="BM84" s="155">
        <v>2610</v>
      </c>
      <c r="BN84" s="155">
        <v>45590</v>
      </c>
      <c r="BO84" s="224">
        <f t="shared" si="194"/>
        <v>35672</v>
      </c>
    </row>
    <row r="85" spans="2:67">
      <c r="B85" s="132" t="e">
        <f>SUM(B81:B84)</f>
        <v>#DIV/0!</v>
      </c>
      <c r="C85" s="126" t="e">
        <f>AVERAGE(I81:AA84)</f>
        <v>#DIV/0!</v>
      </c>
      <c r="D85" s="139" t="e">
        <f>STDEV(I81:AA84)</f>
        <v>#DIV/0!</v>
      </c>
      <c r="E85" s="124"/>
      <c r="F85" s="138">
        <f t="shared" ref="F85:H85" si="195">SUM(F81:F84)</f>
        <v>8963</v>
      </c>
      <c r="G85" s="138">
        <f t="shared" si="195"/>
        <v>190040</v>
      </c>
      <c r="H85" s="138">
        <f t="shared" si="195"/>
        <v>155980.6</v>
      </c>
      <c r="J85" s="132" t="e">
        <f>SUM(J81:J84)</f>
        <v>#DIV/0!</v>
      </c>
      <c r="K85" s="126" t="e">
        <f>AVERAGE(Q81:AI84)</f>
        <v>#DIV/0!</v>
      </c>
      <c r="L85" s="139" t="e">
        <f>STDEV(Q81:AI84)</f>
        <v>#DIV/0!</v>
      </c>
      <c r="M85" s="124"/>
      <c r="N85" s="138">
        <f t="shared" ref="N85:P85" si="196">SUM(N81:N84)</f>
        <v>9019</v>
      </c>
      <c r="O85" s="138">
        <f t="shared" si="196"/>
        <v>199380</v>
      </c>
      <c r="P85" s="226">
        <f t="shared" si="196"/>
        <v>165107.79999999999</v>
      </c>
      <c r="S85" s="132">
        <f>SUM(S81:S84)</f>
        <v>0</v>
      </c>
      <c r="T85" s="126" t="e">
        <f>AVERAGE(R192:AJ195)</f>
        <v>#DIV/0!</v>
      </c>
      <c r="U85" s="139" t="e">
        <f>STDEV(R192:AJ195)</f>
        <v>#DIV/0!</v>
      </c>
      <c r="V85" s="124"/>
      <c r="W85" s="138">
        <f t="shared" ref="W85:Y85" si="197">SUM(W81:W84)</f>
        <v>4691</v>
      </c>
      <c r="X85" s="138">
        <f t="shared" si="197"/>
        <v>129490</v>
      </c>
      <c r="Y85" s="138">
        <f t="shared" si="197"/>
        <v>111664.2</v>
      </c>
      <c r="AB85" s="132">
        <f>SUM(AB81:AB84)</f>
        <v>0</v>
      </c>
      <c r="AC85" s="126" t="e">
        <f>AVERAGE(AA192:AR195)</f>
        <v>#DIV/0!</v>
      </c>
      <c r="AD85" s="139" t="e">
        <f>STDEV(AA192:AR195)</f>
        <v>#DIV/0!</v>
      </c>
      <c r="AE85" s="124"/>
      <c r="AF85" s="138">
        <f t="shared" ref="AF85:AH85" si="198">SUM(AF81:AF84)</f>
        <v>4104</v>
      </c>
      <c r="AG85" s="138">
        <f t="shared" si="198"/>
        <v>133910</v>
      </c>
      <c r="AH85" s="138">
        <f t="shared" si="198"/>
        <v>118314.79999999999</v>
      </c>
      <c r="AK85" s="132">
        <f>SUM(AK81:AK84)</f>
        <v>0</v>
      </c>
      <c r="AL85" s="126" t="e">
        <f>AVERAGE(AJ192:BA195)</f>
        <v>#DIV/0!</v>
      </c>
      <c r="AM85" s="139" t="e">
        <f>STDEV(AJ192:BA195)</f>
        <v>#DIV/0!</v>
      </c>
      <c r="AN85" s="124"/>
      <c r="AO85" s="138">
        <f t="shared" ref="AO85:AQ85" si="199">SUM(AO81:AO84)</f>
        <v>7879</v>
      </c>
      <c r="AP85" s="138">
        <f t="shared" si="199"/>
        <v>181630</v>
      </c>
      <c r="AQ85" s="138">
        <f t="shared" si="199"/>
        <v>151689.79999999999</v>
      </c>
      <c r="AS85" s="132">
        <f>SUM(AS81:AS84)</f>
        <v>0</v>
      </c>
      <c r="AT85" s="126" t="e">
        <f>AVERAGE(AS192:BJ195)</f>
        <v>#DIV/0!</v>
      </c>
      <c r="AU85" s="139" t="e">
        <f>STDEV(AS192:BJ195)</f>
        <v>#DIV/0!</v>
      </c>
      <c r="AV85" s="124"/>
      <c r="AW85" s="138">
        <f t="shared" ref="AW85:AY85" si="200">SUM(AW81:AW84)</f>
        <v>7861</v>
      </c>
      <c r="AX85" s="138">
        <f t="shared" si="200"/>
        <v>191370</v>
      </c>
      <c r="AY85" s="138">
        <f t="shared" si="200"/>
        <v>161498.20000000001</v>
      </c>
      <c r="BA85" s="132">
        <f>SUM(BA81:BA84)</f>
        <v>0</v>
      </c>
      <c r="BB85" s="126" t="e">
        <f>AVERAGE(BA192:BR195)</f>
        <v>#DIV/0!</v>
      </c>
      <c r="BC85" s="139" t="e">
        <f>STDEV(BA192:BR195)</f>
        <v>#DIV/0!</v>
      </c>
      <c r="BD85" s="124"/>
      <c r="BE85" s="138">
        <f t="shared" ref="BE85:BG85" si="201">SUM(BE81:BE84)</f>
        <v>7968</v>
      </c>
      <c r="BF85" s="138">
        <f t="shared" si="201"/>
        <v>168580</v>
      </c>
      <c r="BG85" s="138">
        <f t="shared" si="201"/>
        <v>138301.6</v>
      </c>
      <c r="BI85" s="132">
        <f>SUM(BI81:BI84)</f>
        <v>0</v>
      </c>
      <c r="BJ85" s="126" t="e">
        <f>AVERAGE(BI192:BZ195)</f>
        <v>#DIV/0!</v>
      </c>
      <c r="BK85" s="139" t="e">
        <f>STDEV(BI192:BZ195)</f>
        <v>#DIV/0!</v>
      </c>
      <c r="BL85" s="124"/>
      <c r="BM85" s="138">
        <f t="shared" ref="BM85:BO85" si="202">SUM(BM81:BM84)</f>
        <v>7849</v>
      </c>
      <c r="BN85" s="138">
        <f t="shared" si="202"/>
        <v>182150</v>
      </c>
      <c r="BO85" s="138">
        <f t="shared" si="202"/>
        <v>152323.79999999999</v>
      </c>
    </row>
    <row r="86" spans="2:67">
      <c r="B86" s="132" t="e">
        <f>AVERAGE(B81:B84)</f>
        <v>#DIV/0!</v>
      </c>
      <c r="C86" s="126"/>
      <c r="D86" s="139"/>
      <c r="E86" s="124"/>
      <c r="F86" s="138">
        <f t="shared" ref="F86:H86" si="203">AVERAGE(F81:F84)</f>
        <v>2240.75</v>
      </c>
      <c r="G86" s="138">
        <f t="shared" si="203"/>
        <v>47510</v>
      </c>
      <c r="H86" s="138">
        <f t="shared" si="203"/>
        <v>38995.15</v>
      </c>
      <c r="J86" s="132" t="e">
        <f>AVERAGE(J81:J84)</f>
        <v>#DIV/0!</v>
      </c>
      <c r="K86" s="126"/>
      <c r="L86" s="139"/>
      <c r="M86" s="124"/>
      <c r="N86" s="138">
        <f t="shared" ref="N86:P86" si="204">AVERAGE(N81:N84)</f>
        <v>2254.75</v>
      </c>
      <c r="O86" s="138">
        <f t="shared" si="204"/>
        <v>49845</v>
      </c>
      <c r="P86" s="138">
        <f t="shared" si="204"/>
        <v>41276.949999999997</v>
      </c>
      <c r="S86" s="132">
        <f>AVERAGE(S81:S84)</f>
        <v>0</v>
      </c>
      <c r="T86" s="126"/>
      <c r="U86" s="139"/>
      <c r="V86" s="124"/>
      <c r="W86" s="138">
        <f t="shared" ref="W86:Y86" si="205">AVERAGE(W81:W84)</f>
        <v>1172.75</v>
      </c>
      <c r="X86" s="138">
        <f t="shared" si="205"/>
        <v>32372.5</v>
      </c>
      <c r="Y86" s="138">
        <f t="shared" si="205"/>
        <v>27916.05</v>
      </c>
      <c r="AB86" s="132">
        <f>AVERAGE(AB81:AB84)</f>
        <v>0</v>
      </c>
      <c r="AC86" s="126"/>
      <c r="AD86" s="139"/>
      <c r="AE86" s="124"/>
      <c r="AF86" s="138">
        <f t="shared" ref="AF86:AH86" si="206">AVERAGE(AF81:AF84)</f>
        <v>1026</v>
      </c>
      <c r="AG86" s="138">
        <f t="shared" si="206"/>
        <v>33477.5</v>
      </c>
      <c r="AH86" s="138">
        <f t="shared" si="206"/>
        <v>29578.699999999997</v>
      </c>
      <c r="AK86" s="132">
        <f>AVERAGE(AK81:AK84)</f>
        <v>0</v>
      </c>
      <c r="AL86" s="126"/>
      <c r="AM86" s="139"/>
      <c r="AN86" s="124"/>
      <c r="AO86" s="138">
        <f t="shared" ref="AO86:AQ86" si="207">AVERAGE(AO81:AO84)</f>
        <v>1969.75</v>
      </c>
      <c r="AP86" s="138">
        <f t="shared" si="207"/>
        <v>45407.5</v>
      </c>
      <c r="AQ86" s="138">
        <f t="shared" si="207"/>
        <v>37922.449999999997</v>
      </c>
      <c r="AS86" s="132">
        <f>AVERAGE(AS81:AS84)</f>
        <v>0</v>
      </c>
      <c r="AT86" s="126"/>
      <c r="AU86" s="139"/>
      <c r="AV86" s="124"/>
      <c r="AW86" s="138">
        <f t="shared" ref="AW86:AY86" si="208">AVERAGE(AW81:AW84)</f>
        <v>1965.25</v>
      </c>
      <c r="AX86" s="138">
        <f t="shared" si="208"/>
        <v>47842.5</v>
      </c>
      <c r="AY86" s="138">
        <f t="shared" si="208"/>
        <v>40374.550000000003</v>
      </c>
      <c r="BA86" s="132">
        <f>AVERAGE(BA81:BA84)</f>
        <v>0</v>
      </c>
      <c r="BB86" s="126"/>
      <c r="BC86" s="139"/>
      <c r="BD86" s="124"/>
      <c r="BE86" s="138">
        <f t="shared" ref="BE86:BG86" si="209">AVERAGE(BE81:BE84)</f>
        <v>1992</v>
      </c>
      <c r="BF86" s="138">
        <f t="shared" si="209"/>
        <v>42145</v>
      </c>
      <c r="BG86" s="138">
        <f t="shared" si="209"/>
        <v>34575.4</v>
      </c>
      <c r="BI86" s="132">
        <f>AVERAGE(BI81:BI84)</f>
        <v>0</v>
      </c>
      <c r="BJ86" s="126"/>
      <c r="BK86" s="139"/>
      <c r="BL86" s="124"/>
      <c r="BM86" s="138">
        <f t="shared" ref="BM86:BO86" si="210">AVERAGE(BM81:BM84)</f>
        <v>1962.25</v>
      </c>
      <c r="BN86" s="138">
        <f t="shared" si="210"/>
        <v>45537.5</v>
      </c>
      <c r="BO86" s="138">
        <f t="shared" si="210"/>
        <v>38080.949999999997</v>
      </c>
    </row>
    <row r="87" spans="2:67" ht="15.75" thickBot="1">
      <c r="B87" s="132" t="e">
        <f>STDEV(B81:B84)</f>
        <v>#DIV/0!</v>
      </c>
      <c r="C87" s="126"/>
      <c r="D87" s="139"/>
      <c r="E87" s="124"/>
      <c r="F87" s="178">
        <f t="shared" ref="F87:H87" si="211">STDEV(F81:F84)</f>
        <v>867.75433351458025</v>
      </c>
      <c r="G87" s="178">
        <f t="shared" si="211"/>
        <v>11421.695729327294</v>
      </c>
      <c r="H87" s="178">
        <f t="shared" si="211"/>
        <v>8418.3529527257579</v>
      </c>
      <c r="J87" s="132" t="e">
        <f>STDEV(J81:J84)</f>
        <v>#DIV/0!</v>
      </c>
      <c r="K87" s="126"/>
      <c r="L87" s="139"/>
      <c r="M87" s="124"/>
      <c r="N87" s="178">
        <f t="shared" ref="N87:P87" si="212">STDEV(N81:N84)</f>
        <v>877.37273531074959</v>
      </c>
      <c r="O87" s="178">
        <f t="shared" si="212"/>
        <v>12006.49407612397</v>
      </c>
      <c r="P87" s="178">
        <f t="shared" si="212"/>
        <v>8879.0478834538844</v>
      </c>
      <c r="S87" s="132">
        <f>STDEV(S81:S84)</f>
        <v>0</v>
      </c>
      <c r="T87" s="126"/>
      <c r="U87" s="139"/>
      <c r="V87" s="124"/>
      <c r="W87" s="178">
        <f t="shared" ref="W87:Y87" si="213">STDEV(W81:W84)</f>
        <v>500.08890876189872</v>
      </c>
      <c r="X87" s="178">
        <f t="shared" si="213"/>
        <v>7868.7626092035589</v>
      </c>
      <c r="Y87" s="178">
        <f t="shared" si="213"/>
        <v>6718.5614499434796</v>
      </c>
      <c r="AB87" s="132">
        <f>STDEV(AB81:AB84)</f>
        <v>0</v>
      </c>
      <c r="AC87" s="126"/>
      <c r="AD87" s="139"/>
      <c r="AE87" s="124"/>
      <c r="AF87" s="178">
        <f t="shared" ref="AF87:AH87" si="214">STDEV(AF81:AF84)</f>
        <v>412.16905916545136</v>
      </c>
      <c r="AG87" s="178">
        <f t="shared" si="214"/>
        <v>7739.2436107585254</v>
      </c>
      <c r="AH87" s="178">
        <f t="shared" si="214"/>
        <v>6277.5752484538425</v>
      </c>
      <c r="AK87" s="132">
        <f>STDEV(AK81:AK84)</f>
        <v>0</v>
      </c>
      <c r="AL87" s="126"/>
      <c r="AM87" s="139"/>
      <c r="AN87" s="124"/>
      <c r="AO87" s="178">
        <f t="shared" ref="AO87:AQ87" si="215">STDEV(AO81:AO84)</f>
        <v>689.98617135901111</v>
      </c>
      <c r="AP87" s="178">
        <f t="shared" si="215"/>
        <v>9324.7783709140604</v>
      </c>
      <c r="AQ87" s="178">
        <f t="shared" si="215"/>
        <v>7198.3272897250326</v>
      </c>
      <c r="AS87" s="132">
        <f>STDEV(AS81:AS84)</f>
        <v>0</v>
      </c>
      <c r="AT87" s="126"/>
      <c r="AU87" s="139"/>
      <c r="AV87" s="124"/>
      <c r="AW87" s="178">
        <f t="shared" ref="AW87:AY87" si="216">STDEV(AW81:AW84)</f>
        <v>693.73115590022815</v>
      </c>
      <c r="AX87" s="178">
        <f t="shared" si="216"/>
        <v>11264.1803223019</v>
      </c>
      <c r="AY87" s="178">
        <f t="shared" si="216"/>
        <v>9333.8464302415414</v>
      </c>
      <c r="BA87" s="132">
        <f>STDEV(BA81:BA84)</f>
        <v>0</v>
      </c>
      <c r="BB87" s="126"/>
      <c r="BC87" s="139"/>
      <c r="BD87" s="124"/>
      <c r="BE87" s="178">
        <f t="shared" ref="BE87:BG87" si="217">STDEV(BE81:BE84)</f>
        <v>695.40731469645425</v>
      </c>
      <c r="BF87" s="178">
        <f t="shared" si="217"/>
        <v>8350.3033877019498</v>
      </c>
      <c r="BG87" s="178">
        <f t="shared" si="217"/>
        <v>6269.0706530819343</v>
      </c>
      <c r="BI87" s="132">
        <f>STDEV(BI81:BI84)</f>
        <v>0</v>
      </c>
      <c r="BJ87" s="126"/>
      <c r="BK87" s="139"/>
      <c r="BL87" s="124"/>
      <c r="BM87" s="178">
        <f t="shared" ref="BM87:BO87" si="218">STDEV(BM81:BM84)</f>
        <v>691.83060306214645</v>
      </c>
      <c r="BN87" s="178">
        <f t="shared" si="218"/>
        <v>9467.0740816086709</v>
      </c>
      <c r="BO87" s="178">
        <f t="shared" si="218"/>
        <v>7597.5512184299914</v>
      </c>
    </row>
    <row r="88" spans="2:67">
      <c r="F88" s="200">
        <f t="shared" ref="F88:H88" si="219">SUM(F66:F69,F73:F76,F81:F84)</f>
        <v>25828</v>
      </c>
      <c r="G88" s="200">
        <f t="shared" si="219"/>
        <v>555220</v>
      </c>
      <c r="H88" s="200">
        <f t="shared" si="219"/>
        <v>457073.60000000003</v>
      </c>
      <c r="N88" s="200">
        <f t="shared" ref="N88:P88" si="220">SUM(N66:N69,N73:N76,N81:N84)</f>
        <v>26017</v>
      </c>
      <c r="O88" s="200">
        <f t="shared" si="220"/>
        <v>568360</v>
      </c>
      <c r="P88" s="200">
        <f t="shared" si="220"/>
        <v>469495.4</v>
      </c>
      <c r="S88" s="18"/>
      <c r="T88" s="18"/>
      <c r="U88" s="18"/>
      <c r="V88" s="124"/>
      <c r="W88" s="200">
        <f t="shared" ref="W88:Y88" si="221">SUM(W66:W69,W73:W76,W81:W84)</f>
        <v>13622</v>
      </c>
      <c r="X88" s="200">
        <f t="shared" si="221"/>
        <v>303730</v>
      </c>
      <c r="Y88" s="200">
        <f t="shared" si="221"/>
        <v>251966.40000000002</v>
      </c>
      <c r="AB88" s="18"/>
      <c r="AC88" s="18"/>
      <c r="AD88" s="18"/>
      <c r="AE88" s="124"/>
      <c r="AF88" s="200">
        <f t="shared" ref="AF88:AH88" si="222">SUM(AF66:AF69,AF73:AF76,AF81:AF84)</f>
        <v>11905</v>
      </c>
      <c r="AG88" s="200">
        <f t="shared" si="222"/>
        <v>352710</v>
      </c>
      <c r="AH88" s="200">
        <f t="shared" si="222"/>
        <v>307471.00000000006</v>
      </c>
      <c r="AK88" s="18"/>
      <c r="AL88" s="18"/>
      <c r="AM88" s="18"/>
      <c r="AN88" s="124"/>
      <c r="AO88" s="200">
        <f t="shared" ref="AO88:AQ88" si="223">SUM(AO66:AO69,AO73:AO76,AO81:AO84)</f>
        <v>22930</v>
      </c>
      <c r="AP88" s="200">
        <f t="shared" si="223"/>
        <v>524940</v>
      </c>
      <c r="AQ88" s="200">
        <f t="shared" si="223"/>
        <v>437805.99999999994</v>
      </c>
      <c r="AS88" s="18"/>
      <c r="AT88" s="18"/>
      <c r="AU88" s="18"/>
      <c r="AV88" s="124"/>
      <c r="AW88" s="200">
        <f t="shared" ref="AW88:AY88" si="224">SUM(AW66:AW69,AW73:AW76,AW81:AW84)</f>
        <v>22872</v>
      </c>
      <c r="AX88" s="200">
        <f t="shared" si="224"/>
        <v>551050</v>
      </c>
      <c r="AY88" s="200">
        <f t="shared" si="224"/>
        <v>464136.4</v>
      </c>
      <c r="BA88" s="18"/>
      <c r="BB88" s="18"/>
      <c r="BC88" s="18"/>
      <c r="BD88" s="124"/>
      <c r="BE88" s="200">
        <f t="shared" ref="BE88:BG88" si="225">SUM(BE66:BE69,BE73:BE76,BE81:BE84)</f>
        <v>23080</v>
      </c>
      <c r="BF88" s="200">
        <f t="shared" si="225"/>
        <v>515240</v>
      </c>
      <c r="BG88" s="200">
        <f t="shared" si="225"/>
        <v>427536.00000000006</v>
      </c>
      <c r="BI88" s="18"/>
      <c r="BJ88" s="18"/>
      <c r="BK88" s="18"/>
      <c r="BL88" s="124"/>
      <c r="BM88" s="200">
        <f t="shared" ref="BM88:BO88" si="226">SUM(BM66:BM69,BM73:BM76,BM81:BM84)</f>
        <v>22886</v>
      </c>
      <c r="BN88" s="200">
        <f t="shared" si="226"/>
        <v>526720</v>
      </c>
      <c r="BO88" s="200">
        <f t="shared" si="226"/>
        <v>439753.2</v>
      </c>
    </row>
    <row r="89" spans="2:67">
      <c r="F89" s="203">
        <f t="shared" ref="F89:H89" si="227">AVERAGE(F66:F69,F73:F76,F81:F84)</f>
        <v>2152.3333333333335</v>
      </c>
      <c r="G89" s="203">
        <f t="shared" si="227"/>
        <v>46268.333333333336</v>
      </c>
      <c r="H89" s="203">
        <f t="shared" si="227"/>
        <v>38089.466666666667</v>
      </c>
      <c r="N89" s="203">
        <f t="shared" ref="N89:P89" si="228">AVERAGE(N66:N69,N73:N76,N81:N84)</f>
        <v>2168.0833333333335</v>
      </c>
      <c r="O89" s="203">
        <f t="shared" si="228"/>
        <v>47363.333333333336</v>
      </c>
      <c r="P89" s="203">
        <f t="shared" si="228"/>
        <v>39124.616666666669</v>
      </c>
      <c r="S89" s="18"/>
      <c r="T89" s="18"/>
      <c r="U89" s="18"/>
      <c r="V89" s="124"/>
      <c r="W89" s="203">
        <f t="shared" ref="W89:Y89" si="229">AVERAGE(W66:W69,W73:W76,W81:W84)</f>
        <v>1135.1666666666667</v>
      </c>
      <c r="X89" s="203">
        <f t="shared" si="229"/>
        <v>25310.833333333332</v>
      </c>
      <c r="Y89" s="203">
        <f t="shared" si="229"/>
        <v>20997.200000000001</v>
      </c>
      <c r="AB89" s="18"/>
      <c r="AC89" s="18"/>
      <c r="AD89" s="18"/>
      <c r="AE89" s="124"/>
      <c r="AF89" s="203">
        <f t="shared" ref="AF89:AH89" si="230">AVERAGE(AF66:AF69,AF73:AF76,AF81:AF84)</f>
        <v>992.08333333333337</v>
      </c>
      <c r="AG89" s="203">
        <f t="shared" si="230"/>
        <v>29392.5</v>
      </c>
      <c r="AH89" s="203">
        <f t="shared" si="230"/>
        <v>25622.583333333339</v>
      </c>
      <c r="AK89" s="18"/>
      <c r="AL89" s="18"/>
      <c r="AM89" s="18"/>
      <c r="AN89" s="124"/>
      <c r="AO89" s="203">
        <f t="shared" ref="AO89:AQ89" si="231">AVERAGE(AO66:AO69,AO73:AO76,AO81:AO84)</f>
        <v>1910.8333333333333</v>
      </c>
      <c r="AP89" s="203">
        <f t="shared" si="231"/>
        <v>43745</v>
      </c>
      <c r="AQ89" s="203">
        <f t="shared" si="231"/>
        <v>36483.833333333328</v>
      </c>
      <c r="AS89" s="18"/>
      <c r="AT89" s="18"/>
      <c r="AU89" s="18"/>
      <c r="AV89" s="124"/>
      <c r="AW89" s="203">
        <f t="shared" ref="AW89:AY89" si="232">AVERAGE(AW66:AW69,AW73:AW76,AW81:AW84)</f>
        <v>1906</v>
      </c>
      <c r="AX89" s="203">
        <f t="shared" si="232"/>
        <v>45920.833333333336</v>
      </c>
      <c r="AY89" s="203">
        <f t="shared" si="232"/>
        <v>38678.033333333333</v>
      </c>
      <c r="BA89" s="18"/>
      <c r="BB89" s="18"/>
      <c r="BC89" s="18"/>
      <c r="BD89" s="124"/>
      <c r="BE89" s="203">
        <f t="shared" ref="BE89:BG89" si="233">AVERAGE(BE66:BE69,BE73:BE76,BE81:BE84)</f>
        <v>1923.3333333333333</v>
      </c>
      <c r="BF89" s="203">
        <f t="shared" si="233"/>
        <v>42936.666666666664</v>
      </c>
      <c r="BG89" s="203">
        <f t="shared" si="233"/>
        <v>35628.000000000007</v>
      </c>
      <c r="BI89" s="18"/>
      <c r="BJ89" s="18"/>
      <c r="BK89" s="18"/>
      <c r="BL89" s="124"/>
      <c r="BM89" s="203">
        <f t="shared" ref="BM89:BO89" si="234">AVERAGE(BM66:BM69,BM73:BM76,BM81:BM84)</f>
        <v>1907.1666666666667</v>
      </c>
      <c r="BN89" s="203">
        <f t="shared" si="234"/>
        <v>43893.333333333336</v>
      </c>
      <c r="BO89" s="203">
        <f t="shared" si="234"/>
        <v>36646.1</v>
      </c>
    </row>
    <row r="90" spans="2:67" ht="15.75" thickBot="1">
      <c r="F90" s="206">
        <f t="shared" ref="F90:H90" si="235">STDEV(F66:F69,F73:F76,F81:F84,)</f>
        <v>925.81911064798476</v>
      </c>
      <c r="G90" s="206">
        <f t="shared" si="235"/>
        <v>14949.918317245341</v>
      </c>
      <c r="H90" s="206">
        <f t="shared" si="235"/>
        <v>11990.555251145337</v>
      </c>
      <c r="N90" s="206">
        <f t="shared" ref="N90:P90" si="236">STDEV(N66:N69,N73:N76,N81:N84,)</f>
        <v>934.79769510265191</v>
      </c>
      <c r="O90" s="206">
        <f t="shared" si="236"/>
        <v>15409.272100481146</v>
      </c>
      <c r="P90" s="206">
        <f t="shared" si="236"/>
        <v>12283.739840088381</v>
      </c>
      <c r="S90" s="18"/>
      <c r="T90" s="18"/>
      <c r="U90" s="18"/>
      <c r="V90" s="124"/>
      <c r="W90" s="206">
        <f t="shared" ref="W90:Y90" si="237">STDEV(W66:W69,W73:W76,W81:W84,)</f>
        <v>506.79776475333267</v>
      </c>
      <c r="X90" s="206">
        <f t="shared" si="237"/>
        <v>12876.841964331121</v>
      </c>
      <c r="Y90" s="206">
        <f t="shared" si="237"/>
        <v>11677.449268810416</v>
      </c>
      <c r="AB90" s="18"/>
      <c r="AC90" s="18"/>
      <c r="AD90" s="18"/>
      <c r="AE90" s="124"/>
      <c r="AF90" s="206">
        <f t="shared" ref="AF90:AH90" si="238">STDEV(AF66:AF69,AF73:AF76,AF81:AF84,)</f>
        <v>423.50681888374083</v>
      </c>
      <c r="AG90" s="206">
        <f t="shared" si="238"/>
        <v>13435.763125674359</v>
      </c>
      <c r="AH90" s="206">
        <f t="shared" si="238"/>
        <v>12062.948177639248</v>
      </c>
      <c r="AK90" s="18"/>
      <c r="AL90" s="18"/>
      <c r="AM90" s="18"/>
      <c r="AN90" s="124"/>
      <c r="AO90" s="206">
        <f t="shared" ref="AO90:AQ90" si="239">STDEV(AO66:AO69,AO73:AO76,AO81:AO84,)</f>
        <v>775.52657875728198</v>
      </c>
      <c r="AP90" s="206">
        <f t="shared" si="239"/>
        <v>13736.890720489359</v>
      </c>
      <c r="AQ90" s="206">
        <f t="shared" si="239"/>
        <v>11315.154685483114</v>
      </c>
      <c r="AS90" s="18"/>
      <c r="AT90" s="18"/>
      <c r="AU90" s="18"/>
      <c r="AV90" s="124"/>
      <c r="AW90" s="206">
        <f t="shared" ref="AW90:AY90" si="240">STDEV(AW66:AW69,AW73:AW76,AW81:AW84,)</f>
        <v>773.78469641771585</v>
      </c>
      <c r="AX90" s="206">
        <f t="shared" si="240"/>
        <v>15056.160337302608</v>
      </c>
      <c r="AY90" s="206">
        <f t="shared" si="240"/>
        <v>12575.860631914351</v>
      </c>
      <c r="BA90" s="18"/>
      <c r="BB90" s="18"/>
      <c r="BC90" s="18"/>
      <c r="BD90" s="124"/>
      <c r="BE90" s="206">
        <f t="shared" ref="BE90:BG90" si="241">STDEV(BE66:BE69,BE73:BE76,BE81:BE84,)</f>
        <v>778.93972150840398</v>
      </c>
      <c r="BF90" s="206">
        <f t="shared" si="241"/>
        <v>13784.045450242787</v>
      </c>
      <c r="BG90" s="206">
        <f t="shared" si="241"/>
        <v>11215.527709225713</v>
      </c>
      <c r="BI90" s="18"/>
      <c r="BJ90" s="18"/>
      <c r="BK90" s="18"/>
      <c r="BL90" s="124"/>
      <c r="BM90" s="206">
        <f t="shared" ref="BM90:BO90" si="242">STDEV(BM66:BM69,BM73:BM76,BM81:BM84,)</f>
        <v>775.50420323217418</v>
      </c>
      <c r="BN90" s="206">
        <f t="shared" si="242"/>
        <v>13866.443538638752</v>
      </c>
      <c r="BO90" s="206">
        <f t="shared" si="242"/>
        <v>11527.67347728821</v>
      </c>
    </row>
    <row r="92" spans="2:67">
      <c r="B92" t="s">
        <v>105</v>
      </c>
      <c r="J92" t="s">
        <v>105</v>
      </c>
    </row>
    <row r="93" spans="2:67" ht="15.75" thickBot="1">
      <c r="B93" s="172" t="s">
        <v>103</v>
      </c>
      <c r="C93" s="172"/>
      <c r="D93" s="172"/>
      <c r="E93" s="173"/>
      <c r="F93" s="172" t="s">
        <v>20</v>
      </c>
      <c r="G93" s="172" t="s">
        <v>20</v>
      </c>
      <c r="H93" s="172" t="s">
        <v>20</v>
      </c>
      <c r="J93" s="172" t="s">
        <v>103</v>
      </c>
      <c r="K93" s="172"/>
      <c r="L93" s="172"/>
      <c r="M93" s="173"/>
      <c r="N93" s="172" t="s">
        <v>20</v>
      </c>
      <c r="O93" s="172" t="s">
        <v>20</v>
      </c>
      <c r="P93" s="172" t="s">
        <v>20</v>
      </c>
      <c r="AS93" s="172" t="s">
        <v>119</v>
      </c>
      <c r="AT93" s="172"/>
      <c r="AU93" s="172"/>
      <c r="AV93" s="173"/>
      <c r="AW93" s="172" t="s">
        <v>20</v>
      </c>
      <c r="AX93" s="172" t="s">
        <v>20</v>
      </c>
      <c r="AY93" s="172" t="s">
        <v>20</v>
      </c>
      <c r="BA93" s="172" t="s">
        <v>119</v>
      </c>
      <c r="BB93" s="172"/>
      <c r="BC93" s="172"/>
      <c r="BD93" s="173"/>
      <c r="BE93" s="172" t="s">
        <v>20</v>
      </c>
      <c r="BF93" s="172" t="s">
        <v>20</v>
      </c>
      <c r="BG93" s="172" t="s">
        <v>20</v>
      </c>
      <c r="BI93" s="172" t="s">
        <v>119</v>
      </c>
      <c r="BJ93" s="172"/>
      <c r="BK93" s="172"/>
      <c r="BL93" s="173"/>
      <c r="BM93" s="172" t="s">
        <v>20</v>
      </c>
      <c r="BN93" s="172" t="s">
        <v>20</v>
      </c>
      <c r="BO93" s="172" t="s">
        <v>20</v>
      </c>
    </row>
    <row r="94" spans="2:67" ht="15.75" thickBot="1">
      <c r="B94" s="187" t="e">
        <f>SUM(I94:V94)</f>
        <v>#DIV/0!</v>
      </c>
      <c r="C94" s="188" t="e">
        <f>AVERAGE(I94:V94)</f>
        <v>#DIV/0!</v>
      </c>
      <c r="D94" s="189" t="e">
        <f>STDEV(I94:U94)</f>
        <v>#DIV/0!</v>
      </c>
      <c r="E94" s="190" t="s">
        <v>40</v>
      </c>
      <c r="F94" s="192">
        <v>1511</v>
      </c>
      <c r="G94" s="192">
        <v>24140</v>
      </c>
      <c r="H94" s="191">
        <f>G94-F94*$L$6</f>
        <v>18398.2</v>
      </c>
      <c r="J94" s="187">
        <f>SUM(Q94:AD94)</f>
        <v>0</v>
      </c>
      <c r="K94" s="188" t="e">
        <f>AVERAGE(Q94:AD94)</f>
        <v>#DIV/0!</v>
      </c>
      <c r="L94" s="189" t="e">
        <f>STDEV(Q94:AC94)</f>
        <v>#DIV/0!</v>
      </c>
      <c r="M94" s="190" t="s">
        <v>40</v>
      </c>
      <c r="N94" s="192">
        <v>1510</v>
      </c>
      <c r="O94" s="192">
        <v>26400</v>
      </c>
      <c r="P94" s="191">
        <f>O94-N94*$L$6</f>
        <v>20662</v>
      </c>
      <c r="AS94" s="187">
        <f>SUM(AS205:BE205)</f>
        <v>0</v>
      </c>
      <c r="AT94" s="188" t="e">
        <f>AVERAGE(AS205:BE205)</f>
        <v>#DIV/0!</v>
      </c>
      <c r="AU94" s="189" t="e">
        <f>STDEV(AS205:BD205)</f>
        <v>#DIV/0!</v>
      </c>
      <c r="AV94" s="190" t="s">
        <v>40</v>
      </c>
      <c r="AW94" s="192">
        <v>575</v>
      </c>
      <c r="AX94" s="192">
        <v>11150</v>
      </c>
      <c r="AY94" s="191">
        <f>AX94-AW94*$L$6</f>
        <v>8965</v>
      </c>
      <c r="BA94" s="187">
        <f>SUM(BA205:BM205)</f>
        <v>0</v>
      </c>
      <c r="BB94" s="188" t="e">
        <f>AVERAGE(BA205:BM205)</f>
        <v>#DIV/0!</v>
      </c>
      <c r="BC94" s="189" t="e">
        <f>STDEV(BA205:BL205)</f>
        <v>#DIV/0!</v>
      </c>
      <c r="BD94" s="190" t="s">
        <v>40</v>
      </c>
      <c r="BE94" s="192">
        <v>584</v>
      </c>
      <c r="BF94" s="192">
        <v>10270</v>
      </c>
      <c r="BG94" s="191">
        <f>BF94-BE94*$L$6</f>
        <v>8050.8</v>
      </c>
      <c r="BI94" s="187">
        <f>SUM(BI205:BU205)</f>
        <v>0</v>
      </c>
      <c r="BJ94" s="188" t="e">
        <f>AVERAGE(BI205:BU205)</f>
        <v>#DIV/0!</v>
      </c>
      <c r="BK94" s="189" t="e">
        <f>STDEV(BI205:BT205)</f>
        <v>#DIV/0!</v>
      </c>
      <c r="BL94" s="190" t="s">
        <v>40</v>
      </c>
      <c r="BM94" s="192">
        <v>571</v>
      </c>
      <c r="BN94" s="192">
        <v>15070</v>
      </c>
      <c r="BO94" s="191">
        <f>BN94-BM94*$L$6</f>
        <v>12900.2</v>
      </c>
    </row>
    <row r="95" spans="2:67" ht="15.75" thickBot="1">
      <c r="B95" s="134" t="e">
        <f>SUM(I95:V95)</f>
        <v>#DIV/0!</v>
      </c>
      <c r="C95" s="128" t="e">
        <f>AVERAGE(I95:V95)</f>
        <v>#DIV/0!</v>
      </c>
      <c r="D95" s="141" t="e">
        <f>STDEV(I95:U95)</f>
        <v>#DIV/0!</v>
      </c>
      <c r="E95" s="193" t="s">
        <v>41</v>
      </c>
      <c r="F95" s="194">
        <v>2197</v>
      </c>
      <c r="G95" s="194">
        <v>37510</v>
      </c>
      <c r="H95" s="222">
        <f t="shared" ref="H95:H97" si="243">G95-F95*$L$6</f>
        <v>29161.4</v>
      </c>
      <c r="J95" s="134">
        <f>SUM(Q95:AD95)</f>
        <v>0</v>
      </c>
      <c r="K95" s="128" t="e">
        <f>AVERAGE(Q95:AD95)</f>
        <v>#DIV/0!</v>
      </c>
      <c r="L95" s="141" t="e">
        <f>STDEV(Q95:AC95)</f>
        <v>#DIV/0!</v>
      </c>
      <c r="M95" s="193" t="s">
        <v>41</v>
      </c>
      <c r="N95" s="194">
        <v>2202</v>
      </c>
      <c r="O95" s="194">
        <v>38280</v>
      </c>
      <c r="P95" s="222">
        <f t="shared" ref="P95:P97" si="244">O95-N95*$L$6</f>
        <v>29912.400000000001</v>
      </c>
      <c r="AS95" s="134">
        <f>SUM(AS206:BE206)</f>
        <v>0</v>
      </c>
      <c r="AT95" s="128" t="e">
        <f>AVERAGE(AS206:BE206)</f>
        <v>#DIV/0!</v>
      </c>
      <c r="AU95" s="141" t="e">
        <f>STDEV(AS206:BD206)</f>
        <v>#DIV/0!</v>
      </c>
      <c r="AV95" s="193" t="s">
        <v>41</v>
      </c>
      <c r="AW95" s="194">
        <v>796</v>
      </c>
      <c r="AX95" s="194">
        <v>26930</v>
      </c>
      <c r="AY95" s="222">
        <f t="shared" ref="AY95:AY97" si="245">AX95-AW95*$L$6</f>
        <v>23905.200000000001</v>
      </c>
      <c r="BA95" s="134">
        <f>SUM(BA206:BM206)</f>
        <v>0</v>
      </c>
      <c r="BB95" s="128" t="e">
        <f>AVERAGE(BA206:BM206)</f>
        <v>#DIV/0!</v>
      </c>
      <c r="BC95" s="141" t="e">
        <f>STDEV(BA206:BL206)</f>
        <v>#DIV/0!</v>
      </c>
      <c r="BD95" s="193" t="s">
        <v>41</v>
      </c>
      <c r="BE95" s="194">
        <v>805</v>
      </c>
      <c r="BF95" s="194">
        <v>22530</v>
      </c>
      <c r="BG95" s="222">
        <f t="shared" ref="BG95:BG97" si="246">BF95-BE95*$L$6</f>
        <v>19471</v>
      </c>
      <c r="BI95" s="134">
        <f>SUM(BI206:BU206)</f>
        <v>0</v>
      </c>
      <c r="BJ95" s="128" t="e">
        <f>AVERAGE(BI206:BU206)</f>
        <v>#DIV/0!</v>
      </c>
      <c r="BK95" s="141" t="e">
        <f>STDEV(BI206:BT206)</f>
        <v>#DIV/0!</v>
      </c>
      <c r="BL95" s="193" t="s">
        <v>41</v>
      </c>
      <c r="BM95" s="194">
        <v>794</v>
      </c>
      <c r="BN95" s="194">
        <v>21860</v>
      </c>
      <c r="BO95" s="222">
        <f t="shared" ref="BO95:BO97" si="247">BN95-BM95*$L$6</f>
        <v>18842.8</v>
      </c>
    </row>
    <row r="96" spans="2:67" ht="15.75" thickBot="1">
      <c r="B96" s="214" t="e">
        <f>SUM(I96:V96)</f>
        <v>#DIV/0!</v>
      </c>
      <c r="C96" s="128" t="e">
        <f>AVERAGE(I96:V96)</f>
        <v>#DIV/0!</v>
      </c>
      <c r="D96" s="141" t="e">
        <f>STDEV(I96:U96)</f>
        <v>#DIV/0!</v>
      </c>
      <c r="E96" s="193" t="s">
        <v>42</v>
      </c>
      <c r="F96" s="194">
        <v>2600</v>
      </c>
      <c r="G96" s="194">
        <v>39230</v>
      </c>
      <c r="H96" s="222">
        <f t="shared" si="243"/>
        <v>29350</v>
      </c>
      <c r="J96" s="214">
        <f>SUM(Q96:AD96)</f>
        <v>0</v>
      </c>
      <c r="K96" s="128" t="e">
        <f>AVERAGE(Q96:AD96)</f>
        <v>#DIV/0!</v>
      </c>
      <c r="L96" s="141" t="e">
        <f>STDEV(Q96:AC96)</f>
        <v>#DIV/0!</v>
      </c>
      <c r="M96" s="193" t="s">
        <v>42</v>
      </c>
      <c r="N96" s="194">
        <v>2616</v>
      </c>
      <c r="O96" s="194">
        <v>44760</v>
      </c>
      <c r="P96" s="222">
        <f t="shared" si="244"/>
        <v>34819.199999999997</v>
      </c>
      <c r="AS96" s="214">
        <f>SUM(AS207:BE207)</f>
        <v>0</v>
      </c>
      <c r="AT96" s="128" t="e">
        <f>AVERAGE(AS207:BE207)</f>
        <v>#DIV/0!</v>
      </c>
      <c r="AU96" s="141" t="e">
        <f>STDEV(AS207:BD207)</f>
        <v>#DIV/0!</v>
      </c>
      <c r="AV96" s="193" t="s">
        <v>42</v>
      </c>
      <c r="AW96" s="194">
        <v>1200</v>
      </c>
      <c r="AX96" s="194">
        <v>26450</v>
      </c>
      <c r="AY96" s="222">
        <f t="shared" si="245"/>
        <v>21890</v>
      </c>
      <c r="BA96" s="214">
        <f>SUM(BA207:BM207)</f>
        <v>0</v>
      </c>
      <c r="BB96" s="128" t="e">
        <f>AVERAGE(BA207:BM207)</f>
        <v>#DIV/0!</v>
      </c>
      <c r="BC96" s="141" t="e">
        <f>STDEV(BA207:BL207)</f>
        <v>#DIV/0!</v>
      </c>
      <c r="BD96" s="193" t="s">
        <v>42</v>
      </c>
      <c r="BE96" s="194">
        <v>1216</v>
      </c>
      <c r="BF96" s="194">
        <v>22190</v>
      </c>
      <c r="BG96" s="222">
        <f t="shared" si="246"/>
        <v>17569.2</v>
      </c>
      <c r="BI96" s="214">
        <f>SUM(BI207:BU207)</f>
        <v>0</v>
      </c>
      <c r="BJ96" s="128" t="e">
        <f>AVERAGE(BI207:BU207)</f>
        <v>#DIV/0!</v>
      </c>
      <c r="BK96" s="141" t="e">
        <f>STDEV(BI207:BT207)</f>
        <v>#DIV/0!</v>
      </c>
      <c r="BL96" s="193" t="s">
        <v>42</v>
      </c>
      <c r="BM96" s="194">
        <v>1195</v>
      </c>
      <c r="BN96" s="194">
        <v>28570</v>
      </c>
      <c r="BO96" s="222">
        <f t="shared" si="247"/>
        <v>24029</v>
      </c>
    </row>
    <row r="97" spans="2:67">
      <c r="B97" s="214" t="e">
        <f>SUM(I97:V97)</f>
        <v>#DIV/0!</v>
      </c>
      <c r="C97" s="128" t="e">
        <f>AVERAGE(I97:V97)</f>
        <v>#DIV/0!</v>
      </c>
      <c r="D97" s="141" t="e">
        <f>STDEV(I97:U97)</f>
        <v>#DIV/0!</v>
      </c>
      <c r="E97" s="193" t="s">
        <v>43</v>
      </c>
      <c r="F97" s="194">
        <v>3252</v>
      </c>
      <c r="G97" s="194">
        <v>48880</v>
      </c>
      <c r="H97" s="191">
        <f t="shared" si="243"/>
        <v>36522.400000000001</v>
      </c>
      <c r="J97" s="214">
        <f>SUM(Q97:AD97)</f>
        <v>0</v>
      </c>
      <c r="K97" s="128" t="e">
        <f>AVERAGE(Q97:AD97)</f>
        <v>#DIV/0!</v>
      </c>
      <c r="L97" s="141" t="e">
        <f>STDEV(Q97:AC97)</f>
        <v>#DIV/0!</v>
      </c>
      <c r="M97" s="193" t="s">
        <v>43</v>
      </c>
      <c r="N97" s="194">
        <v>3276</v>
      </c>
      <c r="O97" s="194">
        <v>48350</v>
      </c>
      <c r="P97" s="191">
        <f t="shared" si="244"/>
        <v>35901.199999999997</v>
      </c>
      <c r="AS97" s="214">
        <f>SUM(AS208:BE208)</f>
        <v>0</v>
      </c>
      <c r="AT97" s="128" t="e">
        <f>AVERAGE(AS208:BE208)</f>
        <v>#DIV/0!</v>
      </c>
      <c r="AU97" s="141" t="e">
        <f>STDEV(AS208:BD208)</f>
        <v>#DIV/0!</v>
      </c>
      <c r="AV97" s="193" t="s">
        <v>43</v>
      </c>
      <c r="AW97" s="194">
        <v>1325</v>
      </c>
      <c r="AX97" s="194">
        <v>27100</v>
      </c>
      <c r="AY97" s="224">
        <f t="shared" si="245"/>
        <v>22065</v>
      </c>
      <c r="BA97" s="214">
        <f>SUM(BA208:BM208)</f>
        <v>0</v>
      </c>
      <c r="BB97" s="128" t="e">
        <f>AVERAGE(BA208:BM208)</f>
        <v>#DIV/0!</v>
      </c>
      <c r="BC97" s="141" t="e">
        <f>STDEV(BA208:BL208)</f>
        <v>#DIV/0!</v>
      </c>
      <c r="BD97" s="193" t="s">
        <v>43</v>
      </c>
      <c r="BE97" s="194">
        <v>1334</v>
      </c>
      <c r="BF97" s="194">
        <v>28020</v>
      </c>
      <c r="BG97" s="224">
        <f t="shared" si="246"/>
        <v>22950.799999999999</v>
      </c>
      <c r="BI97" s="214">
        <f>SUM(BI208:BU208)</f>
        <v>0</v>
      </c>
      <c r="BJ97" s="128" t="e">
        <f>AVERAGE(BI208:BU208)</f>
        <v>#DIV/0!</v>
      </c>
      <c r="BK97" s="141" t="e">
        <f>STDEV(BI208:BT208)</f>
        <v>#DIV/0!</v>
      </c>
      <c r="BL97" s="193" t="s">
        <v>43</v>
      </c>
      <c r="BM97" s="194">
        <v>1319</v>
      </c>
      <c r="BN97" s="194">
        <v>28320</v>
      </c>
      <c r="BO97" s="224">
        <f t="shared" si="247"/>
        <v>23307.8</v>
      </c>
    </row>
    <row r="98" spans="2:67">
      <c r="B98" s="132" t="e">
        <f>SUM(B94:B97)</f>
        <v>#DIV/0!</v>
      </c>
      <c r="C98" s="126" t="e">
        <f>AVERAGE(I94:AA97)</f>
        <v>#DIV/0!</v>
      </c>
      <c r="D98" s="139" t="e">
        <f>STDEV(I94:AA97)</f>
        <v>#DIV/0!</v>
      </c>
      <c r="E98" s="124"/>
      <c r="F98" s="207">
        <f t="shared" ref="F98:H98" si="248">SUM(F94:F97)</f>
        <v>9560</v>
      </c>
      <c r="G98" s="207">
        <f t="shared" si="248"/>
        <v>149760</v>
      </c>
      <c r="H98" s="207">
        <f t="shared" si="248"/>
        <v>113432</v>
      </c>
      <c r="J98" s="132">
        <f>SUM(J94:J97)</f>
        <v>0</v>
      </c>
      <c r="K98" s="126" t="e">
        <f>AVERAGE(Q94:AI97)</f>
        <v>#DIV/0!</v>
      </c>
      <c r="L98" s="139" t="e">
        <f>STDEV(Q94:AI97)</f>
        <v>#DIV/0!</v>
      </c>
      <c r="M98" s="124"/>
      <c r="N98" s="207">
        <f t="shared" ref="N98:P98" si="249">SUM(N94:N97)</f>
        <v>9604</v>
      </c>
      <c r="O98" s="207">
        <f t="shared" si="249"/>
        <v>157790</v>
      </c>
      <c r="P98" s="207">
        <f t="shared" si="249"/>
        <v>121294.8</v>
      </c>
      <c r="AS98" s="132">
        <f>SUM(AS94:AS97)</f>
        <v>0</v>
      </c>
      <c r="AT98" s="126" t="e">
        <f>AVERAGE(AS205:BJ208)</f>
        <v>#DIV/0!</v>
      </c>
      <c r="AU98" s="139" t="e">
        <f>STDEV(AS205:BJ208)</f>
        <v>#DIV/0!</v>
      </c>
      <c r="AV98" s="124"/>
      <c r="AW98" s="207">
        <f t="shared" ref="AW98:AY98" si="250">SUM(AW94:AW97)</f>
        <v>3896</v>
      </c>
      <c r="AX98" s="207">
        <f t="shared" si="250"/>
        <v>91630</v>
      </c>
      <c r="AY98" s="207">
        <f t="shared" si="250"/>
        <v>76825.2</v>
      </c>
      <c r="BA98" s="132">
        <f>SUM(BA94:BA97)</f>
        <v>0</v>
      </c>
      <c r="BB98" s="126" t="e">
        <f>AVERAGE(BA205:BR208)</f>
        <v>#DIV/0!</v>
      </c>
      <c r="BC98" s="139" t="e">
        <f>STDEV(BA205:BR208)</f>
        <v>#DIV/0!</v>
      </c>
      <c r="BD98" s="124"/>
      <c r="BE98" s="207">
        <f t="shared" ref="BE98:BG98" si="251">SUM(BE94:BE97)</f>
        <v>3939</v>
      </c>
      <c r="BF98" s="207">
        <f t="shared" si="251"/>
        <v>83010</v>
      </c>
      <c r="BG98" s="207">
        <f t="shared" si="251"/>
        <v>68041.8</v>
      </c>
      <c r="BI98" s="132">
        <f>SUM(BI94:BI97)</f>
        <v>0</v>
      </c>
      <c r="BJ98" s="126" t="e">
        <f>AVERAGE(BI205:BZ208)</f>
        <v>#DIV/0!</v>
      </c>
      <c r="BK98" s="139" t="e">
        <f>STDEV(BI205:BZ208)</f>
        <v>#DIV/0!</v>
      </c>
      <c r="BL98" s="124"/>
      <c r="BM98" s="207">
        <f t="shared" ref="BM98:BO98" si="252">SUM(BM94:BM97)</f>
        <v>3879</v>
      </c>
      <c r="BN98" s="207">
        <f t="shared" si="252"/>
        <v>93820</v>
      </c>
      <c r="BO98" s="207">
        <f t="shared" si="252"/>
        <v>79079.8</v>
      </c>
    </row>
    <row r="99" spans="2:67">
      <c r="B99" s="132" t="e">
        <f>AVERAGE(B94:B97)</f>
        <v>#DIV/0!</v>
      </c>
      <c r="C99" s="126"/>
      <c r="D99" s="139"/>
      <c r="E99" s="124"/>
      <c r="F99" s="138">
        <f t="shared" ref="F99:H99" si="253">AVERAGE(F94:F97)</f>
        <v>2390</v>
      </c>
      <c r="G99" s="138">
        <f t="shared" si="253"/>
        <v>37440</v>
      </c>
      <c r="H99" s="138">
        <f t="shared" si="253"/>
        <v>28358</v>
      </c>
      <c r="J99" s="132">
        <f>AVERAGE(J94:J97)</f>
        <v>0</v>
      </c>
      <c r="K99" s="126"/>
      <c r="L99" s="139"/>
      <c r="M99" s="124"/>
      <c r="N99" s="138">
        <f t="shared" ref="N99:P99" si="254">AVERAGE(N94:N97)</f>
        <v>2401</v>
      </c>
      <c r="O99" s="138">
        <f t="shared" si="254"/>
        <v>39447.5</v>
      </c>
      <c r="P99" s="138">
        <f t="shared" si="254"/>
        <v>30323.7</v>
      </c>
      <c r="AS99" s="132">
        <f>AVERAGE(AS94:AS97)</f>
        <v>0</v>
      </c>
      <c r="AT99" s="126"/>
      <c r="AU99" s="139"/>
      <c r="AV99" s="124"/>
      <c r="AW99" s="138">
        <f t="shared" ref="AW99:AY99" si="255">AVERAGE(AW94:AW97)</f>
        <v>974</v>
      </c>
      <c r="AX99" s="138">
        <f t="shared" si="255"/>
        <v>22907.5</v>
      </c>
      <c r="AY99" s="138">
        <f t="shared" si="255"/>
        <v>19206.3</v>
      </c>
      <c r="BA99" s="132">
        <f>AVERAGE(BA94:BA97)</f>
        <v>0</v>
      </c>
      <c r="BB99" s="126"/>
      <c r="BC99" s="139"/>
      <c r="BD99" s="124"/>
      <c r="BE99" s="138">
        <f t="shared" ref="BE99:BG99" si="256">AVERAGE(BE94:BE97)</f>
        <v>984.75</v>
      </c>
      <c r="BF99" s="138">
        <f t="shared" si="256"/>
        <v>20752.5</v>
      </c>
      <c r="BG99" s="138">
        <f t="shared" si="256"/>
        <v>17010.45</v>
      </c>
      <c r="BI99" s="132">
        <f>AVERAGE(BI94:BI97)</f>
        <v>0</v>
      </c>
      <c r="BJ99" s="126"/>
      <c r="BK99" s="139"/>
      <c r="BL99" s="124"/>
      <c r="BM99" s="138">
        <f t="shared" ref="BM99:BO99" si="257">AVERAGE(BM94:BM97)</f>
        <v>969.75</v>
      </c>
      <c r="BN99" s="138">
        <f t="shared" si="257"/>
        <v>23455</v>
      </c>
      <c r="BO99" s="138">
        <f t="shared" si="257"/>
        <v>19769.95</v>
      </c>
    </row>
    <row r="100" spans="2:67" ht="15.75" thickBot="1">
      <c r="B100" s="169" t="e">
        <f>STDEV(B94:B97)</f>
        <v>#DIV/0!</v>
      </c>
      <c r="C100" s="170"/>
      <c r="D100" s="171"/>
      <c r="E100" s="124"/>
      <c r="F100" s="178">
        <f t="shared" ref="F100:H100" si="258">STDEV(F94:F97)</f>
        <v>729.61953555717423</v>
      </c>
      <c r="G100" s="178">
        <f t="shared" si="258"/>
        <v>10181.234371790748</v>
      </c>
      <c r="H100" s="178">
        <f t="shared" si="258"/>
        <v>7471.826170354876</v>
      </c>
      <c r="J100" s="169">
        <f>STDEV(J94:J97)</f>
        <v>0</v>
      </c>
      <c r="K100" s="170"/>
      <c r="L100" s="171"/>
      <c r="M100" s="124"/>
      <c r="N100" s="178">
        <f t="shared" ref="N100:P100" si="259">STDEV(N94:N97)</f>
        <v>740.57005070418563</v>
      </c>
      <c r="O100" s="178">
        <f t="shared" si="259"/>
        <v>9644.9896319280724</v>
      </c>
      <c r="P100" s="178">
        <f t="shared" si="259"/>
        <v>6948.2765508193934</v>
      </c>
      <c r="AS100" s="169">
        <f>STDEV(AS94:AS97)</f>
        <v>0</v>
      </c>
      <c r="AT100" s="170"/>
      <c r="AU100" s="171"/>
      <c r="AV100" s="124"/>
      <c r="AW100" s="178">
        <f t="shared" ref="AW100:AY100" si="260">STDEV(AW94:AW97)</f>
        <v>348.8848902814031</v>
      </c>
      <c r="AX100" s="178">
        <f t="shared" si="260"/>
        <v>7843.1642211546232</v>
      </c>
      <c r="AY100" s="178">
        <f t="shared" si="260"/>
        <v>6888.1129075144127</v>
      </c>
      <c r="BA100" s="169">
        <f>STDEV(BA94:BA97)</f>
        <v>0</v>
      </c>
      <c r="BB100" s="170"/>
      <c r="BC100" s="171"/>
      <c r="BD100" s="124"/>
      <c r="BE100" s="178">
        <f t="shared" ref="BE100:BG100" si="261">STDEV(BE94:BE97)</f>
        <v>350.41059249590802</v>
      </c>
      <c r="BF100" s="178">
        <f t="shared" si="261"/>
        <v>7481.6503304195303</v>
      </c>
      <c r="BG100" s="178">
        <f t="shared" si="261"/>
        <v>6375.2018036032896</v>
      </c>
      <c r="BI100" s="169">
        <f>STDEV(BI94:BI97)</f>
        <v>0</v>
      </c>
      <c r="BJ100" s="170"/>
      <c r="BK100" s="171"/>
      <c r="BL100" s="124"/>
      <c r="BM100" s="178">
        <f t="shared" ref="BM100:BO100" si="262">STDEV(BM94:BM97)</f>
        <v>347.66015494061628</v>
      </c>
      <c r="BN100" s="178">
        <f t="shared" si="262"/>
        <v>6394.8859776126319</v>
      </c>
      <c r="BO100" s="178">
        <f t="shared" si="262"/>
        <v>5122.1402333399592</v>
      </c>
    </row>
    <row r="101" spans="2:67" ht="15.75" thickBot="1">
      <c r="B101" s="133" t="e">
        <f>SUM(I101:V101)</f>
        <v>#DIV/0!</v>
      </c>
      <c r="C101" s="127" t="e">
        <f>AVERAGE(I101:V101)</f>
        <v>#DIV/0!</v>
      </c>
      <c r="D101" s="140" t="e">
        <f>STDEV(I101:U101)</f>
        <v>#DIV/0!</v>
      </c>
      <c r="E101" s="190" t="s">
        <v>40</v>
      </c>
      <c r="F101" s="155">
        <v>1746</v>
      </c>
      <c r="G101" s="155">
        <v>38830</v>
      </c>
      <c r="H101" s="222">
        <f>G101-F101*$L$6</f>
        <v>32195.200000000001</v>
      </c>
      <c r="J101" s="133">
        <f>SUM(Q101:AD101)</f>
        <v>0</v>
      </c>
      <c r="K101" s="127" t="e">
        <f>AVERAGE(Q101:AD101)</f>
        <v>#DIV/0!</v>
      </c>
      <c r="L101" s="140" t="e">
        <f>STDEV(Q101:AC101)</f>
        <v>#DIV/0!</v>
      </c>
      <c r="M101" s="190" t="s">
        <v>40</v>
      </c>
      <c r="N101" s="155">
        <v>1746</v>
      </c>
      <c r="O101" s="155">
        <v>40190</v>
      </c>
      <c r="P101" s="222">
        <f>O101-N101*$L$6</f>
        <v>33555.199999999997</v>
      </c>
      <c r="AS101" s="133">
        <f>SUM(AS212:BE212)</f>
        <v>0</v>
      </c>
      <c r="AT101" s="127" t="e">
        <f>AVERAGE(AS212:BE212)</f>
        <v>#DIV/0!</v>
      </c>
      <c r="AU101" s="140" t="e">
        <f>STDEV(AS212:BD212)</f>
        <v>#DIV/0!</v>
      </c>
      <c r="AV101" s="190" t="s">
        <v>40</v>
      </c>
      <c r="AW101" s="155">
        <v>582</v>
      </c>
      <c r="AX101" s="155">
        <v>12460</v>
      </c>
      <c r="AY101" s="191">
        <f>AX101-AW101*$L$6</f>
        <v>10248.4</v>
      </c>
      <c r="BA101" s="133">
        <f>SUM(BA212:BM212)</f>
        <v>0</v>
      </c>
      <c r="BB101" s="127" t="e">
        <f>AVERAGE(BA212:BM212)</f>
        <v>#DIV/0!</v>
      </c>
      <c r="BC101" s="140" t="e">
        <f>STDEV(BA212:BL212)</f>
        <v>#DIV/0!</v>
      </c>
      <c r="BD101" s="190" t="s">
        <v>40</v>
      </c>
      <c r="BE101" s="155">
        <v>594</v>
      </c>
      <c r="BF101" s="155">
        <v>2170</v>
      </c>
      <c r="BG101" s="191">
        <f>BF101-BE101*$L$6</f>
        <v>-87.199999999999818</v>
      </c>
      <c r="BI101" s="133">
        <f>SUM(BI212:BU212)</f>
        <v>0</v>
      </c>
      <c r="BJ101" s="127" t="e">
        <f>AVERAGE(BI212:BU212)</f>
        <v>#DIV/0!</v>
      </c>
      <c r="BK101" s="140" t="e">
        <f>STDEV(BI212:BT212)</f>
        <v>#DIV/0!</v>
      </c>
      <c r="BL101" s="190" t="s">
        <v>40</v>
      </c>
      <c r="BM101" s="155">
        <v>583</v>
      </c>
      <c r="BN101" s="155">
        <v>8930</v>
      </c>
      <c r="BO101" s="191">
        <f>BN101-BM101*$L$6</f>
        <v>6714.6</v>
      </c>
    </row>
    <row r="102" spans="2:67" ht="15.75" thickBot="1">
      <c r="B102" s="133" t="e">
        <f>SUM(I102:V102)</f>
        <v>#DIV/0!</v>
      </c>
      <c r="C102" s="127" t="e">
        <f>AVERAGE(I102:V102)</f>
        <v>#DIV/0!</v>
      </c>
      <c r="D102" s="140" t="e">
        <f>STDEV(I102:U102)</f>
        <v>#DIV/0!</v>
      </c>
      <c r="E102" s="193" t="s">
        <v>41</v>
      </c>
      <c r="F102" s="155">
        <v>2456</v>
      </c>
      <c r="G102" s="155">
        <v>45130</v>
      </c>
      <c r="H102" s="222">
        <f t="shared" ref="H102:H104" si="263">G102-F102*$L$6</f>
        <v>35797.199999999997</v>
      </c>
      <c r="J102" s="133">
        <f>SUM(Q102:AD102)</f>
        <v>0</v>
      </c>
      <c r="K102" s="127" t="e">
        <f>AVERAGE(Q102:AD102)</f>
        <v>#DIV/0!</v>
      </c>
      <c r="L102" s="140" t="e">
        <f>STDEV(Q102:AC102)</f>
        <v>#DIV/0!</v>
      </c>
      <c r="M102" s="193" t="s">
        <v>41</v>
      </c>
      <c r="N102" s="155">
        <v>2464</v>
      </c>
      <c r="O102" s="155">
        <v>48130</v>
      </c>
      <c r="P102" s="222">
        <f t="shared" ref="P102:P104" si="264">O102-N102*$L$6</f>
        <v>38766.800000000003</v>
      </c>
      <c r="AS102" s="133">
        <f>SUM(AS213:BE213)</f>
        <v>0</v>
      </c>
      <c r="AT102" s="127" t="e">
        <f>AVERAGE(AS213:BE213)</f>
        <v>#DIV/0!</v>
      </c>
      <c r="AU102" s="140" t="e">
        <f>STDEV(AS213:BD213)</f>
        <v>#DIV/0!</v>
      </c>
      <c r="AV102" s="193" t="s">
        <v>41</v>
      </c>
      <c r="AW102" s="155">
        <v>803</v>
      </c>
      <c r="AX102" s="155">
        <v>27090</v>
      </c>
      <c r="AY102" s="191">
        <f t="shared" ref="AY102:AY104" si="265">AX102-AW102*$L$6</f>
        <v>24038.6</v>
      </c>
      <c r="BA102" s="133">
        <f>SUM(BA213:BM213)</f>
        <v>0</v>
      </c>
      <c r="BB102" s="127" t="e">
        <f>AVERAGE(BA213:BM213)</f>
        <v>#DIV/0!</v>
      </c>
      <c r="BC102" s="140" t="e">
        <f>STDEV(BA213:BL213)</f>
        <v>#DIV/0!</v>
      </c>
      <c r="BD102" s="193" t="s">
        <v>41</v>
      </c>
      <c r="BE102" s="155">
        <v>812</v>
      </c>
      <c r="BF102" s="155">
        <v>27710</v>
      </c>
      <c r="BG102" s="191">
        <f t="shared" ref="BG102:BG104" si="266">BF102-BE102*$L$6</f>
        <v>24624.400000000001</v>
      </c>
      <c r="BI102" s="133">
        <f>SUM(BI213:BU213)</f>
        <v>0</v>
      </c>
      <c r="BJ102" s="127" t="e">
        <f>AVERAGE(BI213:BU213)</f>
        <v>#DIV/0!</v>
      </c>
      <c r="BK102" s="140" t="e">
        <f>STDEV(BI213:BT213)</f>
        <v>#DIV/0!</v>
      </c>
      <c r="BL102" s="193" t="s">
        <v>41</v>
      </c>
      <c r="BM102" s="155">
        <v>805</v>
      </c>
      <c r="BN102" s="155">
        <v>23170</v>
      </c>
      <c r="BO102" s="191">
        <f t="shared" ref="BO102:BO104" si="267">BN102-BM102*$L$6</f>
        <v>20111</v>
      </c>
    </row>
    <row r="103" spans="2:67" ht="15.75" thickBot="1">
      <c r="B103" s="214" t="e">
        <f>SUM(I103:V103)</f>
        <v>#DIV/0!</v>
      </c>
      <c r="C103" s="127" t="e">
        <f>AVERAGE(I103:V103)</f>
        <v>#DIV/0!</v>
      </c>
      <c r="D103" s="140" t="e">
        <f>STDEV(I103:U103)</f>
        <v>#DIV/0!</v>
      </c>
      <c r="E103" s="193" t="s">
        <v>42</v>
      </c>
      <c r="F103" s="155">
        <v>2800</v>
      </c>
      <c r="G103" s="155">
        <v>54300</v>
      </c>
      <c r="H103" s="191">
        <f t="shared" si="263"/>
        <v>43660</v>
      </c>
      <c r="J103" s="214">
        <f>SUM(Q103:AD103)</f>
        <v>0</v>
      </c>
      <c r="K103" s="127" t="e">
        <f>AVERAGE(Q103:AD103)</f>
        <v>#DIV/0!</v>
      </c>
      <c r="L103" s="140" t="e">
        <f>STDEV(Q103:AC103)</f>
        <v>#DIV/0!</v>
      </c>
      <c r="M103" s="193" t="s">
        <v>42</v>
      </c>
      <c r="N103" s="155">
        <v>2825</v>
      </c>
      <c r="O103" s="225">
        <v>59880</v>
      </c>
      <c r="P103" s="191">
        <f t="shared" si="264"/>
        <v>49145</v>
      </c>
      <c r="AS103" s="214">
        <f>SUM(AS214:BE214)</f>
        <v>0</v>
      </c>
      <c r="AT103" s="127" t="e">
        <f>AVERAGE(AS214:BE214)</f>
        <v>#DIV/0!</v>
      </c>
      <c r="AU103" s="140" t="e">
        <f>STDEV(AS214:BD214)</f>
        <v>#DIV/0!</v>
      </c>
      <c r="AV103" s="193" t="s">
        <v>42</v>
      </c>
      <c r="AW103" s="155">
        <v>1186</v>
      </c>
      <c r="AX103" s="155">
        <v>42240</v>
      </c>
      <c r="AY103" s="224">
        <f t="shared" si="265"/>
        <v>37733.199999999997</v>
      </c>
      <c r="BA103" s="214">
        <f>SUM(BA214:BM214)</f>
        <v>0</v>
      </c>
      <c r="BB103" s="127" t="e">
        <f>AVERAGE(BA214:BM214)</f>
        <v>#DIV/0!</v>
      </c>
      <c r="BC103" s="140" t="e">
        <f>STDEV(BA214:BL214)</f>
        <v>#DIV/0!</v>
      </c>
      <c r="BD103" s="193" t="s">
        <v>42</v>
      </c>
      <c r="BE103" s="155">
        <v>1217</v>
      </c>
      <c r="BF103" s="155">
        <v>33400</v>
      </c>
      <c r="BG103" s="224">
        <f t="shared" si="266"/>
        <v>28775.4</v>
      </c>
      <c r="BI103" s="214">
        <f>SUM(BI214:BU214)</f>
        <v>0</v>
      </c>
      <c r="BJ103" s="127" t="e">
        <f>AVERAGE(BI214:BU214)</f>
        <v>#DIV/0!</v>
      </c>
      <c r="BK103" s="140" t="e">
        <f>STDEV(BI214:BT214)</f>
        <v>#DIV/0!</v>
      </c>
      <c r="BL103" s="193" t="s">
        <v>42</v>
      </c>
      <c r="BM103" s="155">
        <v>1193</v>
      </c>
      <c r="BN103" s="155">
        <v>43700</v>
      </c>
      <c r="BO103" s="224">
        <f t="shared" si="267"/>
        <v>39166.6</v>
      </c>
    </row>
    <row r="104" spans="2:67">
      <c r="B104" s="133" t="e">
        <f>SUM(I104:V104)</f>
        <v>#DIV/0!</v>
      </c>
      <c r="C104" s="127" t="e">
        <f>AVERAGE(I104:V104)</f>
        <v>#DIV/0!</v>
      </c>
      <c r="D104" s="140" t="e">
        <f>STDEV(I104:U104)</f>
        <v>#DIV/0!</v>
      </c>
      <c r="E104" s="193" t="s">
        <v>43</v>
      </c>
      <c r="F104" s="155">
        <v>3457</v>
      </c>
      <c r="G104" s="155">
        <v>53210</v>
      </c>
      <c r="H104" s="191">
        <f t="shared" si="263"/>
        <v>40073.4</v>
      </c>
      <c r="J104" s="133">
        <f>SUM(Q104:AD104)</f>
        <v>0</v>
      </c>
      <c r="K104" s="127" t="e">
        <f>AVERAGE(Q104:AD104)</f>
        <v>#DIV/0!</v>
      </c>
      <c r="L104" s="140" t="e">
        <f>STDEV(Q104:AC104)</f>
        <v>#DIV/0!</v>
      </c>
      <c r="M104" s="193" t="s">
        <v>43</v>
      </c>
      <c r="N104" s="155">
        <v>3485</v>
      </c>
      <c r="O104" s="155">
        <v>53290</v>
      </c>
      <c r="P104" s="191">
        <f t="shared" si="264"/>
        <v>40047</v>
      </c>
      <c r="AS104" s="133">
        <f>SUM(AS215:BE215)</f>
        <v>0</v>
      </c>
      <c r="AT104" s="127" t="e">
        <f>AVERAGE(AS215:BE215)</f>
        <v>#DIV/0!</v>
      </c>
      <c r="AU104" s="140" t="e">
        <f>STDEV(AS215:BD215)</f>
        <v>#DIV/0!</v>
      </c>
      <c r="AV104" s="193" t="s">
        <v>43</v>
      </c>
      <c r="AW104" s="155">
        <v>1336</v>
      </c>
      <c r="AX104" s="155">
        <v>44550</v>
      </c>
      <c r="AY104" s="224">
        <f t="shared" si="265"/>
        <v>39473.199999999997</v>
      </c>
      <c r="BA104" s="133">
        <f>SUM(BA215:BM215)</f>
        <v>0</v>
      </c>
      <c r="BB104" s="127" t="e">
        <f>AVERAGE(BA215:BM215)</f>
        <v>#DIV/0!</v>
      </c>
      <c r="BC104" s="140" t="e">
        <f>STDEV(BA215:BL215)</f>
        <v>#DIV/0!</v>
      </c>
      <c r="BD104" s="193" t="s">
        <v>43</v>
      </c>
      <c r="BE104" s="155">
        <v>1352</v>
      </c>
      <c r="BF104" s="155">
        <v>42030</v>
      </c>
      <c r="BG104" s="224">
        <f t="shared" si="266"/>
        <v>36892.400000000001</v>
      </c>
      <c r="BI104" s="133">
        <f>SUM(BI215:BU215)</f>
        <v>0</v>
      </c>
      <c r="BJ104" s="127" t="e">
        <f>AVERAGE(BI215:BU215)</f>
        <v>#DIV/0!</v>
      </c>
      <c r="BK104" s="140" t="e">
        <f>STDEV(BI215:BT215)</f>
        <v>#DIV/0!</v>
      </c>
      <c r="BL104" s="193" t="s">
        <v>43</v>
      </c>
      <c r="BM104" s="155">
        <v>1337</v>
      </c>
      <c r="BN104" s="155">
        <v>47640</v>
      </c>
      <c r="BO104" s="224">
        <f t="shared" si="267"/>
        <v>42559.4</v>
      </c>
    </row>
    <row r="105" spans="2:67">
      <c r="B105" s="132" t="e">
        <f>SUM(B101:B104)</f>
        <v>#DIV/0!</v>
      </c>
      <c r="C105" s="126" t="e">
        <f>AVERAGE(I101:AA104)</f>
        <v>#DIV/0!</v>
      </c>
      <c r="D105" s="139" t="e">
        <f>STDEV(I101:AA104)</f>
        <v>#DIV/0!</v>
      </c>
      <c r="E105" s="124"/>
      <c r="F105" s="138">
        <f t="shared" ref="F105:H105" si="268">SUM(F101:F104)</f>
        <v>10459</v>
      </c>
      <c r="G105" s="138">
        <f t="shared" si="268"/>
        <v>191470</v>
      </c>
      <c r="H105" s="138">
        <f t="shared" si="268"/>
        <v>151725.79999999999</v>
      </c>
      <c r="J105" s="132">
        <f>SUM(J101:J104)</f>
        <v>0</v>
      </c>
      <c r="K105" s="126" t="e">
        <f>AVERAGE(Q101:AI104)</f>
        <v>#DIV/0!</v>
      </c>
      <c r="L105" s="139" t="e">
        <f>STDEV(Q101:AI104)</f>
        <v>#DIV/0!</v>
      </c>
      <c r="M105" s="124"/>
      <c r="N105" s="138">
        <f t="shared" ref="N105:P105" si="269">SUM(N101:N104)</f>
        <v>10520</v>
      </c>
      <c r="O105" s="138">
        <f t="shared" si="269"/>
        <v>201490</v>
      </c>
      <c r="P105" s="138">
        <f t="shared" si="269"/>
        <v>161514</v>
      </c>
      <c r="AS105" s="132">
        <f>SUM(AS101:AS104)</f>
        <v>0</v>
      </c>
      <c r="AT105" s="126" t="e">
        <f>AVERAGE(AS212:BJ215)</f>
        <v>#DIV/0!</v>
      </c>
      <c r="AU105" s="139" t="e">
        <f>STDEV(AS212:BJ215)</f>
        <v>#DIV/0!</v>
      </c>
      <c r="AV105" s="124"/>
      <c r="AW105" s="138">
        <f t="shared" ref="AW105:AY105" si="270">SUM(AW101:AW104)</f>
        <v>3907</v>
      </c>
      <c r="AX105" s="138">
        <f t="shared" si="270"/>
        <v>126340</v>
      </c>
      <c r="AY105" s="138">
        <f t="shared" si="270"/>
        <v>111493.4</v>
      </c>
      <c r="BA105" s="132">
        <f>SUM(BA101:BA104)</f>
        <v>0</v>
      </c>
      <c r="BB105" s="126" t="e">
        <f>AVERAGE(BA212:BR215)</f>
        <v>#DIV/0!</v>
      </c>
      <c r="BC105" s="139" t="e">
        <f>STDEV(BA212:BR215)</f>
        <v>#DIV/0!</v>
      </c>
      <c r="BD105" s="124"/>
      <c r="BE105" s="138">
        <f t="shared" ref="BE105:BG105" si="271">SUM(BE101:BE104)</f>
        <v>3975</v>
      </c>
      <c r="BF105" s="138">
        <f t="shared" si="271"/>
        <v>105310</v>
      </c>
      <c r="BG105" s="138">
        <f t="shared" si="271"/>
        <v>90205</v>
      </c>
      <c r="BI105" s="132">
        <f>SUM(BI101:BI104)</f>
        <v>0</v>
      </c>
      <c r="BJ105" s="126" t="e">
        <f>AVERAGE(BI212:BZ215)</f>
        <v>#DIV/0!</v>
      </c>
      <c r="BK105" s="139" t="e">
        <f>STDEV(BI212:BZ215)</f>
        <v>#DIV/0!</v>
      </c>
      <c r="BL105" s="124"/>
      <c r="BM105" s="138">
        <f t="shared" ref="BM105:BO105" si="272">SUM(BM101:BM104)</f>
        <v>3918</v>
      </c>
      <c r="BN105" s="138">
        <f t="shared" si="272"/>
        <v>123440</v>
      </c>
      <c r="BO105" s="138">
        <f t="shared" si="272"/>
        <v>108551.6</v>
      </c>
    </row>
    <row r="106" spans="2:67">
      <c r="B106" s="132" t="e">
        <f>AVERAGE(B101:B104)</f>
        <v>#DIV/0!</v>
      </c>
      <c r="C106" s="126"/>
      <c r="D106" s="139"/>
      <c r="E106" s="124"/>
      <c r="F106" s="138">
        <f t="shared" ref="F106:H106" si="273">AVERAGE(F101:F104)</f>
        <v>2614.75</v>
      </c>
      <c r="G106" s="138">
        <f t="shared" si="273"/>
        <v>47867.5</v>
      </c>
      <c r="H106" s="138">
        <f t="shared" si="273"/>
        <v>37931.449999999997</v>
      </c>
      <c r="J106" s="132">
        <f>AVERAGE(J101:J104)</f>
        <v>0</v>
      </c>
      <c r="K106" s="126"/>
      <c r="L106" s="139"/>
      <c r="M106" s="124"/>
      <c r="N106" s="138">
        <f t="shared" ref="N106:P106" si="274">AVERAGE(N101:N104)</f>
        <v>2630</v>
      </c>
      <c r="O106" s="138">
        <f t="shared" si="274"/>
        <v>50372.5</v>
      </c>
      <c r="P106" s="138">
        <f t="shared" si="274"/>
        <v>40378.5</v>
      </c>
      <c r="AS106" s="132">
        <f>AVERAGE(AS101:AS104)</f>
        <v>0</v>
      </c>
      <c r="AT106" s="126"/>
      <c r="AU106" s="139"/>
      <c r="AV106" s="124"/>
      <c r="AW106" s="138">
        <f t="shared" ref="AW106:AY106" si="275">AVERAGE(AW101:AW104)</f>
        <v>976.75</v>
      </c>
      <c r="AX106" s="138">
        <f t="shared" si="275"/>
        <v>31585</v>
      </c>
      <c r="AY106" s="138">
        <f t="shared" si="275"/>
        <v>27873.35</v>
      </c>
      <c r="BA106" s="132">
        <f>AVERAGE(BA101:BA104)</f>
        <v>0</v>
      </c>
      <c r="BB106" s="126"/>
      <c r="BC106" s="139"/>
      <c r="BD106" s="124"/>
      <c r="BE106" s="138">
        <f t="shared" ref="BE106:BG106" si="276">AVERAGE(BE101:BE104)</f>
        <v>993.75</v>
      </c>
      <c r="BF106" s="138">
        <f t="shared" si="276"/>
        <v>26327.5</v>
      </c>
      <c r="BG106" s="138">
        <f t="shared" si="276"/>
        <v>22551.25</v>
      </c>
      <c r="BI106" s="132">
        <f>AVERAGE(BI101:BI104)</f>
        <v>0</v>
      </c>
      <c r="BJ106" s="126"/>
      <c r="BK106" s="139"/>
      <c r="BL106" s="124"/>
      <c r="BM106" s="138">
        <f t="shared" ref="BM106:BO106" si="277">AVERAGE(BM101:BM104)</f>
        <v>979.5</v>
      </c>
      <c r="BN106" s="138">
        <f t="shared" si="277"/>
        <v>30860</v>
      </c>
      <c r="BO106" s="138">
        <f t="shared" si="277"/>
        <v>27137.9</v>
      </c>
    </row>
    <row r="107" spans="2:67" ht="15.75" thickBot="1">
      <c r="B107" s="169" t="e">
        <f>STDEV(B101:B104)</f>
        <v>#DIV/0!</v>
      </c>
      <c r="C107" s="170"/>
      <c r="D107" s="171"/>
      <c r="E107" s="144"/>
      <c r="F107" s="178">
        <f t="shared" ref="F107:H107" si="278">STDEV(F101:F104)</f>
        <v>712.65483697696652</v>
      </c>
      <c r="G107" s="178">
        <f t="shared" si="278"/>
        <v>7282.1625679921935</v>
      </c>
      <c r="H107" s="178">
        <f t="shared" si="278"/>
        <v>4995.4586719673262</v>
      </c>
      <c r="J107" s="169">
        <f>STDEV(J101:J104)</f>
        <v>0</v>
      </c>
      <c r="K107" s="170"/>
      <c r="L107" s="171"/>
      <c r="M107" s="144"/>
      <c r="N107" s="178">
        <f t="shared" ref="N107:P107" si="279">STDEV(N101:N104)</f>
        <v>725.27282223082557</v>
      </c>
      <c r="O107" s="178">
        <f t="shared" si="279"/>
        <v>8318.9838121411594</v>
      </c>
      <c r="P107" s="178">
        <f t="shared" si="279"/>
        <v>6483.7338594362363</v>
      </c>
      <c r="AS107" s="169">
        <f>STDEV(AS101:AS104)</f>
        <v>0</v>
      </c>
      <c r="AT107" s="170"/>
      <c r="AU107" s="171"/>
      <c r="AV107" s="144"/>
      <c r="AW107" s="178">
        <f t="shared" ref="AW107:AY107" si="280">STDEV(AW101:AW104)</f>
        <v>345.86256904537481</v>
      </c>
      <c r="AX107" s="178">
        <f t="shared" si="280"/>
        <v>14917.449513908201</v>
      </c>
      <c r="AY107" s="178">
        <f t="shared" si="280"/>
        <v>13627.390702918878</v>
      </c>
      <c r="BA107" s="169">
        <f>STDEV(BA101:BA104)</f>
        <v>0</v>
      </c>
      <c r="BB107" s="170"/>
      <c r="BC107" s="171"/>
      <c r="BD107" s="144"/>
      <c r="BE107" s="178">
        <f t="shared" ref="BE107:BG107" si="281">STDEV(BE101:BE104)</f>
        <v>351.67065558559187</v>
      </c>
      <c r="BF107" s="178">
        <f t="shared" si="281"/>
        <v>17147.253181389337</v>
      </c>
      <c r="BG107" s="178">
        <f t="shared" si="281"/>
        <v>15929.071911340805</v>
      </c>
      <c r="BI107" s="169">
        <f>STDEV(BI101:BI104)</f>
        <v>0</v>
      </c>
      <c r="BJ107" s="170"/>
      <c r="BK107" s="171"/>
      <c r="BL107" s="144"/>
      <c r="BM107" s="178">
        <f t="shared" ref="BM107:BO107" si="282">STDEV(BM101:BM104)</f>
        <v>346.9154555988149</v>
      </c>
      <c r="BN107" s="178">
        <f t="shared" si="282"/>
        <v>18133.716294975686</v>
      </c>
      <c r="BO107" s="178">
        <f t="shared" si="282"/>
        <v>16822.611692203638</v>
      </c>
    </row>
    <row r="108" spans="2:67" ht="15.75" thickBot="1">
      <c r="B108" s="172" t="s">
        <v>14</v>
      </c>
      <c r="C108" s="172"/>
      <c r="D108" s="172"/>
      <c r="E108" s="173"/>
      <c r="F108" s="172" t="s">
        <v>20</v>
      </c>
      <c r="G108" s="172" t="s">
        <v>20</v>
      </c>
      <c r="H108" s="172" t="s">
        <v>20</v>
      </c>
      <c r="J108" s="172" t="s">
        <v>14</v>
      </c>
      <c r="K108" s="172"/>
      <c r="L108" s="172"/>
      <c r="M108" s="173"/>
      <c r="N108" s="172" t="s">
        <v>20</v>
      </c>
      <c r="O108" s="172" t="s">
        <v>20</v>
      </c>
      <c r="P108" s="172" t="s">
        <v>20</v>
      </c>
      <c r="AS108" s="172" t="s">
        <v>14</v>
      </c>
      <c r="AT108" s="172"/>
      <c r="AU108" s="172"/>
      <c r="AV108" s="173"/>
      <c r="AW108" s="172" t="s">
        <v>20</v>
      </c>
      <c r="AX108" s="172" t="s">
        <v>20</v>
      </c>
      <c r="AY108" s="172" t="s">
        <v>20</v>
      </c>
      <c r="BA108" s="172" t="s">
        <v>14</v>
      </c>
      <c r="BB108" s="172"/>
      <c r="BC108" s="172"/>
      <c r="BD108" s="173"/>
      <c r="BE108" s="172" t="s">
        <v>20</v>
      </c>
      <c r="BF108" s="172" t="s">
        <v>20</v>
      </c>
      <c r="BG108" s="172" t="s">
        <v>20</v>
      </c>
      <c r="BI108" s="172" t="s">
        <v>14</v>
      </c>
      <c r="BJ108" s="172"/>
      <c r="BK108" s="172"/>
      <c r="BL108" s="173"/>
      <c r="BM108" s="172" t="s">
        <v>20</v>
      </c>
      <c r="BN108" s="172" t="s">
        <v>20</v>
      </c>
      <c r="BO108" s="172" t="s">
        <v>20</v>
      </c>
    </row>
    <row r="109" spans="2:67" ht="15.75" thickBot="1">
      <c r="B109" s="133" t="e">
        <f>SUM(I109:V109)</f>
        <v>#DIV/0!</v>
      </c>
      <c r="C109" s="127" t="e">
        <f>AVERAGE(I109:V109)</f>
        <v>#DIV/0!</v>
      </c>
      <c r="D109" s="140" t="e">
        <f>STDEV(I109:U109)</f>
        <v>#DIV/0!</v>
      </c>
      <c r="E109" s="190" t="s">
        <v>40</v>
      </c>
      <c r="F109" s="155">
        <v>2050</v>
      </c>
      <c r="G109" s="155">
        <v>37970</v>
      </c>
      <c r="H109" s="191">
        <f>G109-F109*$L$6</f>
        <v>30180</v>
      </c>
      <c r="J109" s="133">
        <f>SUM(Q109:AD109)</f>
        <v>0</v>
      </c>
      <c r="K109" s="127" t="e">
        <f>AVERAGE(Q109:AD109)</f>
        <v>#DIV/0!</v>
      </c>
      <c r="L109" s="140" t="e">
        <f>STDEV(Q109:AC109)</f>
        <v>#DIV/0!</v>
      </c>
      <c r="M109" s="190" t="s">
        <v>40</v>
      </c>
      <c r="N109" s="155">
        <v>2047</v>
      </c>
      <c r="O109" s="155">
        <v>42050</v>
      </c>
      <c r="P109" s="191">
        <f>O109-N109*$L$6</f>
        <v>34271.4</v>
      </c>
      <c r="AS109" s="133">
        <f>SUM(AS220:BE220)</f>
        <v>0</v>
      </c>
      <c r="AT109" s="127" t="e">
        <f>AVERAGE(AS220:BE220)</f>
        <v>#DIV/0!</v>
      </c>
      <c r="AU109" s="140" t="e">
        <f>STDEV(AS220:BD220)</f>
        <v>#DIV/0!</v>
      </c>
      <c r="AV109" s="190" t="s">
        <v>40</v>
      </c>
      <c r="AW109" s="155">
        <v>547</v>
      </c>
      <c r="AX109" s="155">
        <v>27520</v>
      </c>
      <c r="AY109" s="191">
        <f>AX109-AW109*$L$6</f>
        <v>25441.4</v>
      </c>
      <c r="BA109" s="133">
        <f>SUM(BA220:BM220)</f>
        <v>0</v>
      </c>
      <c r="BB109" s="127" t="e">
        <f>AVERAGE(BA220:BM220)</f>
        <v>#DIV/0!</v>
      </c>
      <c r="BC109" s="140" t="e">
        <f>STDEV(BA220:BL220)</f>
        <v>#DIV/0!</v>
      </c>
      <c r="BD109" s="190" t="s">
        <v>40</v>
      </c>
      <c r="BE109" s="155">
        <v>567</v>
      </c>
      <c r="BF109" s="155">
        <v>17610</v>
      </c>
      <c r="BG109" s="191">
        <f>BF109-BE109*$L$6</f>
        <v>15455.4</v>
      </c>
      <c r="BI109" s="133">
        <f>SUM(BI220:BU220)</f>
        <v>0</v>
      </c>
      <c r="BJ109" s="127" t="e">
        <f>AVERAGE(BI220:BU220)</f>
        <v>#DIV/0!</v>
      </c>
      <c r="BK109" s="140" t="e">
        <f>STDEV(BI220:BT220)</f>
        <v>#DIV/0!</v>
      </c>
      <c r="BL109" s="190" t="s">
        <v>40</v>
      </c>
      <c r="BM109" s="155">
        <v>546</v>
      </c>
      <c r="BN109" s="155">
        <v>27830</v>
      </c>
      <c r="BO109" s="191">
        <f>BN109-BM109*$L$6</f>
        <v>25755.200000000001</v>
      </c>
    </row>
    <row r="110" spans="2:67" ht="15.75" thickBot="1">
      <c r="B110" s="133" t="e">
        <f>SUM(I110:V110)</f>
        <v>#DIV/0!</v>
      </c>
      <c r="C110" s="127" t="e">
        <f>AVERAGE(I110:V110)</f>
        <v>#DIV/0!</v>
      </c>
      <c r="D110" s="140" t="e">
        <f>STDEV(I110:U110)</f>
        <v>#DIV/0!</v>
      </c>
      <c r="E110" s="193" t="s">
        <v>41</v>
      </c>
      <c r="F110" s="155">
        <v>2737</v>
      </c>
      <c r="G110" s="155">
        <v>35450</v>
      </c>
      <c r="H110" s="222">
        <f t="shared" ref="H110:H112" si="283">G110-F110*$L$6</f>
        <v>25049.4</v>
      </c>
      <c r="J110" s="133">
        <f>SUM(Q110:AD110)</f>
        <v>0</v>
      </c>
      <c r="K110" s="127" t="e">
        <f>AVERAGE(Q110:AD110)</f>
        <v>#DIV/0!</v>
      </c>
      <c r="L110" s="140" t="e">
        <f>STDEV(Q110:AC110)</f>
        <v>#DIV/0!</v>
      </c>
      <c r="M110" s="193" t="s">
        <v>41</v>
      </c>
      <c r="N110" s="155">
        <v>2745</v>
      </c>
      <c r="O110" s="155">
        <v>37760</v>
      </c>
      <c r="P110" s="222">
        <f t="shared" ref="P110:P112" si="284">O110-N110*$L$6</f>
        <v>27329</v>
      </c>
      <c r="AS110" s="133">
        <f>SUM(AS221:BE221)</f>
        <v>0</v>
      </c>
      <c r="AT110" s="127" t="e">
        <f>AVERAGE(AS221:BE221)</f>
        <v>#DIV/0!</v>
      </c>
      <c r="AU110" s="140" t="e">
        <f>STDEV(AS221:BD221)</f>
        <v>#DIV/0!</v>
      </c>
      <c r="AV110" s="193" t="s">
        <v>41</v>
      </c>
      <c r="AW110" s="155">
        <v>819</v>
      </c>
      <c r="AX110" s="155">
        <v>28820</v>
      </c>
      <c r="AY110" s="191">
        <f t="shared" ref="AY110:AY112" si="285">AX110-AW110*$L$6</f>
        <v>25707.8</v>
      </c>
      <c r="BA110" s="133">
        <f>SUM(BA221:BM221)</f>
        <v>0</v>
      </c>
      <c r="BB110" s="127" t="e">
        <f>AVERAGE(BA221:BM221)</f>
        <v>#DIV/0!</v>
      </c>
      <c r="BC110" s="140" t="e">
        <f>STDEV(BA221:BL221)</f>
        <v>#DIV/0!</v>
      </c>
      <c r="BD110" s="193" t="s">
        <v>41</v>
      </c>
      <c r="BE110" s="155">
        <v>830</v>
      </c>
      <c r="BF110" s="155">
        <v>24300</v>
      </c>
      <c r="BG110" s="191">
        <f t="shared" ref="BG110:BG112" si="286">BF110-BE110*$L$6</f>
        <v>21146</v>
      </c>
      <c r="BI110" s="133">
        <f>SUM(BI221:BU221)</f>
        <v>0</v>
      </c>
      <c r="BJ110" s="127" t="e">
        <f>AVERAGE(BI221:BU221)</f>
        <v>#DIV/0!</v>
      </c>
      <c r="BK110" s="140" t="e">
        <f>STDEV(BI221:BT221)</f>
        <v>#DIV/0!</v>
      </c>
      <c r="BL110" s="193" t="s">
        <v>41</v>
      </c>
      <c r="BM110" s="155">
        <v>817</v>
      </c>
      <c r="BN110" s="155">
        <v>27840</v>
      </c>
      <c r="BO110" s="191">
        <f t="shared" ref="BO110:BO112" si="287">BN110-BM110*$L$6</f>
        <v>24735.4</v>
      </c>
    </row>
    <row r="111" spans="2:67" ht="15.75" thickBot="1">
      <c r="B111" s="214" t="e">
        <f>SUM(I111:V111)</f>
        <v>#DIV/0!</v>
      </c>
      <c r="C111" s="127" t="e">
        <f>AVERAGE(I111:V111)</f>
        <v>#DIV/0!</v>
      </c>
      <c r="D111" s="140" t="e">
        <f>STDEV(I111:U111)</f>
        <v>#DIV/0!</v>
      </c>
      <c r="E111" s="193" t="s">
        <v>42</v>
      </c>
      <c r="F111" s="155">
        <v>3079</v>
      </c>
      <c r="G111" s="155">
        <v>45160</v>
      </c>
      <c r="H111" s="222">
        <f t="shared" si="283"/>
        <v>33459.800000000003</v>
      </c>
      <c r="J111" s="214">
        <f>SUM(Q111:AD111)</f>
        <v>0</v>
      </c>
      <c r="K111" s="127" t="e">
        <f>AVERAGE(Q111:AD111)</f>
        <v>#DIV/0!</v>
      </c>
      <c r="L111" s="140" t="e">
        <f>STDEV(Q111:AC111)</f>
        <v>#DIV/0!</v>
      </c>
      <c r="M111" s="193" t="s">
        <v>42</v>
      </c>
      <c r="N111" s="155">
        <v>3100</v>
      </c>
      <c r="O111" s="155">
        <v>51540</v>
      </c>
      <c r="P111" s="222">
        <f t="shared" si="284"/>
        <v>39760</v>
      </c>
      <c r="AS111" s="214">
        <f>SUM(AS222:BE222)</f>
        <v>0</v>
      </c>
      <c r="AT111" s="127" t="e">
        <f>AVERAGE(AS222:BE222)</f>
        <v>#DIV/0!</v>
      </c>
      <c r="AU111" s="140" t="e">
        <f>STDEV(AS222:BD222)</f>
        <v>#DIV/0!</v>
      </c>
      <c r="AV111" s="193" t="s">
        <v>42</v>
      </c>
      <c r="AW111" s="155">
        <v>1314</v>
      </c>
      <c r="AX111" s="155">
        <v>37010</v>
      </c>
      <c r="AY111" s="224">
        <f t="shared" si="285"/>
        <v>32016.799999999999</v>
      </c>
      <c r="BA111" s="214">
        <f>SUM(BA222:BM222)</f>
        <v>0</v>
      </c>
      <c r="BB111" s="127" t="e">
        <f>AVERAGE(BA222:BM222)</f>
        <v>#DIV/0!</v>
      </c>
      <c r="BC111" s="140" t="e">
        <f>STDEV(BA222:BL222)</f>
        <v>#DIV/0!</v>
      </c>
      <c r="BD111" s="193" t="s">
        <v>42</v>
      </c>
      <c r="BE111" s="155">
        <v>1335</v>
      </c>
      <c r="BF111" s="155">
        <v>32660</v>
      </c>
      <c r="BG111" s="224">
        <f t="shared" si="286"/>
        <v>27587</v>
      </c>
      <c r="BI111" s="214">
        <f>SUM(BI222:BU222)</f>
        <v>0</v>
      </c>
      <c r="BJ111" s="127" t="e">
        <f>AVERAGE(BI222:BU222)</f>
        <v>#DIV/0!</v>
      </c>
      <c r="BK111" s="140" t="e">
        <f>STDEV(BI222:BT222)</f>
        <v>#DIV/0!</v>
      </c>
      <c r="BL111" s="193" t="s">
        <v>42</v>
      </c>
      <c r="BM111" s="155">
        <v>1317</v>
      </c>
      <c r="BN111" s="155">
        <v>40850</v>
      </c>
      <c r="BO111" s="224">
        <f t="shared" si="287"/>
        <v>35845.4</v>
      </c>
    </row>
    <row r="112" spans="2:67">
      <c r="B112" s="214" t="e">
        <f>SUM(I112:V112)</f>
        <v>#DIV/0!</v>
      </c>
      <c r="C112" s="127" t="e">
        <f>AVERAGE(I112:V112)</f>
        <v>#DIV/0!</v>
      </c>
      <c r="D112" s="140" t="e">
        <f>STDEV(I112:U112)</f>
        <v>#DIV/0!</v>
      </c>
      <c r="E112" s="193" t="s">
        <v>43</v>
      </c>
      <c r="F112" s="155">
        <v>3739</v>
      </c>
      <c r="G112" s="155">
        <v>52380</v>
      </c>
      <c r="H112" s="191">
        <f t="shared" si="283"/>
        <v>38171.800000000003</v>
      </c>
      <c r="J112" s="214">
        <f>SUM(Q112:AD112)</f>
        <v>0</v>
      </c>
      <c r="K112" s="127" t="e">
        <f>AVERAGE(Q112:AD112)</f>
        <v>#DIV/0!</v>
      </c>
      <c r="L112" s="140" t="e">
        <f>STDEV(Q112:AC112)</f>
        <v>#DIV/0!</v>
      </c>
      <c r="M112" s="193" t="s">
        <v>43</v>
      </c>
      <c r="N112" s="155">
        <v>3768</v>
      </c>
      <c r="O112" s="155">
        <v>53570</v>
      </c>
      <c r="P112" s="191">
        <f t="shared" si="284"/>
        <v>39251.599999999999</v>
      </c>
      <c r="AS112" s="214">
        <f>SUM(AS223:BE223)</f>
        <v>0</v>
      </c>
      <c r="AT112" s="127" t="e">
        <f>AVERAGE(AS223:BE223)</f>
        <v>#DIV/0!</v>
      </c>
      <c r="AU112" s="140" t="e">
        <f>STDEV(AS223:BD223)</f>
        <v>#DIV/0!</v>
      </c>
      <c r="AV112" s="193" t="s">
        <v>43</v>
      </c>
      <c r="AW112" s="155">
        <v>1417</v>
      </c>
      <c r="AX112" s="155">
        <v>39460</v>
      </c>
      <c r="AY112" s="224">
        <f t="shared" si="285"/>
        <v>34075.4</v>
      </c>
      <c r="BA112" s="214">
        <f>SUM(BA223:BM223)</f>
        <v>0</v>
      </c>
      <c r="BB112" s="127" t="e">
        <f>AVERAGE(BA223:BM223)</f>
        <v>#DIV/0!</v>
      </c>
      <c r="BC112" s="140" t="e">
        <f>STDEV(BA223:BL223)</f>
        <v>#DIV/0!</v>
      </c>
      <c r="BD112" s="193" t="s">
        <v>43</v>
      </c>
      <c r="BE112" s="155">
        <v>1423</v>
      </c>
      <c r="BF112" s="155">
        <v>38230</v>
      </c>
      <c r="BG112" s="224">
        <f t="shared" si="286"/>
        <v>32822.6</v>
      </c>
      <c r="BI112" s="214">
        <f>SUM(BI223:BU223)</f>
        <v>0</v>
      </c>
      <c r="BJ112" s="127" t="e">
        <f>AVERAGE(BI223:BU223)</f>
        <v>#DIV/0!</v>
      </c>
      <c r="BK112" s="140" t="e">
        <f>STDEV(BI223:BT223)</f>
        <v>#DIV/0!</v>
      </c>
      <c r="BL112" s="193" t="s">
        <v>43</v>
      </c>
      <c r="BM112" s="155">
        <v>1420</v>
      </c>
      <c r="BN112" s="155">
        <v>44220</v>
      </c>
      <c r="BO112" s="224">
        <f t="shared" si="287"/>
        <v>38824</v>
      </c>
    </row>
    <row r="113" spans="2:67">
      <c r="B113" s="132" t="e">
        <f>SUM(B109:B112)</f>
        <v>#DIV/0!</v>
      </c>
      <c r="C113" s="126" t="e">
        <f>AVERAGE(I109:AA112)</f>
        <v>#DIV/0!</v>
      </c>
      <c r="D113" s="139" t="e">
        <f>STDEV(I109:AA112)</f>
        <v>#DIV/0!</v>
      </c>
      <c r="E113" s="124"/>
      <c r="F113" s="138">
        <f t="shared" ref="F113:H113" si="288">SUM(F109:F112)</f>
        <v>11605</v>
      </c>
      <c r="G113" s="138">
        <f t="shared" si="288"/>
        <v>170960</v>
      </c>
      <c r="H113" s="138">
        <f t="shared" si="288"/>
        <v>126861.00000000001</v>
      </c>
      <c r="J113" s="132">
        <f>SUM(J109:J112)</f>
        <v>0</v>
      </c>
      <c r="K113" s="126" t="e">
        <f>AVERAGE(Q109:AI112)</f>
        <v>#DIV/0!</v>
      </c>
      <c r="L113" s="139" t="e">
        <f>STDEV(Q109:AI112)</f>
        <v>#DIV/0!</v>
      </c>
      <c r="M113" s="124"/>
      <c r="N113" s="138">
        <f t="shared" ref="N113:P113" si="289">SUM(N109:N112)</f>
        <v>11660</v>
      </c>
      <c r="O113" s="138">
        <f t="shared" si="289"/>
        <v>184920</v>
      </c>
      <c r="P113" s="138">
        <f t="shared" si="289"/>
        <v>140612</v>
      </c>
      <c r="AS113" s="132">
        <f>SUM(AS109:AS112)</f>
        <v>0</v>
      </c>
      <c r="AT113" s="126" t="e">
        <f>AVERAGE(AS220:BJ223)</f>
        <v>#DIV/0!</v>
      </c>
      <c r="AU113" s="139" t="e">
        <f>STDEV(AS220:BJ223)</f>
        <v>#DIV/0!</v>
      </c>
      <c r="AV113" s="124"/>
      <c r="AW113" s="138">
        <f t="shared" ref="AW113:AY113" si="290">SUM(AW109:AW112)</f>
        <v>4097</v>
      </c>
      <c r="AX113" s="138">
        <f t="shared" si="290"/>
        <v>132810</v>
      </c>
      <c r="AY113" s="138">
        <f t="shared" si="290"/>
        <v>117241.4</v>
      </c>
      <c r="BA113" s="132">
        <f>SUM(BA109:BA112)</f>
        <v>0</v>
      </c>
      <c r="BB113" s="126" t="e">
        <f>AVERAGE(BA220:BR223)</f>
        <v>#DIV/0!</v>
      </c>
      <c r="BC113" s="139" t="e">
        <f>STDEV(BA220:BR223)</f>
        <v>#DIV/0!</v>
      </c>
      <c r="BD113" s="124"/>
      <c r="BE113" s="138">
        <f t="shared" ref="BE113:BG113" si="291">SUM(BE109:BE112)</f>
        <v>4155</v>
      </c>
      <c r="BF113" s="138">
        <f t="shared" si="291"/>
        <v>112800</v>
      </c>
      <c r="BG113" s="138">
        <f t="shared" si="291"/>
        <v>97011</v>
      </c>
      <c r="BI113" s="132">
        <f>SUM(BI109:BI112)</f>
        <v>0</v>
      </c>
      <c r="BJ113" s="126" t="e">
        <f>AVERAGE(BI220:BZ223)</f>
        <v>#DIV/0!</v>
      </c>
      <c r="BK113" s="139" t="e">
        <f>STDEV(BI220:BZ223)</f>
        <v>#DIV/0!</v>
      </c>
      <c r="BL113" s="124"/>
      <c r="BM113" s="138">
        <f t="shared" ref="BM113:BO113" si="292">SUM(BM109:BM112)</f>
        <v>4100</v>
      </c>
      <c r="BN113" s="138">
        <f t="shared" si="292"/>
        <v>140740</v>
      </c>
      <c r="BO113" s="138">
        <f t="shared" si="292"/>
        <v>125160</v>
      </c>
    </row>
    <row r="114" spans="2:67">
      <c r="B114" s="132" t="e">
        <f>AVERAGE(B109:B112)</f>
        <v>#DIV/0!</v>
      </c>
      <c r="C114" s="126"/>
      <c r="D114" s="139"/>
      <c r="E114" s="124"/>
      <c r="F114" s="138">
        <f t="shared" ref="F114:H114" si="293">AVERAGE(F109:F112)</f>
        <v>2901.25</v>
      </c>
      <c r="G114" s="138">
        <f t="shared" si="293"/>
        <v>42740</v>
      </c>
      <c r="H114" s="138">
        <f t="shared" si="293"/>
        <v>31715.250000000004</v>
      </c>
      <c r="J114" s="132">
        <f>AVERAGE(J109:J112)</f>
        <v>0</v>
      </c>
      <c r="K114" s="126"/>
      <c r="L114" s="139"/>
      <c r="M114" s="124"/>
      <c r="N114" s="138">
        <f t="shared" ref="N114:P114" si="294">AVERAGE(N109:N112)</f>
        <v>2915</v>
      </c>
      <c r="O114" s="138">
        <f t="shared" si="294"/>
        <v>46230</v>
      </c>
      <c r="P114" s="138">
        <f t="shared" si="294"/>
        <v>35153</v>
      </c>
      <c r="AS114" s="132">
        <f>AVERAGE(AS109:AS112)</f>
        <v>0</v>
      </c>
      <c r="AT114" s="126"/>
      <c r="AU114" s="139"/>
      <c r="AV114" s="124"/>
      <c r="AW114" s="138">
        <f t="shared" ref="AW114:AY114" si="295">AVERAGE(AW109:AW112)</f>
        <v>1024.25</v>
      </c>
      <c r="AX114" s="138">
        <f t="shared" si="295"/>
        <v>33202.5</v>
      </c>
      <c r="AY114" s="138">
        <f t="shared" si="295"/>
        <v>29310.35</v>
      </c>
      <c r="BA114" s="132">
        <f>AVERAGE(BA109:BA112)</f>
        <v>0</v>
      </c>
      <c r="BB114" s="126"/>
      <c r="BC114" s="139"/>
      <c r="BD114" s="124"/>
      <c r="BE114" s="138">
        <f t="shared" ref="BE114:BG114" si="296">AVERAGE(BE109:BE112)</f>
        <v>1038.75</v>
      </c>
      <c r="BF114" s="138">
        <f t="shared" si="296"/>
        <v>28200</v>
      </c>
      <c r="BG114" s="138">
        <f t="shared" si="296"/>
        <v>24252.75</v>
      </c>
      <c r="BI114" s="132">
        <f>AVERAGE(BI109:BI112)</f>
        <v>0</v>
      </c>
      <c r="BJ114" s="126"/>
      <c r="BK114" s="139"/>
      <c r="BL114" s="124"/>
      <c r="BM114" s="138">
        <f t="shared" ref="BM114:BO114" si="297">AVERAGE(BM109:BM112)</f>
        <v>1025</v>
      </c>
      <c r="BN114" s="138">
        <f t="shared" si="297"/>
        <v>35185</v>
      </c>
      <c r="BO114" s="138">
        <f t="shared" si="297"/>
        <v>31290</v>
      </c>
    </row>
    <row r="115" spans="2:67" ht="15.75" thickBot="1">
      <c r="B115" s="132" t="e">
        <f>STDEV(B109:B112)</f>
        <v>#DIV/0!</v>
      </c>
      <c r="C115" s="126"/>
      <c r="D115" s="139"/>
      <c r="E115" s="124"/>
      <c r="F115" s="178">
        <f t="shared" ref="F115:H115" si="298">STDEV(F109:F112)</f>
        <v>703.56822696878521</v>
      </c>
      <c r="G115" s="178">
        <f t="shared" si="298"/>
        <v>7630.7055156562465</v>
      </c>
      <c r="H115" s="178">
        <f t="shared" si="298"/>
        <v>5523.3154714054335</v>
      </c>
      <c r="J115" s="132">
        <f>STDEV(J109:J112)</f>
        <v>0</v>
      </c>
      <c r="K115" s="126"/>
      <c r="L115" s="139"/>
      <c r="M115" s="124"/>
      <c r="N115" s="178">
        <f t="shared" ref="N115:P115" si="299">STDEV(N109:N112)</f>
        <v>717.43942833756591</v>
      </c>
      <c r="O115" s="178">
        <f t="shared" si="299"/>
        <v>7556.1233446788046</v>
      </c>
      <c r="P115" s="178">
        <f t="shared" si="299"/>
        <v>5773.9404661519347</v>
      </c>
      <c r="AS115" s="132">
        <f>STDEV(AS109:AS112)</f>
        <v>0</v>
      </c>
      <c r="AT115" s="126"/>
      <c r="AU115" s="139"/>
      <c r="AV115" s="124"/>
      <c r="AW115" s="178">
        <f t="shared" ref="AW115:AY115" si="300">STDEV(AW109:AW112)</f>
        <v>411.54293012191732</v>
      </c>
      <c r="AX115" s="178">
        <f t="shared" si="300"/>
        <v>5920.3174182921421</v>
      </c>
      <c r="AY115" s="178">
        <f t="shared" si="300"/>
        <v>4396.123811950707</v>
      </c>
      <c r="BA115" s="132">
        <f>STDEV(BA109:BA112)</f>
        <v>0</v>
      </c>
      <c r="BB115" s="126"/>
      <c r="BC115" s="139"/>
      <c r="BD115" s="124"/>
      <c r="BE115" s="178">
        <f t="shared" ref="BE115:BG115" si="301">STDEV(BE109:BE112)</f>
        <v>408.8751847039224</v>
      </c>
      <c r="BF115" s="178">
        <f t="shared" si="301"/>
        <v>9089.3820838749361</v>
      </c>
      <c r="BG115" s="178">
        <f t="shared" si="301"/>
        <v>7563.174260189965</v>
      </c>
      <c r="BI115" s="132">
        <f>STDEV(BI109:BI112)</f>
        <v>0</v>
      </c>
      <c r="BJ115" s="126"/>
      <c r="BK115" s="139"/>
      <c r="BL115" s="124"/>
      <c r="BM115" s="178">
        <f t="shared" ref="BM115:BO115" si="302">STDEV(BM109:BM112)</f>
        <v>413.9218927929922</v>
      </c>
      <c r="BN115" s="178">
        <f t="shared" si="302"/>
        <v>8597.8388757485645</v>
      </c>
      <c r="BO115" s="178">
        <f t="shared" si="302"/>
        <v>7097.1735538405383</v>
      </c>
    </row>
    <row r="116" spans="2:67">
      <c r="F116" s="200">
        <f t="shared" ref="F116:H116" si="303">SUM(F94:F97,F101:F104,F109:F112)</f>
        <v>31624</v>
      </c>
      <c r="G116" s="200">
        <f t="shared" si="303"/>
        <v>512190</v>
      </c>
      <c r="H116" s="200">
        <f t="shared" si="303"/>
        <v>392018.80000000005</v>
      </c>
      <c r="N116" s="200">
        <f t="shared" ref="N116:P116" si="304">SUM(N94:N97,N101:N104,N109:N112)</f>
        <v>31784</v>
      </c>
      <c r="O116" s="200">
        <f t="shared" si="304"/>
        <v>544200</v>
      </c>
      <c r="P116" s="200">
        <f t="shared" si="304"/>
        <v>423420.8</v>
      </c>
      <c r="AS116" s="18"/>
      <c r="AT116" s="18"/>
      <c r="AU116" s="18"/>
      <c r="AV116" s="124"/>
      <c r="AW116" s="200">
        <f t="shared" ref="AW116:AY116" si="305">SUM(AW94:AW97,AW101:AW104,AW109:AW112)</f>
        <v>11900</v>
      </c>
      <c r="AX116" s="200">
        <f t="shared" si="305"/>
        <v>350780</v>
      </c>
      <c r="AY116" s="200">
        <f t="shared" si="305"/>
        <v>305560</v>
      </c>
      <c r="BA116" s="18"/>
      <c r="BB116" s="18"/>
      <c r="BC116" s="18"/>
      <c r="BD116" s="124"/>
      <c r="BE116" s="200">
        <f t="shared" ref="BE116:BG116" si="306">SUM(BE94:BE97,BE101:BE104,BE109:BE112)</f>
        <v>12069</v>
      </c>
      <c r="BF116" s="200">
        <f t="shared" si="306"/>
        <v>301120</v>
      </c>
      <c r="BG116" s="200">
        <f t="shared" si="306"/>
        <v>255257.8</v>
      </c>
      <c r="BI116" s="18"/>
      <c r="BJ116" s="18"/>
      <c r="BK116" s="18"/>
      <c r="BL116" s="124"/>
      <c r="BM116" s="200">
        <f t="shared" ref="BM116:BO116" si="307">SUM(BM94:BM97,BM101:BM104,BM109:BM112)</f>
        <v>11897</v>
      </c>
      <c r="BN116" s="200">
        <f t="shared" si="307"/>
        <v>358000</v>
      </c>
      <c r="BO116" s="200">
        <f t="shared" si="307"/>
        <v>312791.40000000002</v>
      </c>
    </row>
    <row r="117" spans="2:67">
      <c r="F117" s="203">
        <f t="shared" ref="F117:H117" si="308">AVERAGE(F94:F97,F101:F104,F109:F112)</f>
        <v>2635.3333333333335</v>
      </c>
      <c r="G117" s="203">
        <f t="shared" si="308"/>
        <v>42682.5</v>
      </c>
      <c r="H117" s="203">
        <f t="shared" si="308"/>
        <v>32668.233333333337</v>
      </c>
      <c r="N117" s="203">
        <f t="shared" ref="N117:P117" si="309">AVERAGE(N94:N97,N101:N104,N109:N112)</f>
        <v>2648.6666666666665</v>
      </c>
      <c r="O117" s="203">
        <f t="shared" si="309"/>
        <v>45350</v>
      </c>
      <c r="P117" s="203">
        <f t="shared" si="309"/>
        <v>35285.066666666666</v>
      </c>
      <c r="AS117" s="18"/>
      <c r="AT117" s="18"/>
      <c r="AU117" s="18"/>
      <c r="AV117" s="124"/>
      <c r="AW117" s="203">
        <f t="shared" ref="AW117:AY117" si="310">AVERAGE(AW94:AW97,AW101:AW104,AW109:AW112)</f>
        <v>991.66666666666663</v>
      </c>
      <c r="AX117" s="203">
        <f t="shared" si="310"/>
        <v>29231.666666666668</v>
      </c>
      <c r="AY117" s="203">
        <f t="shared" si="310"/>
        <v>25463.333333333332</v>
      </c>
      <c r="BA117" s="18"/>
      <c r="BB117" s="18"/>
      <c r="BC117" s="18"/>
      <c r="BD117" s="124"/>
      <c r="BE117" s="203">
        <f t="shared" ref="BE117:BG117" si="311">AVERAGE(BE94:BE97,BE101:BE104,BE109:BE112)</f>
        <v>1005.75</v>
      </c>
      <c r="BF117" s="203">
        <f t="shared" si="311"/>
        <v>25093.333333333332</v>
      </c>
      <c r="BG117" s="203">
        <f t="shared" si="311"/>
        <v>21271.483333333334</v>
      </c>
      <c r="BI117" s="18"/>
      <c r="BJ117" s="18"/>
      <c r="BK117" s="18"/>
      <c r="BL117" s="124"/>
      <c r="BM117" s="203">
        <f t="shared" ref="BM117:BO117" si="312">AVERAGE(BM94:BM97,BM101:BM104,BM109:BM112)</f>
        <v>991.41666666666663</v>
      </c>
      <c r="BN117" s="203">
        <f t="shared" si="312"/>
        <v>29833.333333333332</v>
      </c>
      <c r="BO117" s="203">
        <f t="shared" si="312"/>
        <v>26065.95</v>
      </c>
    </row>
    <row r="118" spans="2:67" ht="15.75" thickBot="1">
      <c r="F118" s="206">
        <f t="shared" ref="F118:H118" si="313">STDEV(F94:F97,F101:F104,F109:F112,)</f>
        <v>980.71984943556777</v>
      </c>
      <c r="G118" s="206">
        <f t="shared" si="313"/>
        <v>14559.900103559816</v>
      </c>
      <c r="H118" s="206">
        <f t="shared" si="313"/>
        <v>11209.149911750777</v>
      </c>
      <c r="N118" s="206">
        <f t="shared" ref="N118:P118" si="314">STDEV(N94:N97,N101:N104,N109:N112,)</f>
        <v>990.5310412045369</v>
      </c>
      <c r="O118" s="206">
        <f t="shared" si="314"/>
        <v>15274.590472499229</v>
      </c>
      <c r="P118" s="206">
        <f t="shared" si="314"/>
        <v>11981.005145881591</v>
      </c>
      <c r="AS118" s="18"/>
      <c r="AT118" s="18"/>
      <c r="AU118" s="18"/>
      <c r="AV118" s="124"/>
      <c r="AW118" s="206">
        <f t="shared" ref="AW118:AY118" si="315">STDEV(AW94:AW97,AW101:AW104,AW109:AW112,)</f>
        <v>422.91341479108502</v>
      </c>
      <c r="AX118" s="206">
        <f t="shared" si="315"/>
        <v>12881.674570628997</v>
      </c>
      <c r="AY118" s="206">
        <f t="shared" si="315"/>
        <v>11528.84764159354</v>
      </c>
      <c r="BA118" s="18"/>
      <c r="BB118" s="18"/>
      <c r="BC118" s="18"/>
      <c r="BD118" s="124"/>
      <c r="BE118" s="206">
        <f t="shared" ref="BE118:BG118" si="316">STDEV(BE94:BE97,BE101:BE104,BE109:BE112,)</f>
        <v>426.35422253910303</v>
      </c>
      <c r="BF118" s="206">
        <f t="shared" si="316"/>
        <v>12907.262416055662</v>
      </c>
      <c r="BG118" s="206">
        <f t="shared" si="316"/>
        <v>11500.504323568173</v>
      </c>
      <c r="BI118" s="18"/>
      <c r="BJ118" s="18"/>
      <c r="BK118" s="18"/>
      <c r="BL118" s="124"/>
      <c r="BM118" s="206">
        <f t="shared" ref="BM118:BO118" si="317">STDEV(BM94:BM97,BM101:BM104,BM109:BM112,)</f>
        <v>423.46818970532797</v>
      </c>
      <c r="BN118" s="206">
        <f t="shared" si="317"/>
        <v>14242.019312673474</v>
      </c>
      <c r="BO118" s="206">
        <f t="shared" si="317"/>
        <v>12839.738286413382</v>
      </c>
    </row>
    <row r="120" spans="2:67">
      <c r="B120" t="s">
        <v>104</v>
      </c>
      <c r="J120" t="s">
        <v>104</v>
      </c>
    </row>
    <row r="121" spans="2:67" ht="15.75" thickBot="1">
      <c r="B121" s="172" t="s">
        <v>106</v>
      </c>
      <c r="C121" s="172"/>
      <c r="D121" s="172"/>
      <c r="E121" s="173"/>
      <c r="F121" s="172" t="s">
        <v>20</v>
      </c>
      <c r="G121" s="172" t="s">
        <v>20</v>
      </c>
      <c r="H121" s="172" t="s">
        <v>20</v>
      </c>
      <c r="J121" s="172" t="s">
        <v>106</v>
      </c>
      <c r="K121" s="172"/>
      <c r="L121" s="172"/>
      <c r="M121" s="173"/>
      <c r="N121" s="172" t="s">
        <v>20</v>
      </c>
      <c r="O121" s="172" t="s">
        <v>20</v>
      </c>
      <c r="P121" s="172" t="s">
        <v>20</v>
      </c>
    </row>
    <row r="122" spans="2:67" ht="15.75" thickBot="1">
      <c r="B122" s="187" t="e">
        <f>SUM(I122:V122)</f>
        <v>#DIV/0!</v>
      </c>
      <c r="C122" s="188" t="e">
        <f>AVERAGE(I122:V122)</f>
        <v>#DIV/0!</v>
      </c>
      <c r="D122" s="189" t="e">
        <f>STDEV(I122:U122)</f>
        <v>#DIV/0!</v>
      </c>
      <c r="E122" s="190" t="s">
        <v>40</v>
      </c>
      <c r="F122" s="192">
        <v>1523</v>
      </c>
      <c r="G122" s="192">
        <v>26660</v>
      </c>
      <c r="H122" s="191">
        <f>G122-F122*$L$6</f>
        <v>20872.599999999999</v>
      </c>
      <c r="J122" s="187">
        <f>SUM(Q122:AD122)</f>
        <v>0</v>
      </c>
      <c r="K122" s="188" t="e">
        <f>AVERAGE(Q122:AD122)</f>
        <v>#DIV/0!</v>
      </c>
      <c r="L122" s="189" t="e">
        <f>STDEV(Q122:AC122)</f>
        <v>#DIV/0!</v>
      </c>
      <c r="M122" s="190" t="s">
        <v>40</v>
      </c>
      <c r="N122" s="192">
        <v>1527</v>
      </c>
      <c r="O122" s="192">
        <v>26760</v>
      </c>
      <c r="P122" s="191">
        <f>O122-N122*$L$6</f>
        <v>20957.400000000001</v>
      </c>
    </row>
    <row r="123" spans="2:67" ht="15.75" thickBot="1">
      <c r="B123" s="134" t="e">
        <f>SUM(I123:V123)</f>
        <v>#DIV/0!</v>
      </c>
      <c r="C123" s="128" t="e">
        <f>AVERAGE(I123:V123)</f>
        <v>#DIV/0!</v>
      </c>
      <c r="D123" s="141" t="e">
        <f>STDEV(I123:U123)</f>
        <v>#DIV/0!</v>
      </c>
      <c r="E123" s="193" t="s">
        <v>41</v>
      </c>
      <c r="F123" s="194">
        <v>2207</v>
      </c>
      <c r="G123" s="194">
        <v>37600</v>
      </c>
      <c r="H123" s="222">
        <f t="shared" ref="H123:H125" si="318">G123-F123*$L$6</f>
        <v>29213.4</v>
      </c>
      <c r="J123" s="134">
        <f>SUM(Q123:AD123)</f>
        <v>0</v>
      </c>
      <c r="K123" s="128" t="e">
        <f>AVERAGE(Q123:AD123)</f>
        <v>#DIV/0!</v>
      </c>
      <c r="L123" s="141" t="e">
        <f>STDEV(Q123:AC123)</f>
        <v>#DIV/0!</v>
      </c>
      <c r="M123" s="193" t="s">
        <v>41</v>
      </c>
      <c r="N123" s="194">
        <v>2220</v>
      </c>
      <c r="O123" s="194">
        <v>39120</v>
      </c>
      <c r="P123" s="222">
        <f t="shared" ref="P123:P125" si="319">O123-N123*$L$6</f>
        <v>30684</v>
      </c>
    </row>
    <row r="124" spans="2:67" ht="15.75" thickBot="1">
      <c r="B124" s="214" t="e">
        <f>SUM(I124:V124)</f>
        <v>#DIV/0!</v>
      </c>
      <c r="C124" s="128" t="e">
        <f>AVERAGE(I124:V124)</f>
        <v>#DIV/0!</v>
      </c>
      <c r="D124" s="141" t="e">
        <f>STDEV(I124:U124)</f>
        <v>#DIV/0!</v>
      </c>
      <c r="E124" s="193" t="s">
        <v>42</v>
      </c>
      <c r="F124" s="194">
        <v>2639</v>
      </c>
      <c r="G124" s="194">
        <v>52700</v>
      </c>
      <c r="H124" s="222">
        <f t="shared" si="318"/>
        <v>42671.8</v>
      </c>
      <c r="J124" s="214">
        <f>SUM(Q124:AD124)</f>
        <v>0</v>
      </c>
      <c r="K124" s="128" t="e">
        <f>AVERAGE(Q124:AD124)</f>
        <v>#DIV/0!</v>
      </c>
      <c r="L124" s="141" t="e">
        <f>STDEV(Q124:AC124)</f>
        <v>#DIV/0!</v>
      </c>
      <c r="M124" s="193" t="s">
        <v>42</v>
      </c>
      <c r="N124" s="194">
        <v>2654</v>
      </c>
      <c r="O124" s="194">
        <v>52530</v>
      </c>
      <c r="P124" s="222">
        <f t="shared" si="319"/>
        <v>42444.800000000003</v>
      </c>
    </row>
    <row r="125" spans="2:67">
      <c r="B125" s="214" t="e">
        <f>SUM(I125:V125)</f>
        <v>#DIV/0!</v>
      </c>
      <c r="C125" s="128" t="e">
        <f>AVERAGE(I125:V125)</f>
        <v>#DIV/0!</v>
      </c>
      <c r="D125" s="141" t="e">
        <f>STDEV(I125:U125)</f>
        <v>#DIV/0!</v>
      </c>
      <c r="E125" s="193" t="s">
        <v>43</v>
      </c>
      <c r="F125" s="194">
        <v>3272</v>
      </c>
      <c r="G125" s="194">
        <v>50520</v>
      </c>
      <c r="H125" s="191">
        <f t="shared" si="318"/>
        <v>38086.400000000001</v>
      </c>
      <c r="J125" s="214">
        <f>SUM(Q125:AD125)</f>
        <v>0</v>
      </c>
      <c r="K125" s="128" t="e">
        <f>AVERAGE(Q125:AD125)</f>
        <v>#DIV/0!</v>
      </c>
      <c r="L125" s="141" t="e">
        <f>STDEV(Q125:AC125)</f>
        <v>#DIV/0!</v>
      </c>
      <c r="M125" s="193" t="s">
        <v>43</v>
      </c>
      <c r="N125" s="194">
        <v>3300</v>
      </c>
      <c r="O125" s="194">
        <v>48720</v>
      </c>
      <c r="P125" s="191">
        <f t="shared" si="319"/>
        <v>36180</v>
      </c>
    </row>
    <row r="126" spans="2:67">
      <c r="B126" s="132" t="e">
        <f>SUM(B122:B125)</f>
        <v>#DIV/0!</v>
      </c>
      <c r="C126" s="126" t="e">
        <f>AVERAGE(I122:AA125)</f>
        <v>#DIV/0!</v>
      </c>
      <c r="D126" s="139" t="e">
        <f>STDEV(I122:AA125)</f>
        <v>#DIV/0!</v>
      </c>
      <c r="E126" s="124"/>
      <c r="F126" s="207">
        <f t="shared" ref="F126:H126" si="320">SUM(F122:F125)</f>
        <v>9641</v>
      </c>
      <c r="G126" s="207">
        <f t="shared" si="320"/>
        <v>167480</v>
      </c>
      <c r="H126" s="207">
        <f t="shared" si="320"/>
        <v>130844.20000000001</v>
      </c>
      <c r="J126" s="132">
        <f>SUM(J122:J125)</f>
        <v>0</v>
      </c>
      <c r="K126" s="126" t="e">
        <f>AVERAGE(Q122:AI125)</f>
        <v>#DIV/0!</v>
      </c>
      <c r="L126" s="139" t="e">
        <f>STDEV(Q122:AI125)</f>
        <v>#DIV/0!</v>
      </c>
      <c r="M126" s="124"/>
      <c r="N126" s="207">
        <f t="shared" ref="N126:P126" si="321">SUM(N122:N125)</f>
        <v>9701</v>
      </c>
      <c r="O126" s="207">
        <f t="shared" si="321"/>
        <v>167130</v>
      </c>
      <c r="P126" s="207">
        <f t="shared" si="321"/>
        <v>130266.20000000001</v>
      </c>
    </row>
    <row r="127" spans="2:67">
      <c r="B127" s="132" t="e">
        <f>AVERAGE(B122:B125)</f>
        <v>#DIV/0!</v>
      </c>
      <c r="C127" s="126"/>
      <c r="D127" s="139"/>
      <c r="E127" s="124"/>
      <c r="F127" s="138">
        <f t="shared" ref="F127:H127" si="322">AVERAGE(F122:F125)</f>
        <v>2410.25</v>
      </c>
      <c r="G127" s="138">
        <f t="shared" si="322"/>
        <v>41870</v>
      </c>
      <c r="H127" s="138">
        <f t="shared" si="322"/>
        <v>32711.050000000003</v>
      </c>
      <c r="J127" s="132">
        <f>AVERAGE(J122:J125)</f>
        <v>0</v>
      </c>
      <c r="K127" s="126"/>
      <c r="L127" s="139"/>
      <c r="M127" s="124"/>
      <c r="N127" s="138">
        <f t="shared" ref="N127:P127" si="323">AVERAGE(N122:N125)</f>
        <v>2425.25</v>
      </c>
      <c r="O127" s="138">
        <f t="shared" si="323"/>
        <v>41782.5</v>
      </c>
      <c r="P127" s="138">
        <f t="shared" si="323"/>
        <v>32566.550000000003</v>
      </c>
    </row>
    <row r="128" spans="2:67" ht="15.75" thickBot="1">
      <c r="B128" s="169" t="e">
        <f>STDEV(B122:B125)</f>
        <v>#DIV/0!</v>
      </c>
      <c r="C128" s="170"/>
      <c r="D128" s="171"/>
      <c r="E128" s="124"/>
      <c r="F128" s="178">
        <f t="shared" ref="F128:H128" si="324">STDEV(F122:F125)</f>
        <v>735.63187125083152</v>
      </c>
      <c r="G128" s="178">
        <f t="shared" si="324"/>
        <v>12133.815008754116</v>
      </c>
      <c r="H128" s="178">
        <f t="shared" si="324"/>
        <v>9669.4257345856149</v>
      </c>
      <c r="J128" s="169">
        <f>STDEV(J122:J125)</f>
        <v>0</v>
      </c>
      <c r="K128" s="170"/>
      <c r="L128" s="171"/>
      <c r="M128" s="124"/>
      <c r="N128" s="178">
        <f t="shared" ref="N128:P128" si="325">STDEV(N122:N125)</f>
        <v>745.31754977324931</v>
      </c>
      <c r="O128" s="178">
        <f t="shared" si="325"/>
        <v>11494.956502745019</v>
      </c>
      <c r="P128" s="178">
        <f t="shared" si="325"/>
        <v>9109.5774177510484</v>
      </c>
    </row>
    <row r="129" spans="2:16" ht="15.75" thickBot="1">
      <c r="B129" s="133" t="e">
        <f>SUM(I129:V129)</f>
        <v>#DIV/0!</v>
      </c>
      <c r="C129" s="127" t="e">
        <f>AVERAGE(I129:V129)</f>
        <v>#DIV/0!</v>
      </c>
      <c r="D129" s="140" t="e">
        <f>STDEV(I129:U129)</f>
        <v>#DIV/0!</v>
      </c>
      <c r="E129" s="190" t="s">
        <v>40</v>
      </c>
      <c r="F129" s="155">
        <v>1766</v>
      </c>
      <c r="G129" s="155">
        <v>42990</v>
      </c>
      <c r="H129" s="222">
        <f>G129-F129*$L$6</f>
        <v>36279.199999999997</v>
      </c>
      <c r="J129" s="133">
        <f>SUM(Q129:AD129)</f>
        <v>0</v>
      </c>
      <c r="K129" s="127" t="e">
        <f>AVERAGE(Q129:AD129)</f>
        <v>#DIV/0!</v>
      </c>
      <c r="L129" s="140" t="e">
        <f>STDEV(Q129:AC129)</f>
        <v>#DIV/0!</v>
      </c>
      <c r="M129" s="190" t="s">
        <v>40</v>
      </c>
      <c r="N129" s="155">
        <v>1779</v>
      </c>
      <c r="O129" s="155">
        <v>40280</v>
      </c>
      <c r="P129" s="222">
        <f>O129-N129*$L$6</f>
        <v>33519.800000000003</v>
      </c>
    </row>
    <row r="130" spans="2:16" ht="15.75" thickBot="1">
      <c r="B130" s="133" t="e">
        <f>SUM(I130:V130)</f>
        <v>#DIV/0!</v>
      </c>
      <c r="C130" s="127" t="e">
        <f>AVERAGE(I130:V130)</f>
        <v>#DIV/0!</v>
      </c>
      <c r="D130" s="140" t="e">
        <f>STDEV(I130:U130)</f>
        <v>#DIV/0!</v>
      </c>
      <c r="E130" s="193" t="s">
        <v>41</v>
      </c>
      <c r="F130" s="155">
        <v>2465</v>
      </c>
      <c r="G130" s="155">
        <v>46450</v>
      </c>
      <c r="H130" s="222">
        <f t="shared" ref="H130:H132" si="326">G130-F130*$L$6</f>
        <v>37083</v>
      </c>
      <c r="J130" s="133">
        <f>SUM(Q130:AD130)</f>
        <v>0</v>
      </c>
      <c r="K130" s="127" t="e">
        <f>AVERAGE(Q130:AD130)</f>
        <v>#DIV/0!</v>
      </c>
      <c r="L130" s="140" t="e">
        <f>STDEV(Q130:AC130)</f>
        <v>#DIV/0!</v>
      </c>
      <c r="M130" s="193" t="s">
        <v>41</v>
      </c>
      <c r="N130" s="155">
        <v>2488</v>
      </c>
      <c r="O130" s="155">
        <v>46460</v>
      </c>
      <c r="P130" s="222">
        <f t="shared" ref="P130:P132" si="327">O130-N130*$L$6</f>
        <v>37005.599999999999</v>
      </c>
    </row>
    <row r="131" spans="2:16" ht="15.75" thickBot="1">
      <c r="B131" s="214" t="e">
        <f>SUM(I131:V131)</f>
        <v>#DIV/0!</v>
      </c>
      <c r="C131" s="127" t="e">
        <f>AVERAGE(I131:V131)</f>
        <v>#DIV/0!</v>
      </c>
      <c r="D131" s="140" t="e">
        <f>STDEV(I131:U131)</f>
        <v>#DIV/0!</v>
      </c>
      <c r="E131" s="193" t="s">
        <v>42</v>
      </c>
      <c r="F131" s="155">
        <v>2872</v>
      </c>
      <c r="G131" s="155">
        <v>55920</v>
      </c>
      <c r="H131" s="191">
        <f t="shared" si="326"/>
        <v>45006.400000000001</v>
      </c>
      <c r="J131" s="214">
        <f>SUM(Q131:AD131)</f>
        <v>0</v>
      </c>
      <c r="K131" s="127" t="e">
        <f>AVERAGE(Q131:AD131)</f>
        <v>#DIV/0!</v>
      </c>
      <c r="L131" s="140" t="e">
        <f>STDEV(Q131:AC131)</f>
        <v>#DIV/0!</v>
      </c>
      <c r="M131" s="193" t="s">
        <v>42</v>
      </c>
      <c r="N131" s="155">
        <v>2891</v>
      </c>
      <c r="O131" s="155">
        <v>56610</v>
      </c>
      <c r="P131" s="191">
        <f t="shared" si="327"/>
        <v>45624.2</v>
      </c>
    </row>
    <row r="132" spans="2:16">
      <c r="B132" s="133" t="e">
        <f>SUM(I132:V132)</f>
        <v>#DIV/0!</v>
      </c>
      <c r="C132" s="127" t="e">
        <f>AVERAGE(I132:V132)</f>
        <v>#DIV/0!</v>
      </c>
      <c r="D132" s="140" t="e">
        <f>STDEV(I132:U132)</f>
        <v>#DIV/0!</v>
      </c>
      <c r="E132" s="193" t="s">
        <v>43</v>
      </c>
      <c r="F132" s="155">
        <v>3499</v>
      </c>
      <c r="G132" s="155">
        <v>50390</v>
      </c>
      <c r="H132" s="191">
        <f t="shared" si="326"/>
        <v>37093.800000000003</v>
      </c>
      <c r="J132" s="133">
        <f>SUM(Q132:AD132)</f>
        <v>0</v>
      </c>
      <c r="K132" s="127" t="e">
        <f>AVERAGE(Q132:AD132)</f>
        <v>#DIV/0!</v>
      </c>
      <c r="L132" s="140" t="e">
        <f>STDEV(Q132:AC132)</f>
        <v>#DIV/0!</v>
      </c>
      <c r="M132" s="193" t="s">
        <v>43</v>
      </c>
      <c r="N132" s="155">
        <v>3532</v>
      </c>
      <c r="O132" s="155">
        <v>51240</v>
      </c>
      <c r="P132" s="191">
        <f t="shared" si="327"/>
        <v>37818.400000000001</v>
      </c>
    </row>
    <row r="133" spans="2:16">
      <c r="B133" s="132" t="e">
        <f>SUM(B129:B132)</f>
        <v>#DIV/0!</v>
      </c>
      <c r="C133" s="126" t="e">
        <f>AVERAGE(I129:AA132)</f>
        <v>#DIV/0!</v>
      </c>
      <c r="D133" s="139" t="e">
        <f>STDEV(I129:AA132)</f>
        <v>#DIV/0!</v>
      </c>
      <c r="E133" s="124"/>
      <c r="F133" s="138">
        <f t="shared" ref="F133:H133" si="328">SUM(F129:F132)</f>
        <v>10602</v>
      </c>
      <c r="G133" s="138">
        <f t="shared" si="328"/>
        <v>195750</v>
      </c>
      <c r="H133" s="138">
        <f t="shared" si="328"/>
        <v>155462.40000000002</v>
      </c>
      <c r="J133" s="132">
        <f>SUM(J129:J132)</f>
        <v>0</v>
      </c>
      <c r="K133" s="126" t="e">
        <f>AVERAGE(Q129:AI132)</f>
        <v>#DIV/0!</v>
      </c>
      <c r="L133" s="139" t="e">
        <f>STDEV(Q129:AI132)</f>
        <v>#DIV/0!</v>
      </c>
      <c r="M133" s="124"/>
      <c r="N133" s="138">
        <f t="shared" ref="N133:P133" si="329">SUM(N129:N132)</f>
        <v>10690</v>
      </c>
      <c r="O133" s="138">
        <f t="shared" si="329"/>
        <v>194590</v>
      </c>
      <c r="P133" s="138">
        <f t="shared" si="329"/>
        <v>153968</v>
      </c>
    </row>
    <row r="134" spans="2:16">
      <c r="B134" s="132" t="e">
        <f>AVERAGE(B129:B132)</f>
        <v>#DIV/0!</v>
      </c>
      <c r="C134" s="126"/>
      <c r="D134" s="139"/>
      <c r="E134" s="124"/>
      <c r="F134" s="138">
        <f t="shared" ref="F134:H134" si="330">AVERAGE(F129:F132)</f>
        <v>2650.5</v>
      </c>
      <c r="G134" s="138">
        <f t="shared" si="330"/>
        <v>48937.5</v>
      </c>
      <c r="H134" s="138">
        <f t="shared" si="330"/>
        <v>38865.600000000006</v>
      </c>
      <c r="J134" s="132">
        <f>AVERAGE(J129:J132)</f>
        <v>0</v>
      </c>
      <c r="K134" s="126"/>
      <c r="L134" s="139"/>
      <c r="M134" s="124"/>
      <c r="N134" s="138">
        <f t="shared" ref="N134:P134" si="331">AVERAGE(N129:N132)</f>
        <v>2672.5</v>
      </c>
      <c r="O134" s="138">
        <f t="shared" si="331"/>
        <v>48647.5</v>
      </c>
      <c r="P134" s="138">
        <f t="shared" si="331"/>
        <v>38492</v>
      </c>
    </row>
    <row r="135" spans="2:16" ht="15.75" thickBot="1">
      <c r="B135" s="169" t="e">
        <f>STDEV(B129:B132)</f>
        <v>#DIV/0!</v>
      </c>
      <c r="C135" s="170"/>
      <c r="D135" s="171"/>
      <c r="E135" s="144"/>
      <c r="F135" s="178">
        <f t="shared" ref="F135:H135" si="332">STDEV(F129:F132)</f>
        <v>727.04080582408392</v>
      </c>
      <c r="G135" s="178">
        <f t="shared" si="332"/>
        <v>5550.5397635425215</v>
      </c>
      <c r="H135" s="178">
        <f t="shared" si="332"/>
        <v>4111.6025910423878</v>
      </c>
      <c r="J135" s="169">
        <f>STDEV(J129:J132)</f>
        <v>0</v>
      </c>
      <c r="K135" s="170"/>
      <c r="L135" s="171"/>
      <c r="M135" s="144"/>
      <c r="N135" s="178">
        <f t="shared" ref="N135:P135" si="333">STDEV(N129:N132)</f>
        <v>734.58945450276281</v>
      </c>
      <c r="O135" s="178">
        <f t="shared" si="333"/>
        <v>6950.3638993460863</v>
      </c>
      <c r="P135" s="178">
        <f t="shared" si="333"/>
        <v>5107.3206152215271</v>
      </c>
    </row>
    <row r="136" spans="2:16" ht="15.75" thickBot="1">
      <c r="B136" s="172" t="s">
        <v>14</v>
      </c>
      <c r="C136" s="172"/>
      <c r="D136" s="172"/>
      <c r="E136" s="173"/>
      <c r="F136" s="172" t="s">
        <v>20</v>
      </c>
      <c r="G136" s="172" t="s">
        <v>20</v>
      </c>
      <c r="H136" s="172" t="s">
        <v>20</v>
      </c>
      <c r="J136" s="172" t="s">
        <v>14</v>
      </c>
      <c r="K136" s="172"/>
      <c r="L136" s="172"/>
      <c r="M136" s="173"/>
      <c r="N136" s="172" t="s">
        <v>20</v>
      </c>
      <c r="O136" s="172" t="s">
        <v>20</v>
      </c>
      <c r="P136" s="172" t="s">
        <v>20</v>
      </c>
    </row>
    <row r="137" spans="2:16" ht="15.75" thickBot="1">
      <c r="B137" s="133" t="e">
        <f>SUM(I137:V137)</f>
        <v>#DIV/0!</v>
      </c>
      <c r="C137" s="127" t="e">
        <f>AVERAGE(I137:V137)</f>
        <v>#DIV/0!</v>
      </c>
      <c r="D137" s="140" t="e">
        <f>STDEV(I137:U137)</f>
        <v>#DIV/0!</v>
      </c>
      <c r="E137" s="190" t="s">
        <v>40</v>
      </c>
      <c r="F137" s="155">
        <v>2105</v>
      </c>
      <c r="G137" s="155">
        <v>36300</v>
      </c>
      <c r="H137" s="191">
        <f>G137-F137*$L$6</f>
        <v>28301</v>
      </c>
      <c r="J137" s="133">
        <f>SUM(Q137:AD137)</f>
        <v>0</v>
      </c>
      <c r="K137" s="127" t="e">
        <f>AVERAGE(Q137:AD137)</f>
        <v>#DIV/0!</v>
      </c>
      <c r="L137" s="140" t="e">
        <f>STDEV(Q137:AC137)</f>
        <v>#DIV/0!</v>
      </c>
      <c r="M137" s="190" t="s">
        <v>40</v>
      </c>
      <c r="N137" s="155">
        <v>2114</v>
      </c>
      <c r="O137" s="155">
        <v>40900</v>
      </c>
      <c r="P137" s="191">
        <f>O137-N137*$L$6</f>
        <v>32866.800000000003</v>
      </c>
    </row>
    <row r="138" spans="2:16" ht="15.75" thickBot="1">
      <c r="B138" s="133" t="e">
        <f>SUM(I138:V138)</f>
        <v>#DIV/0!</v>
      </c>
      <c r="C138" s="127" t="e">
        <f>AVERAGE(I138:V138)</f>
        <v>#DIV/0!</v>
      </c>
      <c r="D138" s="140" t="e">
        <f>STDEV(I138:U138)</f>
        <v>#DIV/0!</v>
      </c>
      <c r="E138" s="193" t="s">
        <v>41</v>
      </c>
      <c r="F138" s="155">
        <v>2755</v>
      </c>
      <c r="G138" s="155">
        <v>34800</v>
      </c>
      <c r="H138" s="222">
        <f t="shared" ref="H138:H140" si="334">G138-F138*$L$6</f>
        <v>24331</v>
      </c>
      <c r="J138" s="133">
        <f>SUM(Q138:AD138)</f>
        <v>0</v>
      </c>
      <c r="K138" s="127" t="e">
        <f>AVERAGE(Q138:AD138)</f>
        <v>#DIV/0!</v>
      </c>
      <c r="L138" s="140" t="e">
        <f>STDEV(Q138:AC138)</f>
        <v>#DIV/0!</v>
      </c>
      <c r="M138" s="193" t="s">
        <v>41</v>
      </c>
      <c r="N138" s="155">
        <v>2776</v>
      </c>
      <c r="O138" s="155">
        <v>41680</v>
      </c>
      <c r="P138" s="222">
        <f t="shared" ref="P138:P140" si="335">O138-N138*$L$6</f>
        <v>31131.200000000001</v>
      </c>
    </row>
    <row r="139" spans="2:16" ht="15.75" thickBot="1">
      <c r="B139" s="214" t="e">
        <f>SUM(I139:V139)</f>
        <v>#DIV/0!</v>
      </c>
      <c r="C139" s="127" t="e">
        <f>AVERAGE(I139:V139)</f>
        <v>#DIV/0!</v>
      </c>
      <c r="D139" s="140" t="e">
        <f>STDEV(I139:U139)</f>
        <v>#DIV/0!</v>
      </c>
      <c r="E139" s="193" t="s">
        <v>42</v>
      </c>
      <c r="F139" s="155">
        <v>3199</v>
      </c>
      <c r="G139" s="155">
        <v>48510</v>
      </c>
      <c r="H139" s="222">
        <f t="shared" si="334"/>
        <v>36353.800000000003</v>
      </c>
      <c r="J139" s="214">
        <f>SUM(Q139:AD139)</f>
        <v>0</v>
      </c>
      <c r="K139" s="127" t="e">
        <f>AVERAGE(Q139:AD139)</f>
        <v>#DIV/0!</v>
      </c>
      <c r="L139" s="140" t="e">
        <f>STDEV(Q139:AC139)</f>
        <v>#DIV/0!</v>
      </c>
      <c r="M139" s="193" t="s">
        <v>42</v>
      </c>
      <c r="N139" s="155">
        <v>3211</v>
      </c>
      <c r="O139" s="155">
        <v>53550</v>
      </c>
      <c r="P139" s="222">
        <f t="shared" si="335"/>
        <v>41348.199999999997</v>
      </c>
    </row>
    <row r="140" spans="2:16">
      <c r="B140" s="214" t="e">
        <f>SUM(I140:V140)</f>
        <v>#DIV/0!</v>
      </c>
      <c r="C140" s="127" t="e">
        <f>AVERAGE(I140:V140)</f>
        <v>#DIV/0!</v>
      </c>
      <c r="D140" s="140" t="e">
        <f>STDEV(I140:U140)</f>
        <v>#DIV/0!</v>
      </c>
      <c r="E140" s="193" t="s">
        <v>43</v>
      </c>
      <c r="F140" s="155">
        <v>3781</v>
      </c>
      <c r="G140" s="155">
        <v>54410</v>
      </c>
      <c r="H140" s="191">
        <f t="shared" si="334"/>
        <v>40042.199999999997</v>
      </c>
      <c r="J140" s="214">
        <f>SUM(Q140:AD140)</f>
        <v>0</v>
      </c>
      <c r="K140" s="127" t="e">
        <f>AVERAGE(Q140:AD140)</f>
        <v>#DIV/0!</v>
      </c>
      <c r="L140" s="140" t="e">
        <f>STDEV(Q140:AC140)</f>
        <v>#DIV/0!</v>
      </c>
      <c r="M140" s="193" t="s">
        <v>43</v>
      </c>
      <c r="N140" s="155">
        <v>3825</v>
      </c>
      <c r="O140" s="155">
        <v>53580</v>
      </c>
      <c r="P140" s="191">
        <f t="shared" si="335"/>
        <v>39045</v>
      </c>
    </row>
    <row r="141" spans="2:16">
      <c r="B141" s="132" t="e">
        <f>SUM(B137:B140)</f>
        <v>#DIV/0!</v>
      </c>
      <c r="C141" s="126" t="e">
        <f>AVERAGE(I137:AA140)</f>
        <v>#DIV/0!</v>
      </c>
      <c r="D141" s="139" t="e">
        <f>STDEV(I137:AA140)</f>
        <v>#DIV/0!</v>
      </c>
      <c r="E141" s="124"/>
      <c r="F141" s="138">
        <f t="shared" ref="F141:H141" si="336">SUM(F137:F140)</f>
        <v>11840</v>
      </c>
      <c r="G141" s="138">
        <f t="shared" si="336"/>
        <v>174020</v>
      </c>
      <c r="H141" s="138">
        <f t="shared" si="336"/>
        <v>129028</v>
      </c>
      <c r="J141" s="132">
        <f>SUM(J137:J140)</f>
        <v>0</v>
      </c>
      <c r="K141" s="126" t="e">
        <f>AVERAGE(Q137:AI140)</f>
        <v>#DIV/0!</v>
      </c>
      <c r="L141" s="139" t="e">
        <f>STDEV(Q137:AI140)</f>
        <v>#DIV/0!</v>
      </c>
      <c r="M141" s="124"/>
      <c r="N141" s="138">
        <f t="shared" ref="N141:P141" si="337">SUM(N137:N140)</f>
        <v>11926</v>
      </c>
      <c r="O141" s="138">
        <f t="shared" si="337"/>
        <v>189710</v>
      </c>
      <c r="P141" s="138">
        <f t="shared" si="337"/>
        <v>144391.20000000001</v>
      </c>
    </row>
    <row r="142" spans="2:16">
      <c r="B142" s="132" t="e">
        <f>AVERAGE(B137:B140)</f>
        <v>#DIV/0!</v>
      </c>
      <c r="C142" s="126"/>
      <c r="D142" s="139"/>
      <c r="E142" s="124"/>
      <c r="F142" s="138">
        <f t="shared" ref="F142:H142" si="338">AVERAGE(F137:F140)</f>
        <v>2960</v>
      </c>
      <c r="G142" s="138">
        <f t="shared" si="338"/>
        <v>43505</v>
      </c>
      <c r="H142" s="138">
        <f t="shared" si="338"/>
        <v>32257</v>
      </c>
      <c r="J142" s="132">
        <f>AVERAGE(J137:J140)</f>
        <v>0</v>
      </c>
      <c r="K142" s="126"/>
      <c r="L142" s="139"/>
      <c r="M142" s="124"/>
      <c r="N142" s="138">
        <f t="shared" ref="N142:P142" si="339">AVERAGE(N137:N140)</f>
        <v>2981.5</v>
      </c>
      <c r="O142" s="138">
        <f t="shared" si="339"/>
        <v>47427.5</v>
      </c>
      <c r="P142" s="138">
        <f t="shared" si="339"/>
        <v>36097.800000000003</v>
      </c>
    </row>
    <row r="143" spans="2:16" ht="15.75" thickBot="1">
      <c r="B143" s="132" t="e">
        <f>STDEV(B137:B140)</f>
        <v>#DIV/0!</v>
      </c>
      <c r="C143" s="126"/>
      <c r="D143" s="139"/>
      <c r="E143" s="124"/>
      <c r="F143" s="178">
        <f t="shared" ref="F143:H143" si="340">STDEV(F137:F140)</f>
        <v>708.098863154009</v>
      </c>
      <c r="G143" s="178">
        <f t="shared" si="340"/>
        <v>9515.9182426080151</v>
      </c>
      <c r="H143" s="178">
        <f t="shared" si="340"/>
        <v>7207.9706177721682</v>
      </c>
      <c r="J143" s="132">
        <f>STDEV(J137:J140)</f>
        <v>0</v>
      </c>
      <c r="K143" s="126"/>
      <c r="L143" s="139"/>
      <c r="M143" s="124"/>
      <c r="N143" s="178">
        <f t="shared" ref="N143:P143" si="341">STDEV(N137:N140)</f>
        <v>720.86730170445844</v>
      </c>
      <c r="O143" s="178">
        <f t="shared" si="341"/>
        <v>7094.1354887916632</v>
      </c>
      <c r="P143" s="178">
        <f t="shared" si="341"/>
        <v>4877.1290926800866</v>
      </c>
    </row>
    <row r="144" spans="2:16">
      <c r="F144" s="200">
        <f t="shared" ref="F144:H144" si="342">SUM(F122:F125,F129:F132,F137:F140)</f>
        <v>32083</v>
      </c>
      <c r="G144" s="200">
        <f t="shared" si="342"/>
        <v>537250</v>
      </c>
      <c r="H144" s="200">
        <f t="shared" si="342"/>
        <v>415334.60000000003</v>
      </c>
      <c r="N144" s="200">
        <f t="shared" ref="N144:P144" si="343">SUM(N122:N125,N129:N132,N137:N140)</f>
        <v>32317</v>
      </c>
      <c r="O144" s="200">
        <f t="shared" si="343"/>
        <v>551430</v>
      </c>
      <c r="P144" s="200">
        <f t="shared" si="343"/>
        <v>428625.4</v>
      </c>
    </row>
    <row r="145" spans="6:16">
      <c r="F145" s="203">
        <f t="shared" ref="F145:H145" si="344">AVERAGE(F122:F125,F129:F132,F137:F140)</f>
        <v>2673.5833333333335</v>
      </c>
      <c r="G145" s="203">
        <f t="shared" si="344"/>
        <v>44770.833333333336</v>
      </c>
      <c r="H145" s="203">
        <f t="shared" si="344"/>
        <v>34611.216666666667</v>
      </c>
      <c r="N145" s="203">
        <f t="shared" ref="N145:P145" si="345">AVERAGE(N122:N125,N129:N132,N137:N140)</f>
        <v>2693.0833333333335</v>
      </c>
      <c r="O145" s="203">
        <f t="shared" si="345"/>
        <v>45952.5</v>
      </c>
      <c r="P145" s="203">
        <f t="shared" si="345"/>
        <v>35718.783333333333</v>
      </c>
    </row>
    <row r="146" spans="6:16" ht="15.75" thickBot="1">
      <c r="F146" s="206">
        <f t="shared" ref="F146:H146" si="346">STDEV(F122:F125,F129:F132,F137:F140,)</f>
        <v>996.63119737932345</v>
      </c>
      <c r="G146" s="206">
        <f t="shared" si="346"/>
        <v>15180.925193926414</v>
      </c>
      <c r="H146" s="206">
        <f t="shared" si="346"/>
        <v>11908.932538914225</v>
      </c>
      <c r="N146" s="206">
        <f t="shared" ref="N146:P146" si="347">STDEV(N122:N125,N129:N132,N137:N140,)</f>
        <v>1006.6643318023528</v>
      </c>
      <c r="O146" s="206">
        <f t="shared" si="347"/>
        <v>15134.987696199243</v>
      </c>
      <c r="P146" s="206">
        <f t="shared" si="347"/>
        <v>11716.58715623894</v>
      </c>
    </row>
  </sheetData>
  <mergeCells count="2">
    <mergeCell ref="H2:L2"/>
    <mergeCell ref="C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174"/>
  <sheetViews>
    <sheetView workbookViewId="0">
      <selection activeCell="B6" sqref="B6:L6"/>
    </sheetView>
  </sheetViews>
  <sheetFormatPr defaultRowHeight="15"/>
  <cols>
    <col min="2" max="2" width="12.28515625" customWidth="1"/>
    <col min="3" max="3" width="10.7109375" customWidth="1"/>
    <col min="4" max="4" width="11.140625" customWidth="1"/>
    <col min="6" max="6" width="10.85546875" customWidth="1"/>
    <col min="7" max="7" width="13.28515625" customWidth="1"/>
    <col min="8" max="8" width="11.7109375" customWidth="1"/>
    <col min="9" max="9" width="11.140625" customWidth="1"/>
    <col min="10" max="10" width="11.42578125" customWidth="1"/>
  </cols>
  <sheetData>
    <row r="1" spans="1:15" ht="15.75" thickBot="1"/>
    <row r="2" spans="1:15" ht="15.75" thickBot="1">
      <c r="B2" s="130"/>
      <c r="C2" s="689" t="s">
        <v>77</v>
      </c>
      <c r="D2" s="690"/>
      <c r="E2" s="690"/>
      <c r="F2" s="690"/>
      <c r="G2" s="691"/>
      <c r="H2" s="686" t="s">
        <v>78</v>
      </c>
      <c r="I2" s="687"/>
      <c r="J2" s="687"/>
      <c r="K2" s="687"/>
      <c r="L2" s="688"/>
      <c r="N2" t="s">
        <v>100</v>
      </c>
    </row>
    <row r="3" spans="1:15" ht="15.75" thickBot="1">
      <c r="B3" s="219" t="s">
        <v>80</v>
      </c>
      <c r="C3" s="219" t="s">
        <v>73</v>
      </c>
      <c r="D3" s="219" t="s">
        <v>71</v>
      </c>
      <c r="E3" s="219" t="s">
        <v>74</v>
      </c>
      <c r="F3" s="219" t="s">
        <v>97</v>
      </c>
      <c r="G3" s="219" t="s">
        <v>96</v>
      </c>
      <c r="H3" s="219" t="s">
        <v>68</v>
      </c>
      <c r="I3" s="219" t="s">
        <v>71</v>
      </c>
      <c r="J3" s="219" t="s">
        <v>74</v>
      </c>
      <c r="K3" s="219" t="s">
        <v>97</v>
      </c>
      <c r="L3" s="219" t="s">
        <v>96</v>
      </c>
      <c r="N3">
        <v>6334</v>
      </c>
      <c r="O3">
        <f>N3*6</f>
        <v>38004</v>
      </c>
    </row>
    <row r="4" spans="1:15">
      <c r="B4" t="s">
        <v>65</v>
      </c>
      <c r="C4" s="218">
        <v>0.89</v>
      </c>
      <c r="D4" s="218">
        <v>0.45</v>
      </c>
      <c r="E4" s="218">
        <f>C4+D4</f>
        <v>1.34</v>
      </c>
      <c r="F4" s="218">
        <f>E4</f>
        <v>1.34</v>
      </c>
      <c r="G4" s="218">
        <f>2*E4</f>
        <v>2.68</v>
      </c>
      <c r="H4" s="217">
        <f>C4/2</f>
        <v>0.44500000000000001</v>
      </c>
      <c r="I4" s="216">
        <v>0.45</v>
      </c>
      <c r="J4" s="217">
        <f>H4+I4</f>
        <v>0.89500000000000002</v>
      </c>
      <c r="K4" s="217">
        <f>J4</f>
        <v>0.89500000000000002</v>
      </c>
      <c r="L4" s="217">
        <f>2*J4</f>
        <v>1.79</v>
      </c>
    </row>
    <row r="5" spans="1:15">
      <c r="B5" t="s">
        <v>66</v>
      </c>
      <c r="C5" s="218">
        <v>1.39</v>
      </c>
      <c r="D5" s="218">
        <v>0.45</v>
      </c>
      <c r="E5" s="218">
        <f t="shared" ref="E5:E6" si="0">C5+D5</f>
        <v>1.8399999999999999</v>
      </c>
      <c r="F5" s="218">
        <f t="shared" ref="F5:F6" si="1">E5</f>
        <v>1.8399999999999999</v>
      </c>
      <c r="G5" s="218">
        <f t="shared" ref="G5:G6" si="2">2*E5</f>
        <v>3.6799999999999997</v>
      </c>
      <c r="H5" s="217">
        <f t="shared" ref="H5:H6" si="3">C5/2</f>
        <v>0.69499999999999995</v>
      </c>
      <c r="I5" s="216">
        <v>0.45</v>
      </c>
      <c r="J5" s="217">
        <f t="shared" ref="J5:J6" si="4">H5+I5</f>
        <v>1.145</v>
      </c>
      <c r="K5" s="217">
        <f t="shared" ref="K5:K6" si="5">J5</f>
        <v>1.145</v>
      </c>
      <c r="L5" s="217">
        <f t="shared" ref="L5:L6" si="6">2*J5</f>
        <v>2.29</v>
      </c>
    </row>
    <row r="6" spans="1:15">
      <c r="B6" t="s">
        <v>67</v>
      </c>
      <c r="C6" s="218">
        <v>2.89</v>
      </c>
      <c r="D6" s="218">
        <v>0.45</v>
      </c>
      <c r="E6" s="218">
        <f t="shared" si="0"/>
        <v>3.3400000000000003</v>
      </c>
      <c r="F6" s="218">
        <f t="shared" si="1"/>
        <v>3.3400000000000003</v>
      </c>
      <c r="G6" s="218">
        <f t="shared" si="2"/>
        <v>6.6800000000000006</v>
      </c>
      <c r="H6" s="217">
        <f t="shared" si="3"/>
        <v>1.4450000000000001</v>
      </c>
      <c r="I6" s="216">
        <v>0.45</v>
      </c>
      <c r="J6" s="217">
        <f t="shared" si="4"/>
        <v>1.895</v>
      </c>
      <c r="K6" s="217">
        <f t="shared" si="5"/>
        <v>1.895</v>
      </c>
      <c r="L6" s="217">
        <f t="shared" si="6"/>
        <v>3.79</v>
      </c>
    </row>
    <row r="7" spans="1:15">
      <c r="A7">
        <v>125</v>
      </c>
    </row>
    <row r="8" spans="1:15" ht="15.75" thickBot="1">
      <c r="A8">
        <v>500</v>
      </c>
      <c r="B8" s="172" t="s">
        <v>44</v>
      </c>
      <c r="C8" s="172"/>
      <c r="D8" s="172"/>
      <c r="E8" s="173"/>
      <c r="F8" s="172" t="s">
        <v>98</v>
      </c>
      <c r="G8" s="172" t="s">
        <v>98</v>
      </c>
      <c r="H8" s="172" t="s">
        <v>98</v>
      </c>
      <c r="I8" s="172" t="s">
        <v>99</v>
      </c>
      <c r="J8" s="172" t="s">
        <v>99</v>
      </c>
    </row>
    <row r="9" spans="1:15" ht="15.75" thickBot="1">
      <c r="A9">
        <v>5</v>
      </c>
      <c r="B9" s="187">
        <f>SUM(I9:V9)</f>
        <v>37163</v>
      </c>
      <c r="C9" s="188">
        <f>AVERAGE(I9:V9)</f>
        <v>18581.5</v>
      </c>
      <c r="D9" s="189">
        <f>STDEV(I9:U9)</f>
        <v>24223.357003107558</v>
      </c>
      <c r="E9" s="190" t="s">
        <v>40</v>
      </c>
      <c r="F9" s="192">
        <v>1913</v>
      </c>
      <c r="G9" s="192">
        <v>12535</v>
      </c>
      <c r="H9" s="191">
        <f>G9-F9*$L$4</f>
        <v>9110.73</v>
      </c>
      <c r="I9" s="191">
        <v>1453</v>
      </c>
      <c r="J9" s="191">
        <v>35710</v>
      </c>
    </row>
    <row r="10" spans="1:15" ht="15.75" thickBot="1">
      <c r="B10" s="134">
        <f>SUM(I10:V10)</f>
        <v>33608</v>
      </c>
      <c r="C10" s="128">
        <f>AVERAGE(I10:V10)</f>
        <v>16804</v>
      </c>
      <c r="D10" s="141">
        <f>STDEV(I10:U10)</f>
        <v>21207.546581346935</v>
      </c>
      <c r="E10" s="193" t="s">
        <v>41</v>
      </c>
      <c r="F10" s="194">
        <v>2153</v>
      </c>
      <c r="G10" s="194">
        <v>11567</v>
      </c>
      <c r="H10" s="191">
        <f t="shared" ref="H10:H12" si="7">G10-F10*$L$4</f>
        <v>7713.13</v>
      </c>
      <c r="I10" s="58">
        <v>1808</v>
      </c>
      <c r="J10" s="58">
        <v>31800</v>
      </c>
    </row>
    <row r="11" spans="1:15" ht="15.75" thickBot="1">
      <c r="B11" s="214">
        <f>SUM(I11:V11)</f>
        <v>34843</v>
      </c>
      <c r="C11" s="128">
        <f>AVERAGE(I11:V11)</f>
        <v>17421.5</v>
      </c>
      <c r="D11" s="141">
        <f>STDEV(I11:U11)</f>
        <v>20942.381538401976</v>
      </c>
      <c r="E11" s="193" t="s">
        <v>42</v>
      </c>
      <c r="F11" s="194">
        <v>2998</v>
      </c>
      <c r="G11" s="194">
        <v>10610</v>
      </c>
      <c r="H11" s="191">
        <f t="shared" si="7"/>
        <v>5243.58</v>
      </c>
      <c r="I11" s="58">
        <v>2613</v>
      </c>
      <c r="J11" s="58">
        <v>32230</v>
      </c>
    </row>
    <row r="12" spans="1:15">
      <c r="B12" s="214">
        <f>SUM(I12:V12)</f>
        <v>37861</v>
      </c>
      <c r="C12" s="128">
        <f>AVERAGE(I12:V12)</f>
        <v>18930.5</v>
      </c>
      <c r="D12" s="141">
        <f>STDEV(I12:U12)</f>
        <v>22966.121146157879</v>
      </c>
      <c r="E12" s="193" t="s">
        <v>43</v>
      </c>
      <c r="F12" s="194">
        <v>3099</v>
      </c>
      <c r="G12" s="194">
        <v>9469</v>
      </c>
      <c r="H12" s="191">
        <f t="shared" si="7"/>
        <v>3921.79</v>
      </c>
      <c r="I12" s="58">
        <v>2691</v>
      </c>
      <c r="J12" s="58">
        <v>35170</v>
      </c>
    </row>
    <row r="13" spans="1:15">
      <c r="B13" s="132">
        <f>SUM(B9:B12)</f>
        <v>143475</v>
      </c>
      <c r="C13" s="126">
        <f>AVERAGE(I9:AA12)</f>
        <v>17934.375</v>
      </c>
      <c r="D13" s="139">
        <f>STDEV(I9:AA12)</f>
        <v>16938.80064009846</v>
      </c>
      <c r="E13" s="124"/>
      <c r="F13" s="207">
        <f t="shared" ref="F13:J13" si="8">SUM(F9:F12)</f>
        <v>10163</v>
      </c>
      <c r="G13" s="207">
        <f t="shared" si="8"/>
        <v>44181</v>
      </c>
      <c r="H13" s="207">
        <f t="shared" si="8"/>
        <v>25989.230000000003</v>
      </c>
      <c r="I13" s="207">
        <f t="shared" si="8"/>
        <v>8565</v>
      </c>
      <c r="J13" s="207">
        <f t="shared" si="8"/>
        <v>134910</v>
      </c>
    </row>
    <row r="14" spans="1:15">
      <c r="B14" s="132">
        <f>AVERAGE(B9:B12)</f>
        <v>35868.75</v>
      </c>
      <c r="C14" s="126"/>
      <c r="D14" s="139"/>
      <c r="E14" s="124"/>
      <c r="F14" s="138">
        <f t="shared" ref="F14:J14" si="9">AVERAGE(F9:F12)</f>
        <v>2540.75</v>
      </c>
      <c r="G14" s="138">
        <f t="shared" si="9"/>
        <v>11045.25</v>
      </c>
      <c r="H14" s="138">
        <f t="shared" si="9"/>
        <v>6497.3075000000008</v>
      </c>
      <c r="I14" s="125">
        <f t="shared" si="9"/>
        <v>2141.25</v>
      </c>
      <c r="J14" s="125">
        <f t="shared" si="9"/>
        <v>33727.5</v>
      </c>
    </row>
    <row r="15" spans="1:15" ht="15.75" thickBot="1">
      <c r="B15" s="169">
        <f>STDEV(B9:B12)</f>
        <v>1983.8764032402153</v>
      </c>
      <c r="C15" s="170"/>
      <c r="D15" s="171"/>
      <c r="E15" s="124"/>
      <c r="F15" s="178">
        <f t="shared" ref="F15:J15" si="10">STDEV(F9:F12)</f>
        <v>595.85813468196159</v>
      </c>
      <c r="G15" s="178">
        <f t="shared" si="10"/>
        <v>1312.1972349206249</v>
      </c>
      <c r="H15" s="178">
        <f t="shared" si="10"/>
        <v>2346.1546234974203</v>
      </c>
      <c r="I15" s="177">
        <f t="shared" si="10"/>
        <v>608.14382893084326</v>
      </c>
      <c r="J15" s="177">
        <f t="shared" si="10"/>
        <v>1997.4045659304977</v>
      </c>
    </row>
    <row r="16" spans="1:15" ht="15.75" thickBot="1">
      <c r="A16">
        <v>10</v>
      </c>
      <c r="B16" s="133">
        <f>SUM(I16:V16)</f>
        <v>19896</v>
      </c>
      <c r="C16" s="127">
        <f>AVERAGE(I16:V16)</f>
        <v>9948</v>
      </c>
      <c r="D16" s="140">
        <f>STDEV(I16:U16)</f>
        <v>12829.745437848718</v>
      </c>
      <c r="E16" s="190" t="s">
        <v>40</v>
      </c>
      <c r="F16" s="155">
        <v>1019</v>
      </c>
      <c r="G16" s="155">
        <v>11346</v>
      </c>
      <c r="H16" s="191">
        <f>G16-F16*$L$4</f>
        <v>9521.99</v>
      </c>
      <c r="I16" s="161">
        <v>876</v>
      </c>
      <c r="J16" s="161">
        <v>19020</v>
      </c>
    </row>
    <row r="17" spans="1:10" ht="15.75" thickBot="1">
      <c r="B17" s="133">
        <f>SUM(I17:V17)</f>
        <v>22343</v>
      </c>
      <c r="C17" s="127">
        <f>AVERAGE(I17:V17)</f>
        <v>11171.5</v>
      </c>
      <c r="D17" s="140">
        <f>STDEV(I17:U17)</f>
        <v>14366.288473367085</v>
      </c>
      <c r="E17" s="193" t="s">
        <v>41</v>
      </c>
      <c r="F17" s="155">
        <v>1156</v>
      </c>
      <c r="G17" s="155">
        <v>11608</v>
      </c>
      <c r="H17" s="191">
        <f t="shared" ref="H17:H19" si="11">G17-F17*$L$4</f>
        <v>9538.76</v>
      </c>
      <c r="I17" s="54">
        <v>1013</v>
      </c>
      <c r="J17" s="54">
        <v>21330</v>
      </c>
    </row>
    <row r="18" spans="1:10" ht="15.75" thickBot="1">
      <c r="B18" s="214">
        <f>SUM(I18:V18)</f>
        <v>31031</v>
      </c>
      <c r="C18" s="127">
        <f>AVERAGE(I18:V18)</f>
        <v>15515.5</v>
      </c>
      <c r="D18" s="140">
        <f>STDEV(I18:U18)</f>
        <v>19904.348783620128</v>
      </c>
      <c r="E18" s="193" t="s">
        <v>42</v>
      </c>
      <c r="F18" s="155">
        <v>1574</v>
      </c>
      <c r="G18" s="220">
        <v>17162</v>
      </c>
      <c r="H18" s="221">
        <f t="shared" si="11"/>
        <v>14344.54</v>
      </c>
      <c r="I18" s="54">
        <v>1441</v>
      </c>
      <c r="J18" s="54">
        <v>29590</v>
      </c>
    </row>
    <row r="19" spans="1:10" ht="15.75" thickBot="1">
      <c r="B19" s="133">
        <f>SUM(I19:V19)</f>
        <v>32624</v>
      </c>
      <c r="C19" s="127">
        <f>AVERAGE(I19:V19)</f>
        <v>16312</v>
      </c>
      <c r="D19" s="140">
        <f>STDEV(I19:U19)</f>
        <v>20941.674431620791</v>
      </c>
      <c r="E19" s="193" t="s">
        <v>43</v>
      </c>
      <c r="F19" s="155">
        <v>1637</v>
      </c>
      <c r="G19" s="155">
        <v>14911</v>
      </c>
      <c r="H19" s="191">
        <f t="shared" si="11"/>
        <v>11980.77</v>
      </c>
      <c r="I19" s="164">
        <v>1504</v>
      </c>
      <c r="J19" s="164">
        <v>31120</v>
      </c>
    </row>
    <row r="20" spans="1:10">
      <c r="B20" s="132">
        <f>SUM(B16:B19)</f>
        <v>105894</v>
      </c>
      <c r="C20" s="126">
        <f>AVERAGE(I16:AA19)</f>
        <v>13236.75</v>
      </c>
      <c r="D20" s="139">
        <f>STDEV(I16:AA19)</f>
        <v>13444.018518604154</v>
      </c>
      <c r="E20" s="124"/>
      <c r="F20" s="138">
        <f t="shared" ref="F20:J20" si="12">SUM(F16:F19)</f>
        <v>5386</v>
      </c>
      <c r="G20" s="138">
        <f t="shared" si="12"/>
        <v>55027</v>
      </c>
      <c r="H20" s="138">
        <f t="shared" si="12"/>
        <v>45386.06</v>
      </c>
      <c r="I20" s="211">
        <f t="shared" si="12"/>
        <v>4834</v>
      </c>
      <c r="J20" s="211">
        <f t="shared" si="12"/>
        <v>101060</v>
      </c>
    </row>
    <row r="21" spans="1:10">
      <c r="B21" s="132">
        <f>AVERAGE(B16:B19)</f>
        <v>26473.5</v>
      </c>
      <c r="C21" s="126"/>
      <c r="D21" s="139"/>
      <c r="E21" s="124"/>
      <c r="F21" s="138">
        <f t="shared" ref="F21:J21" si="13">AVERAGE(F16:F19)</f>
        <v>1346.5</v>
      </c>
      <c r="G21" s="138">
        <f t="shared" si="13"/>
        <v>13756.75</v>
      </c>
      <c r="H21" s="138">
        <f t="shared" si="13"/>
        <v>11346.514999999999</v>
      </c>
      <c r="I21" s="125">
        <f t="shared" si="13"/>
        <v>1208.5</v>
      </c>
      <c r="J21" s="125">
        <f t="shared" si="13"/>
        <v>25265</v>
      </c>
    </row>
    <row r="22" spans="1:10" ht="15.75" thickBot="1">
      <c r="B22" s="169">
        <f>STDEV(B16:B19)</f>
        <v>6296.1361961126604</v>
      </c>
      <c r="C22" s="170"/>
      <c r="D22" s="171"/>
      <c r="E22" s="144"/>
      <c r="F22" s="178">
        <f t="shared" ref="F22:J22" si="14">STDEV(F16:F19)</f>
        <v>305.33751816637272</v>
      </c>
      <c r="G22" s="178">
        <f t="shared" si="14"/>
        <v>2790.2725523981821</v>
      </c>
      <c r="H22" s="178">
        <f t="shared" si="14"/>
        <v>2308.4845621677187</v>
      </c>
      <c r="I22" s="177">
        <f t="shared" si="14"/>
        <v>310.99464089702042</v>
      </c>
      <c r="J22" s="177">
        <f t="shared" si="14"/>
        <v>5985.2847328538464</v>
      </c>
    </row>
    <row r="23" spans="1:10" ht="15.75" thickBot="1">
      <c r="B23" s="172" t="s">
        <v>14</v>
      </c>
      <c r="C23" s="172"/>
      <c r="D23" s="172"/>
      <c r="E23" s="173"/>
      <c r="F23" s="172" t="s">
        <v>20</v>
      </c>
      <c r="G23" s="172" t="s">
        <v>20</v>
      </c>
      <c r="H23" s="172" t="s">
        <v>20</v>
      </c>
      <c r="I23" s="174" t="s">
        <v>13</v>
      </c>
      <c r="J23" s="174" t="s">
        <v>13</v>
      </c>
    </row>
    <row r="24" spans="1:10" ht="15.75" thickBot="1">
      <c r="A24">
        <v>15</v>
      </c>
      <c r="B24" s="133">
        <f>SUM(I24:V24)</f>
        <v>24888</v>
      </c>
      <c r="C24" s="127">
        <f>AVERAGE(I24:V24)</f>
        <v>12444</v>
      </c>
      <c r="D24" s="140">
        <f>STDEV(I24:U24)</f>
        <v>16710.34745300049</v>
      </c>
      <c r="E24" s="190" t="s">
        <v>40</v>
      </c>
      <c r="F24" s="155">
        <v>700</v>
      </c>
      <c r="G24" s="155">
        <v>7546</v>
      </c>
      <c r="H24" s="191">
        <f>G24-F24*$L$4</f>
        <v>6293</v>
      </c>
      <c r="I24" s="181">
        <v>628</v>
      </c>
      <c r="J24" s="181">
        <v>24260</v>
      </c>
    </row>
    <row r="25" spans="1:10" ht="15.75" thickBot="1">
      <c r="B25" s="133">
        <f>SUM(I25:V25)</f>
        <v>22447</v>
      </c>
      <c r="C25" s="127">
        <f>AVERAGE(I25:V25)</f>
        <v>11223.5</v>
      </c>
      <c r="D25" s="140">
        <f>STDEV(I25:U25)</f>
        <v>14858.434793072924</v>
      </c>
      <c r="E25" s="193" t="s">
        <v>41</v>
      </c>
      <c r="F25" s="155">
        <v>771</v>
      </c>
      <c r="G25" s="155">
        <v>7452</v>
      </c>
      <c r="H25" s="191">
        <f t="shared" ref="H25:H27" si="15">G25-F25*$L$4</f>
        <v>6071.91</v>
      </c>
      <c r="I25" s="183">
        <v>717</v>
      </c>
      <c r="J25" s="183">
        <v>21730</v>
      </c>
    </row>
    <row r="26" spans="1:10" ht="15.75" thickBot="1">
      <c r="B26" s="214">
        <f>SUM(I26:V26)</f>
        <v>29270</v>
      </c>
      <c r="C26" s="127">
        <f>AVERAGE(I26:V26)</f>
        <v>14635</v>
      </c>
      <c r="D26" s="140">
        <f>STDEV(I26:U26)</f>
        <v>19254.517651709688</v>
      </c>
      <c r="E26" s="193" t="s">
        <v>42</v>
      </c>
      <c r="F26" s="155">
        <v>1075</v>
      </c>
      <c r="G26" s="155">
        <v>6742</v>
      </c>
      <c r="H26" s="191">
        <f t="shared" si="15"/>
        <v>4817.75</v>
      </c>
      <c r="I26" s="54">
        <v>1020</v>
      </c>
      <c r="J26" s="54">
        <v>28250</v>
      </c>
    </row>
    <row r="27" spans="1:10" ht="15.75" thickBot="1">
      <c r="B27" s="214">
        <f>SUM(I27:V27)</f>
        <v>27631</v>
      </c>
      <c r="C27" s="127">
        <f>AVERAGE(I27:V27)</f>
        <v>13815.5</v>
      </c>
      <c r="D27" s="140">
        <f>STDEV(I27:U27)</f>
        <v>18051.729016911373</v>
      </c>
      <c r="E27" s="193" t="s">
        <v>43</v>
      </c>
      <c r="F27" s="155">
        <v>1115</v>
      </c>
      <c r="G27" s="155">
        <v>7924</v>
      </c>
      <c r="H27" s="191">
        <f t="shared" si="15"/>
        <v>5928.15</v>
      </c>
      <c r="I27" s="164">
        <v>1051</v>
      </c>
      <c r="J27" s="164">
        <v>26580</v>
      </c>
    </row>
    <row r="28" spans="1:10">
      <c r="B28" s="132">
        <f>SUM(B24:B27)</f>
        <v>104236</v>
      </c>
      <c r="C28" s="126">
        <f>AVERAGE(I24:AA27)</f>
        <v>13029.5</v>
      </c>
      <c r="D28" s="139">
        <f>STDEV(I24:AA27)</f>
        <v>13148.655075166977</v>
      </c>
      <c r="E28" s="124"/>
      <c r="F28" s="138">
        <f t="shared" ref="F28:J28" si="16">SUM(F24:F27)</f>
        <v>3661</v>
      </c>
      <c r="G28" s="138">
        <f t="shared" si="16"/>
        <v>29664</v>
      </c>
      <c r="H28" s="138">
        <f t="shared" si="16"/>
        <v>23110.809999999998</v>
      </c>
      <c r="I28" s="213">
        <f t="shared" si="16"/>
        <v>3416</v>
      </c>
      <c r="J28" s="213">
        <f t="shared" si="16"/>
        <v>100820</v>
      </c>
    </row>
    <row r="29" spans="1:10">
      <c r="B29" s="132">
        <f>AVERAGE(B24:B27)</f>
        <v>26059</v>
      </c>
      <c r="C29" s="126"/>
      <c r="D29" s="139"/>
      <c r="E29" s="124"/>
      <c r="F29" s="138">
        <f t="shared" ref="F29:H29" si="17">AVERAGE(F24:F27)</f>
        <v>915.25</v>
      </c>
      <c r="G29" s="138">
        <f t="shared" si="17"/>
        <v>7416</v>
      </c>
      <c r="H29" s="138">
        <f t="shared" si="17"/>
        <v>5777.7024999999994</v>
      </c>
      <c r="I29" s="131">
        <f>AVERAGE(I24:I27)</f>
        <v>854</v>
      </c>
      <c r="J29" s="131">
        <f>AVERAGE(J24:J27)</f>
        <v>25205</v>
      </c>
    </row>
    <row r="30" spans="1:10" ht="15.75" thickBot="1">
      <c r="B30" s="132">
        <f>STDEV(B24:B27)</f>
        <v>3011.0623817295227</v>
      </c>
      <c r="C30" s="126"/>
      <c r="D30" s="139"/>
      <c r="E30" s="124"/>
      <c r="F30" s="178">
        <f t="shared" ref="F30:H30" si="18">STDEV(F24:F27)</f>
        <v>210.20684257812985</v>
      </c>
      <c r="G30" s="178">
        <f t="shared" si="18"/>
        <v>493.46935061865798</v>
      </c>
      <c r="H30" s="178">
        <f t="shared" si="18"/>
        <v>657.32610351205767</v>
      </c>
      <c r="I30" s="176">
        <f>STDEV(I24:I27)</f>
        <v>213.08057943729489</v>
      </c>
      <c r="J30" s="176">
        <f>STDEV(J24:J27)</f>
        <v>2836.1534984317523</v>
      </c>
    </row>
    <row r="31" spans="1:10">
      <c r="B31" s="135">
        <f>SUM(I31:S31)</f>
        <v>353605</v>
      </c>
      <c r="C31" s="13">
        <f>AVERAGE(I31:S31)</f>
        <v>176802.5</v>
      </c>
      <c r="D31" s="142">
        <f>STDEV(I31:S31)</f>
        <v>226256.49231016554</v>
      </c>
      <c r="E31" s="124"/>
      <c r="F31" s="200">
        <f t="shared" ref="F31:J31" si="19">SUM(F9:F12,F16:F19,F24:F27)</f>
        <v>19210</v>
      </c>
      <c r="G31" s="200">
        <f t="shared" si="19"/>
        <v>128872</v>
      </c>
      <c r="H31" s="200">
        <f t="shared" si="19"/>
        <v>94486.1</v>
      </c>
      <c r="I31" s="198">
        <f t="shared" si="19"/>
        <v>16815</v>
      </c>
      <c r="J31" s="198">
        <f t="shared" si="19"/>
        <v>336790</v>
      </c>
    </row>
    <row r="32" spans="1:10" ht="15.75" thickBot="1">
      <c r="B32" s="136">
        <f>SUM(I9:S12,I16:S19,I24:S27)</f>
        <v>353605</v>
      </c>
      <c r="C32" s="137">
        <f>AVERAGE(I9:S12,I16:S19,I24:S27)</f>
        <v>14733.541666666666</v>
      </c>
      <c r="D32" s="143">
        <f>STDEV(I9:S12,I16:S19,I24:S27)</f>
        <v>14152.85796603937</v>
      </c>
      <c r="E32" s="144"/>
      <c r="F32" s="203">
        <f t="shared" ref="F32:J32" si="20">AVERAGE(F9:F12,F16:F19,F24:F27)</f>
        <v>1600.8333333333333</v>
      </c>
      <c r="G32" s="203">
        <f t="shared" si="20"/>
        <v>10739.333333333334</v>
      </c>
      <c r="H32" s="203">
        <f t="shared" si="20"/>
        <v>7873.8416666666672</v>
      </c>
      <c r="I32" s="201">
        <f t="shared" si="20"/>
        <v>1401.25</v>
      </c>
      <c r="J32" s="201">
        <f t="shared" si="20"/>
        <v>28065.833333333332</v>
      </c>
    </row>
    <row r="33" spans="1:10" ht="15.75" thickBot="1">
      <c r="E33" s="122"/>
      <c r="F33" s="206">
        <f t="shared" ref="F33:J33" si="21">STDEV(F9:F12,F16:F19,F24:F27,)</f>
        <v>890.48426755851824</v>
      </c>
      <c r="G33" s="206">
        <f t="shared" si="21"/>
        <v>4249.3745060076417</v>
      </c>
      <c r="H33" s="206">
        <f t="shared" si="21"/>
        <v>3701.5496377234708</v>
      </c>
      <c r="I33" s="204">
        <f t="shared" si="21"/>
        <v>757.47845023083175</v>
      </c>
      <c r="J33" s="204">
        <f t="shared" si="21"/>
        <v>9411.8917551285285</v>
      </c>
    </row>
    <row r="35" spans="1:10">
      <c r="A35">
        <v>125</v>
      </c>
    </row>
    <row r="36" spans="1:10" ht="15.75" thickBot="1">
      <c r="A36">
        <v>425</v>
      </c>
      <c r="B36" s="172" t="s">
        <v>44</v>
      </c>
      <c r="C36" s="172"/>
      <c r="D36" s="172"/>
      <c r="E36" s="173"/>
      <c r="F36" s="172" t="s">
        <v>98</v>
      </c>
      <c r="G36" s="172" t="s">
        <v>98</v>
      </c>
      <c r="H36" s="172" t="s">
        <v>98</v>
      </c>
      <c r="I36" s="172" t="s">
        <v>99</v>
      </c>
      <c r="J36" s="172" t="s">
        <v>99</v>
      </c>
    </row>
    <row r="37" spans="1:10" ht="15.75" thickBot="1">
      <c r="A37">
        <v>5</v>
      </c>
      <c r="B37" s="187">
        <f>SUM(I37:V37)</f>
        <v>37163</v>
      </c>
      <c r="C37" s="188">
        <f>AVERAGE(I37:V37)</f>
        <v>18581.5</v>
      </c>
      <c r="D37" s="189">
        <f>STDEV(I37:U37)</f>
        <v>24223.357003107558</v>
      </c>
      <c r="E37" s="190" t="s">
        <v>40</v>
      </c>
      <c r="F37" s="192">
        <v>2424</v>
      </c>
      <c r="G37" s="192">
        <v>14682</v>
      </c>
      <c r="H37" s="191">
        <f>G37-F37*$L$4</f>
        <v>10343.040000000001</v>
      </c>
      <c r="I37" s="191">
        <v>1453</v>
      </c>
      <c r="J37" s="191">
        <v>35710</v>
      </c>
    </row>
    <row r="38" spans="1:10" ht="15.75" thickBot="1">
      <c r="B38" s="134">
        <f>SUM(I38:V38)</f>
        <v>33608</v>
      </c>
      <c r="C38" s="128">
        <f>AVERAGE(I38:V38)</f>
        <v>16804</v>
      </c>
      <c r="D38" s="141">
        <f>STDEV(I38:U38)</f>
        <v>21207.546581346935</v>
      </c>
      <c r="E38" s="193" t="s">
        <v>41</v>
      </c>
      <c r="F38" s="194">
        <v>2567</v>
      </c>
      <c r="G38" s="194">
        <v>15424</v>
      </c>
      <c r="H38" s="191">
        <f t="shared" ref="H38:H40" si="22">G38-F38*$L$4</f>
        <v>10829.07</v>
      </c>
      <c r="I38" s="58">
        <v>1808</v>
      </c>
      <c r="J38" s="58">
        <v>31800</v>
      </c>
    </row>
    <row r="39" spans="1:10" ht="15.75" thickBot="1">
      <c r="B39" s="214">
        <f>SUM(I39:V39)</f>
        <v>34843</v>
      </c>
      <c r="C39" s="128">
        <f>AVERAGE(I39:V39)</f>
        <v>17421.5</v>
      </c>
      <c r="D39" s="141">
        <f>STDEV(I39:U39)</f>
        <v>20942.381538401976</v>
      </c>
      <c r="E39" s="193" t="s">
        <v>42</v>
      </c>
      <c r="F39" s="194">
        <v>3422</v>
      </c>
      <c r="G39" s="194">
        <v>10038</v>
      </c>
      <c r="H39" s="191">
        <f t="shared" si="22"/>
        <v>3912.62</v>
      </c>
      <c r="I39" s="58">
        <v>2613</v>
      </c>
      <c r="J39" s="58">
        <v>32230</v>
      </c>
    </row>
    <row r="40" spans="1:10">
      <c r="B40" s="214">
        <f>SUM(I40:V40)</f>
        <v>37861</v>
      </c>
      <c r="C40" s="128">
        <f>AVERAGE(I40:V40)</f>
        <v>18930.5</v>
      </c>
      <c r="D40" s="141">
        <f>STDEV(I40:U40)</f>
        <v>22966.121146157879</v>
      </c>
      <c r="E40" s="193" t="s">
        <v>43</v>
      </c>
      <c r="F40" s="194">
        <v>3465</v>
      </c>
      <c r="G40" s="194">
        <v>8342</v>
      </c>
      <c r="H40" s="191">
        <f t="shared" si="22"/>
        <v>2139.6499999999996</v>
      </c>
      <c r="I40" s="58">
        <v>2691</v>
      </c>
      <c r="J40" s="58">
        <v>35170</v>
      </c>
    </row>
    <row r="41" spans="1:10">
      <c r="B41" s="132">
        <f>SUM(B37:B40)</f>
        <v>143475</v>
      </c>
      <c r="C41" s="126">
        <f>AVERAGE(I37:AA40)</f>
        <v>17934.375</v>
      </c>
      <c r="D41" s="139">
        <f>STDEV(I37:AA40)</f>
        <v>16938.80064009846</v>
      </c>
      <c r="E41" s="124"/>
      <c r="F41" s="207">
        <f t="shared" ref="F41:J41" si="23">SUM(F37:F40)</f>
        <v>11878</v>
      </c>
      <c r="G41" s="207">
        <f t="shared" si="23"/>
        <v>48486</v>
      </c>
      <c r="H41" s="207">
        <f t="shared" si="23"/>
        <v>27224.379999999997</v>
      </c>
      <c r="I41" s="207">
        <f t="shared" si="23"/>
        <v>8565</v>
      </c>
      <c r="J41" s="207">
        <f t="shared" si="23"/>
        <v>134910</v>
      </c>
    </row>
    <row r="42" spans="1:10">
      <c r="B42" s="132">
        <f>AVERAGE(B37:B40)</f>
        <v>35868.75</v>
      </c>
      <c r="C42" s="126"/>
      <c r="D42" s="139"/>
      <c r="E42" s="124"/>
      <c r="F42" s="138">
        <f t="shared" ref="F42:J42" si="24">AVERAGE(F37:F40)</f>
        <v>2969.5</v>
      </c>
      <c r="G42" s="138">
        <f t="shared" si="24"/>
        <v>12121.5</v>
      </c>
      <c r="H42" s="138">
        <f t="shared" si="24"/>
        <v>6806.0949999999993</v>
      </c>
      <c r="I42" s="125">
        <f t="shared" si="24"/>
        <v>2141.25</v>
      </c>
      <c r="J42" s="125">
        <f t="shared" si="24"/>
        <v>33727.5</v>
      </c>
    </row>
    <row r="43" spans="1:10" ht="15.75" thickBot="1">
      <c r="B43" s="169">
        <f>STDEV(B37:B40)</f>
        <v>1983.8764032402153</v>
      </c>
      <c r="C43" s="170"/>
      <c r="D43" s="171"/>
      <c r="E43" s="124"/>
      <c r="F43" s="178">
        <f t="shared" ref="F43:J43" si="25">STDEV(F37:F40)</f>
        <v>550.71256870833565</v>
      </c>
      <c r="G43" s="178">
        <f t="shared" si="25"/>
        <v>3468.3453788033662</v>
      </c>
      <c r="H43" s="178">
        <f t="shared" si="25"/>
        <v>4428.777645404356</v>
      </c>
      <c r="I43" s="177">
        <f t="shared" si="25"/>
        <v>608.14382893084326</v>
      </c>
      <c r="J43" s="177">
        <f t="shared" si="25"/>
        <v>1997.4045659304977</v>
      </c>
    </row>
    <row r="44" spans="1:10" ht="15.75" thickBot="1">
      <c r="A44">
        <v>10</v>
      </c>
      <c r="B44" s="133">
        <f>SUM(I44:V44)</f>
        <v>19896</v>
      </c>
      <c r="C44" s="127">
        <f>AVERAGE(I44:V44)</f>
        <v>9948</v>
      </c>
      <c r="D44" s="140">
        <f>STDEV(I44:U44)</f>
        <v>12829.745437848718</v>
      </c>
      <c r="E44" s="190" t="s">
        <v>40</v>
      </c>
      <c r="F44" s="155">
        <v>1286</v>
      </c>
      <c r="G44" s="155">
        <v>10259</v>
      </c>
      <c r="H44" s="191">
        <f>G44-F44*$L$4</f>
        <v>7957.0599999999995</v>
      </c>
      <c r="I44" s="161">
        <v>876</v>
      </c>
      <c r="J44" s="161">
        <v>19020</v>
      </c>
    </row>
    <row r="45" spans="1:10" ht="15.75" thickBot="1">
      <c r="B45" s="133">
        <f>SUM(I45:V45)</f>
        <v>22343</v>
      </c>
      <c r="C45" s="127">
        <f>AVERAGE(I45:V45)</f>
        <v>11171.5</v>
      </c>
      <c r="D45" s="140">
        <f>STDEV(I45:U45)</f>
        <v>14366.288473367085</v>
      </c>
      <c r="E45" s="193" t="s">
        <v>41</v>
      </c>
      <c r="F45" s="155">
        <v>1370</v>
      </c>
      <c r="G45" s="155">
        <v>9434</v>
      </c>
      <c r="H45" s="191">
        <f t="shared" ref="H45:H47" si="26">G45-F45*$L$4</f>
        <v>6981.7</v>
      </c>
      <c r="I45" s="54">
        <v>1013</v>
      </c>
      <c r="J45" s="54">
        <v>21330</v>
      </c>
    </row>
    <row r="46" spans="1:10" ht="15.75" thickBot="1">
      <c r="B46" s="214">
        <f>SUM(I46:V46)</f>
        <v>31031</v>
      </c>
      <c r="C46" s="127">
        <f>AVERAGE(I46:V46)</f>
        <v>15515.5</v>
      </c>
      <c r="D46" s="140">
        <f>STDEV(I46:U46)</f>
        <v>19904.348783620128</v>
      </c>
      <c r="E46" s="193" t="s">
        <v>42</v>
      </c>
      <c r="F46" s="155">
        <v>1783</v>
      </c>
      <c r="G46" s="220">
        <v>12678</v>
      </c>
      <c r="H46" s="191">
        <f t="shared" si="26"/>
        <v>9486.43</v>
      </c>
      <c r="I46" s="54">
        <v>1441</v>
      </c>
      <c r="J46" s="54">
        <v>29590</v>
      </c>
    </row>
    <row r="47" spans="1:10" ht="15.75" thickBot="1">
      <c r="B47" s="133">
        <f>SUM(I47:V47)</f>
        <v>32624</v>
      </c>
      <c r="C47" s="127">
        <f>AVERAGE(I47:V47)</f>
        <v>16312</v>
      </c>
      <c r="D47" s="140">
        <f>STDEV(I47:U47)</f>
        <v>20941.674431620791</v>
      </c>
      <c r="E47" s="193" t="s">
        <v>43</v>
      </c>
      <c r="F47" s="155">
        <v>1829</v>
      </c>
      <c r="G47" s="155">
        <v>10040</v>
      </c>
      <c r="H47" s="191">
        <f t="shared" si="26"/>
        <v>6766.09</v>
      </c>
      <c r="I47" s="164">
        <v>1504</v>
      </c>
      <c r="J47" s="164">
        <v>31120</v>
      </c>
    </row>
    <row r="48" spans="1:10">
      <c r="B48" s="132">
        <f>SUM(B44:B47)</f>
        <v>105894</v>
      </c>
      <c r="C48" s="126">
        <f>AVERAGE(I44:AA47)</f>
        <v>13236.75</v>
      </c>
      <c r="D48" s="139">
        <f>STDEV(I44:AA47)</f>
        <v>13444.018518604154</v>
      </c>
      <c r="E48" s="124"/>
      <c r="F48" s="138">
        <f t="shared" ref="F48:J48" si="27">SUM(F44:F47)</f>
        <v>6268</v>
      </c>
      <c r="G48" s="138">
        <f t="shared" si="27"/>
        <v>42411</v>
      </c>
      <c r="H48" s="138">
        <f t="shared" si="27"/>
        <v>31191.279999999999</v>
      </c>
      <c r="I48" s="211">
        <f t="shared" si="27"/>
        <v>4834</v>
      </c>
      <c r="J48" s="211">
        <f t="shared" si="27"/>
        <v>101060</v>
      </c>
    </row>
    <row r="49" spans="1:10">
      <c r="B49" s="132">
        <f>AVERAGE(B44:B47)</f>
        <v>26473.5</v>
      </c>
      <c r="C49" s="126"/>
      <c r="D49" s="139"/>
      <c r="E49" s="124"/>
      <c r="F49" s="138">
        <f t="shared" ref="F49:J49" si="28">AVERAGE(F44:F47)</f>
        <v>1567</v>
      </c>
      <c r="G49" s="138">
        <f t="shared" si="28"/>
        <v>10602.75</v>
      </c>
      <c r="H49" s="138">
        <f t="shared" si="28"/>
        <v>7797.82</v>
      </c>
      <c r="I49" s="125">
        <f t="shared" si="28"/>
        <v>1208.5</v>
      </c>
      <c r="J49" s="125">
        <f t="shared" si="28"/>
        <v>25265</v>
      </c>
    </row>
    <row r="50" spans="1:10" ht="15.75" thickBot="1">
      <c r="B50" s="169">
        <f>STDEV(B44:B47)</f>
        <v>6296.1361961126604</v>
      </c>
      <c r="C50" s="170"/>
      <c r="D50" s="171"/>
      <c r="E50" s="144"/>
      <c r="F50" s="178">
        <f t="shared" ref="F50:J50" si="29">STDEV(F44:F47)</f>
        <v>278.72925931807015</v>
      </c>
      <c r="G50" s="178">
        <f t="shared" si="29"/>
        <v>1426.82523456799</v>
      </c>
      <c r="H50" s="178">
        <f t="shared" si="29"/>
        <v>1239.2578097393616</v>
      </c>
      <c r="I50" s="177">
        <f t="shared" si="29"/>
        <v>310.99464089702042</v>
      </c>
      <c r="J50" s="177">
        <f t="shared" si="29"/>
        <v>5985.2847328538464</v>
      </c>
    </row>
    <row r="51" spans="1:10" ht="15.75" thickBot="1">
      <c r="B51" s="172" t="s">
        <v>14</v>
      </c>
      <c r="C51" s="172"/>
      <c r="D51" s="172"/>
      <c r="E51" s="173"/>
      <c r="F51" s="172" t="s">
        <v>20</v>
      </c>
      <c r="G51" s="172" t="s">
        <v>20</v>
      </c>
      <c r="H51" s="172" t="s">
        <v>20</v>
      </c>
      <c r="I51" s="174" t="s">
        <v>13</v>
      </c>
      <c r="J51" s="174" t="s">
        <v>13</v>
      </c>
    </row>
    <row r="52" spans="1:10" ht="15.75" thickBot="1">
      <c r="A52">
        <v>15</v>
      </c>
      <c r="B52" s="133">
        <f>SUM(I52:V52)</f>
        <v>24888</v>
      </c>
      <c r="C52" s="127">
        <f>AVERAGE(I52:V52)</f>
        <v>12444</v>
      </c>
      <c r="D52" s="140">
        <f>STDEV(I52:U52)</f>
        <v>16710.34745300049</v>
      </c>
      <c r="E52" s="190" t="s">
        <v>40</v>
      </c>
      <c r="F52" s="155">
        <v>864</v>
      </c>
      <c r="G52" s="155">
        <v>4921</v>
      </c>
      <c r="H52" s="191">
        <f>G52-F52*$L$4</f>
        <v>3374.44</v>
      </c>
      <c r="I52" s="181">
        <v>628</v>
      </c>
      <c r="J52" s="181">
        <v>24260</v>
      </c>
    </row>
    <row r="53" spans="1:10" ht="15.75" thickBot="1">
      <c r="B53" s="133">
        <f>SUM(I53:V53)</f>
        <v>22447</v>
      </c>
      <c r="C53" s="127">
        <f>AVERAGE(I53:V53)</f>
        <v>11223.5</v>
      </c>
      <c r="D53" s="140">
        <f>STDEV(I53:U53)</f>
        <v>14858.434793072924</v>
      </c>
      <c r="E53" s="193" t="s">
        <v>41</v>
      </c>
      <c r="F53" s="155">
        <v>920</v>
      </c>
      <c r="G53" s="155">
        <v>3676</v>
      </c>
      <c r="H53" s="191">
        <f t="shared" ref="H53:H55" si="30">G53-F53*$L$4</f>
        <v>2029.2</v>
      </c>
      <c r="I53" s="183">
        <v>717</v>
      </c>
      <c r="J53" s="183">
        <v>21730</v>
      </c>
    </row>
    <row r="54" spans="1:10" ht="15.75" thickBot="1">
      <c r="B54" s="214">
        <f>SUM(I54:V54)</f>
        <v>29270</v>
      </c>
      <c r="C54" s="127">
        <f>AVERAGE(I54:V54)</f>
        <v>14635</v>
      </c>
      <c r="D54" s="140">
        <f>STDEV(I54:U54)</f>
        <v>19254.517651709688</v>
      </c>
      <c r="E54" s="193" t="s">
        <v>42</v>
      </c>
      <c r="F54" s="155">
        <v>1205</v>
      </c>
      <c r="G54" s="155">
        <v>6353</v>
      </c>
      <c r="H54" s="191">
        <f t="shared" si="30"/>
        <v>4196.05</v>
      </c>
      <c r="I54" s="54">
        <v>1020</v>
      </c>
      <c r="J54" s="54">
        <v>28250</v>
      </c>
    </row>
    <row r="55" spans="1:10" ht="15.75" thickBot="1">
      <c r="B55" s="214">
        <f>SUM(I55:V55)</f>
        <v>27631</v>
      </c>
      <c r="C55" s="127">
        <f>AVERAGE(I55:V55)</f>
        <v>13815.5</v>
      </c>
      <c r="D55" s="140">
        <f>STDEV(I55:U55)</f>
        <v>18051.729016911373</v>
      </c>
      <c r="E55" s="193" t="s">
        <v>43</v>
      </c>
      <c r="F55" s="155">
        <v>1225</v>
      </c>
      <c r="G55" s="155">
        <v>7139</v>
      </c>
      <c r="H55" s="191">
        <f t="shared" si="30"/>
        <v>4946.25</v>
      </c>
      <c r="I55" s="164">
        <v>1051</v>
      </c>
      <c r="J55" s="164">
        <v>26580</v>
      </c>
    </row>
    <row r="56" spans="1:10">
      <c r="B56" s="132">
        <f>SUM(B52:B55)</f>
        <v>104236</v>
      </c>
      <c r="C56" s="126">
        <f>AVERAGE(I52:AA55)</f>
        <v>13029.5</v>
      </c>
      <c r="D56" s="139">
        <f>STDEV(I52:AA55)</f>
        <v>13148.655075166977</v>
      </c>
      <c r="E56" s="124"/>
      <c r="F56" s="138">
        <f t="shared" ref="F56:J56" si="31">SUM(F52:F55)</f>
        <v>4214</v>
      </c>
      <c r="G56" s="138">
        <f t="shared" si="31"/>
        <v>22089</v>
      </c>
      <c r="H56" s="138">
        <f t="shared" si="31"/>
        <v>14545.94</v>
      </c>
      <c r="I56" s="213">
        <f t="shared" si="31"/>
        <v>3416</v>
      </c>
      <c r="J56" s="213">
        <f t="shared" si="31"/>
        <v>100820</v>
      </c>
    </row>
    <row r="57" spans="1:10">
      <c r="B57" s="132">
        <f>AVERAGE(B52:B55)</f>
        <v>26059</v>
      </c>
      <c r="C57" s="126"/>
      <c r="D57" s="139"/>
      <c r="E57" s="124"/>
      <c r="F57" s="138">
        <f t="shared" ref="F57:H57" si="32">AVERAGE(F52:F55)</f>
        <v>1053.5</v>
      </c>
      <c r="G57" s="138">
        <f t="shared" si="32"/>
        <v>5522.25</v>
      </c>
      <c r="H57" s="138">
        <f t="shared" si="32"/>
        <v>3636.4850000000001</v>
      </c>
      <c r="I57" s="131">
        <f>AVERAGE(I52:I55)</f>
        <v>854</v>
      </c>
      <c r="J57" s="131">
        <f>AVERAGE(J52:J55)</f>
        <v>25205</v>
      </c>
    </row>
    <row r="58" spans="1:10" ht="15.75" thickBot="1">
      <c r="B58" s="132">
        <f>STDEV(B52:B55)</f>
        <v>3011.0623817295227</v>
      </c>
      <c r="C58" s="126"/>
      <c r="D58" s="139"/>
      <c r="E58" s="124"/>
      <c r="F58" s="178">
        <f t="shared" ref="F58:H58" si="33">STDEV(F52:F55)</f>
        <v>188.05761528496171</v>
      </c>
      <c r="G58" s="178">
        <f t="shared" si="33"/>
        <v>1535.5961654462847</v>
      </c>
      <c r="H58" s="178">
        <f t="shared" si="33"/>
        <v>1249.0836638245385</v>
      </c>
      <c r="I58" s="176">
        <f>STDEV(I52:I55)</f>
        <v>213.08057943729489</v>
      </c>
      <c r="J58" s="176">
        <f>STDEV(J52:J55)</f>
        <v>2836.1534984317523</v>
      </c>
    </row>
    <row r="59" spans="1:10">
      <c r="B59" s="135">
        <f>SUM(I59:S59)</f>
        <v>353605</v>
      </c>
      <c r="C59" s="13">
        <f>AVERAGE(I59:S59)</f>
        <v>176802.5</v>
      </c>
      <c r="D59" s="142">
        <f>STDEV(I59:S59)</f>
        <v>226256.49231016554</v>
      </c>
      <c r="E59" s="124"/>
      <c r="F59" s="200">
        <f t="shared" ref="F59:J59" si="34">SUM(F37:F40,F44:F47,F52:F55)</f>
        <v>22360</v>
      </c>
      <c r="G59" s="200">
        <f t="shared" si="34"/>
        <v>112986</v>
      </c>
      <c r="H59" s="200">
        <f t="shared" si="34"/>
        <v>72961.599999999991</v>
      </c>
      <c r="I59" s="198">
        <f t="shared" si="34"/>
        <v>16815</v>
      </c>
      <c r="J59" s="198">
        <f t="shared" si="34"/>
        <v>336790</v>
      </c>
    </row>
    <row r="60" spans="1:10" ht="15.75" thickBot="1">
      <c r="B60" s="136">
        <f>SUM(I37:S40,I44:S47,I52:S55)</f>
        <v>353605</v>
      </c>
      <c r="C60" s="137">
        <f>AVERAGE(I37:S40,I44:S47,I52:S55)</f>
        <v>14733.541666666666</v>
      </c>
      <c r="D60" s="143">
        <f>STDEV(I37:S40,I44:S47,I52:S55)</f>
        <v>14152.85796603937</v>
      </c>
      <c r="E60" s="144"/>
      <c r="F60" s="203">
        <f t="shared" ref="F60:J60" si="35">AVERAGE(F37:F40,F44:F47,F52:F55)</f>
        <v>1863.3333333333333</v>
      </c>
      <c r="G60" s="203">
        <f t="shared" si="35"/>
        <v>9415.5</v>
      </c>
      <c r="H60" s="203">
        <f t="shared" si="35"/>
        <v>6080.1333333333323</v>
      </c>
      <c r="I60" s="201">
        <f t="shared" si="35"/>
        <v>1401.25</v>
      </c>
      <c r="J60" s="201">
        <f t="shared" si="35"/>
        <v>28065.833333333332</v>
      </c>
    </row>
    <row r="61" spans="1:10" ht="15.75" thickBot="1">
      <c r="E61" s="122"/>
      <c r="F61" s="206">
        <f t="shared" ref="F61:J61" si="36">STDEV(F37:F40,F44:F47,F52:F55,)</f>
        <v>1013.3667483525728</v>
      </c>
      <c r="G61" s="206">
        <f t="shared" si="36"/>
        <v>4346.068877998563</v>
      </c>
      <c r="H61" s="206">
        <f t="shared" si="36"/>
        <v>3416.2600343344816</v>
      </c>
      <c r="I61" s="204">
        <f t="shared" si="36"/>
        <v>757.47845023083175</v>
      </c>
      <c r="J61" s="204">
        <f t="shared" si="36"/>
        <v>9411.8917551285285</v>
      </c>
    </row>
    <row r="63" spans="1:10">
      <c r="A63">
        <v>125</v>
      </c>
    </row>
    <row r="64" spans="1:10" ht="15.75" thickBot="1">
      <c r="A64">
        <v>350</v>
      </c>
      <c r="B64" s="172" t="s">
        <v>44</v>
      </c>
      <c r="C64" s="172"/>
      <c r="D64" s="172"/>
      <c r="E64" s="173"/>
      <c r="F64" s="172" t="s">
        <v>98</v>
      </c>
      <c r="G64" s="172" t="s">
        <v>98</v>
      </c>
      <c r="H64" s="172" t="s">
        <v>98</v>
      </c>
      <c r="I64" s="172" t="s">
        <v>99</v>
      </c>
      <c r="J64" s="172" t="s">
        <v>99</v>
      </c>
    </row>
    <row r="65" spans="1:10" ht="15.75" thickBot="1">
      <c r="A65">
        <v>5</v>
      </c>
      <c r="B65" s="187">
        <f>SUM(I65:V65)</f>
        <v>37163</v>
      </c>
      <c r="C65" s="188">
        <f>AVERAGE(I65:V65)</f>
        <v>18581.5</v>
      </c>
      <c r="D65" s="189">
        <f>STDEV(I65:U65)</f>
        <v>24223.357003107558</v>
      </c>
      <c r="E65" s="190" t="s">
        <v>40</v>
      </c>
      <c r="F65" s="192">
        <v>3079</v>
      </c>
      <c r="G65" s="192">
        <v>16183</v>
      </c>
      <c r="H65" s="191">
        <f>G65-F65*$L$4</f>
        <v>10671.59</v>
      </c>
      <c r="I65" s="191">
        <v>1453</v>
      </c>
      <c r="J65" s="191">
        <v>35710</v>
      </c>
    </row>
    <row r="66" spans="1:10" ht="15.75" thickBot="1">
      <c r="B66" s="134">
        <f>SUM(I66:V66)</f>
        <v>33608</v>
      </c>
      <c r="C66" s="128">
        <f>AVERAGE(I66:V66)</f>
        <v>16804</v>
      </c>
      <c r="D66" s="141">
        <f>STDEV(I66:U66)</f>
        <v>21207.546581346935</v>
      </c>
      <c r="E66" s="193" t="s">
        <v>41</v>
      </c>
      <c r="F66" s="194">
        <v>3149</v>
      </c>
      <c r="G66" s="194">
        <v>15449</v>
      </c>
      <c r="H66" s="191">
        <f t="shared" ref="H66:H68" si="37">G66-F66*$L$4</f>
        <v>9812.2900000000009</v>
      </c>
      <c r="I66" s="58">
        <v>1808</v>
      </c>
      <c r="J66" s="58">
        <v>31800</v>
      </c>
    </row>
    <row r="67" spans="1:10" ht="15.75" thickBot="1">
      <c r="B67" s="214">
        <f>SUM(I67:V67)</f>
        <v>34843</v>
      </c>
      <c r="C67" s="128">
        <f>AVERAGE(I67:V67)</f>
        <v>17421.5</v>
      </c>
      <c r="D67" s="141">
        <f>STDEV(I67:U67)</f>
        <v>20942.381538401976</v>
      </c>
      <c r="E67" s="193" t="s">
        <v>42</v>
      </c>
      <c r="F67" s="194">
        <v>3927</v>
      </c>
      <c r="G67" s="194">
        <v>13410</v>
      </c>
      <c r="H67" s="191">
        <f t="shared" si="37"/>
        <v>6380.67</v>
      </c>
      <c r="I67" s="58">
        <v>2613</v>
      </c>
      <c r="J67" s="58">
        <v>32230</v>
      </c>
    </row>
    <row r="68" spans="1:10">
      <c r="B68" s="214">
        <f>SUM(I68:V68)</f>
        <v>37861</v>
      </c>
      <c r="C68" s="128">
        <f>AVERAGE(I68:V68)</f>
        <v>18930.5</v>
      </c>
      <c r="D68" s="141">
        <f>STDEV(I68:U68)</f>
        <v>22966.121146157879</v>
      </c>
      <c r="E68" s="193" t="s">
        <v>43</v>
      </c>
      <c r="F68" s="194">
        <v>3954</v>
      </c>
      <c r="G68" s="194">
        <v>12332</v>
      </c>
      <c r="H68" s="191">
        <f t="shared" si="37"/>
        <v>5254.34</v>
      </c>
      <c r="I68" s="58">
        <v>2691</v>
      </c>
      <c r="J68" s="58">
        <v>35170</v>
      </c>
    </row>
    <row r="69" spans="1:10">
      <c r="B69" s="132">
        <f>SUM(B65:B68)</f>
        <v>143475</v>
      </c>
      <c r="C69" s="126">
        <f>AVERAGE(I65:AA68)</f>
        <v>17934.375</v>
      </c>
      <c r="D69" s="139">
        <f>STDEV(I65:AA68)</f>
        <v>16938.80064009846</v>
      </c>
      <c r="E69" s="124"/>
      <c r="F69" s="207">
        <f t="shared" ref="F69:J69" si="38">SUM(F65:F68)</f>
        <v>14109</v>
      </c>
      <c r="G69" s="207">
        <f t="shared" si="38"/>
        <v>57374</v>
      </c>
      <c r="H69" s="207">
        <f t="shared" si="38"/>
        <v>32118.890000000003</v>
      </c>
      <c r="I69" s="207">
        <f t="shared" si="38"/>
        <v>8565</v>
      </c>
      <c r="J69" s="207">
        <f t="shared" si="38"/>
        <v>134910</v>
      </c>
    </row>
    <row r="70" spans="1:10">
      <c r="B70" s="132">
        <f>AVERAGE(B65:B68)</f>
        <v>35868.75</v>
      </c>
      <c r="C70" s="126"/>
      <c r="D70" s="139"/>
      <c r="E70" s="124"/>
      <c r="F70" s="138">
        <f t="shared" ref="F70:J70" si="39">AVERAGE(F65:F68)</f>
        <v>3527.25</v>
      </c>
      <c r="G70" s="138">
        <f t="shared" si="39"/>
        <v>14343.5</v>
      </c>
      <c r="H70" s="138">
        <f t="shared" si="39"/>
        <v>8029.7225000000008</v>
      </c>
      <c r="I70" s="125">
        <f t="shared" si="39"/>
        <v>2141.25</v>
      </c>
      <c r="J70" s="125">
        <f t="shared" si="39"/>
        <v>33727.5</v>
      </c>
    </row>
    <row r="71" spans="1:10" ht="15.75" thickBot="1">
      <c r="B71" s="169">
        <f>STDEV(B65:B68)</f>
        <v>1983.8764032402153</v>
      </c>
      <c r="C71" s="170"/>
      <c r="D71" s="171"/>
      <c r="E71" s="124"/>
      <c r="F71" s="178">
        <f t="shared" ref="F71:J71" si="40">STDEV(F65:F68)</f>
        <v>478.16201926404261</v>
      </c>
      <c r="G71" s="178">
        <f t="shared" si="40"/>
        <v>1781.7075143430995</v>
      </c>
      <c r="H71" s="178">
        <f t="shared" si="40"/>
        <v>2619.1049965382563</v>
      </c>
      <c r="I71" s="177">
        <f t="shared" si="40"/>
        <v>608.14382893084326</v>
      </c>
      <c r="J71" s="177">
        <f t="shared" si="40"/>
        <v>1997.4045659304977</v>
      </c>
    </row>
    <row r="72" spans="1:10" ht="15.75" thickBot="1">
      <c r="A72">
        <v>10</v>
      </c>
      <c r="B72" s="133">
        <f>SUM(I72:V72)</f>
        <v>19896</v>
      </c>
      <c r="C72" s="127">
        <f>AVERAGE(I72:V72)</f>
        <v>9948</v>
      </c>
      <c r="D72" s="140">
        <f>STDEV(I72:U72)</f>
        <v>12829.745437848718</v>
      </c>
      <c r="E72" s="190" t="s">
        <v>40</v>
      </c>
      <c r="F72" s="155">
        <v>1612</v>
      </c>
      <c r="G72" s="155">
        <v>13430</v>
      </c>
      <c r="H72" s="191">
        <f>G72-F72*$L$4</f>
        <v>10544.52</v>
      </c>
      <c r="I72" s="161">
        <v>876</v>
      </c>
      <c r="J72" s="161">
        <v>19020</v>
      </c>
    </row>
    <row r="73" spans="1:10" ht="15.75" thickBot="1">
      <c r="B73" s="133">
        <f>SUM(I73:V73)</f>
        <v>22343</v>
      </c>
      <c r="C73" s="127">
        <f>AVERAGE(I73:V73)</f>
        <v>11171.5</v>
      </c>
      <c r="D73" s="140">
        <f>STDEV(I73:U73)</f>
        <v>14366.288473367085</v>
      </c>
      <c r="E73" s="193" t="s">
        <v>41</v>
      </c>
      <c r="F73" s="155">
        <v>1646</v>
      </c>
      <c r="G73" s="155">
        <v>13993</v>
      </c>
      <c r="H73" s="191">
        <f t="shared" ref="H73:H75" si="41">G73-F73*$L$4</f>
        <v>11046.66</v>
      </c>
      <c r="I73" s="54">
        <v>1013</v>
      </c>
      <c r="J73" s="54">
        <v>21330</v>
      </c>
    </row>
    <row r="74" spans="1:10" ht="15.75" thickBot="1">
      <c r="B74" s="214">
        <f>SUM(I74:V74)</f>
        <v>31031</v>
      </c>
      <c r="C74" s="127">
        <f>AVERAGE(I74:V74)</f>
        <v>15515.5</v>
      </c>
      <c r="D74" s="140">
        <f>STDEV(I74:U74)</f>
        <v>19904.348783620128</v>
      </c>
      <c r="E74" s="193" t="s">
        <v>42</v>
      </c>
      <c r="F74" s="155">
        <v>2060</v>
      </c>
      <c r="G74" s="220">
        <v>14024</v>
      </c>
      <c r="H74" s="191">
        <f t="shared" si="41"/>
        <v>10336.6</v>
      </c>
      <c r="I74" s="54">
        <v>1441</v>
      </c>
      <c r="J74" s="54">
        <v>29590</v>
      </c>
    </row>
    <row r="75" spans="1:10" ht="15.75" thickBot="1">
      <c r="B75" s="133">
        <f>SUM(I75:V75)</f>
        <v>32624</v>
      </c>
      <c r="C75" s="127">
        <f>AVERAGE(I75:V75)</f>
        <v>16312</v>
      </c>
      <c r="D75" s="140">
        <f>STDEV(I75:U75)</f>
        <v>20941.674431620791</v>
      </c>
      <c r="E75" s="193" t="s">
        <v>43</v>
      </c>
      <c r="F75" s="155">
        <v>2072</v>
      </c>
      <c r="G75" s="155">
        <v>14548</v>
      </c>
      <c r="H75" s="191">
        <f t="shared" si="41"/>
        <v>10839.119999999999</v>
      </c>
      <c r="I75" s="164">
        <v>1504</v>
      </c>
      <c r="J75" s="164">
        <v>31120</v>
      </c>
    </row>
    <row r="76" spans="1:10">
      <c r="B76" s="132">
        <f>SUM(B72:B75)</f>
        <v>105894</v>
      </c>
      <c r="C76" s="126">
        <f>AVERAGE(I72:AA75)</f>
        <v>13236.75</v>
      </c>
      <c r="D76" s="139">
        <f>STDEV(I72:AA75)</f>
        <v>13444.018518604154</v>
      </c>
      <c r="E76" s="124"/>
      <c r="F76" s="138">
        <f t="shared" ref="F76:G76" si="42">SUM(F72:F75)</f>
        <v>7390</v>
      </c>
      <c r="G76" s="138">
        <f t="shared" si="42"/>
        <v>55995</v>
      </c>
      <c r="H76" s="138">
        <f t="shared" ref="H76:J76" si="43">SUM(H72:H75)</f>
        <v>42766.899999999994</v>
      </c>
      <c r="I76" s="211">
        <f t="shared" si="43"/>
        <v>4834</v>
      </c>
      <c r="J76" s="211">
        <f t="shared" si="43"/>
        <v>101060</v>
      </c>
    </row>
    <row r="77" spans="1:10">
      <c r="B77" s="132">
        <f>AVERAGE(B72:B75)</f>
        <v>26473.5</v>
      </c>
      <c r="C77" s="126"/>
      <c r="D77" s="139"/>
      <c r="E77" s="124"/>
      <c r="F77" s="138">
        <f t="shared" ref="F77:G77" si="44">AVERAGE(F72:F75)</f>
        <v>1847.5</v>
      </c>
      <c r="G77" s="138">
        <f t="shared" si="44"/>
        <v>13998.75</v>
      </c>
      <c r="H77" s="138">
        <f t="shared" ref="H77:J77" si="45">AVERAGE(H72:H75)</f>
        <v>10691.724999999999</v>
      </c>
      <c r="I77" s="125">
        <f t="shared" si="45"/>
        <v>1208.5</v>
      </c>
      <c r="J77" s="125">
        <f t="shared" si="45"/>
        <v>25265</v>
      </c>
    </row>
    <row r="78" spans="1:10" ht="15.75" thickBot="1">
      <c r="B78" s="169">
        <f>STDEV(B72:B75)</f>
        <v>6296.1361961126604</v>
      </c>
      <c r="C78" s="170"/>
      <c r="D78" s="171"/>
      <c r="E78" s="144"/>
      <c r="F78" s="178">
        <f t="shared" ref="F78:G78" si="46">STDEV(F72:F75)</f>
        <v>252.73108237808819</v>
      </c>
      <c r="G78" s="178">
        <f t="shared" si="46"/>
        <v>456.73579160531455</v>
      </c>
      <c r="H78" s="178">
        <f t="shared" ref="H78:J78" si="47">STDEV(H72:H75)</f>
        <v>313.84030859663716</v>
      </c>
      <c r="I78" s="177">
        <f t="shared" si="47"/>
        <v>310.99464089702042</v>
      </c>
      <c r="J78" s="177">
        <f t="shared" si="47"/>
        <v>5985.2847328538464</v>
      </c>
    </row>
    <row r="79" spans="1:10" ht="15.75" thickBot="1">
      <c r="B79" s="172" t="s">
        <v>14</v>
      </c>
      <c r="C79" s="172"/>
      <c r="D79" s="172"/>
      <c r="E79" s="173"/>
      <c r="F79" s="172" t="s">
        <v>20</v>
      </c>
      <c r="G79" s="172" t="s">
        <v>20</v>
      </c>
      <c r="H79" s="172" t="s">
        <v>20</v>
      </c>
      <c r="I79" s="174" t="s">
        <v>13</v>
      </c>
      <c r="J79" s="174" t="s">
        <v>13</v>
      </c>
    </row>
    <row r="80" spans="1:10" ht="15.75" thickBot="1">
      <c r="A80">
        <v>15</v>
      </c>
      <c r="B80" s="133">
        <f>SUM(I80:V80)</f>
        <v>24888</v>
      </c>
      <c r="C80" s="127">
        <f>AVERAGE(I80:V80)</f>
        <v>12444</v>
      </c>
      <c r="D80" s="140">
        <f>STDEV(I80:U80)</f>
        <v>16710.34745300049</v>
      </c>
      <c r="E80" s="190" t="s">
        <v>40</v>
      </c>
      <c r="F80" s="155">
        <v>1099</v>
      </c>
      <c r="G80" s="155">
        <v>9604</v>
      </c>
      <c r="H80" s="191">
        <f>G80-F80*$L$4</f>
        <v>7636.79</v>
      </c>
      <c r="I80" s="181">
        <v>628</v>
      </c>
      <c r="J80" s="181">
        <v>24260</v>
      </c>
    </row>
    <row r="81" spans="1:10" ht="15.75" thickBot="1">
      <c r="B81" s="133">
        <f>SUM(I81:V81)</f>
        <v>22447</v>
      </c>
      <c r="C81" s="127">
        <f>AVERAGE(I81:V81)</f>
        <v>11223.5</v>
      </c>
      <c r="D81" s="140">
        <f>STDEV(I81:U81)</f>
        <v>14858.434793072924</v>
      </c>
      <c r="E81" s="193" t="s">
        <v>41</v>
      </c>
      <c r="F81" s="155">
        <v>1129</v>
      </c>
      <c r="G81" s="155">
        <v>9878</v>
      </c>
      <c r="H81" s="191">
        <f t="shared" ref="H81:H83" si="48">G81-F81*$L$4</f>
        <v>7857.09</v>
      </c>
      <c r="I81" s="183">
        <v>717</v>
      </c>
      <c r="J81" s="183">
        <v>21730</v>
      </c>
    </row>
    <row r="82" spans="1:10" ht="15.75" thickBot="1">
      <c r="B82" s="214">
        <f>SUM(I82:V82)</f>
        <v>29270</v>
      </c>
      <c r="C82" s="127">
        <f>AVERAGE(I82:V82)</f>
        <v>14635</v>
      </c>
      <c r="D82" s="140">
        <f>STDEV(I82:U82)</f>
        <v>19254.517651709688</v>
      </c>
      <c r="E82" s="193" t="s">
        <v>42</v>
      </c>
      <c r="F82" s="155">
        <v>1394</v>
      </c>
      <c r="G82" s="155">
        <v>13189</v>
      </c>
      <c r="H82" s="191">
        <f t="shared" si="48"/>
        <v>10693.74</v>
      </c>
      <c r="I82" s="54">
        <v>1020</v>
      </c>
      <c r="J82" s="54">
        <v>28250</v>
      </c>
    </row>
    <row r="83" spans="1:10" ht="15.75" thickBot="1">
      <c r="B83" s="214">
        <f>SUM(I83:V83)</f>
        <v>27631</v>
      </c>
      <c r="C83" s="127">
        <f>AVERAGE(I83:V83)</f>
        <v>13815.5</v>
      </c>
      <c r="D83" s="140">
        <f>STDEV(I83:U83)</f>
        <v>18051.729016911373</v>
      </c>
      <c r="E83" s="193" t="s">
        <v>43</v>
      </c>
      <c r="F83" s="155">
        <v>1407</v>
      </c>
      <c r="G83" s="155">
        <v>12561</v>
      </c>
      <c r="H83" s="191">
        <f t="shared" si="48"/>
        <v>10042.469999999999</v>
      </c>
      <c r="I83" s="164">
        <v>1051</v>
      </c>
      <c r="J83" s="164">
        <v>26580</v>
      </c>
    </row>
    <row r="84" spans="1:10">
      <c r="B84" s="132">
        <f>SUM(B80:B83)</f>
        <v>104236</v>
      </c>
      <c r="C84" s="126">
        <f>AVERAGE(I80:AA83)</f>
        <v>13029.5</v>
      </c>
      <c r="D84" s="139">
        <f>STDEV(I80:AA83)</f>
        <v>13148.655075166977</v>
      </c>
      <c r="E84" s="124"/>
      <c r="F84" s="138">
        <f t="shared" ref="F84:J84" si="49">SUM(F80:F83)</f>
        <v>5029</v>
      </c>
      <c r="G84" s="138">
        <f t="shared" si="49"/>
        <v>45232</v>
      </c>
      <c r="H84" s="138">
        <f t="shared" si="49"/>
        <v>36230.090000000004</v>
      </c>
      <c r="I84" s="213">
        <f t="shared" si="49"/>
        <v>3416</v>
      </c>
      <c r="J84" s="213">
        <f t="shared" si="49"/>
        <v>100820</v>
      </c>
    </row>
    <row r="85" spans="1:10">
      <c r="B85" s="132">
        <f>AVERAGE(B80:B83)</f>
        <v>26059</v>
      </c>
      <c r="C85" s="126"/>
      <c r="D85" s="139"/>
      <c r="E85" s="124"/>
      <c r="F85" s="138">
        <f t="shared" ref="F85:H85" si="50">AVERAGE(F80:F83)</f>
        <v>1257.25</v>
      </c>
      <c r="G85" s="138">
        <f t="shared" si="50"/>
        <v>11308</v>
      </c>
      <c r="H85" s="138">
        <f t="shared" si="50"/>
        <v>9057.5225000000009</v>
      </c>
      <c r="I85" s="131">
        <f>AVERAGE(I80:I83)</f>
        <v>854</v>
      </c>
      <c r="J85" s="131">
        <f>AVERAGE(J80:J83)</f>
        <v>25205</v>
      </c>
    </row>
    <row r="86" spans="1:10" ht="15.75" thickBot="1">
      <c r="B86" s="132">
        <f>STDEV(B80:B83)</f>
        <v>3011.0623817295227</v>
      </c>
      <c r="C86" s="126"/>
      <c r="D86" s="139"/>
      <c r="E86" s="124"/>
      <c r="F86" s="178">
        <f t="shared" ref="F86:H86" si="51">STDEV(F80:F83)</f>
        <v>165.94853619922856</v>
      </c>
      <c r="G86" s="178">
        <f t="shared" si="51"/>
        <v>1830.90924588486</v>
      </c>
      <c r="H86" s="178">
        <f t="shared" si="51"/>
        <v>1539.1391867615343</v>
      </c>
      <c r="I86" s="176">
        <f>STDEV(I80:I83)</f>
        <v>213.08057943729489</v>
      </c>
      <c r="J86" s="176">
        <f>STDEV(J80:J83)</f>
        <v>2836.1534984317523</v>
      </c>
    </row>
    <row r="87" spans="1:10">
      <c r="B87" s="135">
        <f>SUM(I87:S87)</f>
        <v>353605</v>
      </c>
      <c r="C87" s="13">
        <f>AVERAGE(I87:S87)</f>
        <v>176802.5</v>
      </c>
      <c r="D87" s="142">
        <f>STDEV(I87:S87)</f>
        <v>226256.49231016554</v>
      </c>
      <c r="E87" s="124"/>
      <c r="F87" s="200">
        <f t="shared" ref="F87:J87" si="52">SUM(F65:F68,F72:F75,F80:F83)</f>
        <v>26528</v>
      </c>
      <c r="G87" s="200">
        <f t="shared" si="52"/>
        <v>158601</v>
      </c>
      <c r="H87" s="200">
        <f t="shared" si="52"/>
        <v>111115.88</v>
      </c>
      <c r="I87" s="198">
        <f t="shared" si="52"/>
        <v>16815</v>
      </c>
      <c r="J87" s="198">
        <f t="shared" si="52"/>
        <v>336790</v>
      </c>
    </row>
    <row r="88" spans="1:10" ht="15.75" thickBot="1">
      <c r="B88" s="136">
        <f>SUM(I65:S68,I72:S75,I80:S83)</f>
        <v>353605</v>
      </c>
      <c r="C88" s="137">
        <f>AVERAGE(I65:S68,I72:S75,I80:S83)</f>
        <v>14733.541666666666</v>
      </c>
      <c r="D88" s="143">
        <f>STDEV(I65:S68,I72:S75,I80:S83)</f>
        <v>14152.85796603937</v>
      </c>
      <c r="E88" s="144"/>
      <c r="F88" s="203">
        <f t="shared" ref="F88:J88" si="53">AVERAGE(F65:F68,F72:F75,F80:F83)</f>
        <v>2210.6666666666665</v>
      </c>
      <c r="G88" s="203">
        <f t="shared" si="53"/>
        <v>13216.75</v>
      </c>
      <c r="H88" s="203">
        <f t="shared" si="53"/>
        <v>9259.6566666666677</v>
      </c>
      <c r="I88" s="201">
        <f t="shared" si="53"/>
        <v>1401.25</v>
      </c>
      <c r="J88" s="201">
        <f t="shared" si="53"/>
        <v>28065.833333333332</v>
      </c>
    </row>
    <row r="89" spans="1:10" ht="15.75" thickBot="1">
      <c r="E89" s="122"/>
      <c r="F89" s="206">
        <f t="shared" ref="F89:J89" si="54">STDEV(F65:F68,F72:F75,F80:F83,)</f>
        <v>1175.0323781681891</v>
      </c>
      <c r="G89" s="206">
        <f t="shared" si="54"/>
        <v>4118.5453026835103</v>
      </c>
      <c r="H89" s="206">
        <f t="shared" si="54"/>
        <v>3182.5683271785797</v>
      </c>
      <c r="I89" s="204">
        <f t="shared" si="54"/>
        <v>757.47845023083175</v>
      </c>
      <c r="J89" s="204">
        <f t="shared" si="54"/>
        <v>9411.8917551285285</v>
      </c>
    </row>
    <row r="92" spans="1:10">
      <c r="A92">
        <v>150</v>
      </c>
    </row>
    <row r="93" spans="1:10" ht="15.75" thickBot="1">
      <c r="A93">
        <v>500</v>
      </c>
      <c r="B93" s="172" t="s">
        <v>44</v>
      </c>
      <c r="C93" s="172"/>
      <c r="D93" s="172"/>
      <c r="E93" s="173"/>
      <c r="F93" s="172" t="s">
        <v>98</v>
      </c>
      <c r="G93" s="172" t="s">
        <v>98</v>
      </c>
      <c r="H93" s="172" t="s">
        <v>98</v>
      </c>
      <c r="I93" s="172" t="s">
        <v>99</v>
      </c>
      <c r="J93" s="172" t="s">
        <v>99</v>
      </c>
    </row>
    <row r="94" spans="1:10" ht="15.75" thickBot="1">
      <c r="A94">
        <v>5</v>
      </c>
      <c r="B94" s="187">
        <f>SUM(I94:V94)</f>
        <v>37163</v>
      </c>
      <c r="C94" s="188">
        <f>AVERAGE(I94:V94)</f>
        <v>18581.5</v>
      </c>
      <c r="D94" s="189">
        <f>STDEV(I94:U94)</f>
        <v>24223.357003107558</v>
      </c>
      <c r="E94" s="190" t="s">
        <v>40</v>
      </c>
      <c r="F94" s="192">
        <v>1401</v>
      </c>
      <c r="G94" s="192">
        <v>11494</v>
      </c>
      <c r="H94" s="191">
        <f>G94-F94*$L$4</f>
        <v>8986.2099999999991</v>
      </c>
      <c r="I94" s="191">
        <v>1453</v>
      </c>
      <c r="J94" s="191">
        <v>35710</v>
      </c>
    </row>
    <row r="95" spans="1:10" ht="15.75" thickBot="1">
      <c r="B95" s="134">
        <f>SUM(I95:V95)</f>
        <v>33608</v>
      </c>
      <c r="C95" s="128">
        <f>AVERAGE(I95:V95)</f>
        <v>16804</v>
      </c>
      <c r="D95" s="141">
        <f>STDEV(I95:U95)</f>
        <v>21207.546581346935</v>
      </c>
      <c r="E95" s="193" t="s">
        <v>41</v>
      </c>
      <c r="F95" s="194">
        <v>1601</v>
      </c>
      <c r="G95" s="194">
        <v>12870</v>
      </c>
      <c r="H95" s="191">
        <f t="shared" ref="H95:H97" si="55">G95-F95*$L$4</f>
        <v>10004.209999999999</v>
      </c>
      <c r="I95" s="58">
        <v>1808</v>
      </c>
      <c r="J95" s="58">
        <v>31800</v>
      </c>
    </row>
    <row r="96" spans="1:10" ht="15.75" thickBot="1">
      <c r="B96" s="214">
        <f>SUM(I96:V96)</f>
        <v>34843</v>
      </c>
      <c r="C96" s="128">
        <f>AVERAGE(I96:V96)</f>
        <v>17421.5</v>
      </c>
      <c r="D96" s="141">
        <f>STDEV(I96:U96)</f>
        <v>20942.381538401976</v>
      </c>
      <c r="E96" s="193" t="s">
        <v>42</v>
      </c>
      <c r="F96" s="194">
        <v>2207</v>
      </c>
      <c r="G96" s="194">
        <v>12769</v>
      </c>
      <c r="H96" s="191">
        <f t="shared" si="55"/>
        <v>8818.4699999999993</v>
      </c>
      <c r="I96" s="58">
        <v>2613</v>
      </c>
      <c r="J96" s="58">
        <v>32230</v>
      </c>
    </row>
    <row r="97" spans="1:10">
      <c r="B97" s="214">
        <f>SUM(I97:V97)</f>
        <v>37861</v>
      </c>
      <c r="C97" s="128">
        <f>AVERAGE(I97:V97)</f>
        <v>18930.5</v>
      </c>
      <c r="D97" s="141">
        <f>STDEV(I97:U97)</f>
        <v>22966.121146157879</v>
      </c>
      <c r="E97" s="193" t="s">
        <v>43</v>
      </c>
      <c r="F97" s="194">
        <v>2288</v>
      </c>
      <c r="G97" s="194">
        <v>12575</v>
      </c>
      <c r="H97" s="191">
        <f t="shared" si="55"/>
        <v>8479.48</v>
      </c>
      <c r="I97" s="58">
        <v>2691</v>
      </c>
      <c r="J97" s="58">
        <v>35170</v>
      </c>
    </row>
    <row r="98" spans="1:10">
      <c r="B98" s="132">
        <f>SUM(B94:B97)</f>
        <v>143475</v>
      </c>
      <c r="C98" s="126">
        <f>AVERAGE(I94:AA97)</f>
        <v>17934.375</v>
      </c>
      <c r="D98" s="139">
        <f>STDEV(I94:AA97)</f>
        <v>16938.80064009846</v>
      </c>
      <c r="E98" s="124"/>
      <c r="F98" s="207">
        <f t="shared" ref="F98:J98" si="56">SUM(F94:F97)</f>
        <v>7497</v>
      </c>
      <c r="G98" s="207">
        <f t="shared" si="56"/>
        <v>49708</v>
      </c>
      <c r="H98" s="207">
        <f t="shared" si="56"/>
        <v>36288.369999999995</v>
      </c>
      <c r="I98" s="207">
        <f t="shared" si="56"/>
        <v>8565</v>
      </c>
      <c r="J98" s="207">
        <f t="shared" si="56"/>
        <v>134910</v>
      </c>
    </row>
    <row r="99" spans="1:10">
      <c r="B99" s="132">
        <f>AVERAGE(B94:B97)</f>
        <v>35868.75</v>
      </c>
      <c r="C99" s="126"/>
      <c r="D99" s="139"/>
      <c r="E99" s="124"/>
      <c r="F99" s="138">
        <f t="shared" ref="F99:J99" si="57">AVERAGE(F94:F97)</f>
        <v>1874.25</v>
      </c>
      <c r="G99" s="138">
        <f t="shared" si="57"/>
        <v>12427</v>
      </c>
      <c r="H99" s="138">
        <f t="shared" si="57"/>
        <v>9072.0924999999988</v>
      </c>
      <c r="I99" s="125">
        <f t="shared" si="57"/>
        <v>2141.25</v>
      </c>
      <c r="J99" s="125">
        <f t="shared" si="57"/>
        <v>33727.5</v>
      </c>
    </row>
    <row r="100" spans="1:10" ht="15.75" thickBot="1">
      <c r="B100" s="169">
        <f>STDEV(B94:B97)</f>
        <v>1983.8764032402153</v>
      </c>
      <c r="C100" s="170"/>
      <c r="D100" s="171"/>
      <c r="E100" s="124"/>
      <c r="F100" s="178">
        <f t="shared" ref="F100:J100" si="58">STDEV(F94:F97)</f>
        <v>439.90254602582149</v>
      </c>
      <c r="G100" s="178">
        <f t="shared" si="58"/>
        <v>633.9311213899083</v>
      </c>
      <c r="H100" s="178">
        <f t="shared" si="58"/>
        <v>656.1841167627274</v>
      </c>
      <c r="I100" s="177">
        <f t="shared" si="58"/>
        <v>608.14382893084326</v>
      </c>
      <c r="J100" s="177">
        <f t="shared" si="58"/>
        <v>1997.4045659304977</v>
      </c>
    </row>
    <row r="101" spans="1:10" ht="15.75" thickBot="1">
      <c r="A101">
        <v>10</v>
      </c>
      <c r="B101" s="133">
        <f>SUM(I101:V101)</f>
        <v>19896</v>
      </c>
      <c r="C101" s="127">
        <f>AVERAGE(I101:V101)</f>
        <v>9948</v>
      </c>
      <c r="D101" s="140">
        <f>STDEV(I101:U101)</f>
        <v>12829.745437848718</v>
      </c>
      <c r="E101" s="190" t="s">
        <v>40</v>
      </c>
      <c r="F101" s="155">
        <v>706</v>
      </c>
      <c r="G101" s="155">
        <v>10127</v>
      </c>
      <c r="H101" s="191">
        <f>G101-F101*$L$4</f>
        <v>8863.26</v>
      </c>
      <c r="I101" s="161">
        <v>876</v>
      </c>
      <c r="J101" s="161">
        <v>19020</v>
      </c>
    </row>
    <row r="102" spans="1:10" ht="15.75" thickBot="1">
      <c r="B102" s="133">
        <f>SUM(I102:V102)</f>
        <v>22343</v>
      </c>
      <c r="C102" s="127">
        <f>AVERAGE(I102:V102)</f>
        <v>11171.5</v>
      </c>
      <c r="D102" s="140">
        <f>STDEV(I102:U102)</f>
        <v>14366.288473367085</v>
      </c>
      <c r="E102" s="193" t="s">
        <v>41</v>
      </c>
      <c r="F102" s="155">
        <v>827</v>
      </c>
      <c r="G102" s="155">
        <v>9419</v>
      </c>
      <c r="H102" s="191">
        <f t="shared" ref="H102:H104" si="59">G102-F102*$L$4</f>
        <v>7938.67</v>
      </c>
      <c r="I102" s="54">
        <v>1013</v>
      </c>
      <c r="J102" s="54">
        <v>21330</v>
      </c>
    </row>
    <row r="103" spans="1:10" ht="15.75" thickBot="1">
      <c r="B103" s="214">
        <f>SUM(I103:V103)</f>
        <v>31031</v>
      </c>
      <c r="C103" s="127">
        <f>AVERAGE(I103:V103)</f>
        <v>15515.5</v>
      </c>
      <c r="D103" s="140">
        <f>STDEV(I103:U103)</f>
        <v>19904.348783620128</v>
      </c>
      <c r="E103" s="193" t="s">
        <v>42</v>
      </c>
      <c r="F103" s="155">
        <v>1146</v>
      </c>
      <c r="G103" s="220">
        <v>14985</v>
      </c>
      <c r="H103" s="191">
        <f t="shared" si="59"/>
        <v>12933.66</v>
      </c>
      <c r="I103" s="54">
        <v>1441</v>
      </c>
      <c r="J103" s="54">
        <v>29590</v>
      </c>
    </row>
    <row r="104" spans="1:10" ht="15.75" thickBot="1">
      <c r="B104" s="133">
        <f>SUM(I104:V104)</f>
        <v>32624</v>
      </c>
      <c r="C104" s="127">
        <f>AVERAGE(I104:V104)</f>
        <v>16312</v>
      </c>
      <c r="D104" s="140">
        <f>STDEV(I104:U104)</f>
        <v>20941.674431620791</v>
      </c>
      <c r="E104" s="193" t="s">
        <v>43</v>
      </c>
      <c r="F104" s="155">
        <v>1191</v>
      </c>
      <c r="G104" s="155">
        <v>17334</v>
      </c>
      <c r="H104" s="191">
        <f t="shared" si="59"/>
        <v>15202.11</v>
      </c>
      <c r="I104" s="164">
        <v>1504</v>
      </c>
      <c r="J104" s="164">
        <v>31120</v>
      </c>
    </row>
    <row r="105" spans="1:10">
      <c r="B105" s="132">
        <f>SUM(B101:B104)</f>
        <v>105894</v>
      </c>
      <c r="C105" s="126">
        <f>AVERAGE(I101:AA104)</f>
        <v>13236.75</v>
      </c>
      <c r="D105" s="139">
        <f>STDEV(I101:AA104)</f>
        <v>13444.018518604154</v>
      </c>
      <c r="E105" s="124"/>
      <c r="F105" s="138">
        <f t="shared" ref="F105:J105" si="60">SUM(F101:F104)</f>
        <v>3870</v>
      </c>
      <c r="G105" s="138">
        <f t="shared" si="60"/>
        <v>51865</v>
      </c>
      <c r="H105" s="138">
        <f t="shared" si="60"/>
        <v>44937.7</v>
      </c>
      <c r="I105" s="211">
        <f t="shared" si="60"/>
        <v>4834</v>
      </c>
      <c r="J105" s="211">
        <f t="shared" si="60"/>
        <v>101060</v>
      </c>
    </row>
    <row r="106" spans="1:10">
      <c r="B106" s="132">
        <f>AVERAGE(B101:B104)</f>
        <v>26473.5</v>
      </c>
      <c r="C106" s="126"/>
      <c r="D106" s="139"/>
      <c r="E106" s="124"/>
      <c r="F106" s="138">
        <f t="shared" ref="F106:J106" si="61">AVERAGE(F101:F104)</f>
        <v>967.5</v>
      </c>
      <c r="G106" s="138">
        <f t="shared" si="61"/>
        <v>12966.25</v>
      </c>
      <c r="H106" s="138">
        <f t="shared" si="61"/>
        <v>11234.424999999999</v>
      </c>
      <c r="I106" s="125">
        <f t="shared" si="61"/>
        <v>1208.5</v>
      </c>
      <c r="J106" s="125">
        <f t="shared" si="61"/>
        <v>25265</v>
      </c>
    </row>
    <row r="107" spans="1:10" ht="15.75" thickBot="1">
      <c r="B107" s="169">
        <f>STDEV(B101:B104)</f>
        <v>6296.1361961126604</v>
      </c>
      <c r="C107" s="170"/>
      <c r="D107" s="171"/>
      <c r="E107" s="144"/>
      <c r="F107" s="178">
        <f t="shared" ref="F107:J107" si="62">STDEV(F101:F104)</f>
        <v>238.0035013748047</v>
      </c>
      <c r="G107" s="178">
        <f t="shared" si="62"/>
        <v>3820.860058067206</v>
      </c>
      <c r="H107" s="178">
        <f t="shared" si="62"/>
        <v>3421.2253322311308</v>
      </c>
      <c r="I107" s="177">
        <f t="shared" si="62"/>
        <v>310.99464089702042</v>
      </c>
      <c r="J107" s="177">
        <f t="shared" si="62"/>
        <v>5985.2847328538464</v>
      </c>
    </row>
    <row r="108" spans="1:10" ht="15.75" thickBot="1">
      <c r="B108" s="172" t="s">
        <v>14</v>
      </c>
      <c r="C108" s="172"/>
      <c r="D108" s="172"/>
      <c r="E108" s="173"/>
      <c r="F108" s="172" t="s">
        <v>20</v>
      </c>
      <c r="G108" s="172" t="s">
        <v>20</v>
      </c>
      <c r="H108" s="172" t="s">
        <v>20</v>
      </c>
      <c r="I108" s="174" t="s">
        <v>13</v>
      </c>
      <c r="J108" s="174" t="s">
        <v>13</v>
      </c>
    </row>
    <row r="109" spans="1:10" ht="15.75" thickBot="1">
      <c r="A109">
        <v>15</v>
      </c>
      <c r="B109" s="133">
        <f>SUM(I109:V109)</f>
        <v>24888</v>
      </c>
      <c r="C109" s="127">
        <f>AVERAGE(I109:V109)</f>
        <v>12444</v>
      </c>
      <c r="D109" s="140">
        <f>STDEV(I109:U109)</f>
        <v>16710.34745300049</v>
      </c>
      <c r="E109" s="190" t="s">
        <v>40</v>
      </c>
      <c r="F109" s="155">
        <v>504</v>
      </c>
      <c r="G109" s="155">
        <v>6710</v>
      </c>
      <c r="H109" s="191">
        <f>G109-F109*$L$4</f>
        <v>5807.84</v>
      </c>
      <c r="I109" s="181">
        <v>628</v>
      </c>
      <c r="J109" s="181">
        <v>24260</v>
      </c>
    </row>
    <row r="110" spans="1:10" ht="15.75" thickBot="1">
      <c r="B110" s="133">
        <f>SUM(I110:V110)</f>
        <v>22447</v>
      </c>
      <c r="C110" s="127">
        <f>AVERAGE(I110:V110)</f>
        <v>11223.5</v>
      </c>
      <c r="D110" s="140">
        <f>STDEV(I110:U110)</f>
        <v>14858.434793072924</v>
      </c>
      <c r="E110" s="193" t="s">
        <v>41</v>
      </c>
      <c r="F110" s="155">
        <v>579</v>
      </c>
      <c r="G110" s="155">
        <v>4647</v>
      </c>
      <c r="H110" s="191">
        <f t="shared" ref="H110:H112" si="63">G110-F110*$L$4</f>
        <v>3610.59</v>
      </c>
      <c r="I110" s="183">
        <v>717</v>
      </c>
      <c r="J110" s="183">
        <v>21730</v>
      </c>
    </row>
    <row r="111" spans="1:10" ht="15.75" thickBot="1">
      <c r="B111" s="214">
        <f>SUM(I111:V111)</f>
        <v>29270</v>
      </c>
      <c r="C111" s="127">
        <f>AVERAGE(I111:V111)</f>
        <v>14635</v>
      </c>
      <c r="D111" s="140">
        <f>STDEV(I111:U111)</f>
        <v>19254.517651709688</v>
      </c>
      <c r="E111" s="193" t="s">
        <v>42</v>
      </c>
      <c r="F111" s="155">
        <v>799</v>
      </c>
      <c r="G111" s="155">
        <v>440</v>
      </c>
      <c r="H111" s="191">
        <f t="shared" si="63"/>
        <v>-990.21</v>
      </c>
      <c r="I111" s="54">
        <v>1020</v>
      </c>
      <c r="J111" s="54">
        <v>28250</v>
      </c>
    </row>
    <row r="112" spans="1:10" ht="15.75" thickBot="1">
      <c r="B112" s="214">
        <f>SUM(I112:V112)</f>
        <v>27631</v>
      </c>
      <c r="C112" s="127">
        <f>AVERAGE(I112:V112)</f>
        <v>13815.5</v>
      </c>
      <c r="D112" s="140">
        <f>STDEV(I112:U112)</f>
        <v>18051.729016911373</v>
      </c>
      <c r="E112" s="193" t="s">
        <v>43</v>
      </c>
      <c r="F112" s="155">
        <v>822</v>
      </c>
      <c r="G112" s="155">
        <v>3570</v>
      </c>
      <c r="H112" s="191">
        <f t="shared" si="63"/>
        <v>2098.62</v>
      </c>
      <c r="I112" s="164">
        <v>1051</v>
      </c>
      <c r="J112" s="164">
        <v>26580</v>
      </c>
    </row>
    <row r="113" spans="1:10">
      <c r="B113" s="132">
        <f>SUM(B109:B112)</f>
        <v>104236</v>
      </c>
      <c r="C113" s="126">
        <f>AVERAGE(I109:AA112)</f>
        <v>13029.5</v>
      </c>
      <c r="D113" s="139">
        <f>STDEV(I109:AA112)</f>
        <v>13148.655075166977</v>
      </c>
      <c r="E113" s="124"/>
      <c r="F113" s="138">
        <f t="shared" ref="F113:J113" si="64">SUM(F109:F112)</f>
        <v>2704</v>
      </c>
      <c r="G113" s="138">
        <f t="shared" si="64"/>
        <v>15367</v>
      </c>
      <c r="H113" s="138">
        <f t="shared" si="64"/>
        <v>10526.84</v>
      </c>
      <c r="I113" s="213">
        <f t="shared" si="64"/>
        <v>3416</v>
      </c>
      <c r="J113" s="213">
        <f t="shared" si="64"/>
        <v>100820</v>
      </c>
    </row>
    <row r="114" spans="1:10">
      <c r="B114" s="132">
        <f>AVERAGE(B109:B112)</f>
        <v>26059</v>
      </c>
      <c r="C114" s="126"/>
      <c r="D114" s="139"/>
      <c r="E114" s="124"/>
      <c r="F114" s="138">
        <f t="shared" ref="F114:H114" si="65">AVERAGE(F109:F112)</f>
        <v>676</v>
      </c>
      <c r="G114" s="138">
        <f t="shared" si="65"/>
        <v>3841.75</v>
      </c>
      <c r="H114" s="138">
        <f t="shared" si="65"/>
        <v>2631.71</v>
      </c>
      <c r="I114" s="131">
        <f>AVERAGE(I109:I112)</f>
        <v>854</v>
      </c>
      <c r="J114" s="131">
        <f>AVERAGE(J109:J112)</f>
        <v>25205</v>
      </c>
    </row>
    <row r="115" spans="1:10" ht="15.75" thickBot="1">
      <c r="B115" s="132">
        <f>STDEV(B109:B112)</f>
        <v>3011.0623817295227</v>
      </c>
      <c r="C115" s="126"/>
      <c r="D115" s="139"/>
      <c r="E115" s="124"/>
      <c r="F115" s="178">
        <f t="shared" ref="F115:H115" si="66">STDEV(F109:F112)</f>
        <v>158.57490343683014</v>
      </c>
      <c r="G115" s="178">
        <f t="shared" si="66"/>
        <v>2615.4054338349406</v>
      </c>
      <c r="H115" s="178">
        <f t="shared" si="66"/>
        <v>2854.7327525707201</v>
      </c>
      <c r="I115" s="176">
        <f>STDEV(I109:I112)</f>
        <v>213.08057943729489</v>
      </c>
      <c r="J115" s="176">
        <f>STDEV(J109:J112)</f>
        <v>2836.1534984317523</v>
      </c>
    </row>
    <row r="116" spans="1:10">
      <c r="B116" s="135">
        <f>SUM(I116:S116)</f>
        <v>353605</v>
      </c>
      <c r="C116" s="13">
        <f>AVERAGE(I116:S116)</f>
        <v>176802.5</v>
      </c>
      <c r="D116" s="142">
        <f>STDEV(I116:S116)</f>
        <v>226256.49231016554</v>
      </c>
      <c r="E116" s="124"/>
      <c r="F116" s="200">
        <f t="shared" ref="F116:J116" si="67">SUM(F94:F97,F101:F104,F109:F112)</f>
        <v>14071</v>
      </c>
      <c r="G116" s="200">
        <f t="shared" si="67"/>
        <v>116940</v>
      </c>
      <c r="H116" s="200">
        <f t="shared" si="67"/>
        <v>91752.909999999974</v>
      </c>
      <c r="I116" s="198">
        <f t="shared" si="67"/>
        <v>16815</v>
      </c>
      <c r="J116" s="198">
        <f t="shared" si="67"/>
        <v>336790</v>
      </c>
    </row>
    <row r="117" spans="1:10" ht="15.75" thickBot="1">
      <c r="B117" s="136">
        <f>SUM(I94:S97,I101:S104,I109:S112)</f>
        <v>353605</v>
      </c>
      <c r="C117" s="137">
        <f>AVERAGE(I94:S97,I101:S104,I109:S112)</f>
        <v>14733.541666666666</v>
      </c>
      <c r="D117" s="143">
        <f>STDEV(I94:S97,I101:S104,I109:S112)</f>
        <v>14152.85796603937</v>
      </c>
      <c r="E117" s="144"/>
      <c r="F117" s="203">
        <f t="shared" ref="F117:J117" si="68">AVERAGE(F94:F97,F101:F104,F109:F112)</f>
        <v>1172.5833333333333</v>
      </c>
      <c r="G117" s="203">
        <f t="shared" si="68"/>
        <v>9745</v>
      </c>
      <c r="H117" s="203">
        <f t="shared" si="68"/>
        <v>7646.0758333333315</v>
      </c>
      <c r="I117" s="201">
        <f t="shared" si="68"/>
        <v>1401.25</v>
      </c>
      <c r="J117" s="201">
        <f t="shared" si="68"/>
        <v>28065.833333333332</v>
      </c>
    </row>
    <row r="118" spans="1:10" ht="15.75" thickBot="1">
      <c r="E118" s="122"/>
      <c r="F118" s="206">
        <f t="shared" ref="F118:J118" si="69">STDEV(F94:F97,F101:F104,F109:F112,)</f>
        <v>659.48623165581682</v>
      </c>
      <c r="G118" s="206">
        <f t="shared" si="69"/>
        <v>5498.9038686278427</v>
      </c>
      <c r="H118" s="206">
        <f t="shared" si="69"/>
        <v>4787.4357476498508</v>
      </c>
      <c r="I118" s="204">
        <f t="shared" si="69"/>
        <v>757.47845023083175</v>
      </c>
      <c r="J118" s="204">
        <f t="shared" si="69"/>
        <v>9411.8917551285285</v>
      </c>
    </row>
    <row r="120" spans="1:10">
      <c r="A120">
        <v>150</v>
      </c>
    </row>
    <row r="121" spans="1:10" ht="15.75" thickBot="1">
      <c r="A121">
        <v>425</v>
      </c>
      <c r="B121" s="172" t="s">
        <v>44</v>
      </c>
      <c r="C121" s="172"/>
      <c r="D121" s="172"/>
      <c r="E121" s="173"/>
      <c r="F121" s="172" t="s">
        <v>98</v>
      </c>
      <c r="G121" s="172" t="s">
        <v>98</v>
      </c>
      <c r="H121" s="172" t="s">
        <v>98</v>
      </c>
      <c r="I121" s="172" t="s">
        <v>99</v>
      </c>
      <c r="J121" s="172" t="s">
        <v>99</v>
      </c>
    </row>
    <row r="122" spans="1:10" ht="15.75" thickBot="1">
      <c r="A122">
        <v>5</v>
      </c>
      <c r="B122" s="187">
        <f>SUM(I122:V122)</f>
        <v>37163</v>
      </c>
      <c r="C122" s="188">
        <f>AVERAGE(I122:V122)</f>
        <v>18581.5</v>
      </c>
      <c r="D122" s="189">
        <f>STDEV(I122:U122)</f>
        <v>24223.357003107558</v>
      </c>
      <c r="E122" s="190" t="s">
        <v>40</v>
      </c>
      <c r="F122" s="192">
        <v>1738</v>
      </c>
      <c r="G122" s="192">
        <v>11806</v>
      </c>
      <c r="H122" s="191">
        <f>G122-F122*$L$4</f>
        <v>8694.98</v>
      </c>
      <c r="I122" s="191">
        <v>1453</v>
      </c>
      <c r="J122" s="191">
        <v>35710</v>
      </c>
    </row>
    <row r="123" spans="1:10" ht="15.75" thickBot="1">
      <c r="B123" s="134">
        <f>SUM(I123:V123)</f>
        <v>33608</v>
      </c>
      <c r="C123" s="128">
        <f>AVERAGE(I123:V123)</f>
        <v>16804</v>
      </c>
      <c r="D123" s="141">
        <f>STDEV(I123:U123)</f>
        <v>21207.546581346935</v>
      </c>
      <c r="E123" s="193" t="s">
        <v>41</v>
      </c>
      <c r="F123" s="194">
        <v>1869</v>
      </c>
      <c r="G123" s="194">
        <v>12420</v>
      </c>
      <c r="H123" s="191">
        <f t="shared" ref="H123:H125" si="70">G123-F123*$L$4</f>
        <v>9074.49</v>
      </c>
      <c r="I123" s="58">
        <v>1808</v>
      </c>
      <c r="J123" s="58">
        <v>31800</v>
      </c>
    </row>
    <row r="124" spans="1:10" ht="15.75" thickBot="1">
      <c r="B124" s="214">
        <f>SUM(I124:V124)</f>
        <v>34843</v>
      </c>
      <c r="C124" s="128">
        <f>AVERAGE(I124:V124)</f>
        <v>17421.5</v>
      </c>
      <c r="D124" s="141">
        <f>STDEV(I124:U124)</f>
        <v>20942.381538401976</v>
      </c>
      <c r="E124" s="193" t="s">
        <v>42</v>
      </c>
      <c r="F124" s="194">
        <v>2505</v>
      </c>
      <c r="G124" s="194">
        <v>9752</v>
      </c>
      <c r="H124" s="191">
        <f t="shared" si="70"/>
        <v>5268.05</v>
      </c>
      <c r="I124" s="58">
        <v>2613</v>
      </c>
      <c r="J124" s="58">
        <v>32230</v>
      </c>
    </row>
    <row r="125" spans="1:10">
      <c r="B125" s="214">
        <f>SUM(I125:V125)</f>
        <v>37861</v>
      </c>
      <c r="C125" s="128">
        <f>AVERAGE(I125:V125)</f>
        <v>18930.5</v>
      </c>
      <c r="D125" s="141">
        <f>STDEV(I125:U125)</f>
        <v>22966.121146157879</v>
      </c>
      <c r="E125" s="193" t="s">
        <v>43</v>
      </c>
      <c r="F125" s="194">
        <v>2560</v>
      </c>
      <c r="G125" s="194">
        <v>11064</v>
      </c>
      <c r="H125" s="191">
        <f t="shared" si="70"/>
        <v>6481.6</v>
      </c>
      <c r="I125" s="58">
        <v>2691</v>
      </c>
      <c r="J125" s="58">
        <v>35170</v>
      </c>
    </row>
    <row r="126" spans="1:10">
      <c r="B126" s="132">
        <f>SUM(B122:B125)</f>
        <v>143475</v>
      </c>
      <c r="C126" s="126">
        <f>AVERAGE(I122:AA125)</f>
        <v>17934.375</v>
      </c>
      <c r="D126" s="139">
        <f>STDEV(I122:AA125)</f>
        <v>16938.80064009846</v>
      </c>
      <c r="E126" s="124"/>
      <c r="F126" s="207">
        <f t="shared" ref="F126:J126" si="71">SUM(F122:F125)</f>
        <v>8672</v>
      </c>
      <c r="G126" s="207">
        <f t="shared" si="71"/>
        <v>45042</v>
      </c>
      <c r="H126" s="207">
        <f t="shared" si="71"/>
        <v>29519.120000000003</v>
      </c>
      <c r="I126" s="207">
        <f t="shared" si="71"/>
        <v>8565</v>
      </c>
      <c r="J126" s="207">
        <f t="shared" si="71"/>
        <v>134910</v>
      </c>
    </row>
    <row r="127" spans="1:10">
      <c r="B127" s="132">
        <f>AVERAGE(B122:B125)</f>
        <v>35868.75</v>
      </c>
      <c r="C127" s="126"/>
      <c r="D127" s="139"/>
      <c r="E127" s="124"/>
      <c r="F127" s="138">
        <f t="shared" ref="F127:J127" si="72">AVERAGE(F122:F125)</f>
        <v>2168</v>
      </c>
      <c r="G127" s="138">
        <f t="shared" si="72"/>
        <v>11260.5</v>
      </c>
      <c r="H127" s="138">
        <f t="shared" si="72"/>
        <v>7379.7800000000007</v>
      </c>
      <c r="I127" s="125">
        <f t="shared" si="72"/>
        <v>2141.25</v>
      </c>
      <c r="J127" s="125">
        <f t="shared" si="72"/>
        <v>33727.5</v>
      </c>
    </row>
    <row r="128" spans="1:10" ht="15.75" thickBot="1">
      <c r="B128" s="169">
        <f>STDEV(B122:B125)</f>
        <v>1983.8764032402153</v>
      </c>
      <c r="C128" s="170"/>
      <c r="D128" s="171"/>
      <c r="E128" s="124"/>
      <c r="F128" s="178">
        <f t="shared" ref="F128:J128" si="73">STDEV(F122:F125)</f>
        <v>424.8662534649385</v>
      </c>
      <c r="G128" s="178">
        <f t="shared" si="73"/>
        <v>1148.3604254181989</v>
      </c>
      <c r="H128" s="178">
        <f t="shared" si="73"/>
        <v>1813.6449422272972</v>
      </c>
      <c r="I128" s="177">
        <f t="shared" si="73"/>
        <v>608.14382893084326</v>
      </c>
      <c r="J128" s="177">
        <f t="shared" si="73"/>
        <v>1997.4045659304977</v>
      </c>
    </row>
    <row r="129" spans="1:10" ht="15.75" thickBot="1">
      <c r="A129">
        <v>10</v>
      </c>
      <c r="B129" s="133">
        <f>SUM(I129:V129)</f>
        <v>19896</v>
      </c>
      <c r="C129" s="127">
        <f>AVERAGE(I129:V129)</f>
        <v>9948</v>
      </c>
      <c r="D129" s="140">
        <f>STDEV(I129:U129)</f>
        <v>12829.745437848718</v>
      </c>
      <c r="E129" s="190" t="s">
        <v>40</v>
      </c>
      <c r="F129" s="155">
        <v>905</v>
      </c>
      <c r="G129" s="155">
        <v>9904</v>
      </c>
      <c r="H129" s="191">
        <f>G129-F129*$L$4</f>
        <v>8284.0499999999993</v>
      </c>
      <c r="I129" s="161">
        <v>876</v>
      </c>
      <c r="J129" s="161">
        <v>19020</v>
      </c>
    </row>
    <row r="130" spans="1:10" ht="15.75" thickBot="1">
      <c r="B130" s="133">
        <f>SUM(I130:V130)</f>
        <v>22343</v>
      </c>
      <c r="C130" s="127">
        <f>AVERAGE(I130:V130)</f>
        <v>11171.5</v>
      </c>
      <c r="D130" s="140">
        <f>STDEV(I130:U130)</f>
        <v>14366.288473367085</v>
      </c>
      <c r="E130" s="193" t="s">
        <v>41</v>
      </c>
      <c r="F130" s="155">
        <v>978</v>
      </c>
      <c r="G130" s="155">
        <v>9092</v>
      </c>
      <c r="H130" s="191">
        <f t="shared" ref="H130:H132" si="74">G130-F130*$L$4</f>
        <v>7341.38</v>
      </c>
      <c r="I130" s="54">
        <v>1013</v>
      </c>
      <c r="J130" s="54">
        <v>21330</v>
      </c>
    </row>
    <row r="131" spans="1:10" ht="15.75" thickBot="1">
      <c r="B131" s="214">
        <f>SUM(I131:V131)</f>
        <v>31031</v>
      </c>
      <c r="C131" s="127">
        <f>AVERAGE(I131:V131)</f>
        <v>15515.5</v>
      </c>
      <c r="D131" s="140">
        <f>STDEV(I131:U131)</f>
        <v>19904.348783620128</v>
      </c>
      <c r="E131" s="193" t="s">
        <v>42</v>
      </c>
      <c r="F131" s="155">
        <v>1298</v>
      </c>
      <c r="G131" s="220">
        <v>12937</v>
      </c>
      <c r="H131" s="191">
        <f t="shared" si="74"/>
        <v>10613.58</v>
      </c>
      <c r="I131" s="54">
        <v>1441</v>
      </c>
      <c r="J131" s="54">
        <v>29590</v>
      </c>
    </row>
    <row r="132" spans="1:10" ht="15.75" thickBot="1">
      <c r="B132" s="133">
        <f>SUM(I132:V132)</f>
        <v>32624</v>
      </c>
      <c r="C132" s="127">
        <f>AVERAGE(I132:V132)</f>
        <v>16312</v>
      </c>
      <c r="D132" s="140">
        <f>STDEV(I132:U132)</f>
        <v>20941.674431620791</v>
      </c>
      <c r="E132" s="193" t="s">
        <v>43</v>
      </c>
      <c r="F132" s="155">
        <v>1324</v>
      </c>
      <c r="G132" s="155">
        <v>12848</v>
      </c>
      <c r="H132" s="191">
        <f t="shared" si="74"/>
        <v>10478.040000000001</v>
      </c>
      <c r="I132" s="164">
        <v>1504</v>
      </c>
      <c r="J132" s="164">
        <v>31120</v>
      </c>
    </row>
    <row r="133" spans="1:10">
      <c r="B133" s="132">
        <f>SUM(B129:B132)</f>
        <v>105894</v>
      </c>
      <c r="C133" s="126">
        <f>AVERAGE(I129:AA132)</f>
        <v>13236.75</v>
      </c>
      <c r="D133" s="139">
        <f>STDEV(I129:AA132)</f>
        <v>13444.018518604154</v>
      </c>
      <c r="E133" s="124"/>
      <c r="F133" s="138">
        <f t="shared" ref="F133" si="75">SUM(F129:F132)</f>
        <v>4505</v>
      </c>
      <c r="G133" s="138">
        <v>10259</v>
      </c>
      <c r="H133" s="138">
        <f t="shared" ref="H133:J133" si="76">SUM(H129:H132)</f>
        <v>36717.050000000003</v>
      </c>
      <c r="I133" s="211">
        <f t="shared" si="76"/>
        <v>4834</v>
      </c>
      <c r="J133" s="211">
        <f t="shared" si="76"/>
        <v>101060</v>
      </c>
    </row>
    <row r="134" spans="1:10">
      <c r="B134" s="132">
        <f>AVERAGE(B129:B132)</f>
        <v>26473.5</v>
      </c>
      <c r="C134" s="126"/>
      <c r="D134" s="139"/>
      <c r="E134" s="124"/>
      <c r="F134" s="138">
        <f t="shared" ref="F134" si="77">AVERAGE(F129:F132)</f>
        <v>1126.25</v>
      </c>
      <c r="G134" s="138">
        <v>9434</v>
      </c>
      <c r="H134" s="138">
        <f t="shared" ref="H134:J134" si="78">AVERAGE(H129:H132)</f>
        <v>9179.2625000000007</v>
      </c>
      <c r="I134" s="125">
        <f t="shared" si="78"/>
        <v>1208.5</v>
      </c>
      <c r="J134" s="125">
        <f t="shared" si="78"/>
        <v>25265</v>
      </c>
    </row>
    <row r="135" spans="1:10" ht="15.75" thickBot="1">
      <c r="B135" s="169">
        <f>STDEV(B129:B132)</f>
        <v>6296.1361961126604</v>
      </c>
      <c r="C135" s="170"/>
      <c r="D135" s="171"/>
      <c r="E135" s="144"/>
      <c r="F135" s="178">
        <f t="shared" ref="F135" si="79">STDEV(F129:F132)</f>
        <v>215.66389745774944</v>
      </c>
      <c r="G135" s="178">
        <v>12678</v>
      </c>
      <c r="H135" s="178">
        <f t="shared" ref="H135:J135" si="80">STDEV(H129:H132)</f>
        <v>1625.14688456921</v>
      </c>
      <c r="I135" s="177">
        <f t="shared" si="80"/>
        <v>310.99464089702042</v>
      </c>
      <c r="J135" s="177">
        <f t="shared" si="80"/>
        <v>5985.2847328538464</v>
      </c>
    </row>
    <row r="136" spans="1:10" ht="15.75" thickBot="1">
      <c r="B136" s="172" t="s">
        <v>14</v>
      </c>
      <c r="C136" s="172"/>
      <c r="D136" s="172"/>
      <c r="E136" s="173"/>
      <c r="F136" s="172" t="s">
        <v>20</v>
      </c>
      <c r="G136" s="172" t="s">
        <v>20</v>
      </c>
      <c r="H136" s="172" t="s">
        <v>20</v>
      </c>
      <c r="I136" s="174" t="s">
        <v>13</v>
      </c>
      <c r="J136" s="174" t="s">
        <v>13</v>
      </c>
    </row>
    <row r="137" spans="1:10" ht="15.75" thickBot="1">
      <c r="A137">
        <v>15</v>
      </c>
      <c r="B137" s="133">
        <f>SUM(I137:V137)</f>
        <v>24888</v>
      </c>
      <c r="C137" s="127">
        <f>AVERAGE(I137:V137)</f>
        <v>12444</v>
      </c>
      <c r="D137" s="140">
        <f>STDEV(I137:U137)</f>
        <v>16710.34745300049</v>
      </c>
      <c r="E137" s="190" t="s">
        <v>40</v>
      </c>
      <c r="F137" s="155">
        <v>621</v>
      </c>
      <c r="G137" s="155">
        <v>7736</v>
      </c>
      <c r="H137" s="191">
        <f>G137-F137*$L$4</f>
        <v>6624.41</v>
      </c>
      <c r="I137" s="181">
        <v>628</v>
      </c>
      <c r="J137" s="181">
        <v>24260</v>
      </c>
    </row>
    <row r="138" spans="1:10" ht="15.75" thickBot="1">
      <c r="B138" s="133">
        <f>SUM(I138:V138)</f>
        <v>22447</v>
      </c>
      <c r="C138" s="127">
        <f>AVERAGE(I138:V138)</f>
        <v>11223.5</v>
      </c>
      <c r="D138" s="140">
        <f>STDEV(I138:U138)</f>
        <v>14858.434793072924</v>
      </c>
      <c r="E138" s="193" t="s">
        <v>41</v>
      </c>
      <c r="F138" s="155">
        <v>667</v>
      </c>
      <c r="G138" s="155">
        <v>6994</v>
      </c>
      <c r="H138" s="191">
        <f t="shared" ref="H138:H140" si="81">G138-F138*$L$4</f>
        <v>5800.07</v>
      </c>
      <c r="I138" s="183">
        <v>717</v>
      </c>
      <c r="J138" s="183">
        <v>21730</v>
      </c>
    </row>
    <row r="139" spans="1:10" ht="15.75" thickBot="1">
      <c r="B139" s="214">
        <f>SUM(I139:V139)</f>
        <v>29270</v>
      </c>
      <c r="C139" s="127">
        <f>AVERAGE(I139:V139)</f>
        <v>14635</v>
      </c>
      <c r="D139" s="140">
        <f>STDEV(I139:U139)</f>
        <v>19254.517651709688</v>
      </c>
      <c r="E139" s="193" t="s">
        <v>42</v>
      </c>
      <c r="F139" s="155">
        <v>902</v>
      </c>
      <c r="G139" s="155">
        <v>2291</v>
      </c>
      <c r="H139" s="191">
        <f t="shared" si="81"/>
        <v>676.42000000000007</v>
      </c>
      <c r="I139" s="54">
        <v>1020</v>
      </c>
      <c r="J139" s="54">
        <v>28250</v>
      </c>
    </row>
    <row r="140" spans="1:10" ht="15.75" thickBot="1">
      <c r="B140" s="214">
        <f>SUM(I140:V140)</f>
        <v>27631</v>
      </c>
      <c r="C140" s="127">
        <f>AVERAGE(I140:V140)</f>
        <v>13815.5</v>
      </c>
      <c r="D140" s="140">
        <f>STDEV(I140:U140)</f>
        <v>18051.729016911373</v>
      </c>
      <c r="E140" s="193" t="s">
        <v>43</v>
      </c>
      <c r="F140" s="155">
        <v>913</v>
      </c>
      <c r="G140" s="155">
        <v>5297</v>
      </c>
      <c r="H140" s="191">
        <f t="shared" si="81"/>
        <v>3662.73</v>
      </c>
      <c r="I140" s="164">
        <v>1051</v>
      </c>
      <c r="J140" s="164">
        <v>26580</v>
      </c>
    </row>
    <row r="141" spans="1:10">
      <c r="B141" s="132">
        <f>SUM(B137:B140)</f>
        <v>104236</v>
      </c>
      <c r="C141" s="126">
        <f>AVERAGE(I137:AA140)</f>
        <v>13029.5</v>
      </c>
      <c r="D141" s="139">
        <f>STDEV(I137:AA140)</f>
        <v>13148.655075166977</v>
      </c>
      <c r="E141" s="124"/>
      <c r="F141" s="138">
        <f t="shared" ref="F141:J141" si="82">SUM(F137:F140)</f>
        <v>3103</v>
      </c>
      <c r="G141" s="138">
        <f t="shared" si="82"/>
        <v>22318</v>
      </c>
      <c r="H141" s="138">
        <f t="shared" si="82"/>
        <v>16763.63</v>
      </c>
      <c r="I141" s="213">
        <f t="shared" si="82"/>
        <v>3416</v>
      </c>
      <c r="J141" s="213">
        <f t="shared" si="82"/>
        <v>100820</v>
      </c>
    </row>
    <row r="142" spans="1:10">
      <c r="B142" s="132">
        <f>AVERAGE(B137:B140)</f>
        <v>26059</v>
      </c>
      <c r="C142" s="126"/>
      <c r="D142" s="139"/>
      <c r="E142" s="124"/>
      <c r="F142" s="138">
        <f t="shared" ref="F142:H142" si="83">AVERAGE(F137:F140)</f>
        <v>775.75</v>
      </c>
      <c r="G142" s="138">
        <f t="shared" si="83"/>
        <v>5579.5</v>
      </c>
      <c r="H142" s="138">
        <f t="shared" si="83"/>
        <v>4190.9075000000003</v>
      </c>
      <c r="I142" s="131">
        <f>AVERAGE(I137:I140)</f>
        <v>854</v>
      </c>
      <c r="J142" s="131">
        <f>AVERAGE(J137:J140)</f>
        <v>25205</v>
      </c>
    </row>
    <row r="143" spans="1:10" ht="15.75" thickBot="1">
      <c r="B143" s="132">
        <f>STDEV(B137:B140)</f>
        <v>3011.0623817295227</v>
      </c>
      <c r="C143" s="126"/>
      <c r="D143" s="139"/>
      <c r="E143" s="124"/>
      <c r="F143" s="178">
        <f t="shared" ref="F143:H143" si="84">STDEV(F137:F140)</f>
        <v>153.35226332423878</v>
      </c>
      <c r="G143" s="178">
        <f t="shared" si="84"/>
        <v>2418.3562599418638</v>
      </c>
      <c r="H143" s="178">
        <f t="shared" si="84"/>
        <v>2654.677144718667</v>
      </c>
      <c r="I143" s="176">
        <f>STDEV(I137:I140)</f>
        <v>213.08057943729489</v>
      </c>
      <c r="J143" s="176">
        <f>STDEV(J137:J140)</f>
        <v>2836.1534984317523</v>
      </c>
    </row>
    <row r="144" spans="1:10">
      <c r="B144" s="135">
        <f>SUM(I144:S144)</f>
        <v>353605</v>
      </c>
      <c r="C144" s="13">
        <f>AVERAGE(I144:S144)</f>
        <v>176802.5</v>
      </c>
      <c r="D144" s="142">
        <f>STDEV(I144:S144)</f>
        <v>226256.49231016554</v>
      </c>
      <c r="E144" s="124"/>
      <c r="F144" s="200">
        <f t="shared" ref="F144:J144" si="85">SUM(F122:F125,F129:F132,F137:F140)</f>
        <v>16280</v>
      </c>
      <c r="G144" s="200">
        <f t="shared" si="85"/>
        <v>112141</v>
      </c>
      <c r="H144" s="200">
        <f t="shared" si="85"/>
        <v>82999.799999999988</v>
      </c>
      <c r="I144" s="198">
        <f t="shared" si="85"/>
        <v>16815</v>
      </c>
      <c r="J144" s="198">
        <f t="shared" si="85"/>
        <v>336790</v>
      </c>
    </row>
    <row r="145" spans="1:10" ht="15.75" thickBot="1">
      <c r="B145" s="136">
        <f>SUM(I122:S125,I129:S132,I137:S140)</f>
        <v>353605</v>
      </c>
      <c r="C145" s="137">
        <f>AVERAGE(I122:S125,I129:S132,I137:S140)</f>
        <v>14733.541666666666</v>
      </c>
      <c r="D145" s="143">
        <f>STDEV(I122:S125,I129:S132,I137:S140)</f>
        <v>14152.85796603937</v>
      </c>
      <c r="E145" s="144"/>
      <c r="F145" s="203">
        <f t="shared" ref="F145:J145" si="86">AVERAGE(F122:F125,F129:F132,F137:F140)</f>
        <v>1356.6666666666667</v>
      </c>
      <c r="G145" s="203">
        <f t="shared" si="86"/>
        <v>9345.0833333333339</v>
      </c>
      <c r="H145" s="203">
        <f t="shared" si="86"/>
        <v>6916.6499999999987</v>
      </c>
      <c r="I145" s="201">
        <f t="shared" si="86"/>
        <v>1401.25</v>
      </c>
      <c r="J145" s="201">
        <f t="shared" si="86"/>
        <v>28065.833333333332</v>
      </c>
    </row>
    <row r="146" spans="1:10" ht="15.75" thickBot="1">
      <c r="E146" s="122"/>
      <c r="F146" s="206">
        <f t="shared" ref="F146:J146" si="87">STDEV(F122:F125,F129:F132,F137:F140,)</f>
        <v>744.19155067936913</v>
      </c>
      <c r="G146" s="206">
        <f t="shared" si="87"/>
        <v>4072.8457118221027</v>
      </c>
      <c r="H146" s="206">
        <f t="shared" si="87"/>
        <v>3343.4951090413365</v>
      </c>
      <c r="I146" s="204">
        <f t="shared" si="87"/>
        <v>757.47845023083175</v>
      </c>
      <c r="J146" s="204">
        <f t="shared" si="87"/>
        <v>9411.8917551285285</v>
      </c>
    </row>
    <row r="148" spans="1:10">
      <c r="A148">
        <v>150</v>
      </c>
    </row>
    <row r="149" spans="1:10" ht="15.75" thickBot="1">
      <c r="A149">
        <v>350</v>
      </c>
      <c r="B149" s="172" t="s">
        <v>44</v>
      </c>
      <c r="C149" s="172"/>
      <c r="D149" s="172"/>
      <c r="E149" s="173"/>
      <c r="F149" s="172" t="s">
        <v>98</v>
      </c>
      <c r="G149" s="172" t="s">
        <v>98</v>
      </c>
      <c r="H149" s="172" t="s">
        <v>98</v>
      </c>
      <c r="I149" s="172" t="s">
        <v>99</v>
      </c>
      <c r="J149" s="172" t="s">
        <v>99</v>
      </c>
    </row>
    <row r="150" spans="1:10" ht="15.75" thickBot="1">
      <c r="A150">
        <v>5</v>
      </c>
      <c r="B150" s="187">
        <f>SUM(I150:V150)</f>
        <v>37163</v>
      </c>
      <c r="C150" s="188">
        <f>AVERAGE(I150:V150)</f>
        <v>18581.5</v>
      </c>
      <c r="D150" s="189">
        <f>STDEV(I150:U150)</f>
        <v>24223.357003107558</v>
      </c>
      <c r="E150" s="190" t="s">
        <v>40</v>
      </c>
      <c r="F150" s="192">
        <v>2270</v>
      </c>
      <c r="G150" s="192">
        <v>11938</v>
      </c>
      <c r="H150" s="191">
        <f>G150-F150*$L$4</f>
        <v>7874.7</v>
      </c>
      <c r="I150" s="191">
        <v>1453</v>
      </c>
      <c r="J150" s="191">
        <v>35710</v>
      </c>
    </row>
    <row r="151" spans="1:10" ht="15.75" thickBot="1">
      <c r="B151" s="134">
        <f>SUM(I151:V151)</f>
        <v>33608</v>
      </c>
      <c r="C151" s="128">
        <f>AVERAGE(I151:V151)</f>
        <v>16804</v>
      </c>
      <c r="D151" s="141">
        <f>STDEV(I151:U151)</f>
        <v>21207.546581346935</v>
      </c>
      <c r="E151" s="193" t="s">
        <v>41</v>
      </c>
      <c r="F151" s="194">
        <v>2327</v>
      </c>
      <c r="G151" s="194">
        <v>12351</v>
      </c>
      <c r="H151" s="191">
        <f t="shared" ref="H151:H153" si="88">G151-F151*$L$4</f>
        <v>8185.67</v>
      </c>
      <c r="I151" s="58">
        <v>1808</v>
      </c>
      <c r="J151" s="58">
        <v>31800</v>
      </c>
    </row>
    <row r="152" spans="1:10" ht="15.75" thickBot="1">
      <c r="B152" s="214">
        <f>SUM(I152:V152)</f>
        <v>34843</v>
      </c>
      <c r="C152" s="128">
        <f>AVERAGE(I152:V152)</f>
        <v>17421.5</v>
      </c>
      <c r="D152" s="141">
        <f>STDEV(I152:U152)</f>
        <v>20942.381538401976</v>
      </c>
      <c r="E152" s="193" t="s">
        <v>42</v>
      </c>
      <c r="F152" s="194">
        <v>2932</v>
      </c>
      <c r="G152" s="194">
        <v>7361</v>
      </c>
      <c r="H152" s="191">
        <f t="shared" si="88"/>
        <v>2112.7200000000003</v>
      </c>
      <c r="I152" s="58">
        <v>2613</v>
      </c>
      <c r="J152" s="58">
        <v>32230</v>
      </c>
    </row>
    <row r="153" spans="1:10">
      <c r="B153" s="214">
        <f>SUM(I153:V153)</f>
        <v>37861</v>
      </c>
      <c r="C153" s="128">
        <f>AVERAGE(I153:V153)</f>
        <v>18930.5</v>
      </c>
      <c r="D153" s="141">
        <f>STDEV(I153:U153)</f>
        <v>22966.121146157879</v>
      </c>
      <c r="E153" s="193" t="s">
        <v>43</v>
      </c>
      <c r="F153" s="194">
        <v>2961</v>
      </c>
      <c r="G153" s="194">
        <v>7068</v>
      </c>
      <c r="H153" s="191">
        <f t="shared" si="88"/>
        <v>1767.8099999999995</v>
      </c>
      <c r="I153" s="58">
        <v>2691</v>
      </c>
      <c r="J153" s="58">
        <v>35170</v>
      </c>
    </row>
    <row r="154" spans="1:10">
      <c r="B154" s="132">
        <f>SUM(B150:B153)</f>
        <v>143475</v>
      </c>
      <c r="C154" s="126">
        <f>AVERAGE(I150:AA153)</f>
        <v>17934.375</v>
      </c>
      <c r="D154" s="139">
        <f>STDEV(I150:AA153)</f>
        <v>16938.80064009846</v>
      </c>
      <c r="E154" s="124"/>
      <c r="F154" s="207">
        <f t="shared" ref="F154:J154" si="89">SUM(F150:F153)</f>
        <v>10490</v>
      </c>
      <c r="G154" s="207">
        <f t="shared" si="89"/>
        <v>38718</v>
      </c>
      <c r="H154" s="207">
        <f t="shared" si="89"/>
        <v>19940.900000000001</v>
      </c>
      <c r="I154" s="207">
        <f t="shared" si="89"/>
        <v>8565</v>
      </c>
      <c r="J154" s="207">
        <f t="shared" si="89"/>
        <v>134910</v>
      </c>
    </row>
    <row r="155" spans="1:10">
      <c r="B155" s="132">
        <f>AVERAGE(B150:B153)</f>
        <v>35868.75</v>
      </c>
      <c r="C155" s="126"/>
      <c r="D155" s="139"/>
      <c r="E155" s="124"/>
      <c r="F155" s="138">
        <f t="shared" ref="F155:J155" si="90">AVERAGE(F150:F153)</f>
        <v>2622.5</v>
      </c>
      <c r="G155" s="138">
        <f t="shared" si="90"/>
        <v>9679.5</v>
      </c>
      <c r="H155" s="138">
        <f t="shared" si="90"/>
        <v>4985.2250000000004</v>
      </c>
      <c r="I155" s="125">
        <f t="shared" si="90"/>
        <v>2141.25</v>
      </c>
      <c r="J155" s="125">
        <f t="shared" si="90"/>
        <v>33727.5</v>
      </c>
    </row>
    <row r="156" spans="1:10" ht="15.75" thickBot="1">
      <c r="B156" s="169">
        <f>STDEV(B150:B153)</f>
        <v>1983.8764032402153</v>
      </c>
      <c r="C156" s="170"/>
      <c r="D156" s="171"/>
      <c r="E156" s="124"/>
      <c r="F156" s="178">
        <f t="shared" ref="F156:J156" si="91">STDEV(F150:F153)</f>
        <v>375.03288744677667</v>
      </c>
      <c r="G156" s="178">
        <f t="shared" si="91"/>
        <v>2853.8342044811689</v>
      </c>
      <c r="H156" s="178">
        <f t="shared" si="91"/>
        <v>3521.124736543708</v>
      </c>
      <c r="I156" s="177">
        <f t="shared" si="91"/>
        <v>608.14382893084326</v>
      </c>
      <c r="J156" s="177">
        <f t="shared" si="91"/>
        <v>1997.4045659304977</v>
      </c>
    </row>
    <row r="157" spans="1:10" ht="15.75" thickBot="1">
      <c r="A157">
        <v>10</v>
      </c>
      <c r="B157" s="133">
        <f>SUM(I157:V157)</f>
        <v>19896</v>
      </c>
      <c r="C157" s="127">
        <f>AVERAGE(I157:V157)</f>
        <v>9948</v>
      </c>
      <c r="D157" s="140">
        <f>STDEV(I157:U157)</f>
        <v>12829.745437848718</v>
      </c>
      <c r="E157" s="190" t="s">
        <v>40</v>
      </c>
      <c r="F157" s="155">
        <v>1166</v>
      </c>
      <c r="G157" s="155">
        <v>13253</v>
      </c>
      <c r="H157" s="191">
        <f>G157-F157*$L$4</f>
        <v>11165.86</v>
      </c>
      <c r="I157" s="161">
        <v>876</v>
      </c>
      <c r="J157" s="161">
        <v>19020</v>
      </c>
    </row>
    <row r="158" spans="1:10" ht="15.75" thickBot="1">
      <c r="B158" s="133">
        <f>SUM(I158:V158)</f>
        <v>22343</v>
      </c>
      <c r="C158" s="127">
        <f>AVERAGE(I158:V158)</f>
        <v>11171.5</v>
      </c>
      <c r="D158" s="140">
        <f>STDEV(I158:U158)</f>
        <v>14366.288473367085</v>
      </c>
      <c r="E158" s="193" t="s">
        <v>41</v>
      </c>
      <c r="F158" s="155">
        <v>1210</v>
      </c>
      <c r="G158" s="155">
        <v>12382</v>
      </c>
      <c r="H158" s="191">
        <f t="shared" ref="H158:H160" si="92">G158-F158*$L$4</f>
        <v>10216.1</v>
      </c>
      <c r="I158" s="54">
        <v>1013</v>
      </c>
      <c r="J158" s="54">
        <v>21330</v>
      </c>
    </row>
    <row r="159" spans="1:10" ht="15.75" thickBot="1">
      <c r="B159" s="214">
        <f>SUM(I159:V159)</f>
        <v>31031</v>
      </c>
      <c r="C159" s="127">
        <f>AVERAGE(I159:V159)</f>
        <v>15515.5</v>
      </c>
      <c r="D159" s="140">
        <f>STDEV(I159:U159)</f>
        <v>19904.348783620128</v>
      </c>
      <c r="E159" s="193" t="s">
        <v>42</v>
      </c>
      <c r="F159" s="155">
        <v>1506</v>
      </c>
      <c r="G159" s="220">
        <v>14864</v>
      </c>
      <c r="H159" s="191">
        <f t="shared" si="92"/>
        <v>12168.26</v>
      </c>
      <c r="I159" s="54">
        <v>1441</v>
      </c>
      <c r="J159" s="54">
        <v>29590</v>
      </c>
    </row>
    <row r="160" spans="1:10" ht="15.75" thickBot="1">
      <c r="B160" s="133">
        <f>SUM(I160:V160)</f>
        <v>32624</v>
      </c>
      <c r="C160" s="127">
        <f>AVERAGE(I160:V160)</f>
        <v>16312</v>
      </c>
      <c r="D160" s="140">
        <f>STDEV(I160:U160)</f>
        <v>20941.674431620791</v>
      </c>
      <c r="E160" s="193" t="s">
        <v>43</v>
      </c>
      <c r="F160" s="155">
        <v>1528</v>
      </c>
      <c r="G160" s="155">
        <v>14028</v>
      </c>
      <c r="H160" s="191">
        <f t="shared" si="92"/>
        <v>11292.880000000001</v>
      </c>
      <c r="I160" s="164">
        <v>1504</v>
      </c>
      <c r="J160" s="164">
        <v>31120</v>
      </c>
    </row>
    <row r="161" spans="1:10">
      <c r="B161" s="132">
        <f>SUM(B157:B160)</f>
        <v>105894</v>
      </c>
      <c r="C161" s="126">
        <f>AVERAGE(I157:AA160)</f>
        <v>13236.75</v>
      </c>
      <c r="D161" s="139">
        <f>STDEV(I157:AA160)</f>
        <v>13444.018518604154</v>
      </c>
      <c r="E161" s="124"/>
      <c r="F161" s="138">
        <f t="shared" ref="F161:G161" si="93">SUM(F157:F160)</f>
        <v>5410</v>
      </c>
      <c r="G161" s="138">
        <f t="shared" si="93"/>
        <v>54527</v>
      </c>
      <c r="H161" s="138">
        <f t="shared" ref="H161:J161" si="94">SUM(H157:H160)</f>
        <v>44843.100000000006</v>
      </c>
      <c r="I161" s="211">
        <f t="shared" si="94"/>
        <v>4834</v>
      </c>
      <c r="J161" s="211">
        <f t="shared" si="94"/>
        <v>101060</v>
      </c>
    </row>
    <row r="162" spans="1:10">
      <c r="B162" s="132">
        <f>AVERAGE(B157:B160)</f>
        <v>26473.5</v>
      </c>
      <c r="C162" s="126"/>
      <c r="D162" s="139"/>
      <c r="E162" s="124"/>
      <c r="F162" s="138">
        <f t="shared" ref="F162" si="95">AVERAGE(F157:F160)</f>
        <v>1352.5</v>
      </c>
      <c r="G162" s="138">
        <v>9434</v>
      </c>
      <c r="H162" s="138">
        <f t="shared" ref="H162:J162" si="96">AVERAGE(H157:H160)</f>
        <v>11210.775000000001</v>
      </c>
      <c r="I162" s="125">
        <f t="shared" si="96"/>
        <v>1208.5</v>
      </c>
      <c r="J162" s="125">
        <f t="shared" si="96"/>
        <v>25265</v>
      </c>
    </row>
    <row r="163" spans="1:10" ht="15.75" thickBot="1">
      <c r="B163" s="169">
        <f>STDEV(B157:B160)</f>
        <v>6296.1361961126604</v>
      </c>
      <c r="C163" s="170"/>
      <c r="D163" s="171"/>
      <c r="E163" s="144"/>
      <c r="F163" s="178">
        <f t="shared" ref="F163" si="97">STDEV(F157:F160)</f>
        <v>191.00698067522731</v>
      </c>
      <c r="G163" s="178">
        <v>12678</v>
      </c>
      <c r="H163" s="178">
        <f t="shared" ref="H163:J163" si="98">STDEV(H157:H160)</f>
        <v>798.93981189654903</v>
      </c>
      <c r="I163" s="177">
        <f t="shared" si="98"/>
        <v>310.99464089702042</v>
      </c>
      <c r="J163" s="177">
        <f t="shared" si="98"/>
        <v>5985.2847328538464</v>
      </c>
    </row>
    <row r="164" spans="1:10" ht="15.75" thickBot="1">
      <c r="B164" s="172" t="s">
        <v>14</v>
      </c>
      <c r="C164" s="172"/>
      <c r="D164" s="172"/>
      <c r="E164" s="173"/>
      <c r="F164" s="172" t="s">
        <v>20</v>
      </c>
      <c r="G164" s="172" t="s">
        <v>20</v>
      </c>
      <c r="H164" s="172" t="s">
        <v>20</v>
      </c>
      <c r="I164" s="174" t="s">
        <v>13</v>
      </c>
      <c r="J164" s="174" t="s">
        <v>13</v>
      </c>
    </row>
    <row r="165" spans="1:10" ht="15.75" thickBot="1">
      <c r="A165">
        <v>15</v>
      </c>
      <c r="B165" s="133">
        <f>SUM(I165:V165)</f>
        <v>24888</v>
      </c>
      <c r="C165" s="127">
        <f>AVERAGE(I165:V165)</f>
        <v>12444</v>
      </c>
      <c r="D165" s="140">
        <f>STDEV(I165:U165)</f>
        <v>16710.34745300049</v>
      </c>
      <c r="E165" s="190" t="s">
        <v>40</v>
      </c>
      <c r="F165" s="155">
        <v>795</v>
      </c>
      <c r="G165" s="155">
        <v>5504</v>
      </c>
      <c r="H165" s="191">
        <f>G165-F165*$L$4</f>
        <v>4080.95</v>
      </c>
      <c r="I165" s="181">
        <v>628</v>
      </c>
      <c r="J165" s="181">
        <v>24260</v>
      </c>
    </row>
    <row r="166" spans="1:10" ht="15.75" thickBot="1">
      <c r="B166" s="133">
        <f>SUM(I166:V166)</f>
        <v>22447</v>
      </c>
      <c r="C166" s="127">
        <f>AVERAGE(I166:V166)</f>
        <v>11223.5</v>
      </c>
      <c r="D166" s="140">
        <f>STDEV(I166:U166)</f>
        <v>14858.434793072924</v>
      </c>
      <c r="E166" s="193" t="s">
        <v>41</v>
      </c>
      <c r="F166" s="155">
        <v>825</v>
      </c>
      <c r="G166" s="155">
        <v>4387</v>
      </c>
      <c r="H166" s="191">
        <f t="shared" ref="H166:H168" si="99">G166-F166*$L$4</f>
        <v>2910.25</v>
      </c>
      <c r="I166" s="183">
        <v>717</v>
      </c>
      <c r="J166" s="183">
        <v>21730</v>
      </c>
    </row>
    <row r="167" spans="1:10" ht="15.75" thickBot="1">
      <c r="B167" s="214">
        <f>SUM(I167:V167)</f>
        <v>29270</v>
      </c>
      <c r="C167" s="127">
        <f>AVERAGE(I167:V167)</f>
        <v>14635</v>
      </c>
      <c r="D167" s="140">
        <f>STDEV(I167:U167)</f>
        <v>19254.517651709688</v>
      </c>
      <c r="E167" s="193" t="s">
        <v>42</v>
      </c>
      <c r="F167" s="155">
        <v>1037</v>
      </c>
      <c r="G167" s="155">
        <v>3827</v>
      </c>
      <c r="H167" s="191">
        <f t="shared" si="99"/>
        <v>1970.77</v>
      </c>
      <c r="I167" s="54">
        <v>1020</v>
      </c>
      <c r="J167" s="54">
        <v>28250</v>
      </c>
    </row>
    <row r="168" spans="1:10" ht="15.75" thickBot="1">
      <c r="B168" s="214">
        <f>SUM(I168:V168)</f>
        <v>27631</v>
      </c>
      <c r="C168" s="127">
        <f>AVERAGE(I168:V168)</f>
        <v>13815.5</v>
      </c>
      <c r="D168" s="140">
        <f>STDEV(I168:U168)</f>
        <v>18051.729016911373</v>
      </c>
      <c r="E168" s="193" t="s">
        <v>43</v>
      </c>
      <c r="F168" s="155">
        <v>1044</v>
      </c>
      <c r="G168" s="155">
        <v>3647</v>
      </c>
      <c r="H168" s="191">
        <f t="shared" si="99"/>
        <v>1778.24</v>
      </c>
      <c r="I168" s="164">
        <v>1051</v>
      </c>
      <c r="J168" s="164">
        <v>26580</v>
      </c>
    </row>
    <row r="169" spans="1:10">
      <c r="B169" s="132">
        <f>SUM(B165:B168)</f>
        <v>104236</v>
      </c>
      <c r="C169" s="126">
        <f>AVERAGE(I165:AA168)</f>
        <v>13029.5</v>
      </c>
      <c r="D169" s="139">
        <f>STDEV(I165:AA168)</f>
        <v>13148.655075166977</v>
      </c>
      <c r="E169" s="124"/>
      <c r="F169" s="138">
        <f t="shared" ref="F169:J169" si="100">SUM(F165:F168)</f>
        <v>3701</v>
      </c>
      <c r="G169" s="138">
        <f t="shared" si="100"/>
        <v>17365</v>
      </c>
      <c r="H169" s="138">
        <f t="shared" si="100"/>
        <v>10740.21</v>
      </c>
      <c r="I169" s="213">
        <f t="shared" si="100"/>
        <v>3416</v>
      </c>
      <c r="J169" s="213">
        <f t="shared" si="100"/>
        <v>100820</v>
      </c>
    </row>
    <row r="170" spans="1:10">
      <c r="B170" s="132">
        <f>AVERAGE(B165:B168)</f>
        <v>26059</v>
      </c>
      <c r="C170" s="126"/>
      <c r="D170" s="139"/>
      <c r="E170" s="124"/>
      <c r="F170" s="138">
        <f t="shared" ref="F170:H170" si="101">AVERAGE(F165:F168)</f>
        <v>925.25</v>
      </c>
      <c r="G170" s="138">
        <f t="shared" si="101"/>
        <v>4341.25</v>
      </c>
      <c r="H170" s="138">
        <f t="shared" si="101"/>
        <v>2685.0524999999998</v>
      </c>
      <c r="I170" s="131">
        <f>AVERAGE(I165:I168)</f>
        <v>854</v>
      </c>
      <c r="J170" s="131">
        <f>AVERAGE(J165:J168)</f>
        <v>25205</v>
      </c>
    </row>
    <row r="171" spans="1:10" ht="15.75" thickBot="1">
      <c r="B171" s="132">
        <f>STDEV(B165:B168)</f>
        <v>3011.0623817295227</v>
      </c>
      <c r="C171" s="126"/>
      <c r="D171" s="139"/>
      <c r="E171" s="124"/>
      <c r="F171" s="178">
        <f t="shared" ref="F171:H171" si="102">STDEV(F165:F168)</f>
        <v>133.67217361889496</v>
      </c>
      <c r="G171" s="178">
        <f t="shared" si="102"/>
        <v>836.76295926624289</v>
      </c>
      <c r="H171" s="178">
        <f t="shared" si="102"/>
        <v>1053.8425158240361</v>
      </c>
      <c r="I171" s="176">
        <f>STDEV(I165:I168)</f>
        <v>213.08057943729489</v>
      </c>
      <c r="J171" s="176">
        <f>STDEV(J165:J168)</f>
        <v>2836.1534984317523</v>
      </c>
    </row>
    <row r="172" spans="1:10">
      <c r="B172" s="135">
        <f>SUM(I172:S172)</f>
        <v>353605</v>
      </c>
      <c r="C172" s="13">
        <f>AVERAGE(I172:S172)</f>
        <v>176802.5</v>
      </c>
      <c r="D172" s="142">
        <f>STDEV(I172:S172)</f>
        <v>226256.49231016554</v>
      </c>
      <c r="E172" s="124"/>
      <c r="F172" s="200">
        <f t="shared" ref="F172:J172" si="103">SUM(F150:F153,F157:F160,F165:F168)</f>
        <v>19601</v>
      </c>
      <c r="G172" s="200">
        <f t="shared" si="103"/>
        <v>110610</v>
      </c>
      <c r="H172" s="200">
        <f t="shared" si="103"/>
        <v>75524.210000000006</v>
      </c>
      <c r="I172" s="198">
        <f t="shared" si="103"/>
        <v>16815</v>
      </c>
      <c r="J172" s="198">
        <f t="shared" si="103"/>
        <v>336790</v>
      </c>
    </row>
    <row r="173" spans="1:10" ht="15.75" thickBot="1">
      <c r="B173" s="136">
        <f>SUM(I150:S153,I157:S160,I165:S168)</f>
        <v>353605</v>
      </c>
      <c r="C173" s="137">
        <f>AVERAGE(I150:S153,I157:S160,I165:S168)</f>
        <v>14733.541666666666</v>
      </c>
      <c r="D173" s="143">
        <f>STDEV(I150:S153,I157:S160,I165:S168)</f>
        <v>14152.85796603937</v>
      </c>
      <c r="E173" s="144"/>
      <c r="F173" s="203">
        <f t="shared" ref="F173:J173" si="104">AVERAGE(F150:F153,F157:F160,F165:F168)</f>
        <v>1633.4166666666667</v>
      </c>
      <c r="G173" s="203">
        <f t="shared" si="104"/>
        <v>9217.5</v>
      </c>
      <c r="H173" s="203">
        <f t="shared" si="104"/>
        <v>6293.6841666666669</v>
      </c>
      <c r="I173" s="201">
        <f t="shared" si="104"/>
        <v>1401.25</v>
      </c>
      <c r="J173" s="201">
        <f t="shared" si="104"/>
        <v>28065.833333333332</v>
      </c>
    </row>
    <row r="174" spans="1:10" ht="15.75" thickBot="1">
      <c r="E174" s="122"/>
      <c r="F174" s="206">
        <f t="shared" ref="F174:J174" si="105">STDEV(F150:F153,F157:F160,F165:F168,)</f>
        <v>879.51787492221695</v>
      </c>
      <c r="G174" s="206">
        <f t="shared" si="105"/>
        <v>4849.8161067437159</v>
      </c>
      <c r="H174" s="206">
        <f t="shared" si="105"/>
        <v>4422.0414533497515</v>
      </c>
      <c r="I174" s="204">
        <f t="shared" si="105"/>
        <v>757.47845023083175</v>
      </c>
      <c r="J174" s="204">
        <f t="shared" si="105"/>
        <v>9411.8917551285285</v>
      </c>
    </row>
  </sheetData>
  <mergeCells count="2">
    <mergeCell ref="C2:G2"/>
    <mergeCell ref="H2:L2"/>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1:AV59"/>
  <sheetViews>
    <sheetView topLeftCell="AA1" workbookViewId="0">
      <selection activeCell="B1" sqref="B1:L1"/>
    </sheetView>
  </sheetViews>
  <sheetFormatPr defaultRowHeight="15"/>
  <cols>
    <col min="4" max="4" width="10.140625" bestFit="1" customWidth="1"/>
    <col min="5" max="5" width="7.7109375" customWidth="1"/>
    <col min="6" max="6" width="10" customWidth="1"/>
    <col min="7" max="7" width="10.5703125" customWidth="1"/>
    <col min="8" max="8" width="10.140625" customWidth="1"/>
    <col min="14" max="14" width="11.140625" customWidth="1"/>
    <col min="15" max="15" width="11.42578125" customWidth="1"/>
    <col min="16" max="16" width="10.5703125" customWidth="1"/>
    <col min="23" max="23" width="11.28515625" customWidth="1"/>
    <col min="24" max="24" width="11.5703125" customWidth="1"/>
    <col min="26" max="26" width="12.42578125" customWidth="1"/>
    <col min="31" max="31" width="10.140625" customWidth="1"/>
    <col min="32" max="32" width="10.7109375" customWidth="1"/>
    <col min="39" max="39" width="11.42578125" customWidth="1"/>
    <col min="40" max="40" width="10.85546875" customWidth="1"/>
    <col min="44" max="44" width="10.42578125" customWidth="1"/>
    <col min="46" max="46" width="11" customWidth="1"/>
    <col min="47" max="47" width="10.85546875" customWidth="1"/>
    <col min="48" max="48" width="12.42578125" customWidth="1"/>
  </cols>
  <sheetData>
    <row r="1" spans="2:48">
      <c r="B1" t="s">
        <v>67</v>
      </c>
      <c r="C1" s="218">
        <v>2.9</v>
      </c>
      <c r="D1" s="218">
        <v>0.45</v>
      </c>
      <c r="E1" s="218">
        <f t="shared" ref="E1" si="0">C1+D1</f>
        <v>3.35</v>
      </c>
      <c r="F1" s="218">
        <f t="shared" ref="F1" si="1">E1</f>
        <v>3.35</v>
      </c>
      <c r="G1" s="218">
        <f t="shared" ref="G1" si="2">2*E1</f>
        <v>6.7</v>
      </c>
      <c r="H1" s="217">
        <f t="shared" ref="H1" si="3">C1/2</f>
        <v>1.45</v>
      </c>
      <c r="I1" s="216">
        <v>0.45</v>
      </c>
      <c r="J1" s="217">
        <f t="shared" ref="J1" si="4">H1+I1</f>
        <v>1.9</v>
      </c>
      <c r="K1" s="217">
        <f t="shared" ref="K1" si="5">J1</f>
        <v>1.9</v>
      </c>
      <c r="L1" s="217">
        <f t="shared" ref="L1" si="6">2*J1</f>
        <v>3.8</v>
      </c>
    </row>
    <row r="2" spans="2:48">
      <c r="B2" t="s">
        <v>125</v>
      </c>
      <c r="D2" s="197">
        <v>43250</v>
      </c>
    </row>
    <row r="3" spans="2:48">
      <c r="B3" t="s">
        <v>124</v>
      </c>
      <c r="C3" t="s">
        <v>127</v>
      </c>
      <c r="J3" t="s">
        <v>123</v>
      </c>
      <c r="R3" t="s">
        <v>126</v>
      </c>
      <c r="Z3" t="s">
        <v>126</v>
      </c>
      <c r="AH3" t="s">
        <v>126</v>
      </c>
      <c r="AJ3" t="s">
        <v>129</v>
      </c>
      <c r="AP3" t="s">
        <v>126</v>
      </c>
      <c r="AR3" t="s">
        <v>130</v>
      </c>
    </row>
    <row r="4" spans="2:48">
      <c r="Z4" t="s">
        <v>128</v>
      </c>
      <c r="AJ4" t="s">
        <v>131</v>
      </c>
    </row>
    <row r="6" spans="2:48" ht="15.75" thickBot="1">
      <c r="B6" s="172" t="s">
        <v>117</v>
      </c>
      <c r="C6" s="172"/>
      <c r="D6" s="172"/>
      <c r="E6" s="173"/>
      <c r="F6" s="172" t="s">
        <v>20</v>
      </c>
      <c r="G6" s="172" t="s">
        <v>20</v>
      </c>
      <c r="H6" s="172" t="s">
        <v>20</v>
      </c>
      <c r="J6" s="172" t="s">
        <v>117</v>
      </c>
      <c r="K6" s="172"/>
      <c r="L6" s="172"/>
      <c r="M6" s="173"/>
      <c r="N6" s="172" t="s">
        <v>20</v>
      </c>
      <c r="O6" s="172" t="s">
        <v>20</v>
      </c>
      <c r="P6" s="172" t="s">
        <v>20</v>
      </c>
      <c r="R6" s="172" t="s">
        <v>117</v>
      </c>
      <c r="S6" s="172"/>
      <c r="T6" s="172"/>
      <c r="U6" s="173"/>
      <c r="V6" s="172" t="s">
        <v>20</v>
      </c>
      <c r="W6" s="172" t="s">
        <v>20</v>
      </c>
      <c r="X6" s="172" t="s">
        <v>20</v>
      </c>
      <c r="Z6" s="172" t="s">
        <v>117</v>
      </c>
      <c r="AA6" s="172"/>
      <c r="AB6" s="172"/>
      <c r="AC6" s="173"/>
      <c r="AD6" s="172" t="s">
        <v>20</v>
      </c>
      <c r="AE6" s="172" t="s">
        <v>20</v>
      </c>
      <c r="AF6" s="172" t="s">
        <v>20</v>
      </c>
      <c r="AH6" s="172" t="s">
        <v>117</v>
      </c>
      <c r="AI6" s="172"/>
      <c r="AJ6" s="172"/>
      <c r="AK6" s="173"/>
      <c r="AL6" s="172" t="s">
        <v>20</v>
      </c>
      <c r="AM6" s="172" t="s">
        <v>20</v>
      </c>
      <c r="AN6" s="172" t="s">
        <v>20</v>
      </c>
      <c r="AP6" s="172" t="s">
        <v>117</v>
      </c>
      <c r="AQ6" s="172"/>
      <c r="AR6" s="172"/>
      <c r="AS6" s="173"/>
      <c r="AT6" s="172" t="s">
        <v>20</v>
      </c>
      <c r="AU6" s="172" t="s">
        <v>20</v>
      </c>
      <c r="AV6" s="172" t="s">
        <v>20</v>
      </c>
    </row>
    <row r="7" spans="2:48" ht="15.75" thickBot="1">
      <c r="B7" s="187">
        <f>SUM(B118:N118)</f>
        <v>0</v>
      </c>
      <c r="C7" s="188" t="e">
        <f>AVERAGE(B118:N118)</f>
        <v>#DIV/0!</v>
      </c>
      <c r="D7" s="189" t="e">
        <f>STDEV(B118:M118)</f>
        <v>#DIV/0!</v>
      </c>
      <c r="E7" s="190" t="s">
        <v>40</v>
      </c>
      <c r="F7" s="192">
        <v>1133</v>
      </c>
      <c r="G7" s="192">
        <v>33420</v>
      </c>
      <c r="H7" s="191">
        <f>G7-F7*$L$1</f>
        <v>29114.6</v>
      </c>
      <c r="J7" s="187">
        <f>SUM(J118:V118)</f>
        <v>0</v>
      </c>
      <c r="K7" s="188" t="e">
        <f>AVERAGE(J118:V118)</f>
        <v>#DIV/0!</v>
      </c>
      <c r="L7" s="189" t="e">
        <f>STDEV(J118:U118)</f>
        <v>#DIV/0!</v>
      </c>
      <c r="M7" s="190" t="s">
        <v>40</v>
      </c>
      <c r="N7" s="192">
        <v>1140</v>
      </c>
      <c r="O7" s="192">
        <v>35180</v>
      </c>
      <c r="P7" s="191">
        <f>O7-N7*$L$1</f>
        <v>30848</v>
      </c>
      <c r="R7" s="187">
        <f>SUM(R118:AD118)</f>
        <v>0</v>
      </c>
      <c r="S7" s="188" t="e">
        <f>AVERAGE(R118:AD118)</f>
        <v>#DIV/0!</v>
      </c>
      <c r="T7" s="189" t="e">
        <f>STDEV(R118:AC118)</f>
        <v>#DIV/0!</v>
      </c>
      <c r="U7" s="190" t="s">
        <v>40</v>
      </c>
      <c r="V7" s="192">
        <v>1133</v>
      </c>
      <c r="W7" s="192">
        <v>33420</v>
      </c>
      <c r="X7" s="191">
        <f>W7-V7*$L$1</f>
        <v>29114.6</v>
      </c>
      <c r="Z7" s="187">
        <f>SUM(Z118:AL118)</f>
        <v>0</v>
      </c>
      <c r="AA7" s="188" t="e">
        <f>AVERAGE(Z118:AL118)</f>
        <v>#DIV/0!</v>
      </c>
      <c r="AB7" s="189" t="e">
        <f>STDEV(Z118:AK118)</f>
        <v>#DIV/0!</v>
      </c>
      <c r="AC7" s="190" t="s">
        <v>40</v>
      </c>
      <c r="AD7" s="192">
        <v>898</v>
      </c>
      <c r="AE7" s="192">
        <v>37060</v>
      </c>
      <c r="AF7" s="191">
        <f>AE7-AD7*$L$1</f>
        <v>33647.599999999999</v>
      </c>
      <c r="AH7" s="187">
        <f>SUM(AH118:AT118)</f>
        <v>0</v>
      </c>
      <c r="AI7" s="188" t="e">
        <f>AVERAGE(AH118:AT118)</f>
        <v>#DIV/0!</v>
      </c>
      <c r="AJ7" s="189" t="e">
        <f>STDEV(AH118:AS118)</f>
        <v>#DIV/0!</v>
      </c>
      <c r="AK7" s="190" t="s">
        <v>40</v>
      </c>
      <c r="AL7" s="192">
        <v>1133</v>
      </c>
      <c r="AM7" s="192">
        <v>33420</v>
      </c>
      <c r="AN7" s="191">
        <f>AM7-AL7*$L$1</f>
        <v>29114.6</v>
      </c>
      <c r="AP7" s="187">
        <f>SUM(AP118:BB118)</f>
        <v>0</v>
      </c>
      <c r="AQ7" s="188" t="e">
        <f>AVERAGE(AP118:BB118)</f>
        <v>#DIV/0!</v>
      </c>
      <c r="AR7" s="189" t="e">
        <f>STDEV(AP118:BA118)</f>
        <v>#DIV/0!</v>
      </c>
      <c r="AS7" s="190" t="s">
        <v>40</v>
      </c>
      <c r="AT7" s="192">
        <v>193</v>
      </c>
      <c r="AU7" s="192">
        <v>14050</v>
      </c>
      <c r="AV7" s="191">
        <f>AU7-AT7*$L$1</f>
        <v>13316.6</v>
      </c>
    </row>
    <row r="8" spans="2:48" ht="15.75" thickBot="1">
      <c r="B8" s="134">
        <f>SUM(B119:N119)</f>
        <v>0</v>
      </c>
      <c r="C8" s="128" t="e">
        <f>AVERAGE(B119:N119)</f>
        <v>#DIV/0!</v>
      </c>
      <c r="D8" s="141" t="e">
        <f>STDEV(B119:M119)</f>
        <v>#DIV/0!</v>
      </c>
      <c r="E8" s="193" t="s">
        <v>41</v>
      </c>
      <c r="F8" s="194">
        <v>1559</v>
      </c>
      <c r="G8" s="194">
        <v>39130</v>
      </c>
      <c r="H8" s="191">
        <f t="shared" ref="H8:H10" si="7">G8-F8*$L$1</f>
        <v>33205.800000000003</v>
      </c>
      <c r="J8" s="134">
        <f>SUM(J119:V119)</f>
        <v>0</v>
      </c>
      <c r="K8" s="128" t="e">
        <f>AVERAGE(J119:V119)</f>
        <v>#DIV/0!</v>
      </c>
      <c r="L8" s="141" t="e">
        <f>STDEV(J119:U119)</f>
        <v>#DIV/0!</v>
      </c>
      <c r="M8" s="193" t="s">
        <v>41</v>
      </c>
      <c r="N8" s="194">
        <v>1562</v>
      </c>
      <c r="O8" s="194">
        <v>39530</v>
      </c>
      <c r="P8" s="191">
        <f t="shared" ref="P8:P10" si="8">O8-N8*$L$1</f>
        <v>33594.400000000001</v>
      </c>
      <c r="R8" s="134">
        <f>SUM(R119:AD119)</f>
        <v>0</v>
      </c>
      <c r="S8" s="128" t="e">
        <f>AVERAGE(R119:AD119)</f>
        <v>#DIV/0!</v>
      </c>
      <c r="T8" s="141" t="e">
        <f>STDEV(R119:AC119)</f>
        <v>#DIV/0!</v>
      </c>
      <c r="U8" s="193" t="s">
        <v>41</v>
      </c>
      <c r="V8" s="194">
        <v>1559</v>
      </c>
      <c r="W8" s="194">
        <v>39130</v>
      </c>
      <c r="X8" s="191">
        <f t="shared" ref="X8:X10" si="9">W8-V8*$L$1</f>
        <v>33205.800000000003</v>
      </c>
      <c r="Z8" s="134">
        <f>SUM(Z119:AL119)</f>
        <v>0</v>
      </c>
      <c r="AA8" s="128" t="e">
        <f>AVERAGE(Z119:AL119)</f>
        <v>#DIV/0!</v>
      </c>
      <c r="AB8" s="141" t="e">
        <f>STDEV(Z119:AK119)</f>
        <v>#DIV/0!</v>
      </c>
      <c r="AC8" s="193" t="s">
        <v>41</v>
      </c>
      <c r="AD8" s="194">
        <v>1352</v>
      </c>
      <c r="AE8" s="194">
        <v>29840</v>
      </c>
      <c r="AF8" s="191">
        <f t="shared" ref="AF8:AF10" si="10">AE8-AD8*$L$1</f>
        <v>24702.400000000001</v>
      </c>
      <c r="AH8" s="134">
        <f>SUM(AH119:AT119)</f>
        <v>0</v>
      </c>
      <c r="AI8" s="128" t="e">
        <f>AVERAGE(AH119:AT119)</f>
        <v>#DIV/0!</v>
      </c>
      <c r="AJ8" s="141" t="e">
        <f>STDEV(AH119:AS119)</f>
        <v>#DIV/0!</v>
      </c>
      <c r="AK8" s="193" t="s">
        <v>41</v>
      </c>
      <c r="AL8" s="194">
        <v>1595</v>
      </c>
      <c r="AM8" s="194">
        <v>39100</v>
      </c>
      <c r="AN8" s="191">
        <f t="shared" ref="AN8:AN10" si="11">AM8-AL8*$L$1</f>
        <v>33039</v>
      </c>
      <c r="AP8" s="134">
        <f>SUM(AP119:BB119)</f>
        <v>0</v>
      </c>
      <c r="AQ8" s="128" t="e">
        <f>AVERAGE(AP119:BB119)</f>
        <v>#DIV/0!</v>
      </c>
      <c r="AR8" s="141" t="e">
        <f>STDEV(AP119:BA119)</f>
        <v>#DIV/0!</v>
      </c>
      <c r="AS8" s="193" t="s">
        <v>41</v>
      </c>
      <c r="AT8" s="194">
        <v>829</v>
      </c>
      <c r="AU8" s="194">
        <v>15910</v>
      </c>
      <c r="AV8" s="191">
        <f t="shared" ref="AV8:AV10" si="12">AU8-AT8*$L$1</f>
        <v>12759.8</v>
      </c>
    </row>
    <row r="9" spans="2:48" ht="15.75" thickBot="1">
      <c r="B9" s="214">
        <f>SUM(B120:N120)</f>
        <v>0</v>
      </c>
      <c r="C9" s="128" t="e">
        <f>AVERAGE(B120:N120)</f>
        <v>#DIV/0!</v>
      </c>
      <c r="D9" s="141" t="e">
        <f>STDEV(B120:M120)</f>
        <v>#DIV/0!</v>
      </c>
      <c r="E9" s="193" t="s">
        <v>42</v>
      </c>
      <c r="F9" s="194">
        <v>2300</v>
      </c>
      <c r="G9" s="194">
        <v>49780</v>
      </c>
      <c r="H9" s="191">
        <f t="shared" si="7"/>
        <v>41040</v>
      </c>
      <c r="J9" s="214">
        <f>SUM(J120:V120)</f>
        <v>0</v>
      </c>
      <c r="K9" s="128" t="e">
        <f>AVERAGE(J120:V120)</f>
        <v>#DIV/0!</v>
      </c>
      <c r="L9" s="141" t="e">
        <f>STDEV(J120:U120)</f>
        <v>#DIV/0!</v>
      </c>
      <c r="M9" s="193" t="s">
        <v>42</v>
      </c>
      <c r="N9" s="194">
        <v>2310</v>
      </c>
      <c r="O9" s="194">
        <v>49130</v>
      </c>
      <c r="P9" s="191">
        <f t="shared" si="8"/>
        <v>40352</v>
      </c>
      <c r="R9" s="214">
        <f>SUM(R120:AD120)</f>
        <v>0</v>
      </c>
      <c r="S9" s="128" t="e">
        <f>AVERAGE(R120:AD120)</f>
        <v>#DIV/0!</v>
      </c>
      <c r="T9" s="141" t="e">
        <f>STDEV(R120:AC120)</f>
        <v>#DIV/0!</v>
      </c>
      <c r="U9" s="193" t="s">
        <v>42</v>
      </c>
      <c r="V9" s="194">
        <v>2304</v>
      </c>
      <c r="W9" s="194">
        <v>50800</v>
      </c>
      <c r="X9" s="191">
        <f t="shared" si="9"/>
        <v>42044.800000000003</v>
      </c>
      <c r="Z9" s="214">
        <f>SUM(Z120:AL120)</f>
        <v>0</v>
      </c>
      <c r="AA9" s="128" t="e">
        <f>AVERAGE(Z120:AL120)</f>
        <v>#DIV/0!</v>
      </c>
      <c r="AB9" s="141" t="e">
        <f>STDEV(Z120:AK120)</f>
        <v>#DIV/0!</v>
      </c>
      <c r="AC9" s="193" t="s">
        <v>42</v>
      </c>
      <c r="AD9" s="194">
        <v>1863</v>
      </c>
      <c r="AE9" s="194">
        <v>29810</v>
      </c>
      <c r="AF9" s="191">
        <f t="shared" si="10"/>
        <v>22730.6</v>
      </c>
      <c r="AH9" s="214">
        <f>SUM(AH120:AT120)</f>
        <v>0</v>
      </c>
      <c r="AI9" s="128" t="e">
        <f>AVERAGE(AH120:AT120)</f>
        <v>#DIV/0!</v>
      </c>
      <c r="AJ9" s="141" t="e">
        <f>STDEV(AH120:AS120)</f>
        <v>#DIV/0!</v>
      </c>
      <c r="AK9" s="193" t="s">
        <v>42</v>
      </c>
      <c r="AL9" s="194">
        <v>2440</v>
      </c>
      <c r="AM9" s="194">
        <v>51010</v>
      </c>
      <c r="AN9" s="191">
        <f t="shared" si="11"/>
        <v>41738</v>
      </c>
      <c r="AP9" s="214">
        <f>SUM(AP120:BB120)</f>
        <v>0</v>
      </c>
      <c r="AQ9" s="128" t="e">
        <f>AVERAGE(AP120:BB120)</f>
        <v>#DIV/0!</v>
      </c>
      <c r="AR9" s="141" t="e">
        <f>STDEV(AP120:BA120)</f>
        <v>#DIV/0!</v>
      </c>
      <c r="AS9" s="193" t="s">
        <v>42</v>
      </c>
      <c r="AT9" s="194">
        <v>1896</v>
      </c>
      <c r="AU9" s="194">
        <v>31670</v>
      </c>
      <c r="AV9" s="191">
        <f t="shared" si="12"/>
        <v>24465.200000000001</v>
      </c>
    </row>
    <row r="10" spans="2:48">
      <c r="B10" s="214">
        <f>SUM(B121:N121)</f>
        <v>0</v>
      </c>
      <c r="C10" s="128" t="e">
        <f>AVERAGE(B121:N121)</f>
        <v>#DIV/0!</v>
      </c>
      <c r="D10" s="141" t="e">
        <f>STDEV(B121:M121)</f>
        <v>#DIV/0!</v>
      </c>
      <c r="E10" s="193" t="s">
        <v>43</v>
      </c>
      <c r="F10" s="194">
        <v>2473</v>
      </c>
      <c r="G10" s="194">
        <v>41050</v>
      </c>
      <c r="H10" s="191">
        <f t="shared" si="7"/>
        <v>31652.6</v>
      </c>
      <c r="J10" s="214">
        <f>SUM(J121:V121)</f>
        <v>0</v>
      </c>
      <c r="K10" s="128" t="e">
        <f>AVERAGE(J121:V121)</f>
        <v>#DIV/0!</v>
      </c>
      <c r="L10" s="141" t="e">
        <f>STDEV(J121:U121)</f>
        <v>#DIV/0!</v>
      </c>
      <c r="M10" s="193" t="s">
        <v>43</v>
      </c>
      <c r="N10" s="194">
        <v>2478</v>
      </c>
      <c r="O10" s="194">
        <v>41870</v>
      </c>
      <c r="P10" s="191">
        <f t="shared" si="8"/>
        <v>32453.599999999999</v>
      </c>
      <c r="R10" s="214">
        <f>SUM(R121:AD121)</f>
        <v>0</v>
      </c>
      <c r="S10" s="128" t="e">
        <f>AVERAGE(R121:AD121)</f>
        <v>#DIV/0!</v>
      </c>
      <c r="T10" s="141" t="e">
        <f>STDEV(R121:AC121)</f>
        <v>#DIV/0!</v>
      </c>
      <c r="U10" s="193" t="s">
        <v>43</v>
      </c>
      <c r="V10" s="194">
        <v>2474</v>
      </c>
      <c r="W10" s="194">
        <v>41780</v>
      </c>
      <c r="X10" s="191">
        <f t="shared" si="9"/>
        <v>32378.800000000003</v>
      </c>
      <c r="Z10" s="214">
        <f>SUM(Z121:AL121)</f>
        <v>0</v>
      </c>
      <c r="AA10" s="128" t="e">
        <f>AVERAGE(Z121:AL121)</f>
        <v>#DIV/0!</v>
      </c>
      <c r="AB10" s="141" t="e">
        <f>STDEV(Z121:AK121)</f>
        <v>#DIV/0!</v>
      </c>
      <c r="AC10" s="193" t="s">
        <v>43</v>
      </c>
      <c r="AD10" s="194">
        <v>2175</v>
      </c>
      <c r="AE10" s="194">
        <v>36600</v>
      </c>
      <c r="AF10" s="191">
        <f t="shared" si="10"/>
        <v>28335</v>
      </c>
      <c r="AH10" s="214">
        <f>SUM(AH121:AT121)</f>
        <v>0</v>
      </c>
      <c r="AI10" s="128" t="e">
        <f>AVERAGE(AH121:AT121)</f>
        <v>#DIV/0!</v>
      </c>
      <c r="AJ10" s="141" t="e">
        <f>STDEV(AH121:AS121)</f>
        <v>#DIV/0!</v>
      </c>
      <c r="AK10" s="193" t="s">
        <v>43</v>
      </c>
      <c r="AL10" s="194">
        <v>2687</v>
      </c>
      <c r="AM10" s="228">
        <v>58930</v>
      </c>
      <c r="AN10" s="191">
        <f t="shared" si="11"/>
        <v>48719.4</v>
      </c>
      <c r="AP10" s="214">
        <f>SUM(AP121:BB121)</f>
        <v>0</v>
      </c>
      <c r="AQ10" s="128" t="e">
        <f>AVERAGE(AP121:BB121)</f>
        <v>#DIV/0!</v>
      </c>
      <c r="AR10" s="141" t="e">
        <f>STDEV(AP121:BA121)</f>
        <v>#DIV/0!</v>
      </c>
      <c r="AS10" s="193" t="s">
        <v>43</v>
      </c>
      <c r="AT10" s="194">
        <v>2265</v>
      </c>
      <c r="AU10" s="194">
        <v>37780</v>
      </c>
      <c r="AV10" s="191">
        <f t="shared" si="12"/>
        <v>29173</v>
      </c>
    </row>
    <row r="11" spans="2:48">
      <c r="B11" s="132">
        <f>SUM(B7:B10)</f>
        <v>0</v>
      </c>
      <c r="C11" s="126" t="e">
        <f>AVERAGE(B118:S121)</f>
        <v>#DIV/0!</v>
      </c>
      <c r="D11" s="139" t="e">
        <f>STDEV(B118:S121)</f>
        <v>#DIV/0!</v>
      </c>
      <c r="E11" s="124"/>
      <c r="F11" s="207">
        <f t="shared" ref="F11:H11" si="13">SUM(F7:F10)</f>
        <v>7465</v>
      </c>
      <c r="G11" s="207">
        <f t="shared" si="13"/>
        <v>163380</v>
      </c>
      <c r="H11" s="207">
        <f t="shared" si="13"/>
        <v>135013</v>
      </c>
      <c r="J11" s="132">
        <f>SUM(J7:J10)</f>
        <v>0</v>
      </c>
      <c r="K11" s="126" t="e">
        <f>AVERAGE(J118:AA121)</f>
        <v>#DIV/0!</v>
      </c>
      <c r="L11" s="139" t="e">
        <f>STDEV(J118:AA121)</f>
        <v>#DIV/0!</v>
      </c>
      <c r="M11" s="124"/>
      <c r="N11" s="207">
        <f t="shared" ref="N11:P11" si="14">SUM(N7:N10)</f>
        <v>7490</v>
      </c>
      <c r="O11" s="207">
        <f t="shared" si="14"/>
        <v>165710</v>
      </c>
      <c r="P11" s="207">
        <f t="shared" si="14"/>
        <v>137248</v>
      </c>
      <c r="R11" s="132">
        <f>SUM(R7:R10)</f>
        <v>0</v>
      </c>
      <c r="S11" s="126" t="e">
        <f>AVERAGE(R118:AI121)</f>
        <v>#DIV/0!</v>
      </c>
      <c r="T11" s="139" t="e">
        <f>STDEV(R118:AI121)</f>
        <v>#DIV/0!</v>
      </c>
      <c r="U11" s="124"/>
      <c r="V11" s="207">
        <f t="shared" ref="V11:X11" si="15">SUM(V7:V10)</f>
        <v>7470</v>
      </c>
      <c r="W11" s="207">
        <f t="shared" si="15"/>
        <v>165130</v>
      </c>
      <c r="X11" s="207">
        <f t="shared" si="15"/>
        <v>136744</v>
      </c>
      <c r="Z11" s="132">
        <f>SUM(Z7:Z10)</f>
        <v>0</v>
      </c>
      <c r="AA11" s="126" t="e">
        <f>AVERAGE(Z118:AQ121)</f>
        <v>#DIV/0!</v>
      </c>
      <c r="AB11" s="139" t="e">
        <f>STDEV(Z118:AQ121)</f>
        <v>#DIV/0!</v>
      </c>
      <c r="AC11" s="124"/>
      <c r="AD11" s="207">
        <f t="shared" ref="AD11:AF11" si="16">SUM(AD7:AD10)</f>
        <v>6288</v>
      </c>
      <c r="AE11" s="207">
        <f t="shared" si="16"/>
        <v>133310</v>
      </c>
      <c r="AF11" s="207">
        <f t="shared" si="16"/>
        <v>109415.6</v>
      </c>
      <c r="AH11" s="132">
        <f>SUM(AH7:AH10)</f>
        <v>0</v>
      </c>
      <c r="AI11" s="126" t="e">
        <f>AVERAGE(AH118:AY121)</f>
        <v>#DIV/0!</v>
      </c>
      <c r="AJ11" s="139" t="e">
        <f>STDEV(AH118:AY121)</f>
        <v>#DIV/0!</v>
      </c>
      <c r="AK11" s="124"/>
      <c r="AL11" s="207">
        <f t="shared" ref="AL11:AN11" si="17">SUM(AL7:AL10)</f>
        <v>7855</v>
      </c>
      <c r="AM11" s="207">
        <f t="shared" si="17"/>
        <v>182460</v>
      </c>
      <c r="AN11" s="207">
        <f t="shared" si="17"/>
        <v>152611</v>
      </c>
      <c r="AP11" s="132">
        <f>SUM(AP7:AP10)</f>
        <v>0</v>
      </c>
      <c r="AQ11" s="126" t="e">
        <f>AVERAGE(AP118:BG121)</f>
        <v>#DIV/0!</v>
      </c>
      <c r="AR11" s="139" t="e">
        <f>STDEV(AP118:BG121)</f>
        <v>#DIV/0!</v>
      </c>
      <c r="AS11" s="124"/>
      <c r="AT11" s="207">
        <f t="shared" ref="AT11:AV11" si="18">SUM(AT7:AT10)</f>
        <v>5183</v>
      </c>
      <c r="AU11" s="207">
        <f t="shared" si="18"/>
        <v>99410</v>
      </c>
      <c r="AV11" s="207">
        <f t="shared" si="18"/>
        <v>79714.600000000006</v>
      </c>
    </row>
    <row r="12" spans="2:48">
      <c r="B12" s="132">
        <f>AVERAGE(B7:B10)</f>
        <v>0</v>
      </c>
      <c r="C12" s="126"/>
      <c r="D12" s="139"/>
      <c r="E12" s="124"/>
      <c r="F12" s="138">
        <f t="shared" ref="F12:H12" si="19">AVERAGE(F7:F10)</f>
        <v>1866.25</v>
      </c>
      <c r="G12" s="138">
        <f t="shared" si="19"/>
        <v>40845</v>
      </c>
      <c r="H12" s="138">
        <f t="shared" si="19"/>
        <v>33753.25</v>
      </c>
      <c r="J12" s="132">
        <f>AVERAGE(J7:J10)</f>
        <v>0</v>
      </c>
      <c r="K12" s="126"/>
      <c r="L12" s="139"/>
      <c r="M12" s="124"/>
      <c r="N12" s="138">
        <f t="shared" ref="N12:P12" si="20">AVERAGE(N7:N10)</f>
        <v>1872.5</v>
      </c>
      <c r="O12" s="138">
        <f t="shared" si="20"/>
        <v>41427.5</v>
      </c>
      <c r="P12" s="138">
        <f t="shared" si="20"/>
        <v>34312</v>
      </c>
      <c r="R12" s="132">
        <f>AVERAGE(R7:R10)</f>
        <v>0</v>
      </c>
      <c r="S12" s="126"/>
      <c r="T12" s="139"/>
      <c r="U12" s="124"/>
      <c r="V12" s="138">
        <f t="shared" ref="V12:X12" si="21">AVERAGE(V7:V10)</f>
        <v>1867.5</v>
      </c>
      <c r="W12" s="138">
        <f t="shared" si="21"/>
        <v>41282.5</v>
      </c>
      <c r="X12" s="138">
        <f t="shared" si="21"/>
        <v>34186</v>
      </c>
      <c r="Z12" s="132">
        <f>AVERAGE(Z7:Z10)</f>
        <v>0</v>
      </c>
      <c r="AA12" s="126"/>
      <c r="AB12" s="139"/>
      <c r="AC12" s="124"/>
      <c r="AD12" s="138">
        <f t="shared" ref="AD12:AF12" si="22">AVERAGE(AD7:AD10)</f>
        <v>1572</v>
      </c>
      <c r="AE12" s="138">
        <f t="shared" si="22"/>
        <v>33327.5</v>
      </c>
      <c r="AF12" s="138">
        <f t="shared" si="22"/>
        <v>27353.9</v>
      </c>
      <c r="AH12" s="132">
        <f>AVERAGE(AH7:AH10)</f>
        <v>0</v>
      </c>
      <c r="AI12" s="126"/>
      <c r="AJ12" s="139"/>
      <c r="AK12" s="124"/>
      <c r="AL12" s="138">
        <f t="shared" ref="AL12:AN12" si="23">AVERAGE(AL7:AL10)</f>
        <v>1963.75</v>
      </c>
      <c r="AM12" s="138">
        <f t="shared" si="23"/>
        <v>45615</v>
      </c>
      <c r="AN12" s="138">
        <f t="shared" si="23"/>
        <v>38152.75</v>
      </c>
      <c r="AP12" s="132">
        <f>AVERAGE(AP7:AP10)</f>
        <v>0</v>
      </c>
      <c r="AQ12" s="126"/>
      <c r="AR12" s="139"/>
      <c r="AS12" s="124"/>
      <c r="AT12" s="138">
        <f t="shared" ref="AT12:AV12" si="24">AVERAGE(AT7:AT10)</f>
        <v>1295.75</v>
      </c>
      <c r="AU12" s="138">
        <f t="shared" si="24"/>
        <v>24852.5</v>
      </c>
      <c r="AV12" s="138">
        <f t="shared" si="24"/>
        <v>19928.650000000001</v>
      </c>
    </row>
    <row r="13" spans="2:48" ht="15.75" thickBot="1">
      <c r="B13" s="169">
        <f>STDEV(B7:B10)</f>
        <v>0</v>
      </c>
      <c r="C13" s="170"/>
      <c r="D13" s="171"/>
      <c r="E13" s="124"/>
      <c r="F13" s="178">
        <f t="shared" ref="F13:H13" si="25">STDEV(F7:F10)</f>
        <v>629.37607993949052</v>
      </c>
      <c r="G13" s="178">
        <f t="shared" si="25"/>
        <v>6781.0544902691945</v>
      </c>
      <c r="H13" s="178">
        <f t="shared" si="25"/>
        <v>5142.1860237970268</v>
      </c>
      <c r="J13" s="169">
        <f>STDEV(J7:J10)</f>
        <v>0</v>
      </c>
      <c r="K13" s="170"/>
      <c r="L13" s="171"/>
      <c r="M13" s="124"/>
      <c r="N13" s="178">
        <f t="shared" ref="N13:P13" si="26">STDEV(N7:N10)</f>
        <v>630.08015363126617</v>
      </c>
      <c r="O13" s="178">
        <f t="shared" si="26"/>
        <v>5835.4112965582808</v>
      </c>
      <c r="P13" s="178">
        <f t="shared" si="26"/>
        <v>4181.2875337627638</v>
      </c>
      <c r="R13" s="169">
        <f>STDEV(R7:R10)</f>
        <v>0</v>
      </c>
      <c r="S13" s="170"/>
      <c r="T13" s="171"/>
      <c r="U13" s="124"/>
      <c r="V13" s="178">
        <f t="shared" ref="V13:X13" si="27">STDEV(V7:V10)</f>
        <v>630.617950902129</v>
      </c>
      <c r="W13" s="178">
        <f t="shared" si="27"/>
        <v>7240.6830939260599</v>
      </c>
      <c r="X13" s="178">
        <f t="shared" si="27"/>
        <v>5528.9118664224425</v>
      </c>
      <c r="Z13" s="169">
        <f>STDEV(Z7:Z10)</f>
        <v>0</v>
      </c>
      <c r="AA13" s="170"/>
      <c r="AB13" s="171"/>
      <c r="AC13" s="124"/>
      <c r="AD13" s="178">
        <f t="shared" ref="AD13:AF13" si="28">STDEV(AD7:AD10)</f>
        <v>563.01746568527221</v>
      </c>
      <c r="AE13" s="178">
        <f t="shared" si="28"/>
        <v>4048.7148166630195</v>
      </c>
      <c r="AF13" s="178">
        <f t="shared" si="28"/>
        <v>4795.0867924018494</v>
      </c>
      <c r="AH13" s="169">
        <f>STDEV(AH7:AH10)</f>
        <v>0</v>
      </c>
      <c r="AI13" s="170"/>
      <c r="AJ13" s="171"/>
      <c r="AK13" s="124"/>
      <c r="AL13" s="178">
        <f t="shared" ref="AL13:AN13" si="29">STDEV(AL7:AL10)</f>
        <v>724.80497376880635</v>
      </c>
      <c r="AM13" s="178">
        <f t="shared" si="29"/>
        <v>11511.71142793286</v>
      </c>
      <c r="AN13" s="178">
        <f t="shared" si="29"/>
        <v>8800.5057481563799</v>
      </c>
      <c r="AP13" s="169">
        <f>STDEV(AP7:AP10)</f>
        <v>0</v>
      </c>
      <c r="AQ13" s="170"/>
      <c r="AR13" s="171"/>
      <c r="AS13" s="124"/>
      <c r="AT13" s="178">
        <f t="shared" ref="AT13:AV13" si="30">STDEV(AT7:AT10)</f>
        <v>954.57822274203033</v>
      </c>
      <c r="AU13" s="178">
        <f t="shared" si="30"/>
        <v>11694.170556307105</v>
      </c>
      <c r="AV13" s="178">
        <f t="shared" si="30"/>
        <v>8188.404572931162</v>
      </c>
    </row>
    <row r="14" spans="2:48" ht="15.75" thickBot="1">
      <c r="B14" s="133">
        <f>SUM(B125:N125)</f>
        <v>0</v>
      </c>
      <c r="C14" s="127" t="e">
        <f>AVERAGE(B125:N125)</f>
        <v>#DIV/0!</v>
      </c>
      <c r="D14" s="140" t="e">
        <f>STDEV(B125:M125)</f>
        <v>#DIV/0!</v>
      </c>
      <c r="E14" s="190" t="s">
        <v>40</v>
      </c>
      <c r="F14" s="155">
        <v>1148</v>
      </c>
      <c r="G14" s="155">
        <v>42360</v>
      </c>
      <c r="H14" s="191">
        <f>G14-F14*$L$1</f>
        <v>37997.599999999999</v>
      </c>
      <c r="J14" s="133">
        <f>SUM(J125:V125)</f>
        <v>0</v>
      </c>
      <c r="K14" s="127" t="e">
        <f>AVERAGE(J125:V125)</f>
        <v>#DIV/0!</v>
      </c>
      <c r="L14" s="140" t="e">
        <f>STDEV(J125:U125)</f>
        <v>#DIV/0!</v>
      </c>
      <c r="M14" s="190" t="s">
        <v>40</v>
      </c>
      <c r="N14" s="155">
        <v>1156</v>
      </c>
      <c r="O14" s="155">
        <v>41360</v>
      </c>
      <c r="P14" s="191">
        <f>O14-N14*$L$1</f>
        <v>36967.199999999997</v>
      </c>
      <c r="R14" s="133">
        <f>SUM(R125:AD125)</f>
        <v>0</v>
      </c>
      <c r="S14" s="127" t="e">
        <f>AVERAGE(R125:AD125)</f>
        <v>#DIV/0!</v>
      </c>
      <c r="T14" s="140" t="e">
        <f>STDEV(R125:AC125)</f>
        <v>#DIV/0!</v>
      </c>
      <c r="U14" s="190" t="s">
        <v>40</v>
      </c>
      <c r="V14" s="155">
        <v>1149</v>
      </c>
      <c r="W14" s="155">
        <v>42180</v>
      </c>
      <c r="X14" s="191">
        <f>W14-V14*$L$1</f>
        <v>37813.800000000003</v>
      </c>
      <c r="Z14" s="133">
        <f>SUM(Z125:AL125)</f>
        <v>0</v>
      </c>
      <c r="AA14" s="127" t="e">
        <f>AVERAGE(Z125:AL125)</f>
        <v>#DIV/0!</v>
      </c>
      <c r="AB14" s="140" t="e">
        <f>STDEV(Z125:AK125)</f>
        <v>#DIV/0!</v>
      </c>
      <c r="AC14" s="190" t="s">
        <v>40</v>
      </c>
      <c r="AD14" s="155">
        <v>934</v>
      </c>
      <c r="AE14" s="155">
        <v>22040</v>
      </c>
      <c r="AF14" s="191">
        <f>AE14-AD14*$L$1</f>
        <v>18490.8</v>
      </c>
      <c r="AH14" s="133">
        <f>SUM(AH125:AT125)</f>
        <v>0</v>
      </c>
      <c r="AI14" s="127" t="e">
        <f>AVERAGE(AH125:AT125)</f>
        <v>#DIV/0!</v>
      </c>
      <c r="AJ14" s="140" t="e">
        <f>STDEV(AH125:AS125)</f>
        <v>#DIV/0!</v>
      </c>
      <c r="AK14" s="190" t="s">
        <v>40</v>
      </c>
      <c r="AL14" s="155">
        <v>1149</v>
      </c>
      <c r="AM14" s="155">
        <v>42320</v>
      </c>
      <c r="AN14" s="191">
        <f>AM14-AL14*$L$1</f>
        <v>37953.800000000003</v>
      </c>
      <c r="AP14" s="133">
        <f>SUM(AP125:BB125)</f>
        <v>0</v>
      </c>
      <c r="AQ14" s="127" t="e">
        <f>AVERAGE(AP125:BB125)</f>
        <v>#DIV/0!</v>
      </c>
      <c r="AR14" s="140" t="e">
        <f>STDEV(AP125:BA125)</f>
        <v>#DIV/0!</v>
      </c>
      <c r="AS14" s="190" t="s">
        <v>40</v>
      </c>
      <c r="AT14" s="155">
        <v>214</v>
      </c>
      <c r="AU14" s="155">
        <v>11100</v>
      </c>
      <c r="AV14" s="191">
        <f>AU14-AT14*$L$1</f>
        <v>10286.799999999999</v>
      </c>
    </row>
    <row r="15" spans="2:48" ht="15.75" thickBot="1">
      <c r="B15" s="133">
        <f>SUM(B126:N126)</f>
        <v>0</v>
      </c>
      <c r="C15" s="127" t="e">
        <f>AVERAGE(B126:N126)</f>
        <v>#DIV/0!</v>
      </c>
      <c r="D15" s="140" t="e">
        <f>STDEV(B126:M126)</f>
        <v>#DIV/0!</v>
      </c>
      <c r="E15" s="193" t="s">
        <v>41</v>
      </c>
      <c r="F15" s="155">
        <v>1615</v>
      </c>
      <c r="G15" s="155">
        <v>40610</v>
      </c>
      <c r="H15" s="191">
        <f t="shared" ref="H15:H17" si="31">G15-F15*$L$1</f>
        <v>34473</v>
      </c>
      <c r="J15" s="133">
        <f>SUM(J126:V126)</f>
        <v>0</v>
      </c>
      <c r="K15" s="127" t="e">
        <f>AVERAGE(J126:V126)</f>
        <v>#DIV/0!</v>
      </c>
      <c r="L15" s="140" t="e">
        <f>STDEV(J126:U126)</f>
        <v>#DIV/0!</v>
      </c>
      <c r="M15" s="193" t="s">
        <v>41</v>
      </c>
      <c r="N15" s="155">
        <v>1619</v>
      </c>
      <c r="O15" s="155">
        <v>39960</v>
      </c>
      <c r="P15" s="191">
        <f t="shared" ref="P15:P17" si="32">O15-N15*$L$1</f>
        <v>33807.800000000003</v>
      </c>
      <c r="R15" s="133">
        <f>SUM(R126:AD126)</f>
        <v>0</v>
      </c>
      <c r="S15" s="127" t="e">
        <f>AVERAGE(R126:AD126)</f>
        <v>#DIV/0!</v>
      </c>
      <c r="T15" s="140" t="e">
        <f>STDEV(R126:AC126)</f>
        <v>#DIV/0!</v>
      </c>
      <c r="U15" s="193" t="s">
        <v>41</v>
      </c>
      <c r="V15" s="155">
        <v>1616</v>
      </c>
      <c r="W15" s="155">
        <v>40520</v>
      </c>
      <c r="X15" s="191">
        <f>W15-V15*$L$1</f>
        <v>34379.199999999997</v>
      </c>
      <c r="Z15" s="133">
        <f>SUM(Z126:AL126)</f>
        <v>0</v>
      </c>
      <c r="AA15" s="127" t="e">
        <f>AVERAGE(Z126:AL126)</f>
        <v>#DIV/0!</v>
      </c>
      <c r="AB15" s="140" t="e">
        <f>STDEV(Z126:AK126)</f>
        <v>#DIV/0!</v>
      </c>
      <c r="AC15" s="193" t="s">
        <v>41</v>
      </c>
      <c r="AD15" s="155">
        <v>1400</v>
      </c>
      <c r="AE15" s="155">
        <v>16380</v>
      </c>
      <c r="AF15" s="191">
        <f>AE15-AD15*$L$1</f>
        <v>11060</v>
      </c>
      <c r="AH15" s="133">
        <f>SUM(AH126:AT126)</f>
        <v>0</v>
      </c>
      <c r="AI15" s="127" t="e">
        <f>AVERAGE(AH126:AT126)</f>
        <v>#DIV/0!</v>
      </c>
      <c r="AJ15" s="140" t="e">
        <f>STDEV(AH126:AS126)</f>
        <v>#DIV/0!</v>
      </c>
      <c r="AK15" s="193" t="s">
        <v>41</v>
      </c>
      <c r="AL15" s="155">
        <v>1647</v>
      </c>
      <c r="AM15" s="155">
        <v>39400</v>
      </c>
      <c r="AN15" s="191">
        <f>AM15-AL15*$L$1</f>
        <v>33141.4</v>
      </c>
      <c r="AP15" s="133">
        <f>SUM(AP126:BB126)</f>
        <v>0</v>
      </c>
      <c r="AQ15" s="127" t="e">
        <f>AVERAGE(AP126:BB126)</f>
        <v>#DIV/0!</v>
      </c>
      <c r="AR15" s="140" t="e">
        <f>STDEV(AP126:BA126)</f>
        <v>#DIV/0!</v>
      </c>
      <c r="AS15" s="193" t="s">
        <v>41</v>
      </c>
      <c r="AT15" s="155">
        <v>889</v>
      </c>
      <c r="AU15" s="155">
        <v>6770</v>
      </c>
      <c r="AV15" s="191">
        <f>AU15-AT15*$L$1</f>
        <v>3391.8</v>
      </c>
    </row>
    <row r="16" spans="2:48" ht="15.75" thickBot="1">
      <c r="B16" s="214">
        <f>SUM(B127:N127)</f>
        <v>0</v>
      </c>
      <c r="C16" s="127" t="e">
        <f>AVERAGE(B127:N127)</f>
        <v>#DIV/0!</v>
      </c>
      <c r="D16" s="140" t="e">
        <f>STDEV(B127:M127)</f>
        <v>#DIV/0!</v>
      </c>
      <c r="E16" s="193" t="s">
        <v>42</v>
      </c>
      <c r="F16" s="155">
        <v>2335</v>
      </c>
      <c r="G16" s="155">
        <v>51550</v>
      </c>
      <c r="H16" s="191">
        <f t="shared" si="31"/>
        <v>42677</v>
      </c>
      <c r="J16" s="214">
        <f>SUM(J127:V127)</f>
        <v>0</v>
      </c>
      <c r="K16" s="127" t="e">
        <f>AVERAGE(J127:V127)</f>
        <v>#DIV/0!</v>
      </c>
      <c r="L16" s="140" t="e">
        <f>STDEV(J127:U127)</f>
        <v>#DIV/0!</v>
      </c>
      <c r="M16" s="193" t="s">
        <v>42</v>
      </c>
      <c r="N16" s="155">
        <v>2348</v>
      </c>
      <c r="O16" s="155">
        <v>52130</v>
      </c>
      <c r="P16" s="191">
        <f t="shared" si="32"/>
        <v>43207.6</v>
      </c>
      <c r="R16" s="214">
        <f>SUM(R127:AD127)</f>
        <v>0</v>
      </c>
      <c r="S16" s="127" t="e">
        <f>AVERAGE(R127:AD127)</f>
        <v>#DIV/0!</v>
      </c>
      <c r="T16" s="140" t="e">
        <f>STDEV(R127:AC127)</f>
        <v>#DIV/0!</v>
      </c>
      <c r="U16" s="193" t="s">
        <v>42</v>
      </c>
      <c r="V16" s="155">
        <v>2342</v>
      </c>
      <c r="W16" s="155">
        <v>51420</v>
      </c>
      <c r="X16" s="191">
        <f t="shared" ref="X16:X17" si="33">W16-V16*$L$1</f>
        <v>42520.4</v>
      </c>
      <c r="Z16" s="214">
        <f>SUM(Z127:AL127)</f>
        <v>0</v>
      </c>
      <c r="AA16" s="127" t="e">
        <f>AVERAGE(Z127:AL127)</f>
        <v>#DIV/0!</v>
      </c>
      <c r="AB16" s="140" t="e">
        <f>STDEV(Z127:AK127)</f>
        <v>#DIV/0!</v>
      </c>
      <c r="AC16" s="193" t="s">
        <v>42</v>
      </c>
      <c r="AD16" s="155">
        <v>1921</v>
      </c>
      <c r="AE16" s="155">
        <v>39440</v>
      </c>
      <c r="AF16" s="191">
        <f t="shared" ref="AF16:AF17" si="34">AE16-AD16*$L$1</f>
        <v>32140.2</v>
      </c>
      <c r="AH16" s="214">
        <f>SUM(AH127:AT127)</f>
        <v>0</v>
      </c>
      <c r="AI16" s="127" t="e">
        <f>AVERAGE(AH127:AT127)</f>
        <v>#DIV/0!</v>
      </c>
      <c r="AJ16" s="140" t="e">
        <f>STDEV(AH127:AS127)</f>
        <v>#DIV/0!</v>
      </c>
      <c r="AK16" s="193" t="s">
        <v>42</v>
      </c>
      <c r="AL16" s="155">
        <v>2558</v>
      </c>
      <c r="AM16" s="229">
        <v>59660</v>
      </c>
      <c r="AN16" s="191">
        <f t="shared" ref="AN16:AN17" si="35">AM16-AL16*$L$1</f>
        <v>49939.6</v>
      </c>
      <c r="AP16" s="214">
        <f>SUM(AP127:BB127)</f>
        <v>0</v>
      </c>
      <c r="AQ16" s="127" t="e">
        <f>AVERAGE(AP127:BB127)</f>
        <v>#DIV/0!</v>
      </c>
      <c r="AR16" s="140" t="e">
        <f>STDEV(AP127:BA127)</f>
        <v>#DIV/0!</v>
      </c>
      <c r="AS16" s="193" t="s">
        <v>42</v>
      </c>
      <c r="AT16" s="155">
        <v>2144</v>
      </c>
      <c r="AU16" s="155">
        <v>36450</v>
      </c>
      <c r="AV16" s="191">
        <f t="shared" ref="AV16:AV17" si="36">AU16-AT16*$L$1</f>
        <v>28302.799999999999</v>
      </c>
    </row>
    <row r="17" spans="2:48">
      <c r="B17" s="133">
        <f>SUM(B128:N128)</f>
        <v>0</v>
      </c>
      <c r="C17" s="127" t="e">
        <f>AVERAGE(B128:N128)</f>
        <v>#DIV/0!</v>
      </c>
      <c r="D17" s="140" t="e">
        <f>STDEV(B128:M128)</f>
        <v>#DIV/0!</v>
      </c>
      <c r="E17" s="193" t="s">
        <v>43</v>
      </c>
      <c r="F17" s="155">
        <v>2529</v>
      </c>
      <c r="G17" s="155">
        <v>46760</v>
      </c>
      <c r="H17" s="191">
        <f t="shared" si="31"/>
        <v>37149.800000000003</v>
      </c>
      <c r="J17" s="133">
        <f>SUM(J128:V128)</f>
        <v>0</v>
      </c>
      <c r="K17" s="127" t="e">
        <f>AVERAGE(J128:V128)</f>
        <v>#DIV/0!</v>
      </c>
      <c r="L17" s="140" t="e">
        <f>STDEV(J128:U128)</f>
        <v>#DIV/0!</v>
      </c>
      <c r="M17" s="193" t="s">
        <v>43</v>
      </c>
      <c r="N17" s="155">
        <v>2537</v>
      </c>
      <c r="O17" s="155">
        <v>46320</v>
      </c>
      <c r="P17" s="191">
        <f t="shared" si="32"/>
        <v>36679.4</v>
      </c>
      <c r="R17" s="133">
        <f>SUM(R128:AD128)</f>
        <v>0</v>
      </c>
      <c r="S17" s="127" t="e">
        <f>AVERAGE(R128:AD128)</f>
        <v>#DIV/0!</v>
      </c>
      <c r="T17" s="140" t="e">
        <f>STDEV(R128:AC128)</f>
        <v>#DIV/0!</v>
      </c>
      <c r="U17" s="193" t="s">
        <v>43</v>
      </c>
      <c r="V17" s="155">
        <v>2532</v>
      </c>
      <c r="W17" s="155">
        <v>45980</v>
      </c>
      <c r="X17" s="191">
        <f t="shared" si="33"/>
        <v>36358.400000000001</v>
      </c>
      <c r="Z17" s="133">
        <f>SUM(Z128:AL128)</f>
        <v>0</v>
      </c>
      <c r="AA17" s="127" t="e">
        <f>AVERAGE(Z128:AL128)</f>
        <v>#DIV/0!</v>
      </c>
      <c r="AB17" s="140" t="e">
        <f>STDEV(Z128:AK128)</f>
        <v>#DIV/0!</v>
      </c>
      <c r="AC17" s="193" t="s">
        <v>43</v>
      </c>
      <c r="AD17" s="155">
        <v>2195</v>
      </c>
      <c r="AE17" s="155">
        <v>39190</v>
      </c>
      <c r="AF17" s="191">
        <f t="shared" si="34"/>
        <v>30849</v>
      </c>
      <c r="AH17" s="133">
        <f>SUM(AH128:AT128)</f>
        <v>0</v>
      </c>
      <c r="AI17" s="127" t="e">
        <f>AVERAGE(AH128:AT128)</f>
        <v>#DIV/0!</v>
      </c>
      <c r="AJ17" s="140" t="e">
        <f>STDEV(AH128:AS128)</f>
        <v>#DIV/0!</v>
      </c>
      <c r="AK17" s="193" t="s">
        <v>43</v>
      </c>
      <c r="AL17" s="155">
        <v>2782</v>
      </c>
      <c r="AM17" s="155">
        <v>57430</v>
      </c>
      <c r="AN17" s="191">
        <f t="shared" si="35"/>
        <v>46858.400000000001</v>
      </c>
      <c r="AP17" s="133">
        <f>SUM(AP128:BB128)</f>
        <v>0</v>
      </c>
      <c r="AQ17" s="127" t="e">
        <f>AVERAGE(AP128:BB128)</f>
        <v>#DIV/0!</v>
      </c>
      <c r="AR17" s="140" t="e">
        <f>STDEV(AP128:BA128)</f>
        <v>#DIV/0!</v>
      </c>
      <c r="AS17" s="193" t="s">
        <v>43</v>
      </c>
      <c r="AT17" s="155">
        <v>2427</v>
      </c>
      <c r="AU17" s="155">
        <v>34860</v>
      </c>
      <c r="AV17" s="191">
        <f t="shared" si="36"/>
        <v>25637.4</v>
      </c>
    </row>
    <row r="18" spans="2:48">
      <c r="B18" s="132">
        <f>SUM(B14:B17)</f>
        <v>0</v>
      </c>
      <c r="C18" s="126" t="e">
        <f>AVERAGE(B125:S128)</f>
        <v>#DIV/0!</v>
      </c>
      <c r="D18" s="139" t="e">
        <f>STDEV(B125:S128)</f>
        <v>#DIV/0!</v>
      </c>
      <c r="E18" s="124"/>
      <c r="F18" s="138">
        <f t="shared" ref="F18:H18" si="37">SUM(F14:F17)</f>
        <v>7627</v>
      </c>
      <c r="G18" s="138">
        <f t="shared" si="37"/>
        <v>181280</v>
      </c>
      <c r="H18" s="138">
        <f t="shared" si="37"/>
        <v>152297.40000000002</v>
      </c>
      <c r="J18" s="132">
        <f>SUM(J14:J17)</f>
        <v>0</v>
      </c>
      <c r="K18" s="126" t="e">
        <f>AVERAGE(J125:AA128)</f>
        <v>#DIV/0!</v>
      </c>
      <c r="L18" s="139" t="e">
        <f>STDEV(J125:AA128)</f>
        <v>#DIV/0!</v>
      </c>
      <c r="M18" s="124"/>
      <c r="N18" s="138">
        <f t="shared" ref="N18:P18" si="38">SUM(N14:N17)</f>
        <v>7660</v>
      </c>
      <c r="O18" s="138">
        <f t="shared" si="38"/>
        <v>179770</v>
      </c>
      <c r="P18" s="138">
        <f t="shared" si="38"/>
        <v>150662</v>
      </c>
      <c r="R18" s="132">
        <f>SUM(R14:R17)</f>
        <v>0</v>
      </c>
      <c r="S18" s="126" t="e">
        <f>AVERAGE(R125:AI128)</f>
        <v>#DIV/0!</v>
      </c>
      <c r="T18" s="139" t="e">
        <f>STDEV(R125:AI128)</f>
        <v>#DIV/0!</v>
      </c>
      <c r="U18" s="124"/>
      <c r="V18" s="138">
        <f t="shared" ref="V18:X18" si="39">SUM(V14:V17)</f>
        <v>7639</v>
      </c>
      <c r="W18" s="138">
        <f t="shared" si="39"/>
        <v>180100</v>
      </c>
      <c r="X18" s="138">
        <f t="shared" si="39"/>
        <v>151071.79999999999</v>
      </c>
      <c r="Z18" s="132">
        <f>SUM(Z14:Z17)</f>
        <v>0</v>
      </c>
      <c r="AA18" s="126" t="e">
        <f>AVERAGE(Z125:AQ128)</f>
        <v>#DIV/0!</v>
      </c>
      <c r="AB18" s="139" t="e">
        <f>STDEV(Z125:AQ128)</f>
        <v>#DIV/0!</v>
      </c>
      <c r="AC18" s="124"/>
      <c r="AD18" s="138">
        <f t="shared" ref="AD18:AF18" si="40">SUM(AD14:AD17)</f>
        <v>6450</v>
      </c>
      <c r="AE18" s="138">
        <f t="shared" si="40"/>
        <v>117050</v>
      </c>
      <c r="AF18" s="138">
        <f t="shared" si="40"/>
        <v>92540</v>
      </c>
      <c r="AH18" s="132">
        <f>SUM(AH14:AH17)</f>
        <v>0</v>
      </c>
      <c r="AI18" s="126" t="e">
        <f>AVERAGE(AH125:AY128)</f>
        <v>#DIV/0!</v>
      </c>
      <c r="AJ18" s="139" t="e">
        <f>STDEV(AH125:AY128)</f>
        <v>#DIV/0!</v>
      </c>
      <c r="AK18" s="124"/>
      <c r="AL18" s="138">
        <f t="shared" ref="AL18:AN18" si="41">SUM(AL14:AL17)</f>
        <v>8136</v>
      </c>
      <c r="AM18" s="138">
        <f t="shared" si="41"/>
        <v>198810</v>
      </c>
      <c r="AN18" s="138">
        <f t="shared" si="41"/>
        <v>167893.2</v>
      </c>
      <c r="AP18" s="132">
        <f>SUM(AP14:AP17)</f>
        <v>0</v>
      </c>
      <c r="AQ18" s="126" t="e">
        <f>AVERAGE(AP125:BG128)</f>
        <v>#DIV/0!</v>
      </c>
      <c r="AR18" s="139" t="e">
        <f>STDEV(AP125:BG128)</f>
        <v>#DIV/0!</v>
      </c>
      <c r="AS18" s="124"/>
      <c r="AT18" s="138">
        <f t="shared" ref="AT18:AV18" si="42">SUM(AT14:AT17)</f>
        <v>5674</v>
      </c>
      <c r="AU18" s="138">
        <f t="shared" si="42"/>
        <v>89180</v>
      </c>
      <c r="AV18" s="138">
        <f t="shared" si="42"/>
        <v>67618.799999999988</v>
      </c>
    </row>
    <row r="19" spans="2:48">
      <c r="B19" s="132">
        <f>AVERAGE(B14:B17)</f>
        <v>0</v>
      </c>
      <c r="C19" s="126"/>
      <c r="D19" s="139"/>
      <c r="E19" s="124"/>
      <c r="F19" s="138">
        <f t="shared" ref="F19:H19" si="43">AVERAGE(F14:F17)</f>
        <v>1906.75</v>
      </c>
      <c r="G19" s="138">
        <f t="shared" si="43"/>
        <v>45320</v>
      </c>
      <c r="H19" s="138">
        <f t="shared" si="43"/>
        <v>38074.350000000006</v>
      </c>
      <c r="J19" s="132">
        <f>AVERAGE(J14:J17)</f>
        <v>0</v>
      </c>
      <c r="K19" s="126"/>
      <c r="L19" s="139"/>
      <c r="M19" s="124"/>
      <c r="N19" s="138">
        <f t="shared" ref="N19:P19" si="44">AVERAGE(N14:N17)</f>
        <v>1915</v>
      </c>
      <c r="O19" s="138">
        <f t="shared" si="44"/>
        <v>44942.5</v>
      </c>
      <c r="P19" s="138">
        <f t="shared" si="44"/>
        <v>37665.5</v>
      </c>
      <c r="R19" s="132">
        <f>AVERAGE(R14:R17)</f>
        <v>0</v>
      </c>
      <c r="S19" s="126"/>
      <c r="T19" s="139"/>
      <c r="U19" s="124"/>
      <c r="V19" s="138">
        <f t="shared" ref="V19:X19" si="45">AVERAGE(V14:V17)</f>
        <v>1909.75</v>
      </c>
      <c r="W19" s="138">
        <f t="shared" si="45"/>
        <v>45025</v>
      </c>
      <c r="X19" s="138">
        <f t="shared" si="45"/>
        <v>37767.949999999997</v>
      </c>
      <c r="Z19" s="132">
        <f>AVERAGE(Z14:Z17)</f>
        <v>0</v>
      </c>
      <c r="AA19" s="126"/>
      <c r="AB19" s="139"/>
      <c r="AC19" s="124"/>
      <c r="AD19" s="138">
        <f t="shared" ref="AD19:AF19" si="46">AVERAGE(AD14:AD17)</f>
        <v>1612.5</v>
      </c>
      <c r="AE19" s="138">
        <f t="shared" si="46"/>
        <v>29262.5</v>
      </c>
      <c r="AF19" s="138">
        <f t="shared" si="46"/>
        <v>23135</v>
      </c>
      <c r="AH19" s="132">
        <f>AVERAGE(AH14:AH17)</f>
        <v>0</v>
      </c>
      <c r="AI19" s="126"/>
      <c r="AJ19" s="139"/>
      <c r="AK19" s="124"/>
      <c r="AL19" s="138">
        <f t="shared" ref="AL19:AN19" si="47">AVERAGE(AL14:AL17)</f>
        <v>2034</v>
      </c>
      <c r="AM19" s="138">
        <f t="shared" si="47"/>
        <v>49702.5</v>
      </c>
      <c r="AN19" s="138">
        <f t="shared" si="47"/>
        <v>41973.3</v>
      </c>
      <c r="AP19" s="132">
        <f>AVERAGE(AP14:AP17)</f>
        <v>0</v>
      </c>
      <c r="AQ19" s="126"/>
      <c r="AR19" s="139"/>
      <c r="AS19" s="124"/>
      <c r="AT19" s="138">
        <f t="shared" ref="AT19:AV19" si="48">AVERAGE(AT14:AT17)</f>
        <v>1418.5</v>
      </c>
      <c r="AU19" s="138">
        <f t="shared" si="48"/>
        <v>22295</v>
      </c>
      <c r="AV19" s="138">
        <f t="shared" si="48"/>
        <v>16904.699999999997</v>
      </c>
    </row>
    <row r="20" spans="2:48" ht="15.75" thickBot="1">
      <c r="B20" s="169">
        <f>STDEV(B14:B17)</f>
        <v>0</v>
      </c>
      <c r="C20" s="170"/>
      <c r="D20" s="171"/>
      <c r="E20" s="144"/>
      <c r="F20" s="178">
        <f t="shared" ref="F20:H20" si="49">STDEV(F14:F17)</f>
        <v>640.68004235083424</v>
      </c>
      <c r="G20" s="178">
        <f t="shared" si="49"/>
        <v>4893.2674836622891</v>
      </c>
      <c r="H20" s="178">
        <f t="shared" si="49"/>
        <v>3416.3719601354251</v>
      </c>
      <c r="J20" s="169">
        <f>STDEV(J14:J17)</f>
        <v>0</v>
      </c>
      <c r="K20" s="170"/>
      <c r="L20" s="171"/>
      <c r="M20" s="144"/>
      <c r="N20" s="178">
        <f t="shared" ref="N20:P20" si="50">STDEV(N14:N17)</f>
        <v>642.40952670395541</v>
      </c>
      <c r="O20" s="178">
        <f t="shared" si="50"/>
        <v>5514.1416678693822</v>
      </c>
      <c r="P20" s="178">
        <f t="shared" si="50"/>
        <v>3960.5024007903862</v>
      </c>
      <c r="R20" s="169">
        <f>STDEV(R14:R17)</f>
        <v>0</v>
      </c>
      <c r="S20" s="170"/>
      <c r="T20" s="171"/>
      <c r="U20" s="144"/>
      <c r="V20" s="178">
        <f t="shared" ref="V20:X20" si="51">STDEV(V14:V17)</f>
        <v>642.66755273106276</v>
      </c>
      <c r="W20" s="178">
        <f t="shared" si="51"/>
        <v>4837.2547310776736</v>
      </c>
      <c r="X20" s="178">
        <f t="shared" si="51"/>
        <v>3466.9074110317551</v>
      </c>
      <c r="Z20" s="169">
        <f>STDEV(Z14:Z17)</f>
        <v>0</v>
      </c>
      <c r="AA20" s="170"/>
      <c r="AB20" s="171"/>
      <c r="AC20" s="144"/>
      <c r="AD20" s="178">
        <f t="shared" ref="AD20:AF20" si="52">STDEV(AD14:AD17)</f>
        <v>559.76096088717486</v>
      </c>
      <c r="AE20" s="178">
        <f t="shared" si="52"/>
        <v>11835.822390804395</v>
      </c>
      <c r="AF20" s="178">
        <f t="shared" si="52"/>
        <v>10132.022530571086</v>
      </c>
      <c r="AH20" s="169">
        <f>STDEV(AH14:AH17)</f>
        <v>0</v>
      </c>
      <c r="AI20" s="170"/>
      <c r="AJ20" s="171"/>
      <c r="AK20" s="144"/>
      <c r="AL20" s="178">
        <f t="shared" ref="AL20:AN20" si="53">STDEV(AL14:AL17)</f>
        <v>767.47942426273983</v>
      </c>
      <c r="AM20" s="178">
        <f t="shared" si="53"/>
        <v>10320.027050998138</v>
      </c>
      <c r="AN20" s="178">
        <f t="shared" si="53"/>
        <v>7777.8526505284963</v>
      </c>
      <c r="AP20" s="169">
        <f>STDEV(AP14:AP17)</f>
        <v>0</v>
      </c>
      <c r="AQ20" s="170"/>
      <c r="AR20" s="171"/>
      <c r="AS20" s="144"/>
      <c r="AT20" s="178">
        <f t="shared" ref="AT20:AV20" si="54">STDEV(AT14:AT17)</f>
        <v>1044.7668001361196</v>
      </c>
      <c r="AU20" s="178">
        <f t="shared" si="54"/>
        <v>15541.309468638736</v>
      </c>
      <c r="AV20" s="178">
        <f t="shared" si="54"/>
        <v>12007.939036598527</v>
      </c>
    </row>
    <row r="21" spans="2:48" ht="15.75" thickBot="1">
      <c r="B21" s="172" t="s">
        <v>14</v>
      </c>
      <c r="C21" s="172"/>
      <c r="D21" s="172"/>
      <c r="E21" s="173"/>
      <c r="F21" s="172" t="s">
        <v>20</v>
      </c>
      <c r="G21" s="172" t="s">
        <v>20</v>
      </c>
      <c r="H21" s="172" t="s">
        <v>20</v>
      </c>
      <c r="J21" s="172" t="s">
        <v>14</v>
      </c>
      <c r="K21" s="172"/>
      <c r="L21" s="172"/>
      <c r="M21" s="173"/>
      <c r="N21" s="172" t="s">
        <v>20</v>
      </c>
      <c r="O21" s="172" t="s">
        <v>20</v>
      </c>
      <c r="P21" s="172" t="s">
        <v>20</v>
      </c>
      <c r="R21" s="172" t="s">
        <v>14</v>
      </c>
      <c r="S21" s="172"/>
      <c r="T21" s="172"/>
      <c r="U21" s="173"/>
      <c r="V21" s="172" t="s">
        <v>20</v>
      </c>
      <c r="W21" s="172" t="s">
        <v>20</v>
      </c>
      <c r="X21" s="172" t="s">
        <v>20</v>
      </c>
      <c r="Z21" s="172" t="s">
        <v>14</v>
      </c>
      <c r="AA21" s="172"/>
      <c r="AB21" s="172"/>
      <c r="AC21" s="173"/>
      <c r="AD21" s="172" t="s">
        <v>20</v>
      </c>
      <c r="AE21" s="172" t="s">
        <v>20</v>
      </c>
      <c r="AF21" s="172" t="s">
        <v>20</v>
      </c>
      <c r="AH21" s="172" t="s">
        <v>14</v>
      </c>
      <c r="AI21" s="172"/>
      <c r="AJ21" s="172"/>
      <c r="AK21" s="173"/>
      <c r="AL21" s="172" t="s">
        <v>20</v>
      </c>
      <c r="AM21" s="172" t="s">
        <v>20</v>
      </c>
      <c r="AN21" s="172" t="s">
        <v>20</v>
      </c>
      <c r="AP21" s="172" t="s">
        <v>14</v>
      </c>
      <c r="AQ21" s="172"/>
      <c r="AR21" s="172"/>
      <c r="AS21" s="173"/>
      <c r="AT21" s="172" t="s">
        <v>20</v>
      </c>
      <c r="AU21" s="172" t="s">
        <v>20</v>
      </c>
      <c r="AV21" s="172" t="s">
        <v>20</v>
      </c>
    </row>
    <row r="22" spans="2:48" ht="15.75" thickBot="1">
      <c r="B22" s="133">
        <f>SUM(B133:N133)</f>
        <v>0</v>
      </c>
      <c r="C22" s="127" t="e">
        <f>AVERAGE(B133:N133)</f>
        <v>#DIV/0!</v>
      </c>
      <c r="D22" s="140" t="e">
        <f>STDEV(B133:M133)</f>
        <v>#DIV/0!</v>
      </c>
      <c r="E22" s="190" t="s">
        <v>40</v>
      </c>
      <c r="F22" s="155">
        <v>1144</v>
      </c>
      <c r="G22" s="155">
        <v>32720</v>
      </c>
      <c r="H22" s="191">
        <f>G22-F22*$L$1</f>
        <v>28372.799999999999</v>
      </c>
      <c r="J22" s="133">
        <f>SUM(J133:V133)</f>
        <v>0</v>
      </c>
      <c r="K22" s="127" t="e">
        <f>AVERAGE(J133:V133)</f>
        <v>#DIV/0!</v>
      </c>
      <c r="L22" s="140" t="e">
        <f>STDEV(J133:U133)</f>
        <v>#DIV/0!</v>
      </c>
      <c r="M22" s="190" t="s">
        <v>40</v>
      </c>
      <c r="N22" s="155">
        <v>1149</v>
      </c>
      <c r="O22" s="155">
        <v>32200</v>
      </c>
      <c r="P22" s="191">
        <f>O22-N22*$L$1</f>
        <v>27833.8</v>
      </c>
      <c r="R22" s="133">
        <f>SUM(R133:AD133)</f>
        <v>0</v>
      </c>
      <c r="S22" s="127" t="e">
        <f>AVERAGE(R133:AD133)</f>
        <v>#DIV/0!</v>
      </c>
      <c r="T22" s="140" t="e">
        <f>STDEV(R133:AC133)</f>
        <v>#DIV/0!</v>
      </c>
      <c r="U22" s="190" t="s">
        <v>40</v>
      </c>
      <c r="V22" s="155">
        <v>1144</v>
      </c>
      <c r="W22" s="155">
        <v>32720</v>
      </c>
      <c r="X22" s="191">
        <f>W22-V22*$L$1</f>
        <v>28372.799999999999</v>
      </c>
      <c r="Z22" s="133">
        <f>SUM(Z133:AL133)</f>
        <v>0</v>
      </c>
      <c r="AA22" s="127" t="e">
        <f>AVERAGE(Z133:AL133)</f>
        <v>#DIV/0!</v>
      </c>
      <c r="AB22" s="140" t="e">
        <f>STDEV(Z133:AK133)</f>
        <v>#DIV/0!</v>
      </c>
      <c r="AC22" s="190" t="s">
        <v>40</v>
      </c>
      <c r="AD22" s="155">
        <v>906</v>
      </c>
      <c r="AE22" s="155">
        <v>15710</v>
      </c>
      <c r="AF22" s="191">
        <f>AE22-AD22*$L$1</f>
        <v>12267.2</v>
      </c>
      <c r="AH22" s="133">
        <f>SUM(AH133:AT133)</f>
        <v>0</v>
      </c>
      <c r="AI22" s="127" t="e">
        <f>AVERAGE(AH133:AT133)</f>
        <v>#DIV/0!</v>
      </c>
      <c r="AJ22" s="140" t="e">
        <f>STDEV(AH133:AS133)</f>
        <v>#DIV/0!</v>
      </c>
      <c r="AK22" s="190" t="s">
        <v>40</v>
      </c>
      <c r="AL22" s="155">
        <v>1144</v>
      </c>
      <c r="AM22" s="155">
        <v>32720</v>
      </c>
      <c r="AN22" s="191">
        <f>AM22-AL22*$L$1</f>
        <v>28372.799999999999</v>
      </c>
      <c r="AP22" s="133">
        <f>SUM(AP133:BB133)</f>
        <v>0</v>
      </c>
      <c r="AQ22" s="127" t="e">
        <f>AVERAGE(AP133:BB133)</f>
        <v>#DIV/0!</v>
      </c>
      <c r="AR22" s="140" t="e">
        <f>STDEV(AP133:BA133)</f>
        <v>#DIV/0!</v>
      </c>
      <c r="AS22" s="190" t="s">
        <v>40</v>
      </c>
      <c r="AT22" s="155">
        <v>256</v>
      </c>
      <c r="AU22" s="155">
        <v>4100</v>
      </c>
      <c r="AV22" s="191">
        <f>AU22-AT22*$L$1</f>
        <v>3127.2</v>
      </c>
    </row>
    <row r="23" spans="2:48" ht="15.75" thickBot="1">
      <c r="B23" s="133">
        <f>SUM(B134:N134)</f>
        <v>0</v>
      </c>
      <c r="C23" s="127" t="e">
        <f>AVERAGE(B134:N134)</f>
        <v>#DIV/0!</v>
      </c>
      <c r="D23" s="140" t="e">
        <f>STDEV(B134:M134)</f>
        <v>#DIV/0!</v>
      </c>
      <c r="E23" s="193" t="s">
        <v>41</v>
      </c>
      <c r="F23" s="155">
        <v>1674</v>
      </c>
      <c r="G23" s="155">
        <v>44180</v>
      </c>
      <c r="H23" s="191">
        <f t="shared" ref="H23:H25" si="55">G23-F23*$L$1</f>
        <v>37818.800000000003</v>
      </c>
      <c r="J23" s="133">
        <f>SUM(J134:V134)</f>
        <v>0</v>
      </c>
      <c r="K23" s="127" t="e">
        <f>AVERAGE(J134:V134)</f>
        <v>#DIV/0!</v>
      </c>
      <c r="L23" s="140" t="e">
        <f>STDEV(J134:U134)</f>
        <v>#DIV/0!</v>
      </c>
      <c r="M23" s="193" t="s">
        <v>41</v>
      </c>
      <c r="N23" s="155">
        <v>1681</v>
      </c>
      <c r="O23" s="155">
        <v>43100</v>
      </c>
      <c r="P23" s="191">
        <f t="shared" ref="P23:P25" si="56">O23-N23*$L$1</f>
        <v>36712.199999999997</v>
      </c>
      <c r="R23" s="133">
        <f>SUM(R134:AD134)</f>
        <v>0</v>
      </c>
      <c r="S23" s="127" t="e">
        <f>AVERAGE(R134:AD134)</f>
        <v>#DIV/0!</v>
      </c>
      <c r="T23" s="140" t="e">
        <f>STDEV(R134:AC134)</f>
        <v>#DIV/0!</v>
      </c>
      <c r="U23" s="193" t="s">
        <v>41</v>
      </c>
      <c r="V23" s="155">
        <v>1676</v>
      </c>
      <c r="W23" s="155">
        <v>43960</v>
      </c>
      <c r="X23" s="191">
        <f t="shared" ref="X23:X25" si="57">W23-V23*$L$1</f>
        <v>37591.199999999997</v>
      </c>
      <c r="Z23" s="133">
        <f>SUM(Z134:AL134)</f>
        <v>0</v>
      </c>
      <c r="AA23" s="127" t="e">
        <f>AVERAGE(Z134:AL134)</f>
        <v>#DIV/0!</v>
      </c>
      <c r="AB23" s="140" t="e">
        <f>STDEV(Z134:AK134)</f>
        <v>#DIV/0!</v>
      </c>
      <c r="AC23" s="193" t="s">
        <v>41</v>
      </c>
      <c r="AD23" s="155">
        <v>1405</v>
      </c>
      <c r="AE23" s="155">
        <v>28540</v>
      </c>
      <c r="AF23" s="191">
        <f t="shared" ref="AF23:AF25" si="58">AE23-AD23*$L$1</f>
        <v>23201</v>
      </c>
      <c r="AH23" s="133">
        <f>SUM(AH134:AT134)</f>
        <v>0</v>
      </c>
      <c r="AI23" s="127" t="e">
        <f>AVERAGE(AH134:AT134)</f>
        <v>#DIV/0!</v>
      </c>
      <c r="AJ23" s="140" t="e">
        <f>STDEV(AH134:AS134)</f>
        <v>#DIV/0!</v>
      </c>
      <c r="AK23" s="193" t="s">
        <v>41</v>
      </c>
      <c r="AL23" s="155">
        <v>1725</v>
      </c>
      <c r="AM23" s="155">
        <v>40760</v>
      </c>
      <c r="AN23" s="191">
        <f t="shared" ref="AN23:AN25" si="59">AM23-AL23*$L$1</f>
        <v>34205</v>
      </c>
      <c r="AP23" s="133">
        <f>SUM(AP134:BB134)</f>
        <v>0</v>
      </c>
      <c r="AQ23" s="127" t="e">
        <f>AVERAGE(AP134:BB134)</f>
        <v>#DIV/0!</v>
      </c>
      <c r="AR23" s="140" t="e">
        <f>STDEV(AP134:BA134)</f>
        <v>#DIV/0!</v>
      </c>
      <c r="AS23" s="193" t="s">
        <v>41</v>
      </c>
      <c r="AT23" s="155">
        <v>937</v>
      </c>
      <c r="AU23" s="155">
        <v>12850</v>
      </c>
      <c r="AV23" s="191">
        <f t="shared" ref="AV23:AV25" si="60">AU23-AT23*$L$1</f>
        <v>9289.4</v>
      </c>
    </row>
    <row r="24" spans="2:48" ht="15.75" thickBot="1">
      <c r="B24" s="214">
        <f>SUM(B135:N135)</f>
        <v>0</v>
      </c>
      <c r="C24" s="127" t="e">
        <f>AVERAGE(B135:N135)</f>
        <v>#DIV/0!</v>
      </c>
      <c r="D24" s="140" t="e">
        <f>STDEV(B135:M135)</f>
        <v>#DIV/0!</v>
      </c>
      <c r="E24" s="193" t="s">
        <v>42</v>
      </c>
      <c r="F24" s="155">
        <v>2463</v>
      </c>
      <c r="G24" s="155">
        <v>56420</v>
      </c>
      <c r="H24" s="191">
        <f t="shared" si="55"/>
        <v>47060.6</v>
      </c>
      <c r="J24" s="214">
        <f>SUM(J135:V135)</f>
        <v>0</v>
      </c>
      <c r="K24" s="127" t="e">
        <f>AVERAGE(J135:V135)</f>
        <v>#DIV/0!</v>
      </c>
      <c r="L24" s="140" t="e">
        <f>STDEV(J135:U135)</f>
        <v>#DIV/0!</v>
      </c>
      <c r="M24" s="193" t="s">
        <v>42</v>
      </c>
      <c r="N24" s="155">
        <v>2484</v>
      </c>
      <c r="O24" s="155">
        <v>56330</v>
      </c>
      <c r="P24" s="191">
        <f t="shared" si="56"/>
        <v>46890.8</v>
      </c>
      <c r="R24" s="214">
        <f>SUM(R135:AD135)</f>
        <v>0</v>
      </c>
      <c r="S24" s="127" t="e">
        <f>AVERAGE(R135:AD135)</f>
        <v>#DIV/0!</v>
      </c>
      <c r="T24" s="140" t="e">
        <f>STDEV(R135:AC135)</f>
        <v>#DIV/0!</v>
      </c>
      <c r="U24" s="193" t="s">
        <v>42</v>
      </c>
      <c r="V24" s="155">
        <v>2476</v>
      </c>
      <c r="W24" s="227">
        <v>56780</v>
      </c>
      <c r="X24" s="191">
        <f t="shared" si="57"/>
        <v>47371.199999999997</v>
      </c>
      <c r="Z24" s="214">
        <f>SUM(Z135:AL135)</f>
        <v>0</v>
      </c>
      <c r="AA24" s="127" t="e">
        <f>AVERAGE(Z135:AL135)</f>
        <v>#DIV/0!</v>
      </c>
      <c r="AB24" s="140" t="e">
        <f>STDEV(Z135:AK135)</f>
        <v>#DIV/0!</v>
      </c>
      <c r="AC24" s="193" t="s">
        <v>42</v>
      </c>
      <c r="AD24" s="155">
        <v>1932</v>
      </c>
      <c r="AE24" s="227">
        <v>46320</v>
      </c>
      <c r="AF24" s="191">
        <f t="shared" si="58"/>
        <v>38978.400000000001</v>
      </c>
      <c r="AH24" s="214">
        <f>SUM(AH135:AT135)</f>
        <v>0</v>
      </c>
      <c r="AI24" s="127" t="e">
        <f>AVERAGE(AH135:AT135)</f>
        <v>#DIV/0!</v>
      </c>
      <c r="AJ24" s="140" t="e">
        <f>STDEV(AH135:AS135)</f>
        <v>#DIV/0!</v>
      </c>
      <c r="AK24" s="193" t="s">
        <v>42</v>
      </c>
      <c r="AL24" s="155">
        <v>2681</v>
      </c>
      <c r="AM24" s="231">
        <v>66480</v>
      </c>
      <c r="AN24" s="230">
        <f t="shared" si="59"/>
        <v>56292.2</v>
      </c>
      <c r="AP24" s="214">
        <f>SUM(AP135:BB135)</f>
        <v>0</v>
      </c>
      <c r="AQ24" s="127" t="e">
        <f>AVERAGE(AP135:BB135)</f>
        <v>#DIV/0!</v>
      </c>
      <c r="AR24" s="140" t="e">
        <f>STDEV(AP135:BA135)</f>
        <v>#DIV/0!</v>
      </c>
      <c r="AS24" s="193" t="s">
        <v>42</v>
      </c>
      <c r="AT24" s="155">
        <v>2359</v>
      </c>
      <c r="AU24" s="227">
        <v>48660</v>
      </c>
      <c r="AV24" s="191">
        <f t="shared" si="60"/>
        <v>39695.800000000003</v>
      </c>
    </row>
    <row r="25" spans="2:48">
      <c r="B25" s="214">
        <f>SUM(B136:N136)</f>
        <v>0</v>
      </c>
      <c r="C25" s="127" t="e">
        <f>AVERAGE(B136:N136)</f>
        <v>#DIV/0!</v>
      </c>
      <c r="D25" s="140" t="e">
        <f>STDEV(B136:M136)</f>
        <v>#DIV/0!</v>
      </c>
      <c r="E25" s="193" t="s">
        <v>43</v>
      </c>
      <c r="F25" s="155">
        <v>2627</v>
      </c>
      <c r="G25" s="155">
        <v>46850</v>
      </c>
      <c r="H25" s="191">
        <f t="shared" si="55"/>
        <v>36867.4</v>
      </c>
      <c r="J25" s="214">
        <f>SUM(J136:V136)</f>
        <v>0</v>
      </c>
      <c r="K25" s="127" t="e">
        <f>AVERAGE(J136:V136)</f>
        <v>#DIV/0!</v>
      </c>
      <c r="L25" s="140" t="e">
        <f>STDEV(J136:U136)</f>
        <v>#DIV/0!</v>
      </c>
      <c r="M25" s="193" t="s">
        <v>43</v>
      </c>
      <c r="N25" s="155">
        <v>2638</v>
      </c>
      <c r="O25" s="155">
        <v>46700</v>
      </c>
      <c r="P25" s="191">
        <f t="shared" si="56"/>
        <v>36675.599999999999</v>
      </c>
      <c r="R25" s="214">
        <f>SUM(R136:AD136)</f>
        <v>0</v>
      </c>
      <c r="S25" s="127" t="e">
        <f>AVERAGE(R136:AD136)</f>
        <v>#DIV/0!</v>
      </c>
      <c r="T25" s="140" t="e">
        <f>STDEV(R136:AC136)</f>
        <v>#DIV/0!</v>
      </c>
      <c r="U25" s="193" t="s">
        <v>43</v>
      </c>
      <c r="V25" s="155">
        <v>2632</v>
      </c>
      <c r="W25" s="155">
        <v>46870</v>
      </c>
      <c r="X25" s="191">
        <f t="shared" si="57"/>
        <v>36868.400000000001</v>
      </c>
      <c r="Z25" s="214">
        <f>SUM(Z136:AL136)</f>
        <v>0</v>
      </c>
      <c r="AA25" s="127" t="e">
        <f>AVERAGE(Z136:AL136)</f>
        <v>#DIV/0!</v>
      </c>
      <c r="AB25" s="140" t="e">
        <f>STDEV(Z136:AK136)</f>
        <v>#DIV/0!</v>
      </c>
      <c r="AC25" s="193" t="s">
        <v>43</v>
      </c>
      <c r="AD25" s="155">
        <v>2203</v>
      </c>
      <c r="AE25" s="155">
        <v>49003</v>
      </c>
      <c r="AF25" s="191">
        <f t="shared" si="58"/>
        <v>40631.599999999999</v>
      </c>
      <c r="AH25" s="214">
        <f>SUM(AH136:AT136)</f>
        <v>0</v>
      </c>
      <c r="AI25" s="127" t="e">
        <f>AVERAGE(AH136:AT136)</f>
        <v>#DIV/0!</v>
      </c>
      <c r="AJ25" s="140" t="e">
        <f>STDEV(AH136:AS136)</f>
        <v>#DIV/0!</v>
      </c>
      <c r="AK25" s="193" t="s">
        <v>43</v>
      </c>
      <c r="AL25" s="155">
        <v>2908</v>
      </c>
      <c r="AM25" s="231">
        <v>63340</v>
      </c>
      <c r="AN25" s="230">
        <f t="shared" si="59"/>
        <v>52289.599999999999</v>
      </c>
      <c r="AP25" s="214">
        <f>SUM(AP136:BB136)</f>
        <v>0</v>
      </c>
      <c r="AQ25" s="127" t="e">
        <f>AVERAGE(AP136:BB136)</f>
        <v>#DIV/0!</v>
      </c>
      <c r="AR25" s="140" t="e">
        <f>STDEV(AP136:BA136)</f>
        <v>#DIV/0!</v>
      </c>
      <c r="AS25" s="193" t="s">
        <v>43</v>
      </c>
      <c r="AT25" s="155">
        <v>2616</v>
      </c>
      <c r="AU25" s="155">
        <v>47160</v>
      </c>
      <c r="AV25" s="191">
        <f t="shared" si="60"/>
        <v>37219.199999999997</v>
      </c>
    </row>
    <row r="26" spans="2:48">
      <c r="B26" s="132">
        <f>SUM(B22:B25)</f>
        <v>0</v>
      </c>
      <c r="C26" s="126" t="e">
        <f>AVERAGE(B133:S136)</f>
        <v>#DIV/0!</v>
      </c>
      <c r="D26" s="139" t="e">
        <f>STDEV(B133:S136)</f>
        <v>#DIV/0!</v>
      </c>
      <c r="E26" s="124"/>
      <c r="F26" s="138">
        <f t="shared" ref="F26:H26" si="61">SUM(F22:F25)</f>
        <v>7908</v>
      </c>
      <c r="G26" s="138">
        <f t="shared" si="61"/>
        <v>180170</v>
      </c>
      <c r="H26" s="138">
        <f t="shared" si="61"/>
        <v>150119.6</v>
      </c>
      <c r="J26" s="132">
        <f>SUM(J22:J25)</f>
        <v>0</v>
      </c>
      <c r="K26" s="126" t="e">
        <f>AVERAGE(J133:AA136)</f>
        <v>#DIV/0!</v>
      </c>
      <c r="L26" s="139" t="e">
        <f>STDEV(J133:AA136)</f>
        <v>#DIV/0!</v>
      </c>
      <c r="M26" s="124"/>
      <c r="N26" s="138">
        <f t="shared" ref="N26:P26" si="62">SUM(N22:N25)</f>
        <v>7952</v>
      </c>
      <c r="O26" s="138">
        <f t="shared" si="62"/>
        <v>178330</v>
      </c>
      <c r="P26" s="138">
        <f t="shared" si="62"/>
        <v>148112.4</v>
      </c>
      <c r="R26" s="132">
        <f>SUM(R22:R25)</f>
        <v>0</v>
      </c>
      <c r="S26" s="126" t="e">
        <f>AVERAGE(R133:AI136)</f>
        <v>#DIV/0!</v>
      </c>
      <c r="T26" s="139" t="e">
        <f>STDEV(R133:AI136)</f>
        <v>#DIV/0!</v>
      </c>
      <c r="U26" s="124"/>
      <c r="V26" s="138">
        <f t="shared" ref="V26:X26" si="63">SUM(V22:V25)</f>
        <v>7928</v>
      </c>
      <c r="W26" s="138">
        <f t="shared" si="63"/>
        <v>180330</v>
      </c>
      <c r="X26" s="138">
        <f t="shared" si="63"/>
        <v>150203.6</v>
      </c>
      <c r="Z26" s="132">
        <f>SUM(Z22:Z25)</f>
        <v>0</v>
      </c>
      <c r="AA26" s="126" t="e">
        <f>AVERAGE(Z133:AQ136)</f>
        <v>#DIV/0!</v>
      </c>
      <c r="AB26" s="139" t="e">
        <f>STDEV(Z133:AQ136)</f>
        <v>#DIV/0!</v>
      </c>
      <c r="AC26" s="124"/>
      <c r="AD26" s="138">
        <f t="shared" ref="AD26:AF26" si="64">SUM(AD22:AD25)</f>
        <v>6446</v>
      </c>
      <c r="AE26" s="138">
        <f t="shared" si="64"/>
        <v>139573</v>
      </c>
      <c r="AF26" s="138">
        <f t="shared" si="64"/>
        <v>115078.20000000001</v>
      </c>
      <c r="AH26" s="132">
        <f>SUM(AH22:AH25)</f>
        <v>0</v>
      </c>
      <c r="AI26" s="126" t="e">
        <f>AVERAGE(AH133:AY136)</f>
        <v>#DIV/0!</v>
      </c>
      <c r="AJ26" s="139" t="e">
        <f>STDEV(AH133:AY136)</f>
        <v>#DIV/0!</v>
      </c>
      <c r="AK26" s="124"/>
      <c r="AL26" s="138">
        <f t="shared" ref="AL26:AN26" si="65">SUM(AL22:AL25)</f>
        <v>8458</v>
      </c>
      <c r="AM26" s="138">
        <f t="shared" si="65"/>
        <v>203300</v>
      </c>
      <c r="AN26" s="138">
        <f t="shared" si="65"/>
        <v>171159.6</v>
      </c>
      <c r="AP26" s="132">
        <f>SUM(AP22:AP25)</f>
        <v>0</v>
      </c>
      <c r="AQ26" s="126" t="e">
        <f>AVERAGE(AP133:BG136)</f>
        <v>#DIV/0!</v>
      </c>
      <c r="AR26" s="139" t="e">
        <f>STDEV(AP133:BG136)</f>
        <v>#DIV/0!</v>
      </c>
      <c r="AS26" s="124"/>
      <c r="AT26" s="138">
        <f t="shared" ref="AT26:AV26" si="66">SUM(AT22:AT25)</f>
        <v>6168</v>
      </c>
      <c r="AU26" s="138">
        <f t="shared" si="66"/>
        <v>112770</v>
      </c>
      <c r="AV26" s="138">
        <f t="shared" si="66"/>
        <v>89331.6</v>
      </c>
    </row>
    <row r="27" spans="2:48">
      <c r="B27" s="132">
        <f>AVERAGE(B22:B25)</f>
        <v>0</v>
      </c>
      <c r="C27" s="126"/>
      <c r="D27" s="139"/>
      <c r="E27" s="124"/>
      <c r="F27" s="138">
        <f t="shared" ref="F27:H27" si="67">AVERAGE(F22:F25)</f>
        <v>1977</v>
      </c>
      <c r="G27" s="138">
        <f t="shared" si="67"/>
        <v>45042.5</v>
      </c>
      <c r="H27" s="138">
        <f t="shared" si="67"/>
        <v>37529.9</v>
      </c>
      <c r="J27" s="132">
        <f>AVERAGE(J22:J25)</f>
        <v>0</v>
      </c>
      <c r="K27" s="126"/>
      <c r="L27" s="139"/>
      <c r="M27" s="124"/>
      <c r="N27" s="138">
        <f t="shared" ref="N27:P27" si="68">AVERAGE(N22:N25)</f>
        <v>1988</v>
      </c>
      <c r="O27" s="138">
        <f t="shared" si="68"/>
        <v>44582.5</v>
      </c>
      <c r="P27" s="138">
        <f t="shared" si="68"/>
        <v>37028.1</v>
      </c>
      <c r="R27" s="132">
        <f>AVERAGE(R22:R25)</f>
        <v>0</v>
      </c>
      <c r="S27" s="126"/>
      <c r="T27" s="139"/>
      <c r="U27" s="124"/>
      <c r="V27" s="138">
        <f t="shared" ref="V27:X27" si="69">AVERAGE(V22:V25)</f>
        <v>1982</v>
      </c>
      <c r="W27" s="138">
        <f t="shared" si="69"/>
        <v>45082.5</v>
      </c>
      <c r="X27" s="138">
        <f t="shared" si="69"/>
        <v>37550.9</v>
      </c>
      <c r="Z27" s="132">
        <f>AVERAGE(Z22:Z25)</f>
        <v>0</v>
      </c>
      <c r="AA27" s="126"/>
      <c r="AB27" s="139"/>
      <c r="AC27" s="124"/>
      <c r="AD27" s="138">
        <f t="shared" ref="AD27:AF27" si="70">AVERAGE(AD22:AD25)</f>
        <v>1611.5</v>
      </c>
      <c r="AE27" s="138">
        <f t="shared" si="70"/>
        <v>34893.25</v>
      </c>
      <c r="AF27" s="138">
        <f t="shared" si="70"/>
        <v>28769.550000000003</v>
      </c>
      <c r="AH27" s="132">
        <f>AVERAGE(AH22:AH25)</f>
        <v>0</v>
      </c>
      <c r="AI27" s="126"/>
      <c r="AJ27" s="139"/>
      <c r="AK27" s="124"/>
      <c r="AL27" s="138">
        <f t="shared" ref="AL27:AN27" si="71">AVERAGE(AL22:AL25)</f>
        <v>2114.5</v>
      </c>
      <c r="AM27" s="138">
        <f t="shared" si="71"/>
        <v>50825</v>
      </c>
      <c r="AN27" s="138">
        <f t="shared" si="71"/>
        <v>42789.9</v>
      </c>
      <c r="AP27" s="132">
        <f>AVERAGE(AP22:AP25)</f>
        <v>0</v>
      </c>
      <c r="AQ27" s="126"/>
      <c r="AR27" s="139"/>
      <c r="AS27" s="124"/>
      <c r="AT27" s="138">
        <f t="shared" ref="AT27:AV27" si="72">AVERAGE(AT22:AT25)</f>
        <v>1542</v>
      </c>
      <c r="AU27" s="138">
        <f t="shared" si="72"/>
        <v>28192.5</v>
      </c>
      <c r="AV27" s="138">
        <f t="shared" si="72"/>
        <v>22332.9</v>
      </c>
    </row>
    <row r="28" spans="2:48" ht="15.75" thickBot="1">
      <c r="B28" s="132">
        <f>STDEV(B22:B25)</f>
        <v>0</v>
      </c>
      <c r="C28" s="126"/>
      <c r="D28" s="139"/>
      <c r="E28" s="124"/>
      <c r="F28" s="178">
        <f t="shared" ref="F28:H28" si="73">STDEV(F22:F25)</f>
        <v>693.87655001928601</v>
      </c>
      <c r="G28" s="178">
        <f t="shared" si="73"/>
        <v>9751.9651865662436</v>
      </c>
      <c r="H28" s="178">
        <f t="shared" si="73"/>
        <v>7642.187565525106</v>
      </c>
      <c r="J28" s="132">
        <f>STDEV(J22:J25)</f>
        <v>0</v>
      </c>
      <c r="K28" s="126"/>
      <c r="L28" s="139"/>
      <c r="M28" s="124"/>
      <c r="N28" s="178">
        <f t="shared" ref="N28:P28" si="74">STDEV(N22:N25)</f>
        <v>699.210507167429</v>
      </c>
      <c r="O28" s="178">
        <f t="shared" si="74"/>
        <v>9966.8061584441384</v>
      </c>
      <c r="P28" s="178">
        <f t="shared" si="74"/>
        <v>7789.5668009631136</v>
      </c>
      <c r="R28" s="132">
        <f>STDEV(R22:R25)</f>
        <v>0</v>
      </c>
      <c r="S28" s="126"/>
      <c r="T28" s="139"/>
      <c r="U28" s="124"/>
      <c r="V28" s="178">
        <f t="shared" ref="V28:X28" si="75">STDEV(V22:V25)</f>
        <v>698.19195068405077</v>
      </c>
      <c r="W28" s="178">
        <f t="shared" si="75"/>
        <v>9901.4826330874985</v>
      </c>
      <c r="X28" s="178">
        <f t="shared" si="75"/>
        <v>7770.5264094525583</v>
      </c>
      <c r="Z28" s="132">
        <f>STDEV(Z22:Z25)</f>
        <v>0</v>
      </c>
      <c r="AA28" s="126"/>
      <c r="AB28" s="139"/>
      <c r="AC28" s="124"/>
      <c r="AD28" s="178">
        <f t="shared" ref="AD28:AF28" si="76">STDEV(AD22:AD25)</f>
        <v>575.31585527719756</v>
      </c>
      <c r="AE28" s="178">
        <f t="shared" si="76"/>
        <v>15684.562758223981</v>
      </c>
      <c r="AF28" s="178">
        <f t="shared" si="76"/>
        <v>13518.692653137718</v>
      </c>
      <c r="AH28" s="132">
        <f>STDEV(AH22:AH25)</f>
        <v>0</v>
      </c>
      <c r="AI28" s="126"/>
      <c r="AJ28" s="139"/>
      <c r="AK28" s="124"/>
      <c r="AL28" s="178">
        <f t="shared" ref="AL28:AN28" si="77">STDEV(AL22:AL25)</f>
        <v>825.4584584742388</v>
      </c>
      <c r="AM28" s="178">
        <f t="shared" si="77"/>
        <v>16641.309043061086</v>
      </c>
      <c r="AN28" s="178">
        <f t="shared" si="77"/>
        <v>13590.556596401761</v>
      </c>
      <c r="AP28" s="132">
        <f>STDEV(AP22:AP25)</f>
        <v>0</v>
      </c>
      <c r="AQ28" s="126"/>
      <c r="AR28" s="139"/>
      <c r="AS28" s="124"/>
      <c r="AT28" s="178">
        <f t="shared" ref="AT28:AV28" si="78">STDEV(AT22:AT25)</f>
        <v>1131.486632709375</v>
      </c>
      <c r="AU28" s="178">
        <f t="shared" si="78"/>
        <v>23054.467932846914</v>
      </c>
      <c r="AV28" s="178">
        <f t="shared" si="78"/>
        <v>18815.454896086532</v>
      </c>
    </row>
    <row r="29" spans="2:48">
      <c r="B29" s="18"/>
      <c r="C29" s="18"/>
      <c r="D29" s="18"/>
      <c r="E29" s="124"/>
      <c r="F29" s="200">
        <f t="shared" ref="F29:H29" si="79">SUM(F7:F10,F14:F17,F22:F25)</f>
        <v>23000</v>
      </c>
      <c r="G29" s="200">
        <f t="shared" si="79"/>
        <v>524830</v>
      </c>
      <c r="H29" s="200">
        <f t="shared" si="79"/>
        <v>437430</v>
      </c>
      <c r="J29" s="18"/>
      <c r="K29" s="18"/>
      <c r="L29" s="18"/>
      <c r="M29" s="124"/>
      <c r="N29" s="200">
        <f t="shared" ref="N29:P29" si="80">SUM(N7:N10,N14:N17,N22:N25)</f>
        <v>23102</v>
      </c>
      <c r="O29" s="200">
        <f t="shared" si="80"/>
        <v>523810</v>
      </c>
      <c r="P29" s="200">
        <f t="shared" si="80"/>
        <v>436022.39999999997</v>
      </c>
      <c r="R29" s="18"/>
      <c r="S29" s="18"/>
      <c r="T29" s="18"/>
      <c r="U29" s="124"/>
      <c r="V29" s="200">
        <f t="shared" ref="V29:X29" si="81">SUM(V7:V10,V14:V17,V22:V25)</f>
        <v>23037</v>
      </c>
      <c r="W29" s="200">
        <f t="shared" si="81"/>
        <v>525560</v>
      </c>
      <c r="X29" s="200">
        <f t="shared" si="81"/>
        <v>438019.4</v>
      </c>
      <c r="Z29" s="18"/>
      <c r="AA29" s="18"/>
      <c r="AB29" s="18"/>
      <c r="AC29" s="124"/>
      <c r="AD29" s="200">
        <f t="shared" ref="AD29:AF29" si="82">SUM(AD7:AD10,AD14:AD17,AD22:AD25)</f>
        <v>19184</v>
      </c>
      <c r="AE29" s="200">
        <f t="shared" si="82"/>
        <v>389933</v>
      </c>
      <c r="AF29" s="200">
        <f t="shared" si="82"/>
        <v>317033.80000000005</v>
      </c>
      <c r="AH29" s="18"/>
      <c r="AI29" s="18"/>
      <c r="AJ29" s="18"/>
      <c r="AK29" s="124"/>
      <c r="AL29" s="200">
        <f t="shared" ref="AL29:AN29" si="83">SUM(AL7:AL10,AL14:AL17,AL22:AL25)</f>
        <v>24449</v>
      </c>
      <c r="AM29" s="200">
        <f t="shared" si="83"/>
        <v>584570</v>
      </c>
      <c r="AN29" s="200">
        <f t="shared" si="83"/>
        <v>491663.8</v>
      </c>
      <c r="AP29" s="18"/>
      <c r="AQ29" s="18"/>
      <c r="AR29" s="18"/>
      <c r="AS29" s="124"/>
      <c r="AT29" s="200">
        <f t="shared" ref="AT29:AV29" si="84">SUM(AT7:AT10,AT14:AT17,AT22:AT25)</f>
        <v>17025</v>
      </c>
      <c r="AU29" s="200">
        <f t="shared" si="84"/>
        <v>301360</v>
      </c>
      <c r="AV29" s="200">
        <f t="shared" si="84"/>
        <v>236665.00000000006</v>
      </c>
    </row>
    <row r="30" spans="2:48">
      <c r="B30" s="18"/>
      <c r="C30" s="18"/>
      <c r="D30" s="18"/>
      <c r="E30" s="124"/>
      <c r="F30" s="203">
        <f t="shared" ref="F30:H30" si="85">AVERAGE(F7:F10,F14:F17,F22:F25)</f>
        <v>1916.6666666666667</v>
      </c>
      <c r="G30" s="203">
        <f t="shared" si="85"/>
        <v>43735.833333333336</v>
      </c>
      <c r="H30" s="203">
        <f t="shared" si="85"/>
        <v>36452.5</v>
      </c>
      <c r="J30" s="18"/>
      <c r="K30" s="18"/>
      <c r="L30" s="18"/>
      <c r="M30" s="124"/>
      <c r="N30" s="203">
        <f t="shared" ref="N30:P30" si="86">AVERAGE(N7:N10,N14:N17,N22:N25)</f>
        <v>1925.1666666666667</v>
      </c>
      <c r="O30" s="203">
        <f t="shared" si="86"/>
        <v>43650.833333333336</v>
      </c>
      <c r="P30" s="203">
        <f t="shared" si="86"/>
        <v>36335.199999999997</v>
      </c>
      <c r="R30" s="18"/>
      <c r="S30" s="18"/>
      <c r="T30" s="18"/>
      <c r="U30" s="124"/>
      <c r="V30" s="203">
        <f t="shared" ref="V30:X30" si="87">AVERAGE(V7:V10,V14:V17,V22:V25)</f>
        <v>1919.75</v>
      </c>
      <c r="W30" s="203">
        <f t="shared" si="87"/>
        <v>43796.666666666664</v>
      </c>
      <c r="X30" s="203">
        <f t="shared" si="87"/>
        <v>36501.616666666669</v>
      </c>
      <c r="Z30" s="18"/>
      <c r="AA30" s="18"/>
      <c r="AB30" s="18"/>
      <c r="AC30" s="124"/>
      <c r="AD30" s="203">
        <f t="shared" ref="AD30:AF30" si="88">AVERAGE(AD7:AD10,AD14:AD17,AD22:AD25)</f>
        <v>1598.6666666666667</v>
      </c>
      <c r="AE30" s="203">
        <f t="shared" si="88"/>
        <v>32494.416666666668</v>
      </c>
      <c r="AF30" s="203">
        <f t="shared" si="88"/>
        <v>26419.483333333337</v>
      </c>
      <c r="AH30" s="18"/>
      <c r="AI30" s="18"/>
      <c r="AJ30" s="18"/>
      <c r="AK30" s="124"/>
      <c r="AL30" s="203">
        <f t="shared" ref="AL30:AN30" si="89">AVERAGE(AL7:AL10,AL14:AL17,AL22:AL25)</f>
        <v>2037.4166666666667</v>
      </c>
      <c r="AM30" s="203">
        <f t="shared" si="89"/>
        <v>48714.166666666664</v>
      </c>
      <c r="AN30" s="203">
        <f t="shared" si="89"/>
        <v>40971.98333333333</v>
      </c>
      <c r="AP30" s="18"/>
      <c r="AQ30" s="18"/>
      <c r="AR30" s="18"/>
      <c r="AS30" s="124"/>
      <c r="AT30" s="203">
        <f t="shared" ref="AT30:AV30" si="90">AVERAGE(AT7:AT10,AT14:AT17,AT22:AT25)</f>
        <v>1418.75</v>
      </c>
      <c r="AU30" s="203">
        <f t="shared" si="90"/>
        <v>25113.333333333332</v>
      </c>
      <c r="AV30" s="203">
        <f t="shared" si="90"/>
        <v>19722.083333333339</v>
      </c>
    </row>
    <row r="31" spans="2:48" ht="15.75" thickBot="1">
      <c r="B31" s="18"/>
      <c r="C31" s="18"/>
      <c r="D31" s="18"/>
      <c r="E31" s="124"/>
      <c r="F31" s="206">
        <f t="shared" ref="F31:H31" si="91">STDEV(F7:F10,F14:F17,F22:F25,)</f>
        <v>778.90394720681616</v>
      </c>
      <c r="G31" s="206">
        <f t="shared" si="91"/>
        <v>13877.623383318587</v>
      </c>
      <c r="H31" s="206">
        <f t="shared" si="91"/>
        <v>11403.322669989548</v>
      </c>
      <c r="J31" s="18"/>
      <c r="K31" s="18"/>
      <c r="L31" s="18"/>
      <c r="M31" s="124"/>
      <c r="N31" s="206">
        <f t="shared" ref="N31:P31" si="92">STDEV(N7:N10,N14:N17,N22:N25,)</f>
        <v>782.31648130604833</v>
      </c>
      <c r="O31" s="206">
        <f t="shared" si="92"/>
        <v>13784.441340762529</v>
      </c>
      <c r="P31" s="206">
        <f t="shared" si="92"/>
        <v>11275.342529745036</v>
      </c>
      <c r="R31" s="18"/>
      <c r="S31" s="18"/>
      <c r="T31" s="18"/>
      <c r="U31" s="124"/>
      <c r="V31" s="206">
        <f t="shared" ref="V31:X31" si="93">STDEV(V7:V10,V14:V17,V22:V25,)</f>
        <v>781.20008763637281</v>
      </c>
      <c r="W31" s="206">
        <f t="shared" si="93"/>
        <v>13934.754604851705</v>
      </c>
      <c r="X31" s="206">
        <f t="shared" si="93"/>
        <v>11442.075345845255</v>
      </c>
      <c r="Z31" s="18"/>
      <c r="AA31" s="18"/>
      <c r="AB31" s="18"/>
      <c r="AC31" s="124"/>
      <c r="AD31" s="206">
        <f t="shared" ref="AD31:AF31" si="94">STDEV(AD7:AD10,AD14:AD17,AD22:AD25,)</f>
        <v>661.27003871532247</v>
      </c>
      <c r="AE31" s="206">
        <f t="shared" si="94"/>
        <v>13692.129015400016</v>
      </c>
      <c r="AF31" s="206">
        <f t="shared" si="94"/>
        <v>11684.213394280196</v>
      </c>
      <c r="AH31" s="18"/>
      <c r="AI31" s="18"/>
      <c r="AJ31" s="18"/>
      <c r="AK31" s="124"/>
      <c r="AL31" s="206">
        <f t="shared" ref="AL31:AN31" si="95">STDEV(AL7:AL10,AL14:AL17,AL22:AL25,)</f>
        <v>878.66000104471436</v>
      </c>
      <c r="AM31" s="206">
        <f t="shared" si="95"/>
        <v>17791.716417392759</v>
      </c>
      <c r="AN31" s="206">
        <f t="shared" si="95"/>
        <v>14624.568034558686</v>
      </c>
      <c r="AP31" s="18"/>
      <c r="AQ31" s="18"/>
      <c r="AR31" s="18"/>
      <c r="AS31" s="124"/>
      <c r="AT31" s="206">
        <f t="shared" ref="AT31:AV31" si="96">STDEV(AT7:AT10,AT14:AT17,AT22:AT25,)</f>
        <v>992.82228507602997</v>
      </c>
      <c r="AU31" s="206">
        <f t="shared" si="96"/>
        <v>16786.696541286223</v>
      </c>
      <c r="AV31" s="206">
        <f t="shared" si="96"/>
        <v>13272.819950309477</v>
      </c>
    </row>
    <row r="34" spans="2:48" ht="15.75" thickBot="1">
      <c r="B34" s="172" t="s">
        <v>119</v>
      </c>
      <c r="C34" s="172"/>
      <c r="D34" s="172"/>
      <c r="E34" s="173"/>
      <c r="F34" s="172" t="s">
        <v>20</v>
      </c>
      <c r="G34" s="172" t="s">
        <v>20</v>
      </c>
      <c r="H34" s="172" t="s">
        <v>20</v>
      </c>
      <c r="J34" s="172" t="s">
        <v>119</v>
      </c>
      <c r="K34" s="172"/>
      <c r="L34" s="172"/>
      <c r="M34" s="173"/>
      <c r="N34" s="172" t="s">
        <v>20</v>
      </c>
      <c r="O34" s="172" t="s">
        <v>20</v>
      </c>
      <c r="P34" s="172" t="s">
        <v>20</v>
      </c>
      <c r="R34" s="172" t="s">
        <v>119</v>
      </c>
      <c r="S34" s="172"/>
      <c r="T34" s="172"/>
      <c r="U34" s="173"/>
      <c r="V34" s="172" t="s">
        <v>20</v>
      </c>
      <c r="W34" s="172" t="s">
        <v>20</v>
      </c>
      <c r="X34" s="172" t="s">
        <v>20</v>
      </c>
      <c r="Z34" s="172" t="s">
        <v>119</v>
      </c>
      <c r="AA34" s="172"/>
      <c r="AB34" s="172"/>
      <c r="AC34" s="173"/>
      <c r="AD34" s="172" t="s">
        <v>20</v>
      </c>
      <c r="AE34" s="172" t="s">
        <v>20</v>
      </c>
      <c r="AF34" s="172" t="s">
        <v>20</v>
      </c>
      <c r="AH34" s="172" t="s">
        <v>119</v>
      </c>
      <c r="AI34" s="172"/>
      <c r="AJ34" s="172"/>
      <c r="AK34" s="173"/>
      <c r="AL34" s="172" t="s">
        <v>20</v>
      </c>
      <c r="AM34" s="172" t="s">
        <v>20</v>
      </c>
      <c r="AN34" s="172" t="s">
        <v>20</v>
      </c>
      <c r="AP34" s="172" t="s">
        <v>119</v>
      </c>
      <c r="AQ34" s="172"/>
      <c r="AR34" s="172"/>
      <c r="AS34" s="173"/>
      <c r="AT34" s="172" t="s">
        <v>20</v>
      </c>
      <c r="AU34" s="172" t="s">
        <v>20</v>
      </c>
      <c r="AV34" s="172" t="s">
        <v>20</v>
      </c>
    </row>
    <row r="35" spans="2:48" ht="15.75" thickBot="1">
      <c r="B35" s="187">
        <f>SUM(B146:N146)</f>
        <v>0</v>
      </c>
      <c r="C35" s="188" t="e">
        <f>AVERAGE(B146:N146)</f>
        <v>#DIV/0!</v>
      </c>
      <c r="D35" s="189" t="e">
        <f>STDEV(B146:M146)</f>
        <v>#DIV/0!</v>
      </c>
      <c r="E35" s="190" t="s">
        <v>40</v>
      </c>
      <c r="F35" s="192">
        <v>572</v>
      </c>
      <c r="G35" s="192">
        <v>15160</v>
      </c>
      <c r="H35" s="191">
        <f>G35-F35*$L$1</f>
        <v>12986.4</v>
      </c>
      <c r="J35" s="187">
        <f>SUM(J146:V146)</f>
        <v>0</v>
      </c>
      <c r="K35" s="188" t="e">
        <f>AVERAGE(J146:V146)</f>
        <v>#DIV/0!</v>
      </c>
      <c r="L35" s="189" t="e">
        <f>STDEV(J146:U146)</f>
        <v>#DIV/0!</v>
      </c>
      <c r="M35" s="190" t="s">
        <v>40</v>
      </c>
      <c r="N35" s="192">
        <v>582</v>
      </c>
      <c r="O35" s="192">
        <v>11020</v>
      </c>
      <c r="P35" s="191">
        <f>O35-N35*$L$1</f>
        <v>8808.4</v>
      </c>
      <c r="R35" s="187">
        <f>SUM(R146:AD146)</f>
        <v>0</v>
      </c>
      <c r="S35" s="188" t="e">
        <f>AVERAGE(R146:AD146)</f>
        <v>#DIV/0!</v>
      </c>
      <c r="T35" s="189" t="e">
        <f>STDEV(R146:AC146)</f>
        <v>#DIV/0!</v>
      </c>
      <c r="U35" s="190" t="s">
        <v>40</v>
      </c>
      <c r="V35" s="192">
        <v>573</v>
      </c>
      <c r="W35" s="192">
        <v>15330</v>
      </c>
      <c r="X35" s="191">
        <f>W35-V35*$L$1</f>
        <v>13152.6</v>
      </c>
      <c r="Z35" s="187">
        <f>SUM(Z146:AL146)</f>
        <v>0</v>
      </c>
      <c r="AA35" s="188" t="e">
        <f>AVERAGE(Z146:AL146)</f>
        <v>#DIV/0!</v>
      </c>
      <c r="AB35" s="189" t="e">
        <f>STDEV(Z146:AK146)</f>
        <v>#DIV/0!</v>
      </c>
      <c r="AC35" s="190" t="s">
        <v>40</v>
      </c>
      <c r="AD35" s="192">
        <v>573</v>
      </c>
      <c r="AE35" s="192">
        <v>15330</v>
      </c>
      <c r="AF35" s="191">
        <f>AE35-AD35*$L$1</f>
        <v>13152.6</v>
      </c>
      <c r="AH35" s="187">
        <f>SUM(AH146:AT146)</f>
        <v>0</v>
      </c>
      <c r="AI35" s="188" t="e">
        <f>AVERAGE(AH146:AT146)</f>
        <v>#DIV/0!</v>
      </c>
      <c r="AJ35" s="189" t="e">
        <f>STDEV(AH146:AS146)</f>
        <v>#DIV/0!</v>
      </c>
      <c r="AK35" s="190" t="s">
        <v>40</v>
      </c>
      <c r="AL35" s="192">
        <v>572</v>
      </c>
      <c r="AM35" s="192">
        <v>15410</v>
      </c>
      <c r="AN35" s="191">
        <f>AM35-AL35*$L$1</f>
        <v>13236.4</v>
      </c>
      <c r="AP35" s="187">
        <f>SUM(AP146:BB146)</f>
        <v>0</v>
      </c>
      <c r="AQ35" s="188" t="e">
        <f>AVERAGE(AP146:BB146)</f>
        <v>#DIV/0!</v>
      </c>
      <c r="AR35" s="189" t="e">
        <f>STDEV(AP146:BA146)</f>
        <v>#DIV/0!</v>
      </c>
      <c r="AS35" s="190" t="s">
        <v>40</v>
      </c>
      <c r="AT35" s="192">
        <v>141</v>
      </c>
      <c r="AU35" s="192">
        <v>16350</v>
      </c>
      <c r="AV35" s="191">
        <f>AU35-AT35*$L$1</f>
        <v>15814.2</v>
      </c>
    </row>
    <row r="36" spans="2:48" ht="15.75" thickBot="1">
      <c r="B36" s="134">
        <f>SUM(B147:N147)</f>
        <v>0</v>
      </c>
      <c r="C36" s="128" t="e">
        <f>AVERAGE(B147:N147)</f>
        <v>#DIV/0!</v>
      </c>
      <c r="D36" s="141" t="e">
        <f>STDEV(B147:M147)</f>
        <v>#DIV/0!</v>
      </c>
      <c r="E36" s="193" t="s">
        <v>41</v>
      </c>
      <c r="F36" s="194">
        <v>793</v>
      </c>
      <c r="G36" s="194">
        <v>26160</v>
      </c>
      <c r="H36" s="191">
        <f t="shared" ref="H36:H38" si="97">G36-F36*$L$1</f>
        <v>23146.6</v>
      </c>
      <c r="J36" s="134">
        <f>SUM(J147:V147)</f>
        <v>0</v>
      </c>
      <c r="K36" s="128" t="e">
        <f>AVERAGE(J147:V147)</f>
        <v>#DIV/0!</v>
      </c>
      <c r="L36" s="141" t="e">
        <f>STDEV(J147:U147)</f>
        <v>#DIV/0!</v>
      </c>
      <c r="M36" s="193" t="s">
        <v>41</v>
      </c>
      <c r="N36" s="194">
        <v>798</v>
      </c>
      <c r="O36" s="194">
        <v>24450</v>
      </c>
      <c r="P36" s="191">
        <f t="shared" ref="P36:P38" si="98">O36-N36*$L$1</f>
        <v>21417.599999999999</v>
      </c>
      <c r="R36" s="134">
        <f>SUM(R147:AD147)</f>
        <v>0</v>
      </c>
      <c r="S36" s="128" t="e">
        <f>AVERAGE(R147:AD147)</f>
        <v>#DIV/0!</v>
      </c>
      <c r="T36" s="141" t="e">
        <f>STDEV(R147:AC147)</f>
        <v>#DIV/0!</v>
      </c>
      <c r="U36" s="193" t="s">
        <v>41</v>
      </c>
      <c r="V36" s="194">
        <v>794</v>
      </c>
      <c r="W36" s="194">
        <v>26180</v>
      </c>
      <c r="X36" s="191">
        <f t="shared" ref="X36:X38" si="99">W36-V36*$L$1</f>
        <v>23162.799999999999</v>
      </c>
      <c r="Z36" s="134">
        <f>SUM(Z147:AL147)</f>
        <v>0</v>
      </c>
      <c r="AA36" s="128" t="e">
        <f>AVERAGE(Z147:AL147)</f>
        <v>#DIV/0!</v>
      </c>
      <c r="AB36" s="141" t="e">
        <f>STDEV(Z147:AK147)</f>
        <v>#DIV/0!</v>
      </c>
      <c r="AC36" s="193" t="s">
        <v>41</v>
      </c>
      <c r="AD36" s="194">
        <v>794</v>
      </c>
      <c r="AE36" s="194">
        <v>26180</v>
      </c>
      <c r="AF36" s="191">
        <f t="shared" ref="AF36:AF38" si="100">AE36-AD36*$L$1</f>
        <v>23162.799999999999</v>
      </c>
      <c r="AH36" s="134">
        <f>SUM(AH147:AT147)</f>
        <v>0</v>
      </c>
      <c r="AI36" s="128" t="e">
        <f>AVERAGE(AH147:AT147)</f>
        <v>#DIV/0!</v>
      </c>
      <c r="AJ36" s="141" t="e">
        <f>STDEV(AH147:AS147)</f>
        <v>#DIV/0!</v>
      </c>
      <c r="AK36" s="193" t="s">
        <v>41</v>
      </c>
      <c r="AL36" s="194">
        <v>836</v>
      </c>
      <c r="AM36" s="194">
        <v>23570</v>
      </c>
      <c r="AN36" s="191">
        <f t="shared" ref="AN36:AN38" si="101">AM36-AL36*$L$1</f>
        <v>20393.2</v>
      </c>
      <c r="AP36" s="134">
        <f>SUM(AP147:BB147)</f>
        <v>0</v>
      </c>
      <c r="AQ36" s="128" t="e">
        <f>AVERAGE(AP147:BB147)</f>
        <v>#DIV/0!</v>
      </c>
      <c r="AR36" s="141" t="e">
        <f>STDEV(AP147:BA147)</f>
        <v>#DIV/0!</v>
      </c>
      <c r="AS36" s="193" t="s">
        <v>41</v>
      </c>
      <c r="AT36" s="194">
        <v>426</v>
      </c>
      <c r="AU36" s="194">
        <v>23170</v>
      </c>
      <c r="AV36" s="191">
        <f t="shared" ref="AV36:AV38" si="102">AU36-AT36*$L$1</f>
        <v>21551.200000000001</v>
      </c>
    </row>
    <row r="37" spans="2:48" ht="15.75" thickBot="1">
      <c r="B37" s="214">
        <f>SUM(B148:N148)</f>
        <v>0</v>
      </c>
      <c r="C37" s="128" t="e">
        <f>AVERAGE(B148:N148)</f>
        <v>#DIV/0!</v>
      </c>
      <c r="D37" s="141" t="e">
        <f>STDEV(B148:M148)</f>
        <v>#DIV/0!</v>
      </c>
      <c r="E37" s="193" t="s">
        <v>42</v>
      </c>
      <c r="F37" s="194">
        <v>1200</v>
      </c>
      <c r="G37" s="194">
        <v>27740</v>
      </c>
      <c r="H37" s="191">
        <f t="shared" si="97"/>
        <v>23180</v>
      </c>
      <c r="J37" s="214">
        <f>SUM(J148:V148)</f>
        <v>0</v>
      </c>
      <c r="K37" s="128" t="e">
        <f>AVERAGE(J148:V148)</f>
        <v>#DIV/0!</v>
      </c>
      <c r="L37" s="141" t="e">
        <f>STDEV(J148:U148)</f>
        <v>#DIV/0!</v>
      </c>
      <c r="M37" s="193" t="s">
        <v>42</v>
      </c>
      <c r="N37" s="194">
        <v>1216</v>
      </c>
      <c r="O37" s="194">
        <v>23110</v>
      </c>
      <c r="P37" s="191">
        <f t="shared" si="98"/>
        <v>18489.2</v>
      </c>
      <c r="R37" s="214">
        <f>SUM(R148:AD148)</f>
        <v>0</v>
      </c>
      <c r="S37" s="128" t="e">
        <f>AVERAGE(R148:AD148)</f>
        <v>#DIV/0!</v>
      </c>
      <c r="T37" s="141" t="e">
        <f>STDEV(R148:AC148)</f>
        <v>#DIV/0!</v>
      </c>
      <c r="U37" s="193" t="s">
        <v>42</v>
      </c>
      <c r="V37" s="194">
        <v>1202</v>
      </c>
      <c r="W37" s="194">
        <v>28310</v>
      </c>
      <c r="X37" s="191">
        <f t="shared" si="99"/>
        <v>23742.400000000001</v>
      </c>
      <c r="Z37" s="214">
        <f>SUM(Z148:AL148)</f>
        <v>0</v>
      </c>
      <c r="AA37" s="128" t="e">
        <f>AVERAGE(Z148:AL148)</f>
        <v>#DIV/0!</v>
      </c>
      <c r="AB37" s="141" t="e">
        <f>STDEV(Z148:AK148)</f>
        <v>#DIV/0!</v>
      </c>
      <c r="AC37" s="193" t="s">
        <v>42</v>
      </c>
      <c r="AD37" s="194">
        <v>1202</v>
      </c>
      <c r="AE37" s="194">
        <v>28310</v>
      </c>
      <c r="AF37" s="191">
        <f t="shared" si="100"/>
        <v>23742.400000000001</v>
      </c>
      <c r="AH37" s="214">
        <f>SUM(AH148:AT148)</f>
        <v>0</v>
      </c>
      <c r="AI37" s="128" t="e">
        <f>AVERAGE(AH148:AT148)</f>
        <v>#DIV/0!</v>
      </c>
      <c r="AJ37" s="141" t="e">
        <f>STDEV(AH148:AS148)</f>
        <v>#DIV/0!</v>
      </c>
      <c r="AK37" s="193" t="s">
        <v>42</v>
      </c>
      <c r="AL37" s="194">
        <v>1309</v>
      </c>
      <c r="AM37" s="228">
        <v>48320</v>
      </c>
      <c r="AN37" s="224">
        <f t="shared" si="101"/>
        <v>43345.8</v>
      </c>
      <c r="AP37" s="214">
        <f>SUM(AP148:BB148)</f>
        <v>0</v>
      </c>
      <c r="AQ37" s="128" t="e">
        <f>AVERAGE(AP148:BB148)</f>
        <v>#DIV/0!</v>
      </c>
      <c r="AR37" s="141" t="e">
        <f>STDEV(AP148:BA148)</f>
        <v>#DIV/0!</v>
      </c>
      <c r="AS37" s="193" t="s">
        <v>42</v>
      </c>
      <c r="AT37" s="194">
        <v>1052</v>
      </c>
      <c r="AU37" s="228">
        <v>53890</v>
      </c>
      <c r="AV37" s="224">
        <f t="shared" si="102"/>
        <v>49892.4</v>
      </c>
    </row>
    <row r="38" spans="2:48">
      <c r="B38" s="214">
        <f>SUM(B149:N149)</f>
        <v>0</v>
      </c>
      <c r="C38" s="128" t="e">
        <f>AVERAGE(B149:N149)</f>
        <v>#DIV/0!</v>
      </c>
      <c r="D38" s="141" t="e">
        <f>STDEV(B149:M149)</f>
        <v>#DIV/0!</v>
      </c>
      <c r="E38" s="193" t="s">
        <v>43</v>
      </c>
      <c r="F38" s="194">
        <v>1326</v>
      </c>
      <c r="G38" s="194">
        <v>27570</v>
      </c>
      <c r="H38" s="191">
        <f t="shared" si="97"/>
        <v>22531.200000000001</v>
      </c>
      <c r="J38" s="214">
        <f>SUM(J149:V149)</f>
        <v>0</v>
      </c>
      <c r="K38" s="128" t="e">
        <f>AVERAGE(J149:V149)</f>
        <v>#DIV/0!</v>
      </c>
      <c r="L38" s="141" t="e">
        <f>STDEV(J149:U149)</f>
        <v>#DIV/0!</v>
      </c>
      <c r="M38" s="193" t="s">
        <v>43</v>
      </c>
      <c r="N38" s="194">
        <v>1332</v>
      </c>
      <c r="O38" s="194">
        <v>25110</v>
      </c>
      <c r="P38" s="191">
        <f t="shared" si="98"/>
        <v>20048.400000000001</v>
      </c>
      <c r="R38" s="214">
        <f>SUM(R149:AD149)</f>
        <v>0</v>
      </c>
      <c r="S38" s="128" t="e">
        <f>AVERAGE(R149:AD149)</f>
        <v>#DIV/0!</v>
      </c>
      <c r="T38" s="141" t="e">
        <f>STDEV(R149:AC149)</f>
        <v>#DIV/0!</v>
      </c>
      <c r="U38" s="193" t="s">
        <v>43</v>
      </c>
      <c r="V38" s="194">
        <v>1327</v>
      </c>
      <c r="W38" s="194">
        <v>27590</v>
      </c>
      <c r="X38" s="191">
        <f t="shared" si="99"/>
        <v>22547.4</v>
      </c>
      <c r="Z38" s="214">
        <f>SUM(Z149:AL149)</f>
        <v>0</v>
      </c>
      <c r="AA38" s="128" t="e">
        <f>AVERAGE(Z149:AL149)</f>
        <v>#DIV/0!</v>
      </c>
      <c r="AB38" s="141" t="e">
        <f>STDEV(Z149:AK149)</f>
        <v>#DIV/0!</v>
      </c>
      <c r="AC38" s="193" t="s">
        <v>43</v>
      </c>
      <c r="AD38" s="194">
        <v>1327</v>
      </c>
      <c r="AE38" s="194">
        <v>27590</v>
      </c>
      <c r="AF38" s="191">
        <f t="shared" si="100"/>
        <v>22547.4</v>
      </c>
      <c r="AH38" s="214">
        <f>SUM(AH149:AT149)</f>
        <v>0</v>
      </c>
      <c r="AI38" s="128" t="e">
        <f>AVERAGE(AH149:AT149)</f>
        <v>#DIV/0!</v>
      </c>
      <c r="AJ38" s="141" t="e">
        <f>STDEV(AH149:AS149)</f>
        <v>#DIV/0!</v>
      </c>
      <c r="AK38" s="193" t="s">
        <v>43</v>
      </c>
      <c r="AL38" s="194">
        <v>1457</v>
      </c>
      <c r="AM38" s="194">
        <v>32370</v>
      </c>
      <c r="AN38" s="191">
        <f t="shared" si="101"/>
        <v>26833.4</v>
      </c>
      <c r="AP38" s="214">
        <f>SUM(AP149:BB149)</f>
        <v>0</v>
      </c>
      <c r="AQ38" s="128" t="e">
        <f>AVERAGE(AP149:BB149)</f>
        <v>#DIV/0!</v>
      </c>
      <c r="AR38" s="141" t="e">
        <f>STDEV(AP149:BA149)</f>
        <v>#DIV/0!</v>
      </c>
      <c r="AS38" s="193" t="s">
        <v>43</v>
      </c>
      <c r="AT38" s="194">
        <v>1251</v>
      </c>
      <c r="AU38" s="194">
        <v>43480</v>
      </c>
      <c r="AV38" s="191">
        <f t="shared" si="102"/>
        <v>38726.199999999997</v>
      </c>
    </row>
    <row r="39" spans="2:48">
      <c r="B39" s="132">
        <f>SUM(B35:B38)</f>
        <v>0</v>
      </c>
      <c r="C39" s="126" t="e">
        <f>AVERAGE(B146:S149)</f>
        <v>#DIV/0!</v>
      </c>
      <c r="D39" s="139" t="e">
        <f>STDEV(B146:S149)</f>
        <v>#DIV/0!</v>
      </c>
      <c r="E39" s="124"/>
      <c r="F39" s="207">
        <f t="shared" ref="F39:H39" si="103">SUM(F35:F38)</f>
        <v>3891</v>
      </c>
      <c r="G39" s="207">
        <f t="shared" si="103"/>
        <v>96630</v>
      </c>
      <c r="H39" s="207">
        <f t="shared" si="103"/>
        <v>81844.2</v>
      </c>
      <c r="J39" s="132">
        <f>SUM(J35:J38)</f>
        <v>0</v>
      </c>
      <c r="K39" s="126" t="e">
        <f>AVERAGE(J146:AA149)</f>
        <v>#DIV/0!</v>
      </c>
      <c r="L39" s="139" t="e">
        <f>STDEV(J146:AA149)</f>
        <v>#DIV/0!</v>
      </c>
      <c r="M39" s="124"/>
      <c r="N39" s="207">
        <f t="shared" ref="N39:P39" si="104">SUM(N35:N38)</f>
        <v>3928</v>
      </c>
      <c r="O39" s="207">
        <f t="shared" si="104"/>
        <v>83690</v>
      </c>
      <c r="P39" s="207">
        <f t="shared" si="104"/>
        <v>68763.600000000006</v>
      </c>
      <c r="R39" s="132">
        <f>SUM(R35:R38)</f>
        <v>0</v>
      </c>
      <c r="S39" s="126" t="e">
        <f>AVERAGE(R146:AI149)</f>
        <v>#DIV/0!</v>
      </c>
      <c r="T39" s="139" t="e">
        <f>STDEV(R146:AI149)</f>
        <v>#DIV/0!</v>
      </c>
      <c r="U39" s="124"/>
      <c r="V39" s="207">
        <f t="shared" ref="V39:X39" si="105">SUM(V35:V38)</f>
        <v>3896</v>
      </c>
      <c r="W39" s="207">
        <f t="shared" si="105"/>
        <v>97410</v>
      </c>
      <c r="X39" s="207">
        <f t="shared" si="105"/>
        <v>82605.200000000012</v>
      </c>
      <c r="Z39" s="132">
        <f>SUM(Z35:Z38)</f>
        <v>0</v>
      </c>
      <c r="AA39" s="126" t="e">
        <f>AVERAGE(Z146:AQ149)</f>
        <v>#DIV/0!</v>
      </c>
      <c r="AB39" s="139" t="e">
        <f>STDEV(Z146:AQ149)</f>
        <v>#DIV/0!</v>
      </c>
      <c r="AC39" s="124"/>
      <c r="AD39" s="207">
        <f t="shared" ref="AD39:AF39" si="106">SUM(AD35:AD38)</f>
        <v>3896</v>
      </c>
      <c r="AE39" s="207">
        <f t="shared" si="106"/>
        <v>97410</v>
      </c>
      <c r="AF39" s="207">
        <f t="shared" si="106"/>
        <v>82605.200000000012</v>
      </c>
      <c r="AH39" s="132">
        <f>SUM(AH35:AH38)</f>
        <v>0</v>
      </c>
      <c r="AI39" s="126" t="e">
        <f>AVERAGE(AH146:AY149)</f>
        <v>#DIV/0!</v>
      </c>
      <c r="AJ39" s="139" t="e">
        <f>STDEV(AH146:AY149)</f>
        <v>#DIV/0!</v>
      </c>
      <c r="AK39" s="124"/>
      <c r="AL39" s="207">
        <f t="shared" ref="AL39:AN39" si="107">SUM(AL35:AL38)</f>
        <v>4174</v>
      </c>
      <c r="AM39" s="207">
        <f t="shared" si="107"/>
        <v>119670</v>
      </c>
      <c r="AN39" s="207">
        <f t="shared" si="107"/>
        <v>103808.79999999999</v>
      </c>
      <c r="AP39" s="132">
        <f>SUM(AP35:AP38)</f>
        <v>0</v>
      </c>
      <c r="AQ39" s="126" t="e">
        <f>AVERAGE(AP146:BG149)</f>
        <v>#DIV/0!</v>
      </c>
      <c r="AR39" s="139" t="e">
        <f>STDEV(AP146:BG149)</f>
        <v>#DIV/0!</v>
      </c>
      <c r="AS39" s="124"/>
      <c r="AT39" s="207">
        <f t="shared" ref="AT39:AV39" si="108">SUM(AT35:AT38)</f>
        <v>2870</v>
      </c>
      <c r="AU39" s="207">
        <f t="shared" si="108"/>
        <v>136890</v>
      </c>
      <c r="AV39" s="207">
        <f t="shared" si="108"/>
        <v>125984</v>
      </c>
    </row>
    <row r="40" spans="2:48">
      <c r="B40" s="132">
        <f>AVERAGE(B35:B38)</f>
        <v>0</v>
      </c>
      <c r="C40" s="126"/>
      <c r="D40" s="139"/>
      <c r="E40" s="124"/>
      <c r="F40" s="138">
        <f t="shared" ref="F40:H40" si="109">AVERAGE(F35:F38)</f>
        <v>972.75</v>
      </c>
      <c r="G40" s="138">
        <f t="shared" si="109"/>
        <v>24157.5</v>
      </c>
      <c r="H40" s="138">
        <f t="shared" si="109"/>
        <v>20461.05</v>
      </c>
      <c r="J40" s="132">
        <f>AVERAGE(J35:J38)</f>
        <v>0</v>
      </c>
      <c r="K40" s="126"/>
      <c r="L40" s="139"/>
      <c r="M40" s="124"/>
      <c r="N40" s="138">
        <f t="shared" ref="N40:P40" si="110">AVERAGE(N35:N38)</f>
        <v>982</v>
      </c>
      <c r="O40" s="138">
        <f t="shared" si="110"/>
        <v>20922.5</v>
      </c>
      <c r="P40" s="138">
        <f t="shared" si="110"/>
        <v>17190.900000000001</v>
      </c>
      <c r="R40" s="132">
        <f>AVERAGE(R35:R38)</f>
        <v>0</v>
      </c>
      <c r="S40" s="126"/>
      <c r="T40" s="139"/>
      <c r="U40" s="124"/>
      <c r="V40" s="138">
        <f t="shared" ref="V40:X40" si="111">AVERAGE(V35:V38)</f>
        <v>974</v>
      </c>
      <c r="W40" s="138">
        <f t="shared" si="111"/>
        <v>24352.5</v>
      </c>
      <c r="X40" s="138">
        <f t="shared" si="111"/>
        <v>20651.300000000003</v>
      </c>
      <c r="Z40" s="132">
        <f>AVERAGE(Z35:Z38)</f>
        <v>0</v>
      </c>
      <c r="AA40" s="126"/>
      <c r="AB40" s="139"/>
      <c r="AC40" s="124"/>
      <c r="AD40" s="138">
        <f t="shared" ref="AD40:AF40" si="112">AVERAGE(AD35:AD38)</f>
        <v>974</v>
      </c>
      <c r="AE40" s="138">
        <f t="shared" si="112"/>
        <v>24352.5</v>
      </c>
      <c r="AF40" s="138">
        <f t="shared" si="112"/>
        <v>20651.300000000003</v>
      </c>
      <c r="AH40" s="132">
        <f>AVERAGE(AH35:AH38)</f>
        <v>0</v>
      </c>
      <c r="AI40" s="126"/>
      <c r="AJ40" s="139"/>
      <c r="AK40" s="124"/>
      <c r="AL40" s="138">
        <f t="shared" ref="AL40:AN40" si="113">AVERAGE(AL35:AL38)</f>
        <v>1043.5</v>
      </c>
      <c r="AM40" s="138">
        <f t="shared" si="113"/>
        <v>29917.5</v>
      </c>
      <c r="AN40" s="138">
        <f t="shared" si="113"/>
        <v>25952.199999999997</v>
      </c>
      <c r="AP40" s="132">
        <f>AVERAGE(AP35:AP38)</f>
        <v>0</v>
      </c>
      <c r="AQ40" s="126"/>
      <c r="AR40" s="139"/>
      <c r="AS40" s="124"/>
      <c r="AT40" s="138">
        <f t="shared" ref="AT40:AV40" si="114">AVERAGE(AT35:AT38)</f>
        <v>717.5</v>
      </c>
      <c r="AU40" s="138">
        <f t="shared" si="114"/>
        <v>34222.5</v>
      </c>
      <c r="AV40" s="138">
        <f t="shared" si="114"/>
        <v>31496</v>
      </c>
    </row>
    <row r="41" spans="2:48" ht="15.75" thickBot="1">
      <c r="B41" s="169">
        <f>STDEV(B35:B38)</f>
        <v>0</v>
      </c>
      <c r="C41" s="170"/>
      <c r="D41" s="171"/>
      <c r="E41" s="124"/>
      <c r="F41" s="178">
        <f t="shared" ref="F41:H41" si="115">STDEV(F35:F38)</f>
        <v>350.87450273091468</v>
      </c>
      <c r="G41" s="178">
        <f t="shared" si="115"/>
        <v>6039.9910320021718</v>
      </c>
      <c r="H41" s="178">
        <f t="shared" si="115"/>
        <v>4992.0196831209241</v>
      </c>
      <c r="J41" s="169">
        <f>STDEV(J35:J38)</f>
        <v>0</v>
      </c>
      <c r="K41" s="170"/>
      <c r="L41" s="171"/>
      <c r="M41" s="124"/>
      <c r="N41" s="178">
        <f t="shared" ref="N41:P41" si="116">STDEV(N35:N38)</f>
        <v>351.71579435675051</v>
      </c>
      <c r="O41" s="178">
        <f t="shared" si="116"/>
        <v>6653.8979803821258</v>
      </c>
      <c r="P41" s="178">
        <f t="shared" si="116"/>
        <v>5714.9566425885141</v>
      </c>
      <c r="R41" s="169">
        <f>STDEV(R35:R38)</f>
        <v>0</v>
      </c>
      <c r="S41" s="170"/>
      <c r="T41" s="171"/>
      <c r="U41" s="124"/>
      <c r="V41" s="178">
        <f t="shared" ref="V41:X41" si="117">STDEV(V35:V38)</f>
        <v>351.09068154348199</v>
      </c>
      <c r="W41" s="178">
        <f t="shared" si="117"/>
        <v>6079.7059961810655</v>
      </c>
      <c r="X41" s="178">
        <f t="shared" si="117"/>
        <v>5022.8885567304014</v>
      </c>
      <c r="Z41" s="169">
        <f>STDEV(Z35:Z38)</f>
        <v>0</v>
      </c>
      <c r="AA41" s="170"/>
      <c r="AB41" s="171"/>
      <c r="AC41" s="124"/>
      <c r="AD41" s="178">
        <f t="shared" ref="AD41:AF41" si="118">STDEV(AD35:AD38)</f>
        <v>351.09068154348199</v>
      </c>
      <c r="AE41" s="178">
        <f t="shared" si="118"/>
        <v>6079.7059961810655</v>
      </c>
      <c r="AF41" s="178">
        <f t="shared" si="118"/>
        <v>5022.8885567304014</v>
      </c>
      <c r="AH41" s="169">
        <f>STDEV(AH35:AH38)</f>
        <v>0</v>
      </c>
      <c r="AI41" s="170"/>
      <c r="AJ41" s="171"/>
      <c r="AK41" s="124"/>
      <c r="AL41" s="178">
        <f t="shared" ref="AL41:AN41" si="119">STDEV(AL35:AL38)</f>
        <v>411.03162895329598</v>
      </c>
      <c r="AM41" s="178">
        <f t="shared" si="119"/>
        <v>14088.116446139988</v>
      </c>
      <c r="AN41" s="178">
        <f t="shared" si="119"/>
        <v>12857.006974668209</v>
      </c>
      <c r="AP41" s="169">
        <f>STDEV(AP35:AP38)</f>
        <v>0</v>
      </c>
      <c r="AQ41" s="170"/>
      <c r="AR41" s="171"/>
      <c r="AS41" s="124"/>
      <c r="AT41" s="178">
        <f t="shared" ref="AT41:AV41" si="120">STDEV(AT35:AT38)</f>
        <v>520.84450654681962</v>
      </c>
      <c r="AU41" s="178">
        <f t="shared" si="120"/>
        <v>17455.618722921281</v>
      </c>
      <c r="AV41" s="178">
        <f t="shared" si="120"/>
        <v>15658.024814558612</v>
      </c>
    </row>
    <row r="42" spans="2:48" ht="15.75" thickBot="1">
      <c r="B42" s="133">
        <f>SUM(B153:N153)</f>
        <v>0</v>
      </c>
      <c r="C42" s="127" t="e">
        <f>AVERAGE(B153:N153)</f>
        <v>#DIV/0!</v>
      </c>
      <c r="D42" s="140" t="e">
        <f>STDEV(B153:M153)</f>
        <v>#DIV/0!</v>
      </c>
      <c r="E42" s="190" t="s">
        <v>40</v>
      </c>
      <c r="F42" s="155">
        <v>584</v>
      </c>
      <c r="G42" s="155">
        <v>9840</v>
      </c>
      <c r="H42" s="191">
        <f>G42-F42*$L$1</f>
        <v>7620.8</v>
      </c>
      <c r="J42" s="133">
        <f>SUM(J153:V153)</f>
        <v>0</v>
      </c>
      <c r="K42" s="127" t="e">
        <f>AVERAGE(J153:V153)</f>
        <v>#DIV/0!</v>
      </c>
      <c r="L42" s="140" t="e">
        <f>STDEV(J153:U153)</f>
        <v>#DIV/0!</v>
      </c>
      <c r="M42" s="190" t="s">
        <v>40</v>
      </c>
      <c r="N42" s="155">
        <v>592</v>
      </c>
      <c r="O42" s="155">
        <v>5780</v>
      </c>
      <c r="P42" s="191">
        <f>O42-N42*$L$1</f>
        <v>3530.4</v>
      </c>
      <c r="R42" s="133">
        <f>SUM(R153:AD153)</f>
        <v>0</v>
      </c>
      <c r="S42" s="127" t="e">
        <f>AVERAGE(R153:AD153)</f>
        <v>#DIV/0!</v>
      </c>
      <c r="T42" s="140" t="e">
        <f>STDEV(R153:AC153)</f>
        <v>#DIV/0!</v>
      </c>
      <c r="U42" s="190" t="s">
        <v>40</v>
      </c>
      <c r="V42" s="155">
        <v>587</v>
      </c>
      <c r="W42" s="155">
        <v>9610</v>
      </c>
      <c r="X42" s="191">
        <f>W42-V42*$L$1</f>
        <v>7379.4</v>
      </c>
      <c r="Z42" s="133">
        <f>SUM(Z153:AL153)</f>
        <v>0</v>
      </c>
      <c r="AA42" s="127" t="e">
        <f>AVERAGE(Z153:AL153)</f>
        <v>#DIV/0!</v>
      </c>
      <c r="AB42" s="140" t="e">
        <f>STDEV(Z153:AK153)</f>
        <v>#DIV/0!</v>
      </c>
      <c r="AC42" s="190" t="s">
        <v>40</v>
      </c>
      <c r="AD42" s="155">
        <v>587</v>
      </c>
      <c r="AE42" s="155">
        <v>9610</v>
      </c>
      <c r="AF42" s="191">
        <f>AE42-AD42*$L$1</f>
        <v>7379.4</v>
      </c>
      <c r="AH42" s="133">
        <f>SUM(AH153:AT153)</f>
        <v>0</v>
      </c>
      <c r="AI42" s="127" t="e">
        <f>AVERAGE(AH153:AT153)</f>
        <v>#DIV/0!</v>
      </c>
      <c r="AJ42" s="140" t="e">
        <f>STDEV(AH153:AS153)</f>
        <v>#DIV/0!</v>
      </c>
      <c r="AK42" s="190" t="s">
        <v>40</v>
      </c>
      <c r="AL42" s="155">
        <v>588</v>
      </c>
      <c r="AM42" s="155">
        <v>9290</v>
      </c>
      <c r="AN42" s="191">
        <f>AM42-AL42*$L$1</f>
        <v>7055.6</v>
      </c>
      <c r="AP42" s="133">
        <f>SUM(AP153:BB153)</f>
        <v>0</v>
      </c>
      <c r="AQ42" s="127" t="e">
        <f>AVERAGE(AP153:BB153)</f>
        <v>#DIV/0!</v>
      </c>
      <c r="AR42" s="140" t="e">
        <f>STDEV(AP153:BA153)</f>
        <v>#DIV/0!</v>
      </c>
      <c r="AS42" s="190" t="s">
        <v>40</v>
      </c>
      <c r="AT42" s="155">
        <v>148</v>
      </c>
      <c r="AU42" s="155">
        <v>17960</v>
      </c>
      <c r="AV42" s="191">
        <f>AU42-AT42*$L$1</f>
        <v>17397.599999999999</v>
      </c>
    </row>
    <row r="43" spans="2:48" ht="15.75" thickBot="1">
      <c r="B43" s="133">
        <f>SUM(B154:N154)</f>
        <v>0</v>
      </c>
      <c r="C43" s="127" t="e">
        <f>AVERAGE(B154:N154)</f>
        <v>#DIV/0!</v>
      </c>
      <c r="D43" s="140" t="e">
        <f>STDEV(B154:M154)</f>
        <v>#DIV/0!</v>
      </c>
      <c r="E43" s="193" t="s">
        <v>41</v>
      </c>
      <c r="F43" s="155">
        <v>804</v>
      </c>
      <c r="G43" s="155">
        <v>24250</v>
      </c>
      <c r="H43" s="191">
        <f t="shared" ref="H43:H45" si="121">G43-F43*$L$1</f>
        <v>21194.799999999999</v>
      </c>
      <c r="J43" s="133">
        <f>SUM(J154:V154)</f>
        <v>0</v>
      </c>
      <c r="K43" s="127" t="e">
        <f>AVERAGE(J154:V154)</f>
        <v>#DIV/0!</v>
      </c>
      <c r="L43" s="140" t="e">
        <f>STDEV(J154:U154)</f>
        <v>#DIV/0!</v>
      </c>
      <c r="M43" s="193" t="s">
        <v>41</v>
      </c>
      <c r="N43" s="155">
        <v>811</v>
      </c>
      <c r="O43" s="155">
        <v>21360</v>
      </c>
      <c r="P43" s="191">
        <f t="shared" ref="P43:P45" si="122">O43-N43*$L$1</f>
        <v>18278.2</v>
      </c>
      <c r="R43" s="133">
        <f>SUM(R154:AD154)</f>
        <v>0</v>
      </c>
      <c r="S43" s="127" t="e">
        <f>AVERAGE(R154:AD154)</f>
        <v>#DIV/0!</v>
      </c>
      <c r="T43" s="140" t="e">
        <f>STDEV(R154:AC154)</f>
        <v>#DIV/0!</v>
      </c>
      <c r="U43" s="193" t="s">
        <v>41</v>
      </c>
      <c r="V43" s="155">
        <v>805</v>
      </c>
      <c r="W43" s="155">
        <v>24270</v>
      </c>
      <c r="X43" s="191">
        <f t="shared" ref="X43:X45" si="123">W43-V43*$L$1</f>
        <v>21211</v>
      </c>
      <c r="Z43" s="133">
        <f>SUM(Z154:AL154)</f>
        <v>0</v>
      </c>
      <c r="AA43" s="127" t="e">
        <f>AVERAGE(Z154:AL154)</f>
        <v>#DIV/0!</v>
      </c>
      <c r="AB43" s="140" t="e">
        <f>STDEV(Z154:AK154)</f>
        <v>#DIV/0!</v>
      </c>
      <c r="AC43" s="193" t="s">
        <v>41</v>
      </c>
      <c r="AD43" s="155">
        <v>805</v>
      </c>
      <c r="AE43" s="155">
        <v>24270</v>
      </c>
      <c r="AF43" s="191">
        <f t="shared" ref="AF43:AF45" si="124">AE43-AD43*$L$1</f>
        <v>21211</v>
      </c>
      <c r="AH43" s="133">
        <f>SUM(AH154:AT154)</f>
        <v>0</v>
      </c>
      <c r="AI43" s="127" t="e">
        <f>AVERAGE(AH154:AT154)</f>
        <v>#DIV/0!</v>
      </c>
      <c r="AJ43" s="140" t="e">
        <f>STDEV(AH154:AS154)</f>
        <v>#DIV/0!</v>
      </c>
      <c r="AK43" s="193" t="s">
        <v>41</v>
      </c>
      <c r="AL43" s="155">
        <v>840</v>
      </c>
      <c r="AM43" s="155">
        <v>25890</v>
      </c>
      <c r="AN43" s="191">
        <f t="shared" ref="AN43:AN45" si="125">AM43-AL43*$L$1</f>
        <v>22698</v>
      </c>
      <c r="AP43" s="133">
        <f>SUM(AP154:BB154)</f>
        <v>0</v>
      </c>
      <c r="AQ43" s="127" t="e">
        <f>AVERAGE(AP154:BB154)</f>
        <v>#DIV/0!</v>
      </c>
      <c r="AR43" s="140" t="e">
        <f>STDEV(AP154:BA154)</f>
        <v>#DIV/0!</v>
      </c>
      <c r="AS43" s="193" t="s">
        <v>41</v>
      </c>
      <c r="AT43" s="155">
        <v>452</v>
      </c>
      <c r="AU43" s="155">
        <v>25840</v>
      </c>
      <c r="AV43" s="191">
        <f t="shared" ref="AV43:AV45" si="126">AU43-AT43*$L$1</f>
        <v>24122.400000000001</v>
      </c>
    </row>
    <row r="44" spans="2:48" ht="15.75" thickBot="1">
      <c r="B44" s="214">
        <f>SUM(B155:N155)</f>
        <v>0</v>
      </c>
      <c r="C44" s="127" t="e">
        <f>AVERAGE(B155:N155)</f>
        <v>#DIV/0!</v>
      </c>
      <c r="D44" s="140" t="e">
        <f>STDEV(B155:M155)</f>
        <v>#DIV/0!</v>
      </c>
      <c r="E44" s="193" t="s">
        <v>42</v>
      </c>
      <c r="F44" s="155">
        <v>1197</v>
      </c>
      <c r="G44" s="155">
        <v>44730</v>
      </c>
      <c r="H44" s="191">
        <f t="shared" si="121"/>
        <v>40181.4</v>
      </c>
      <c r="J44" s="214">
        <f>SUM(J155:V155)</f>
        <v>0</v>
      </c>
      <c r="K44" s="127" t="e">
        <f>AVERAGE(J155:V155)</f>
        <v>#DIV/0!</v>
      </c>
      <c r="L44" s="140" t="e">
        <f>STDEV(J155:U155)</f>
        <v>#DIV/0!</v>
      </c>
      <c r="M44" s="193" t="s">
        <v>42</v>
      </c>
      <c r="N44" s="155">
        <v>1219</v>
      </c>
      <c r="O44" s="155">
        <v>37840</v>
      </c>
      <c r="P44" s="191">
        <f t="shared" si="122"/>
        <v>33207.800000000003</v>
      </c>
      <c r="R44" s="214">
        <f>SUM(R155:AD155)</f>
        <v>0</v>
      </c>
      <c r="S44" s="127" t="e">
        <f>AVERAGE(R155:AD155)</f>
        <v>#DIV/0!</v>
      </c>
      <c r="T44" s="140" t="e">
        <f>STDEV(R155:AC155)</f>
        <v>#DIV/0!</v>
      </c>
      <c r="U44" s="193" t="s">
        <v>42</v>
      </c>
      <c r="V44" s="155">
        <v>1197</v>
      </c>
      <c r="W44" s="155">
        <v>44730</v>
      </c>
      <c r="X44" s="191">
        <f t="shared" si="123"/>
        <v>40181.4</v>
      </c>
      <c r="Z44" s="214">
        <f>SUM(Z155:AL155)</f>
        <v>0</v>
      </c>
      <c r="AA44" s="127" t="e">
        <f>AVERAGE(Z155:AL155)</f>
        <v>#DIV/0!</v>
      </c>
      <c r="AB44" s="140" t="e">
        <f>STDEV(Z155:AK155)</f>
        <v>#DIV/0!</v>
      </c>
      <c r="AC44" s="193" t="s">
        <v>42</v>
      </c>
      <c r="AD44" s="155">
        <v>1197</v>
      </c>
      <c r="AE44" s="155">
        <v>44730</v>
      </c>
      <c r="AF44" s="191">
        <f t="shared" si="124"/>
        <v>40181.4</v>
      </c>
      <c r="AH44" s="214">
        <f>SUM(AH155:AT155)</f>
        <v>0</v>
      </c>
      <c r="AI44" s="127" t="e">
        <f>AVERAGE(AH155:AT155)</f>
        <v>#DIV/0!</v>
      </c>
      <c r="AJ44" s="140" t="e">
        <f>STDEV(AH155:AS155)</f>
        <v>#DIV/0!</v>
      </c>
      <c r="AK44" s="193" t="s">
        <v>42</v>
      </c>
      <c r="AL44" s="155">
        <v>1320</v>
      </c>
      <c r="AM44" s="229">
        <v>45960</v>
      </c>
      <c r="AN44" s="224">
        <f t="shared" si="125"/>
        <v>40944</v>
      </c>
      <c r="AP44" s="214">
        <f>SUM(AP155:BB155)</f>
        <v>0</v>
      </c>
      <c r="AQ44" s="127" t="e">
        <f>AVERAGE(AP155:BB155)</f>
        <v>#DIV/0!</v>
      </c>
      <c r="AR44" s="140" t="e">
        <f>STDEV(AP155:BA155)</f>
        <v>#DIV/0!</v>
      </c>
      <c r="AS44" s="193" t="s">
        <v>42</v>
      </c>
      <c r="AT44" s="155">
        <v>1142</v>
      </c>
      <c r="AU44" s="231">
        <v>60970</v>
      </c>
      <c r="AV44" s="230">
        <f t="shared" si="126"/>
        <v>56630.400000000001</v>
      </c>
    </row>
    <row r="45" spans="2:48">
      <c r="B45" s="133">
        <f>SUM(B156:N156)</f>
        <v>0</v>
      </c>
      <c r="C45" s="127" t="e">
        <f>AVERAGE(B156:N156)</f>
        <v>#DIV/0!</v>
      </c>
      <c r="D45" s="140" t="e">
        <f>STDEV(B156:M156)</f>
        <v>#DIV/0!</v>
      </c>
      <c r="E45" s="193" t="s">
        <v>43</v>
      </c>
      <c r="F45" s="155">
        <v>1341</v>
      </c>
      <c r="G45" s="155">
        <v>46210</v>
      </c>
      <c r="H45" s="191">
        <f t="shared" si="121"/>
        <v>41114.199999999997</v>
      </c>
      <c r="J45" s="133">
        <f>SUM(J156:V156)</f>
        <v>0</v>
      </c>
      <c r="K45" s="127" t="e">
        <f>AVERAGE(J156:V156)</f>
        <v>#DIV/0!</v>
      </c>
      <c r="L45" s="140" t="e">
        <f>STDEV(J156:U156)</f>
        <v>#DIV/0!</v>
      </c>
      <c r="M45" s="193" t="s">
        <v>43</v>
      </c>
      <c r="N45" s="155">
        <v>1348</v>
      </c>
      <c r="O45" s="155">
        <v>44050</v>
      </c>
      <c r="P45" s="191">
        <f t="shared" si="122"/>
        <v>38927.599999999999</v>
      </c>
      <c r="R45" s="133">
        <f>SUM(R156:AD156)</f>
        <v>0</v>
      </c>
      <c r="S45" s="127" t="e">
        <f>AVERAGE(R156:AD156)</f>
        <v>#DIV/0!</v>
      </c>
      <c r="T45" s="140" t="e">
        <f>STDEV(R156:AC156)</f>
        <v>#DIV/0!</v>
      </c>
      <c r="U45" s="193" t="s">
        <v>43</v>
      </c>
      <c r="V45" s="155">
        <v>1342</v>
      </c>
      <c r="W45" s="227">
        <v>46230</v>
      </c>
      <c r="X45" s="191">
        <f t="shared" si="123"/>
        <v>41130.400000000001</v>
      </c>
      <c r="Z45" s="133">
        <f>SUM(Z156:AL156)</f>
        <v>0</v>
      </c>
      <c r="AA45" s="127" t="e">
        <f>AVERAGE(Z156:AL156)</f>
        <v>#DIV/0!</v>
      </c>
      <c r="AB45" s="140" t="e">
        <f>STDEV(Z156:AK156)</f>
        <v>#DIV/0!</v>
      </c>
      <c r="AC45" s="193" t="s">
        <v>43</v>
      </c>
      <c r="AD45" s="155">
        <v>1342</v>
      </c>
      <c r="AE45" s="227">
        <v>46230</v>
      </c>
      <c r="AF45" s="191">
        <f t="shared" si="124"/>
        <v>41130.400000000001</v>
      </c>
      <c r="AH45" s="133">
        <f>SUM(AH156:AT156)</f>
        <v>0</v>
      </c>
      <c r="AI45" s="127" t="e">
        <f>AVERAGE(AH156:AT156)</f>
        <v>#DIV/0!</v>
      </c>
      <c r="AJ45" s="140" t="e">
        <f>STDEV(AH156:AS156)</f>
        <v>#DIV/0!</v>
      </c>
      <c r="AK45" s="193" t="s">
        <v>43</v>
      </c>
      <c r="AL45" s="155">
        <v>1487</v>
      </c>
      <c r="AM45" s="229">
        <v>41050</v>
      </c>
      <c r="AN45" s="191">
        <f t="shared" si="125"/>
        <v>35399.4</v>
      </c>
      <c r="AP45" s="133">
        <f>SUM(AP156:BB156)</f>
        <v>0</v>
      </c>
      <c r="AQ45" s="127" t="e">
        <f>AVERAGE(AP156:BB156)</f>
        <v>#DIV/0!</v>
      </c>
      <c r="AR45" s="140" t="e">
        <f>STDEV(AP156:BA156)</f>
        <v>#DIV/0!</v>
      </c>
      <c r="AS45" s="193" t="s">
        <v>43</v>
      </c>
      <c r="AT45" s="155">
        <v>1328</v>
      </c>
      <c r="AU45" s="229">
        <v>51070</v>
      </c>
      <c r="AV45" s="224">
        <f t="shared" si="126"/>
        <v>46023.6</v>
      </c>
    </row>
    <row r="46" spans="2:48">
      <c r="B46" s="132">
        <f>SUM(B42:B45)</f>
        <v>0</v>
      </c>
      <c r="C46" s="126" t="e">
        <f>AVERAGE(B153:S156)</f>
        <v>#DIV/0!</v>
      </c>
      <c r="D46" s="139" t="e">
        <f>STDEV(B153:S156)</f>
        <v>#DIV/0!</v>
      </c>
      <c r="E46" s="124"/>
      <c r="F46" s="138">
        <f t="shared" ref="F46:H46" si="127">SUM(F42:F45)</f>
        <v>3926</v>
      </c>
      <c r="G46" s="138">
        <f t="shared" si="127"/>
        <v>125030</v>
      </c>
      <c r="H46" s="138">
        <f t="shared" si="127"/>
        <v>110111.2</v>
      </c>
      <c r="J46" s="132">
        <f>SUM(J42:J45)</f>
        <v>0</v>
      </c>
      <c r="K46" s="126" t="e">
        <f>AVERAGE(J153:AA156)</f>
        <v>#DIV/0!</v>
      </c>
      <c r="L46" s="139" t="e">
        <f>STDEV(J153:AA156)</f>
        <v>#DIV/0!</v>
      </c>
      <c r="M46" s="124"/>
      <c r="N46" s="138">
        <f t="shared" ref="N46:P46" si="128">SUM(N42:N45)</f>
        <v>3970</v>
      </c>
      <c r="O46" s="138">
        <f t="shared" si="128"/>
        <v>109030</v>
      </c>
      <c r="P46" s="138">
        <f t="shared" si="128"/>
        <v>93944</v>
      </c>
      <c r="R46" s="132">
        <f>SUM(R42:R45)</f>
        <v>0</v>
      </c>
      <c r="S46" s="126" t="e">
        <f>AVERAGE(R153:AI156)</f>
        <v>#DIV/0!</v>
      </c>
      <c r="T46" s="139" t="e">
        <f>STDEV(R153:AI156)</f>
        <v>#DIV/0!</v>
      </c>
      <c r="U46" s="124"/>
      <c r="V46" s="138">
        <f t="shared" ref="V46:X46" si="129">SUM(V42:V45)</f>
        <v>3931</v>
      </c>
      <c r="W46" s="138">
        <f t="shared" si="129"/>
        <v>124840</v>
      </c>
      <c r="X46" s="138">
        <f t="shared" si="129"/>
        <v>109902.20000000001</v>
      </c>
      <c r="Z46" s="132">
        <f>SUM(Z42:Z45)</f>
        <v>0</v>
      </c>
      <c r="AA46" s="126" t="e">
        <f>AVERAGE(Z153:AQ156)</f>
        <v>#DIV/0!</v>
      </c>
      <c r="AB46" s="139" t="e">
        <f>STDEV(Z153:AQ156)</f>
        <v>#DIV/0!</v>
      </c>
      <c r="AC46" s="124"/>
      <c r="AD46" s="138">
        <f t="shared" ref="AD46:AF46" si="130">SUM(AD42:AD45)</f>
        <v>3931</v>
      </c>
      <c r="AE46" s="138">
        <f t="shared" si="130"/>
        <v>124840</v>
      </c>
      <c r="AF46" s="138">
        <f t="shared" si="130"/>
        <v>109902.20000000001</v>
      </c>
      <c r="AH46" s="132">
        <f>SUM(AH42:AH45)</f>
        <v>0</v>
      </c>
      <c r="AI46" s="126" t="e">
        <f>AVERAGE(AH153:AY156)</f>
        <v>#DIV/0!</v>
      </c>
      <c r="AJ46" s="139" t="e">
        <f>STDEV(AH153:AY156)</f>
        <v>#DIV/0!</v>
      </c>
      <c r="AK46" s="124"/>
      <c r="AL46" s="138">
        <f t="shared" ref="AL46:AN46" si="131">SUM(AL42:AL45)</f>
        <v>4235</v>
      </c>
      <c r="AM46" s="138">
        <f t="shared" si="131"/>
        <v>122190</v>
      </c>
      <c r="AN46" s="138">
        <f t="shared" si="131"/>
        <v>106097</v>
      </c>
      <c r="AP46" s="132">
        <f>SUM(AP42:AP45)</f>
        <v>0</v>
      </c>
      <c r="AQ46" s="126" t="e">
        <f>AVERAGE(AP153:BG156)</f>
        <v>#DIV/0!</v>
      </c>
      <c r="AR46" s="139" t="e">
        <f>STDEV(AP153:BG156)</f>
        <v>#DIV/0!</v>
      </c>
      <c r="AS46" s="124"/>
      <c r="AT46" s="138">
        <f t="shared" ref="AT46:AV46" si="132">SUM(AT42:AT45)</f>
        <v>3070</v>
      </c>
      <c r="AU46" s="138">
        <f t="shared" si="132"/>
        <v>155840</v>
      </c>
      <c r="AV46" s="138">
        <f t="shared" si="132"/>
        <v>144174</v>
      </c>
    </row>
    <row r="47" spans="2:48">
      <c r="B47" s="132">
        <f>AVERAGE(B42:B45)</f>
        <v>0</v>
      </c>
      <c r="C47" s="126"/>
      <c r="D47" s="139"/>
      <c r="E47" s="124"/>
      <c r="F47" s="138">
        <f t="shared" ref="F47:H47" si="133">AVERAGE(F42:F45)</f>
        <v>981.5</v>
      </c>
      <c r="G47" s="138">
        <f t="shared" si="133"/>
        <v>31257.5</v>
      </c>
      <c r="H47" s="138">
        <f t="shared" si="133"/>
        <v>27527.8</v>
      </c>
      <c r="J47" s="132">
        <f>AVERAGE(J42:J45)</f>
        <v>0</v>
      </c>
      <c r="K47" s="126"/>
      <c r="L47" s="139"/>
      <c r="M47" s="124"/>
      <c r="N47" s="138">
        <f t="shared" ref="N47:P47" si="134">AVERAGE(N42:N45)</f>
        <v>992.5</v>
      </c>
      <c r="O47" s="138">
        <f t="shared" si="134"/>
        <v>27257.5</v>
      </c>
      <c r="P47" s="138">
        <f t="shared" si="134"/>
        <v>23486</v>
      </c>
      <c r="R47" s="132">
        <f>AVERAGE(R42:R45)</f>
        <v>0</v>
      </c>
      <c r="S47" s="126"/>
      <c r="T47" s="139"/>
      <c r="U47" s="124"/>
      <c r="V47" s="138">
        <f t="shared" ref="V47:X47" si="135">AVERAGE(V42:V45)</f>
        <v>982.75</v>
      </c>
      <c r="W47" s="138">
        <f t="shared" si="135"/>
        <v>31210</v>
      </c>
      <c r="X47" s="138">
        <f t="shared" si="135"/>
        <v>27475.550000000003</v>
      </c>
      <c r="Z47" s="132">
        <f>AVERAGE(Z42:Z45)</f>
        <v>0</v>
      </c>
      <c r="AA47" s="126"/>
      <c r="AB47" s="139"/>
      <c r="AC47" s="124"/>
      <c r="AD47" s="138">
        <f t="shared" ref="AD47:AF47" si="136">AVERAGE(AD42:AD45)</f>
        <v>982.75</v>
      </c>
      <c r="AE47" s="138">
        <f t="shared" si="136"/>
        <v>31210</v>
      </c>
      <c r="AF47" s="138">
        <f t="shared" si="136"/>
        <v>27475.550000000003</v>
      </c>
      <c r="AH47" s="132">
        <f>AVERAGE(AH42:AH45)</f>
        <v>0</v>
      </c>
      <c r="AI47" s="126"/>
      <c r="AJ47" s="139"/>
      <c r="AK47" s="124"/>
      <c r="AL47" s="138">
        <f t="shared" ref="AL47:AN47" si="137">AVERAGE(AL42:AL45)</f>
        <v>1058.75</v>
      </c>
      <c r="AM47" s="138">
        <f t="shared" si="137"/>
        <v>30547.5</v>
      </c>
      <c r="AN47" s="138">
        <f t="shared" si="137"/>
        <v>26524.25</v>
      </c>
      <c r="AP47" s="132">
        <f>AVERAGE(AP42:AP45)</f>
        <v>0</v>
      </c>
      <c r="AQ47" s="126"/>
      <c r="AR47" s="139"/>
      <c r="AS47" s="124"/>
      <c r="AT47" s="138">
        <f t="shared" ref="AT47:AV47" si="138">AVERAGE(AT42:AT45)</f>
        <v>767.5</v>
      </c>
      <c r="AU47" s="138">
        <f t="shared" si="138"/>
        <v>38960</v>
      </c>
      <c r="AV47" s="138">
        <f t="shared" si="138"/>
        <v>36043.5</v>
      </c>
    </row>
    <row r="48" spans="2:48" ht="15.75" thickBot="1">
      <c r="B48" s="169">
        <f>STDEV(B42:B45)</f>
        <v>0</v>
      </c>
      <c r="C48" s="170"/>
      <c r="D48" s="171"/>
      <c r="E48" s="144"/>
      <c r="F48" s="178">
        <f t="shared" ref="F48:H48" si="139">STDEV(F42:F45)</f>
        <v>348.89969905404047</v>
      </c>
      <c r="G48" s="178">
        <f t="shared" si="139"/>
        <v>17444.195548472086</v>
      </c>
      <c r="H48" s="178">
        <f t="shared" si="139"/>
        <v>16135.875101979027</v>
      </c>
      <c r="J48" s="169">
        <f>STDEV(J42:J45)</f>
        <v>0</v>
      </c>
      <c r="K48" s="170"/>
      <c r="L48" s="171"/>
      <c r="M48" s="144"/>
      <c r="N48" s="178">
        <f t="shared" ref="N48:P48" si="140">STDEV(N42:N45)</f>
        <v>351.67456547211373</v>
      </c>
      <c r="O48" s="178">
        <f t="shared" si="140"/>
        <v>17224.409762504685</v>
      </c>
      <c r="P48" s="178">
        <f t="shared" si="140"/>
        <v>15898.674556914066</v>
      </c>
      <c r="R48" s="169">
        <f>STDEV(R42:R45)</f>
        <v>0</v>
      </c>
      <c r="S48" s="170"/>
      <c r="T48" s="171"/>
      <c r="U48" s="144"/>
      <c r="V48" s="178">
        <f t="shared" ref="V48:X48" si="141">STDEV(V42:V45)</f>
        <v>347.93521906623175</v>
      </c>
      <c r="W48" s="178">
        <f t="shared" si="141"/>
        <v>17541.516468082227</v>
      </c>
      <c r="X48" s="178">
        <f t="shared" si="141"/>
        <v>16237.748040394436</v>
      </c>
      <c r="Z48" s="169">
        <f>STDEV(Z42:Z45)</f>
        <v>0</v>
      </c>
      <c r="AA48" s="170"/>
      <c r="AB48" s="171"/>
      <c r="AC48" s="144"/>
      <c r="AD48" s="178">
        <f t="shared" ref="AD48:AF48" si="142">STDEV(AD42:AD45)</f>
        <v>347.93521906623175</v>
      </c>
      <c r="AE48" s="178">
        <f t="shared" si="142"/>
        <v>17541.516468082227</v>
      </c>
      <c r="AF48" s="178">
        <f t="shared" si="142"/>
        <v>16237.748040394436</v>
      </c>
      <c r="AH48" s="169">
        <f>STDEV(AH42:AH45)</f>
        <v>0</v>
      </c>
      <c r="AI48" s="170"/>
      <c r="AJ48" s="171"/>
      <c r="AK48" s="144"/>
      <c r="AL48" s="178">
        <f t="shared" ref="AL48:AN48" si="143">STDEV(AL42:AL45)</f>
        <v>416.77601898381823</v>
      </c>
      <c r="AM48" s="178">
        <f t="shared" si="143"/>
        <v>16547.117321958733</v>
      </c>
      <c r="AN48" s="178">
        <f t="shared" si="143"/>
        <v>15059.504191373635</v>
      </c>
      <c r="AP48" s="169">
        <f>STDEV(AP42:AP45)</f>
        <v>0</v>
      </c>
      <c r="AQ48" s="170"/>
      <c r="AR48" s="171"/>
      <c r="AS48" s="144"/>
      <c r="AT48" s="178">
        <f t="shared" ref="AT48:AV48" si="144">STDEV(AT42:AT45)</f>
        <v>559.08586102672996</v>
      </c>
      <c r="AU48" s="178">
        <f t="shared" si="144"/>
        <v>20365.220352355631</v>
      </c>
      <c r="AV48" s="178">
        <f t="shared" si="144"/>
        <v>18377.568388663396</v>
      </c>
    </row>
    <row r="49" spans="2:48" ht="15.75" thickBot="1">
      <c r="B49" s="172" t="s">
        <v>14</v>
      </c>
      <c r="C49" s="172"/>
      <c r="D49" s="172"/>
      <c r="E49" s="173"/>
      <c r="F49" s="172" t="s">
        <v>20</v>
      </c>
      <c r="G49" s="172" t="s">
        <v>20</v>
      </c>
      <c r="H49" s="172" t="s">
        <v>20</v>
      </c>
      <c r="J49" s="172" t="s">
        <v>14</v>
      </c>
      <c r="K49" s="172"/>
      <c r="L49" s="172"/>
      <c r="M49" s="173"/>
      <c r="N49" s="172" t="s">
        <v>20</v>
      </c>
      <c r="O49" s="172" t="s">
        <v>20</v>
      </c>
      <c r="P49" s="172" t="s">
        <v>20</v>
      </c>
      <c r="R49" s="172" t="s">
        <v>14</v>
      </c>
      <c r="S49" s="172"/>
      <c r="T49" s="172"/>
      <c r="U49" s="173"/>
      <c r="V49" s="172" t="s">
        <v>20</v>
      </c>
      <c r="W49" s="172" t="s">
        <v>20</v>
      </c>
      <c r="X49" s="172" t="s">
        <v>20</v>
      </c>
      <c r="Z49" s="172" t="s">
        <v>14</v>
      </c>
      <c r="AA49" s="172"/>
      <c r="AB49" s="172"/>
      <c r="AC49" s="173"/>
      <c r="AD49" s="172" t="s">
        <v>20</v>
      </c>
      <c r="AE49" s="172" t="s">
        <v>20</v>
      </c>
      <c r="AF49" s="172" t="s">
        <v>20</v>
      </c>
      <c r="AH49" s="172" t="s">
        <v>14</v>
      </c>
      <c r="AI49" s="172"/>
      <c r="AJ49" s="172"/>
      <c r="AK49" s="173"/>
      <c r="AL49" s="172" t="s">
        <v>20</v>
      </c>
      <c r="AM49" s="172" t="s">
        <v>20</v>
      </c>
      <c r="AN49" s="172" t="s">
        <v>20</v>
      </c>
      <c r="AP49" s="172" t="s">
        <v>14</v>
      </c>
      <c r="AQ49" s="172"/>
      <c r="AR49" s="172"/>
      <c r="AS49" s="173"/>
      <c r="AT49" s="172" t="s">
        <v>20</v>
      </c>
      <c r="AU49" s="172" t="s">
        <v>20</v>
      </c>
      <c r="AV49" s="172" t="s">
        <v>20</v>
      </c>
    </row>
    <row r="50" spans="2:48" ht="15.75" thickBot="1">
      <c r="B50" s="133">
        <f>SUM(B161:N161)</f>
        <v>0</v>
      </c>
      <c r="C50" s="127" t="e">
        <f>AVERAGE(B161:N161)</f>
        <v>#DIV/0!</v>
      </c>
      <c r="D50" s="140" t="e">
        <f>STDEV(B161:M161)</f>
        <v>#DIV/0!</v>
      </c>
      <c r="E50" s="190" t="s">
        <v>40</v>
      </c>
      <c r="F50" s="155">
        <v>548</v>
      </c>
      <c r="G50" s="155">
        <v>27600</v>
      </c>
      <c r="H50" s="191">
        <f>G50-F50*$L$1</f>
        <v>25517.599999999999</v>
      </c>
      <c r="J50" s="133">
        <f>SUM(J161:V161)</f>
        <v>0</v>
      </c>
      <c r="K50" s="127" t="e">
        <f>AVERAGE(J161:V161)</f>
        <v>#DIV/0!</v>
      </c>
      <c r="L50" s="140" t="e">
        <f>STDEV(J161:U161)</f>
        <v>#DIV/0!</v>
      </c>
      <c r="M50" s="190" t="s">
        <v>40</v>
      </c>
      <c r="N50" s="155">
        <v>557</v>
      </c>
      <c r="O50" s="155">
        <v>22370</v>
      </c>
      <c r="P50" s="191">
        <f>O50-N50*$L$1</f>
        <v>20253.400000000001</v>
      </c>
      <c r="R50" s="133">
        <f>SUM(R161:AD161)</f>
        <v>0</v>
      </c>
      <c r="S50" s="127" t="e">
        <f>AVERAGE(R161:AD161)</f>
        <v>#DIV/0!</v>
      </c>
      <c r="T50" s="140" t="e">
        <f>STDEV(R161:AC161)</f>
        <v>#DIV/0!</v>
      </c>
      <c r="U50" s="190" t="s">
        <v>40</v>
      </c>
      <c r="V50" s="155">
        <v>548</v>
      </c>
      <c r="W50" s="155">
        <v>27600</v>
      </c>
      <c r="X50" s="191">
        <f>W50-V50*$L$1</f>
        <v>25517.599999999999</v>
      </c>
      <c r="Z50" s="133">
        <f>SUM(Z161:AL161)</f>
        <v>0</v>
      </c>
      <c r="AA50" s="127" t="e">
        <f>AVERAGE(Z161:AL161)</f>
        <v>#DIV/0!</v>
      </c>
      <c r="AB50" s="140" t="e">
        <f>STDEV(Z161:AK161)</f>
        <v>#DIV/0!</v>
      </c>
      <c r="AC50" s="190" t="s">
        <v>40</v>
      </c>
      <c r="AD50" s="155">
        <v>548</v>
      </c>
      <c r="AE50" s="155">
        <v>27600</v>
      </c>
      <c r="AF50" s="191">
        <f>AE50-AD50*$L$1</f>
        <v>25517.599999999999</v>
      </c>
      <c r="AH50" s="133">
        <f>SUM(AH161:AT161)</f>
        <v>0</v>
      </c>
      <c r="AI50" s="127" t="e">
        <f>AVERAGE(AH161:AT161)</f>
        <v>#DIV/0!</v>
      </c>
      <c r="AJ50" s="140" t="e">
        <f>STDEV(AH161:AS161)</f>
        <v>#DIV/0!</v>
      </c>
      <c r="AK50" s="190" t="s">
        <v>40</v>
      </c>
      <c r="AL50" s="155">
        <v>548</v>
      </c>
      <c r="AM50" s="155">
        <v>27600</v>
      </c>
      <c r="AN50" s="191">
        <f>AM50-AL50*$L$1</f>
        <v>25517.599999999999</v>
      </c>
      <c r="AP50" s="133">
        <f>SUM(AP161:BB161)</f>
        <v>0</v>
      </c>
      <c r="AQ50" s="127" t="e">
        <f>AVERAGE(AP161:BB161)</f>
        <v>#DIV/0!</v>
      </c>
      <c r="AR50" s="140" t="e">
        <f>STDEV(AP161:BA161)</f>
        <v>#DIV/0!</v>
      </c>
      <c r="AS50" s="190" t="s">
        <v>40</v>
      </c>
      <c r="AT50" s="155">
        <v>161</v>
      </c>
      <c r="AU50" s="155">
        <v>22030</v>
      </c>
      <c r="AV50" s="191">
        <f>AU50-AT50*$L$1</f>
        <v>21418.2</v>
      </c>
    </row>
    <row r="51" spans="2:48" ht="15.75" thickBot="1">
      <c r="B51" s="133">
        <f>SUM(B162:N162)</f>
        <v>0</v>
      </c>
      <c r="C51" s="127" t="e">
        <f>AVERAGE(B162:N162)</f>
        <v>#DIV/0!</v>
      </c>
      <c r="D51" s="140" t="e">
        <f>STDEV(B162:M162)</f>
        <v>#DIV/0!</v>
      </c>
      <c r="E51" s="193" t="s">
        <v>41</v>
      </c>
      <c r="F51" s="155">
        <v>818</v>
      </c>
      <c r="G51" s="155">
        <v>28710</v>
      </c>
      <c r="H51" s="191">
        <f t="shared" ref="H51:H53" si="145">G51-F51*$L$1</f>
        <v>25601.599999999999</v>
      </c>
      <c r="J51" s="133">
        <f>SUM(J162:V162)</f>
        <v>0</v>
      </c>
      <c r="K51" s="127" t="e">
        <f>AVERAGE(J162:V162)</f>
        <v>#DIV/0!</v>
      </c>
      <c r="L51" s="140" t="e">
        <f>STDEV(J162:U162)</f>
        <v>#DIV/0!</v>
      </c>
      <c r="M51" s="193" t="s">
        <v>41</v>
      </c>
      <c r="N51" s="155">
        <v>822</v>
      </c>
      <c r="O51" s="155">
        <v>23690</v>
      </c>
      <c r="P51" s="191">
        <f t="shared" ref="P51:P53" si="146">O51-N51*$L$1</f>
        <v>20566.400000000001</v>
      </c>
      <c r="R51" s="133">
        <f>SUM(R162:AD162)</f>
        <v>0</v>
      </c>
      <c r="S51" s="127" t="e">
        <f>AVERAGE(R162:AD162)</f>
        <v>#DIV/0!</v>
      </c>
      <c r="T51" s="140" t="e">
        <f>STDEV(R162:AC162)</f>
        <v>#DIV/0!</v>
      </c>
      <c r="U51" s="193" t="s">
        <v>41</v>
      </c>
      <c r="V51" s="155">
        <v>819</v>
      </c>
      <c r="W51" s="155">
        <v>28190</v>
      </c>
      <c r="X51" s="191">
        <f t="shared" ref="X51:X53" si="147">W51-V51*$L$1</f>
        <v>25077.8</v>
      </c>
      <c r="Z51" s="133">
        <f>SUM(Z162:AL162)</f>
        <v>0</v>
      </c>
      <c r="AA51" s="127" t="e">
        <f>AVERAGE(Z162:AL162)</f>
        <v>#DIV/0!</v>
      </c>
      <c r="AB51" s="140" t="e">
        <f>STDEV(Z162:AK162)</f>
        <v>#DIV/0!</v>
      </c>
      <c r="AC51" s="193" t="s">
        <v>41</v>
      </c>
      <c r="AD51" s="155">
        <v>819</v>
      </c>
      <c r="AE51" s="155">
        <v>28190</v>
      </c>
      <c r="AF51" s="191">
        <f t="shared" ref="AF51:AF53" si="148">AE51-AD51*$L$1</f>
        <v>25077.8</v>
      </c>
      <c r="AH51" s="133">
        <f>SUM(AH162:AT162)</f>
        <v>0</v>
      </c>
      <c r="AI51" s="127" t="e">
        <f>AVERAGE(AH162:AT162)</f>
        <v>#DIV/0!</v>
      </c>
      <c r="AJ51" s="140" t="e">
        <f>STDEV(AH162:AS162)</f>
        <v>#DIV/0!</v>
      </c>
      <c r="AK51" s="193" t="s">
        <v>41</v>
      </c>
      <c r="AL51" s="155">
        <v>838</v>
      </c>
      <c r="AM51" s="155">
        <v>28670</v>
      </c>
      <c r="AN51" s="191">
        <f t="shared" ref="AN51:AN53" si="149">AM51-AL51*$L$1</f>
        <v>25485.599999999999</v>
      </c>
      <c r="AP51" s="133">
        <f>SUM(AP162:BB162)</f>
        <v>0</v>
      </c>
      <c r="AQ51" s="127" t="e">
        <f>AVERAGE(AP162:BB162)</f>
        <v>#DIV/0!</v>
      </c>
      <c r="AR51" s="140" t="e">
        <f>STDEV(AP162:BA162)</f>
        <v>#DIV/0!</v>
      </c>
      <c r="AS51" s="193" t="s">
        <v>41</v>
      </c>
      <c r="AT51" s="155">
        <v>463</v>
      </c>
      <c r="AU51" s="155">
        <v>27660</v>
      </c>
      <c r="AV51" s="191">
        <f t="shared" ref="AV51:AV53" si="150">AU51-AT51*$L$1</f>
        <v>25900.6</v>
      </c>
    </row>
    <row r="52" spans="2:48" ht="15.75" thickBot="1">
      <c r="B52" s="214">
        <f>SUM(B163:N163)</f>
        <v>0</v>
      </c>
      <c r="C52" s="127" t="e">
        <f>AVERAGE(B163:N163)</f>
        <v>#DIV/0!</v>
      </c>
      <c r="D52" s="140" t="e">
        <f>STDEV(B163:M163)</f>
        <v>#DIV/0!</v>
      </c>
      <c r="E52" s="193" t="s">
        <v>42</v>
      </c>
      <c r="F52" s="155">
        <v>1321</v>
      </c>
      <c r="G52" s="155">
        <v>40260</v>
      </c>
      <c r="H52" s="191">
        <f t="shared" si="145"/>
        <v>35240.199999999997</v>
      </c>
      <c r="J52" s="214">
        <f>SUM(J163:V163)</f>
        <v>0</v>
      </c>
      <c r="K52" s="127" t="e">
        <f>AVERAGE(J163:V163)</f>
        <v>#DIV/0!</v>
      </c>
      <c r="L52" s="140" t="e">
        <f>STDEV(J163:U163)</f>
        <v>#DIV/0!</v>
      </c>
      <c r="M52" s="193" t="s">
        <v>42</v>
      </c>
      <c r="N52" s="155">
        <v>1335</v>
      </c>
      <c r="O52" s="155">
        <v>36300</v>
      </c>
      <c r="P52" s="191">
        <f t="shared" si="146"/>
        <v>31227</v>
      </c>
      <c r="R52" s="214">
        <f>SUM(R163:AD163)</f>
        <v>0</v>
      </c>
      <c r="S52" s="127" t="e">
        <f>AVERAGE(R163:AD163)</f>
        <v>#DIV/0!</v>
      </c>
      <c r="T52" s="140" t="e">
        <f>STDEV(R163:AC163)</f>
        <v>#DIV/0!</v>
      </c>
      <c r="U52" s="193" t="s">
        <v>42</v>
      </c>
      <c r="V52" s="155">
        <v>1321</v>
      </c>
      <c r="W52" s="155">
        <v>40260</v>
      </c>
      <c r="X52" s="191">
        <f t="shared" si="147"/>
        <v>35240.199999999997</v>
      </c>
      <c r="Z52" s="214">
        <f>SUM(Z163:AL163)</f>
        <v>0</v>
      </c>
      <c r="AA52" s="127" t="e">
        <f>AVERAGE(Z163:AL163)</f>
        <v>#DIV/0!</v>
      </c>
      <c r="AB52" s="140" t="e">
        <f>STDEV(Z163:AK163)</f>
        <v>#DIV/0!</v>
      </c>
      <c r="AC52" s="193" t="s">
        <v>42</v>
      </c>
      <c r="AD52" s="155">
        <v>1321</v>
      </c>
      <c r="AE52" s="155">
        <v>40260</v>
      </c>
      <c r="AF52" s="191">
        <f t="shared" si="148"/>
        <v>35240.199999999997</v>
      </c>
      <c r="AH52" s="214">
        <f>SUM(AH163:AT163)</f>
        <v>0</v>
      </c>
      <c r="AI52" s="127" t="e">
        <f>AVERAGE(AH163:AT163)</f>
        <v>#DIV/0!</v>
      </c>
      <c r="AJ52" s="140" t="e">
        <f>STDEV(AH163:AS163)</f>
        <v>#DIV/0!</v>
      </c>
      <c r="AK52" s="193" t="s">
        <v>42</v>
      </c>
      <c r="AL52" s="155">
        <v>1405</v>
      </c>
      <c r="AM52" s="229">
        <v>46410</v>
      </c>
      <c r="AN52" s="224">
        <f t="shared" si="149"/>
        <v>41071</v>
      </c>
      <c r="AP52" s="214">
        <f>SUM(AP163:BB163)</f>
        <v>0</v>
      </c>
      <c r="AQ52" s="127" t="e">
        <f>AVERAGE(AP163:BB163)</f>
        <v>#DIV/0!</v>
      </c>
      <c r="AR52" s="140" t="e">
        <f>STDEV(AP163:BA163)</f>
        <v>#DIV/0!</v>
      </c>
      <c r="AS52" s="193" t="s">
        <v>42</v>
      </c>
      <c r="AT52" s="155">
        <v>1229</v>
      </c>
      <c r="AU52" s="229">
        <v>53950</v>
      </c>
      <c r="AV52" s="224">
        <f t="shared" si="150"/>
        <v>49279.8</v>
      </c>
    </row>
    <row r="53" spans="2:48">
      <c r="B53" s="214">
        <f>SUM(B164:N164)</f>
        <v>0</v>
      </c>
      <c r="C53" s="127" t="e">
        <f>AVERAGE(B164:N164)</f>
        <v>#DIV/0!</v>
      </c>
      <c r="D53" s="140" t="e">
        <f>STDEV(B164:M164)</f>
        <v>#DIV/0!</v>
      </c>
      <c r="E53" s="193" t="s">
        <v>43</v>
      </c>
      <c r="F53" s="155">
        <v>1420</v>
      </c>
      <c r="G53" s="155">
        <v>43090</v>
      </c>
      <c r="H53" s="191">
        <f t="shared" si="145"/>
        <v>37694</v>
      </c>
      <c r="J53" s="214">
        <f>SUM(J164:V164)</f>
        <v>0</v>
      </c>
      <c r="K53" s="127" t="e">
        <f>AVERAGE(J164:V164)</f>
        <v>#DIV/0!</v>
      </c>
      <c r="L53" s="140" t="e">
        <f>STDEV(J164:U164)</f>
        <v>#DIV/0!</v>
      </c>
      <c r="M53" s="193" t="s">
        <v>43</v>
      </c>
      <c r="N53" s="155">
        <v>1427</v>
      </c>
      <c r="O53" s="155">
        <v>43560</v>
      </c>
      <c r="P53" s="191">
        <f t="shared" si="146"/>
        <v>38137.4</v>
      </c>
      <c r="R53" s="214">
        <f>SUM(R164:AD164)</f>
        <v>0</v>
      </c>
      <c r="S53" s="127" t="e">
        <f>AVERAGE(R164:AD164)</f>
        <v>#DIV/0!</v>
      </c>
      <c r="T53" s="140" t="e">
        <f>STDEV(R164:AC164)</f>
        <v>#DIV/0!</v>
      </c>
      <c r="U53" s="193" t="s">
        <v>43</v>
      </c>
      <c r="V53" s="155">
        <v>1421</v>
      </c>
      <c r="W53" s="155">
        <v>43110</v>
      </c>
      <c r="X53" s="191">
        <f t="shared" si="147"/>
        <v>37710.199999999997</v>
      </c>
      <c r="Z53" s="214">
        <f>SUM(Z164:AL164)</f>
        <v>0</v>
      </c>
      <c r="AA53" s="127" t="e">
        <f>AVERAGE(Z164:AL164)</f>
        <v>#DIV/0!</v>
      </c>
      <c r="AB53" s="140" t="e">
        <f>STDEV(Z164:AK164)</f>
        <v>#DIV/0!</v>
      </c>
      <c r="AC53" s="193" t="s">
        <v>43</v>
      </c>
      <c r="AD53" s="155">
        <v>1421</v>
      </c>
      <c r="AE53" s="155">
        <v>43110</v>
      </c>
      <c r="AF53" s="191">
        <f t="shared" si="148"/>
        <v>37710.199999999997</v>
      </c>
      <c r="AH53" s="214">
        <f>SUM(AH164:AT164)</f>
        <v>0</v>
      </c>
      <c r="AI53" s="127" t="e">
        <f>AVERAGE(AH164:AT164)</f>
        <v>#DIV/0!</v>
      </c>
      <c r="AJ53" s="140" t="e">
        <f>STDEV(AH164:AS164)</f>
        <v>#DIV/0!</v>
      </c>
      <c r="AK53" s="193" t="s">
        <v>43</v>
      </c>
      <c r="AL53" s="155">
        <v>1537</v>
      </c>
      <c r="AM53" s="229">
        <v>40410</v>
      </c>
      <c r="AN53" s="191">
        <f t="shared" si="149"/>
        <v>34569.4</v>
      </c>
      <c r="AP53" s="214">
        <f>SUM(AP164:BB164)</f>
        <v>0</v>
      </c>
      <c r="AQ53" s="127" t="e">
        <f>AVERAGE(AP164:BB164)</f>
        <v>#DIV/0!</v>
      </c>
      <c r="AR53" s="140" t="e">
        <f>STDEV(AP164:BA164)</f>
        <v>#DIV/0!</v>
      </c>
      <c r="AS53" s="193" t="s">
        <v>43</v>
      </c>
      <c r="AT53" s="155">
        <v>1426</v>
      </c>
      <c r="AU53" s="229">
        <v>48670</v>
      </c>
      <c r="AV53" s="224">
        <f t="shared" si="150"/>
        <v>43251.199999999997</v>
      </c>
    </row>
    <row r="54" spans="2:48">
      <c r="B54" s="132">
        <f>SUM(B50:B53)</f>
        <v>0</v>
      </c>
      <c r="C54" s="126" t="e">
        <f>AVERAGE(B161:S164)</f>
        <v>#DIV/0!</v>
      </c>
      <c r="D54" s="139" t="e">
        <f>STDEV(B161:S164)</f>
        <v>#DIV/0!</v>
      </c>
      <c r="E54" s="124"/>
      <c r="F54" s="138">
        <f t="shared" ref="F54:H54" si="151">SUM(F50:F53)</f>
        <v>4107</v>
      </c>
      <c r="G54" s="138">
        <f t="shared" si="151"/>
        <v>139660</v>
      </c>
      <c r="H54" s="138">
        <f t="shared" si="151"/>
        <v>124053.4</v>
      </c>
      <c r="J54" s="132">
        <f>SUM(J50:J53)</f>
        <v>0</v>
      </c>
      <c r="K54" s="126" t="e">
        <f>AVERAGE(J161:AA164)</f>
        <v>#DIV/0!</v>
      </c>
      <c r="L54" s="139" t="e">
        <f>STDEV(J161:AA164)</f>
        <v>#DIV/0!</v>
      </c>
      <c r="M54" s="124"/>
      <c r="N54" s="138">
        <f t="shared" ref="N54:P54" si="152">SUM(N50:N53)</f>
        <v>4141</v>
      </c>
      <c r="O54" s="138">
        <f t="shared" si="152"/>
        <v>125920</v>
      </c>
      <c r="P54" s="138">
        <f t="shared" si="152"/>
        <v>110184.20000000001</v>
      </c>
      <c r="R54" s="132">
        <f>SUM(R50:R53)</f>
        <v>0</v>
      </c>
      <c r="S54" s="126" t="e">
        <f>AVERAGE(R161:AI164)</f>
        <v>#DIV/0!</v>
      </c>
      <c r="T54" s="139" t="e">
        <f>STDEV(R161:AI164)</f>
        <v>#DIV/0!</v>
      </c>
      <c r="U54" s="124"/>
      <c r="V54" s="138">
        <f t="shared" ref="V54:X54" si="153">SUM(V50:V53)</f>
        <v>4109</v>
      </c>
      <c r="W54" s="138">
        <f t="shared" si="153"/>
        <v>139160</v>
      </c>
      <c r="X54" s="138">
        <f t="shared" si="153"/>
        <v>123545.79999999999</v>
      </c>
      <c r="Z54" s="132">
        <f>SUM(Z50:Z53)</f>
        <v>0</v>
      </c>
      <c r="AA54" s="126" t="e">
        <f>AVERAGE(Z161:AQ164)</f>
        <v>#DIV/0!</v>
      </c>
      <c r="AB54" s="139" t="e">
        <f>STDEV(Z161:AQ164)</f>
        <v>#DIV/0!</v>
      </c>
      <c r="AC54" s="124"/>
      <c r="AD54" s="138">
        <f t="shared" ref="AD54:AF54" si="154">SUM(AD50:AD53)</f>
        <v>4109</v>
      </c>
      <c r="AE54" s="138">
        <f t="shared" si="154"/>
        <v>139160</v>
      </c>
      <c r="AF54" s="138">
        <f t="shared" si="154"/>
        <v>123545.79999999999</v>
      </c>
      <c r="AH54" s="132">
        <f>SUM(AH50:AH53)</f>
        <v>0</v>
      </c>
      <c r="AI54" s="126" t="e">
        <f>AVERAGE(AH161:AY164)</f>
        <v>#DIV/0!</v>
      </c>
      <c r="AJ54" s="139" t="e">
        <f>STDEV(AH161:AY164)</f>
        <v>#DIV/0!</v>
      </c>
      <c r="AK54" s="124"/>
      <c r="AL54" s="138">
        <f t="shared" ref="AL54:AN54" si="155">SUM(AL50:AL53)</f>
        <v>4328</v>
      </c>
      <c r="AM54" s="138">
        <f t="shared" si="155"/>
        <v>143090</v>
      </c>
      <c r="AN54" s="138">
        <f t="shared" si="155"/>
        <v>126643.6</v>
      </c>
      <c r="AP54" s="132">
        <f>SUM(AP50:AP53)</f>
        <v>0</v>
      </c>
      <c r="AQ54" s="126" t="e">
        <f>AVERAGE(AP161:BG164)</f>
        <v>#DIV/0!</v>
      </c>
      <c r="AR54" s="139" t="e">
        <f>STDEV(AP161:BG164)</f>
        <v>#DIV/0!</v>
      </c>
      <c r="AS54" s="124"/>
      <c r="AT54" s="138">
        <f t="shared" ref="AT54:AV54" si="156">SUM(AT50:AT53)</f>
        <v>3279</v>
      </c>
      <c r="AU54" s="138">
        <f t="shared" si="156"/>
        <v>152310</v>
      </c>
      <c r="AV54" s="138">
        <f t="shared" si="156"/>
        <v>139849.79999999999</v>
      </c>
    </row>
    <row r="55" spans="2:48">
      <c r="B55" s="132">
        <f>AVERAGE(B50:B53)</f>
        <v>0</v>
      </c>
      <c r="C55" s="126"/>
      <c r="D55" s="139"/>
      <c r="E55" s="124"/>
      <c r="F55" s="138">
        <f t="shared" ref="F55:H55" si="157">AVERAGE(F50:F53)</f>
        <v>1026.75</v>
      </c>
      <c r="G55" s="138">
        <f t="shared" si="157"/>
        <v>34915</v>
      </c>
      <c r="H55" s="138">
        <f t="shared" si="157"/>
        <v>31013.35</v>
      </c>
      <c r="J55" s="132">
        <f>AVERAGE(J50:J53)</f>
        <v>0</v>
      </c>
      <c r="K55" s="126"/>
      <c r="L55" s="139"/>
      <c r="M55" s="124"/>
      <c r="N55" s="138">
        <f t="shared" ref="N55:P55" si="158">AVERAGE(N50:N53)</f>
        <v>1035.25</v>
      </c>
      <c r="O55" s="138">
        <f t="shared" si="158"/>
        <v>31480</v>
      </c>
      <c r="P55" s="138">
        <f t="shared" si="158"/>
        <v>27546.050000000003</v>
      </c>
      <c r="R55" s="132">
        <f>AVERAGE(R50:R53)</f>
        <v>0</v>
      </c>
      <c r="S55" s="126"/>
      <c r="T55" s="139"/>
      <c r="U55" s="124"/>
      <c r="V55" s="138">
        <f t="shared" ref="V55:X55" si="159">AVERAGE(V50:V53)</f>
        <v>1027.25</v>
      </c>
      <c r="W55" s="138">
        <f t="shared" si="159"/>
        <v>34790</v>
      </c>
      <c r="X55" s="138">
        <f t="shared" si="159"/>
        <v>30886.449999999997</v>
      </c>
      <c r="Z55" s="132">
        <f>AVERAGE(Z50:Z53)</f>
        <v>0</v>
      </c>
      <c r="AA55" s="126"/>
      <c r="AB55" s="139"/>
      <c r="AC55" s="124"/>
      <c r="AD55" s="138">
        <f t="shared" ref="AD55:AF55" si="160">AVERAGE(AD50:AD53)</f>
        <v>1027.25</v>
      </c>
      <c r="AE55" s="138">
        <f t="shared" si="160"/>
        <v>34790</v>
      </c>
      <c r="AF55" s="138">
        <f t="shared" si="160"/>
        <v>30886.449999999997</v>
      </c>
      <c r="AH55" s="132">
        <f>AVERAGE(AH50:AH53)</f>
        <v>0</v>
      </c>
      <c r="AI55" s="126"/>
      <c r="AJ55" s="139"/>
      <c r="AK55" s="124"/>
      <c r="AL55" s="138">
        <f t="shared" ref="AL55:AN55" si="161">AVERAGE(AL50:AL53)</f>
        <v>1082</v>
      </c>
      <c r="AM55" s="138">
        <f t="shared" si="161"/>
        <v>35772.5</v>
      </c>
      <c r="AN55" s="138">
        <f t="shared" si="161"/>
        <v>31660.9</v>
      </c>
      <c r="AP55" s="132">
        <f>AVERAGE(AP50:AP53)</f>
        <v>0</v>
      </c>
      <c r="AQ55" s="126"/>
      <c r="AR55" s="139"/>
      <c r="AS55" s="124"/>
      <c r="AT55" s="138">
        <f t="shared" ref="AT55:AV55" si="162">AVERAGE(AT50:AT53)</f>
        <v>819.75</v>
      </c>
      <c r="AU55" s="138">
        <f t="shared" si="162"/>
        <v>38077.5</v>
      </c>
      <c r="AV55" s="138">
        <f t="shared" si="162"/>
        <v>34962.449999999997</v>
      </c>
    </row>
    <row r="56" spans="2:48" ht="15.75" thickBot="1">
      <c r="B56" s="132">
        <f>STDEV(B50:B53)</f>
        <v>0</v>
      </c>
      <c r="C56" s="126"/>
      <c r="D56" s="139"/>
      <c r="E56" s="124"/>
      <c r="F56" s="178">
        <f t="shared" ref="F56:H56" si="163">STDEV(F50:F53)</f>
        <v>413.92702657996779</v>
      </c>
      <c r="G56" s="178">
        <f t="shared" si="163"/>
        <v>7903.8155342846912</v>
      </c>
      <c r="H56" s="178">
        <f t="shared" si="163"/>
        <v>6376.7194144011019</v>
      </c>
      <c r="J56" s="132">
        <f>STDEV(J50:J53)</f>
        <v>0</v>
      </c>
      <c r="K56" s="126"/>
      <c r="L56" s="139"/>
      <c r="M56" s="124"/>
      <c r="N56" s="178">
        <f t="shared" ref="N56:P56" si="164">STDEV(N50:N53)</f>
        <v>415.33791463497931</v>
      </c>
      <c r="O56" s="178">
        <f t="shared" si="164"/>
        <v>10211.676323372834</v>
      </c>
      <c r="P56" s="178">
        <f t="shared" si="164"/>
        <v>8710.6131791433872</v>
      </c>
      <c r="R56" s="132">
        <f>STDEV(R50:R53)</f>
        <v>0</v>
      </c>
      <c r="S56" s="126"/>
      <c r="T56" s="139"/>
      <c r="U56" s="124"/>
      <c r="V56" s="178">
        <f t="shared" ref="V56:X56" si="165">STDEV(V50:V53)</f>
        <v>414.07597934034601</v>
      </c>
      <c r="W56" s="178">
        <f t="shared" si="165"/>
        <v>8049.8322963897826</v>
      </c>
      <c r="X56" s="178">
        <f t="shared" si="165"/>
        <v>6534.1071379339955</v>
      </c>
      <c r="Z56" s="132">
        <f>STDEV(Z50:Z53)</f>
        <v>0</v>
      </c>
      <c r="AA56" s="126"/>
      <c r="AB56" s="139"/>
      <c r="AC56" s="124"/>
      <c r="AD56" s="178">
        <f t="shared" ref="AD56:AF56" si="166">STDEV(AD50:AD53)</f>
        <v>414.07597934034601</v>
      </c>
      <c r="AE56" s="178">
        <f t="shared" si="166"/>
        <v>8049.8322963897826</v>
      </c>
      <c r="AF56" s="178">
        <f t="shared" si="166"/>
        <v>6534.1071379339955</v>
      </c>
      <c r="AH56" s="132">
        <f>STDEV(AH50:AH53)</f>
        <v>0</v>
      </c>
      <c r="AI56" s="126"/>
      <c r="AJ56" s="139"/>
      <c r="AK56" s="124"/>
      <c r="AL56" s="178">
        <f t="shared" ref="AL56:AN56" si="167">STDEV(AL50:AL53)</f>
        <v>467.63447263861974</v>
      </c>
      <c r="AM56" s="178">
        <f t="shared" si="167"/>
        <v>9163.2977142511318</v>
      </c>
      <c r="AN56" s="178">
        <f t="shared" si="167"/>
        <v>7591.3068536758929</v>
      </c>
      <c r="AP56" s="132">
        <f>STDEV(AP50:AP53)</f>
        <v>0</v>
      </c>
      <c r="AQ56" s="126"/>
      <c r="AR56" s="139"/>
      <c r="AS56" s="124"/>
      <c r="AT56" s="178">
        <f t="shared" ref="AT56:AV56" si="168">STDEV(AT50:AT53)</f>
        <v>604.49614004833256</v>
      </c>
      <c r="AU56" s="178">
        <f t="shared" si="168"/>
        <v>15601.109736169412</v>
      </c>
      <c r="AV56" s="178">
        <f t="shared" si="168"/>
        <v>13407.133935210273</v>
      </c>
    </row>
    <row r="57" spans="2:48">
      <c r="B57" s="18"/>
      <c r="C57" s="18"/>
      <c r="D57" s="18"/>
      <c r="E57" s="124"/>
      <c r="F57" s="200">
        <f t="shared" ref="F57:H57" si="169">SUM(F35:F38,F42:F45,F50:F53)</f>
        <v>11924</v>
      </c>
      <c r="G57" s="200">
        <f t="shared" si="169"/>
        <v>361320</v>
      </c>
      <c r="H57" s="200">
        <f t="shared" si="169"/>
        <v>316008.80000000005</v>
      </c>
      <c r="J57" s="18"/>
      <c r="K57" s="18"/>
      <c r="L57" s="18"/>
      <c r="M57" s="124"/>
      <c r="N57" s="200">
        <f t="shared" ref="N57:P57" si="170">SUM(N35:N38,N42:N45,N50:N53)</f>
        <v>12039</v>
      </c>
      <c r="O57" s="200">
        <f t="shared" si="170"/>
        <v>318640</v>
      </c>
      <c r="P57" s="200">
        <f t="shared" si="170"/>
        <v>272891.8</v>
      </c>
      <c r="R57" s="18"/>
      <c r="S57" s="18"/>
      <c r="T57" s="18"/>
      <c r="U57" s="124"/>
      <c r="V57" s="200">
        <f t="shared" ref="V57:X57" si="171">SUM(V35:V38,V42:V45,V50:V53)</f>
        <v>11936</v>
      </c>
      <c r="W57" s="200">
        <f t="shared" si="171"/>
        <v>361410</v>
      </c>
      <c r="X57" s="200">
        <f t="shared" si="171"/>
        <v>316053.2</v>
      </c>
      <c r="Z57" s="18"/>
      <c r="AA57" s="18"/>
      <c r="AB57" s="18"/>
      <c r="AC57" s="124"/>
      <c r="AD57" s="200">
        <f t="shared" ref="AD57:AF57" si="172">SUM(AD35:AD38,AD42:AD45,AD50:AD53)</f>
        <v>11936</v>
      </c>
      <c r="AE57" s="200">
        <f t="shared" si="172"/>
        <v>361410</v>
      </c>
      <c r="AF57" s="200">
        <f t="shared" si="172"/>
        <v>316053.2</v>
      </c>
      <c r="AH57" s="18"/>
      <c r="AI57" s="18"/>
      <c r="AJ57" s="18"/>
      <c r="AK57" s="124"/>
      <c r="AL57" s="200">
        <f t="shared" ref="AL57:AN57" si="173">SUM(AL35:AL38,AL42:AL45,AL50:AL53)</f>
        <v>12737</v>
      </c>
      <c r="AM57" s="200">
        <f t="shared" si="173"/>
        <v>384950</v>
      </c>
      <c r="AN57" s="200">
        <f t="shared" si="173"/>
        <v>336549.4</v>
      </c>
      <c r="AP57" s="18"/>
      <c r="AQ57" s="18"/>
      <c r="AR57" s="18"/>
      <c r="AS57" s="124"/>
      <c r="AT57" s="200">
        <f t="shared" ref="AT57:AV57" si="174">SUM(AT35:AT38,AT42:AT45,AT50:AT53)</f>
        <v>9219</v>
      </c>
      <c r="AU57" s="200">
        <f t="shared" si="174"/>
        <v>445040</v>
      </c>
      <c r="AV57" s="200">
        <f t="shared" si="174"/>
        <v>410007.8</v>
      </c>
    </row>
    <row r="58" spans="2:48">
      <c r="B58" s="18"/>
      <c r="C58" s="18"/>
      <c r="D58" s="18"/>
      <c r="E58" s="124"/>
      <c r="F58" s="203">
        <f t="shared" ref="F58:H58" si="175">AVERAGE(F35:F38,F42:F45,F50:F53)</f>
        <v>993.66666666666663</v>
      </c>
      <c r="G58" s="203">
        <f t="shared" si="175"/>
        <v>30110</v>
      </c>
      <c r="H58" s="203">
        <f t="shared" si="175"/>
        <v>26334.066666666669</v>
      </c>
      <c r="J58" s="18"/>
      <c r="K58" s="18"/>
      <c r="L58" s="18"/>
      <c r="M58" s="124"/>
      <c r="N58" s="203">
        <f t="shared" ref="N58:P58" si="176">AVERAGE(N35:N38,N42:N45,N50:N53)</f>
        <v>1003.25</v>
      </c>
      <c r="O58" s="203">
        <f t="shared" si="176"/>
        <v>26553.333333333332</v>
      </c>
      <c r="P58" s="203">
        <f t="shared" si="176"/>
        <v>22740.983333333334</v>
      </c>
      <c r="R58" s="18"/>
      <c r="S58" s="18"/>
      <c r="T58" s="18"/>
      <c r="U58" s="124"/>
      <c r="V58" s="203">
        <f t="shared" ref="V58:X58" si="177">AVERAGE(V35:V38,V42:V45,V50:V53)</f>
        <v>994.66666666666663</v>
      </c>
      <c r="W58" s="203">
        <f t="shared" si="177"/>
        <v>30117.5</v>
      </c>
      <c r="X58" s="203">
        <f t="shared" si="177"/>
        <v>26337.766666666666</v>
      </c>
      <c r="Z58" s="18"/>
      <c r="AA58" s="18"/>
      <c r="AB58" s="18"/>
      <c r="AC58" s="124"/>
      <c r="AD58" s="203">
        <f t="shared" ref="AD58:AF58" si="178">AVERAGE(AD35:AD38,AD42:AD45,AD50:AD53)</f>
        <v>994.66666666666663</v>
      </c>
      <c r="AE58" s="203">
        <f t="shared" si="178"/>
        <v>30117.5</v>
      </c>
      <c r="AF58" s="203">
        <f t="shared" si="178"/>
        <v>26337.766666666666</v>
      </c>
      <c r="AH58" s="18"/>
      <c r="AI58" s="18"/>
      <c r="AJ58" s="18"/>
      <c r="AK58" s="124"/>
      <c r="AL58" s="203">
        <f t="shared" ref="AL58:AN58" si="179">AVERAGE(AL35:AL38,AL42:AL45,AL50:AL53)</f>
        <v>1061.4166666666667</v>
      </c>
      <c r="AM58" s="203">
        <f t="shared" si="179"/>
        <v>32079.166666666668</v>
      </c>
      <c r="AN58" s="203">
        <f t="shared" si="179"/>
        <v>28045.783333333336</v>
      </c>
      <c r="AP58" s="18"/>
      <c r="AQ58" s="18"/>
      <c r="AR58" s="18"/>
      <c r="AS58" s="124"/>
      <c r="AT58" s="203">
        <f t="shared" ref="AT58:AV58" si="180">AVERAGE(AT35:AT38,AT42:AT45,AT50:AT53)</f>
        <v>768.25</v>
      </c>
      <c r="AU58" s="203">
        <f t="shared" si="180"/>
        <v>37086.666666666664</v>
      </c>
      <c r="AV58" s="203">
        <f t="shared" si="180"/>
        <v>34167.316666666666</v>
      </c>
    </row>
    <row r="59" spans="2:48" ht="15.75" thickBot="1">
      <c r="B59" s="18"/>
      <c r="C59" s="18"/>
      <c r="D59" s="18"/>
      <c r="E59" s="124"/>
      <c r="F59" s="206">
        <f t="shared" ref="F59:H59" si="181">STDEV(F35:F38,F42:F45,F50:F53,)</f>
        <v>424.91963040990743</v>
      </c>
      <c r="G59" s="206">
        <f t="shared" si="181"/>
        <v>13802.101614404924</v>
      </c>
      <c r="H59" s="206">
        <f t="shared" si="181"/>
        <v>12413.830026183459</v>
      </c>
      <c r="J59" s="18"/>
      <c r="K59" s="18"/>
      <c r="L59" s="18"/>
      <c r="M59" s="124"/>
      <c r="N59" s="206">
        <f t="shared" ref="N59:P59" si="182">STDEV(N35:N38,N42:N45,N50:N53,)</f>
        <v>427.69780249191172</v>
      </c>
      <c r="O59" s="206">
        <f t="shared" si="182"/>
        <v>13578.286257562391</v>
      </c>
      <c r="P59" s="206">
        <f t="shared" si="182"/>
        <v>12176.035305889049</v>
      </c>
      <c r="R59" s="18"/>
      <c r="S59" s="18"/>
      <c r="T59" s="18"/>
      <c r="U59" s="124"/>
      <c r="V59" s="206">
        <f t="shared" ref="V59:X59" si="183">STDEV(V35:V38,V42:V45,V50:V53,)</f>
        <v>424.9634976782998</v>
      </c>
      <c r="W59" s="206">
        <f t="shared" si="183"/>
        <v>13816.463887658603</v>
      </c>
      <c r="X59" s="206">
        <f t="shared" si="183"/>
        <v>12424.328579702418</v>
      </c>
      <c r="Z59" s="18"/>
      <c r="AA59" s="18"/>
      <c r="AB59" s="18"/>
      <c r="AC59" s="124"/>
      <c r="AD59" s="206">
        <f t="shared" ref="AD59:AF59" si="184">STDEV(AD35:AD38,AD42:AD45,AD50:AD53,)</f>
        <v>424.9634976782998</v>
      </c>
      <c r="AE59" s="206">
        <f t="shared" si="184"/>
        <v>13816.463887658603</v>
      </c>
      <c r="AF59" s="206">
        <f t="shared" si="184"/>
        <v>12424.328579702418</v>
      </c>
      <c r="AH59" s="18"/>
      <c r="AI59" s="18"/>
      <c r="AJ59" s="18"/>
      <c r="AK59" s="124"/>
      <c r="AL59" s="206">
        <f t="shared" ref="AL59:AN59" si="185">STDEV(AL35:AL38,AL42:AL45,AL50:AL53,)</f>
        <v>476.7025896451151</v>
      </c>
      <c r="AM59" s="206">
        <f t="shared" si="185"/>
        <v>15003.59948265407</v>
      </c>
      <c r="AN59" s="206">
        <f t="shared" si="185"/>
        <v>13398.655050529402</v>
      </c>
      <c r="AP59" s="18"/>
      <c r="AQ59" s="18"/>
      <c r="AR59" s="18"/>
      <c r="AS59" s="124"/>
      <c r="AT59" s="206">
        <f t="shared" ref="AT59:AV59" si="186">STDEV(AT35:AT38,AT42:AT45,AT50:AT53,)</f>
        <v>533.34914239389911</v>
      </c>
      <c r="AU59" s="206">
        <f t="shared" si="186"/>
        <v>18728.10701346221</v>
      </c>
      <c r="AV59" s="206">
        <f t="shared" si="186"/>
        <v>16859.067890284769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C3:J27"/>
  <sheetViews>
    <sheetView workbookViewId="0">
      <selection activeCell="J23" sqref="J23"/>
    </sheetView>
  </sheetViews>
  <sheetFormatPr defaultRowHeight="18"/>
  <cols>
    <col min="3" max="3" width="26.28515625" customWidth="1"/>
    <col min="4" max="4" width="15.85546875" style="232" customWidth="1"/>
    <col min="5" max="5" width="15.7109375" style="75" customWidth="1"/>
    <col min="6" max="6" width="18.28515625" style="75" customWidth="1"/>
    <col min="7" max="7" width="16.7109375" style="235" customWidth="1"/>
    <col min="8" max="8" width="12" customWidth="1"/>
    <col min="9" max="9" width="11.5703125" customWidth="1"/>
    <col min="10" max="10" width="15" customWidth="1"/>
  </cols>
  <sheetData>
    <row r="3" spans="3:7">
      <c r="C3" s="233" t="s">
        <v>132</v>
      </c>
      <c r="D3" s="232">
        <v>5164</v>
      </c>
      <c r="E3" s="232">
        <v>3741</v>
      </c>
      <c r="F3" s="232">
        <f>D3-E3</f>
        <v>1423</v>
      </c>
      <c r="G3" s="235">
        <f>(D3-E3)/D3</f>
        <v>0.27556158017041055</v>
      </c>
    </row>
    <row r="4" spans="3:7">
      <c r="C4" s="233" t="s">
        <v>133</v>
      </c>
      <c r="D4" s="232">
        <v>9490</v>
      </c>
      <c r="E4" s="232">
        <v>6875</v>
      </c>
      <c r="F4" s="232">
        <f>D4-E4</f>
        <v>2615</v>
      </c>
      <c r="G4" s="235">
        <f t="shared" ref="G4:G8" si="0">(D4-E4)/D4</f>
        <v>0.27555321390937831</v>
      </c>
    </row>
    <row r="5" spans="3:7">
      <c r="C5" s="233" t="s">
        <v>134</v>
      </c>
      <c r="D5" s="232">
        <v>6990</v>
      </c>
      <c r="E5" s="232">
        <v>5064</v>
      </c>
      <c r="F5" s="232">
        <f t="shared" ref="F5:F17" si="1">D5-E5</f>
        <v>1926</v>
      </c>
      <c r="G5" s="235">
        <f t="shared" si="0"/>
        <v>0.27553648068669528</v>
      </c>
    </row>
    <row r="6" spans="3:7" ht="18" customHeight="1">
      <c r="C6" s="233" t="s">
        <v>135</v>
      </c>
      <c r="D6" s="234">
        <v>9390</v>
      </c>
      <c r="E6" s="232">
        <v>6803</v>
      </c>
      <c r="F6" s="232">
        <f t="shared" si="1"/>
        <v>2587</v>
      </c>
      <c r="G6" s="235">
        <f t="shared" si="0"/>
        <v>0.27550585729499466</v>
      </c>
    </row>
    <row r="7" spans="3:7">
      <c r="C7" s="233" t="s">
        <v>136</v>
      </c>
      <c r="D7" s="232">
        <v>7990</v>
      </c>
      <c r="E7" s="232">
        <v>5788</v>
      </c>
      <c r="F7" s="232">
        <f t="shared" si="1"/>
        <v>2202</v>
      </c>
      <c r="G7" s="235">
        <f t="shared" si="0"/>
        <v>0.2755944931163955</v>
      </c>
    </row>
    <row r="8" spans="3:7">
      <c r="C8" s="233" t="s">
        <v>137</v>
      </c>
      <c r="D8" s="232">
        <v>8290</v>
      </c>
      <c r="E8" s="232">
        <v>6006</v>
      </c>
      <c r="F8" s="232">
        <f t="shared" si="1"/>
        <v>2284</v>
      </c>
      <c r="G8" s="235">
        <f t="shared" si="0"/>
        <v>0.27551266586248491</v>
      </c>
    </row>
    <row r="9" spans="3:7">
      <c r="E9" s="232"/>
      <c r="F9" s="232">
        <f t="shared" si="1"/>
        <v>0</v>
      </c>
    </row>
    <row r="10" spans="3:7">
      <c r="E10" s="232"/>
      <c r="F10" s="232">
        <f t="shared" si="1"/>
        <v>0</v>
      </c>
    </row>
    <row r="11" spans="3:7">
      <c r="C11" s="233" t="s">
        <v>138</v>
      </c>
      <c r="D11" s="232">
        <v>14990</v>
      </c>
      <c r="E11" s="232">
        <v>14990</v>
      </c>
      <c r="F11" s="232">
        <f t="shared" si="1"/>
        <v>0</v>
      </c>
      <c r="G11" s="235">
        <f t="shared" ref="G11:G17" si="2">(D11-E11)/D11</f>
        <v>0</v>
      </c>
    </row>
    <row r="12" spans="3:7">
      <c r="C12" s="233" t="s">
        <v>139</v>
      </c>
      <c r="D12" s="232">
        <v>23015</v>
      </c>
      <c r="E12" s="232">
        <v>18857</v>
      </c>
      <c r="F12" s="232">
        <f t="shared" si="1"/>
        <v>4158</v>
      </c>
      <c r="G12" s="235">
        <f t="shared" si="2"/>
        <v>0.18066478383662829</v>
      </c>
    </row>
    <row r="13" spans="3:7">
      <c r="C13" s="236" t="s">
        <v>140</v>
      </c>
      <c r="D13" s="232">
        <v>14430</v>
      </c>
      <c r="E13" s="232">
        <v>8958</v>
      </c>
      <c r="F13" s="232">
        <f t="shared" si="1"/>
        <v>5472</v>
      </c>
      <c r="G13" s="235">
        <f t="shared" si="2"/>
        <v>0.37920997920997923</v>
      </c>
    </row>
    <row r="14" spans="3:7">
      <c r="E14" s="232"/>
      <c r="F14" s="232">
        <f t="shared" si="1"/>
        <v>0</v>
      </c>
      <c r="G14" s="235" t="e">
        <f t="shared" si="2"/>
        <v>#DIV/0!</v>
      </c>
    </row>
    <row r="15" spans="3:7">
      <c r="E15" s="232"/>
      <c r="F15" s="232">
        <f t="shared" si="1"/>
        <v>0</v>
      </c>
      <c r="G15" s="235" t="e">
        <f t="shared" si="2"/>
        <v>#DIV/0!</v>
      </c>
    </row>
    <row r="16" spans="3:7">
      <c r="E16" s="232"/>
      <c r="F16" s="232">
        <f t="shared" si="1"/>
        <v>0</v>
      </c>
      <c r="G16" s="235" t="e">
        <f t="shared" si="2"/>
        <v>#DIV/0!</v>
      </c>
    </row>
    <row r="17" spans="3:10">
      <c r="E17" s="232"/>
      <c r="F17" s="232">
        <f t="shared" si="1"/>
        <v>0</v>
      </c>
      <c r="G17" s="235" t="e">
        <f t="shared" si="2"/>
        <v>#DIV/0!</v>
      </c>
    </row>
    <row r="19" spans="3:10">
      <c r="E19" s="1">
        <v>0.3</v>
      </c>
      <c r="F19" s="1">
        <v>0.35</v>
      </c>
      <c r="H19">
        <v>0.1</v>
      </c>
    </row>
    <row r="20" spans="3:10">
      <c r="C20" t="s">
        <v>141</v>
      </c>
      <c r="D20" s="232">
        <v>23015</v>
      </c>
      <c r="E20" s="1"/>
      <c r="G20" s="232">
        <v>18857</v>
      </c>
      <c r="J20" s="232">
        <v>18857</v>
      </c>
    </row>
    <row r="21" spans="3:10">
      <c r="C21" t="s">
        <v>142</v>
      </c>
      <c r="D21" s="232">
        <v>9390</v>
      </c>
      <c r="E21" s="1"/>
      <c r="G21" s="232">
        <v>6803</v>
      </c>
      <c r="J21" s="232">
        <v>6803</v>
      </c>
    </row>
    <row r="22" spans="3:10">
      <c r="C22" t="s">
        <v>143</v>
      </c>
      <c r="D22" s="232">
        <v>93000</v>
      </c>
      <c r="E22" s="1"/>
      <c r="G22" s="232">
        <v>73600</v>
      </c>
      <c r="J22" s="232">
        <v>65000</v>
      </c>
    </row>
    <row r="23" spans="3:10">
      <c r="D23" s="232">
        <f>SUM(D20:D22)</f>
        <v>125405</v>
      </c>
      <c r="E23" s="1">
        <f>$D23-$D23*E19</f>
        <v>87783.5</v>
      </c>
      <c r="F23" s="1">
        <f>$D23-$D23*F19</f>
        <v>81513.25</v>
      </c>
      <c r="G23" s="232">
        <f>SUM(G20:G22)</f>
        <v>99260</v>
      </c>
      <c r="H23" s="1">
        <f>$G23-$G23*H19</f>
        <v>89334</v>
      </c>
      <c r="J23" s="232">
        <f>SUM(J20:J22)</f>
        <v>90660</v>
      </c>
    </row>
    <row r="24" spans="3:10">
      <c r="E24" s="1"/>
    </row>
    <row r="25" spans="3:10">
      <c r="E25" s="1"/>
    </row>
    <row r="26" spans="3:10">
      <c r="E26" s="1"/>
    </row>
    <row r="27" spans="3:10">
      <c r="E27" s="1"/>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B1:AG99"/>
  <sheetViews>
    <sheetView workbookViewId="0">
      <selection activeCell="Y103" sqref="Y103"/>
    </sheetView>
  </sheetViews>
  <sheetFormatPr defaultRowHeight="15"/>
  <cols>
    <col min="4" max="4" width="11" customWidth="1"/>
    <col min="5" max="5" width="10" customWidth="1"/>
    <col min="6" max="6" width="12.28515625" customWidth="1"/>
    <col min="7" max="7" width="12.140625" customWidth="1"/>
    <col min="8" max="8" width="13.5703125" customWidth="1"/>
    <col min="11" max="11" width="10" customWidth="1"/>
    <col min="12" max="12" width="12.140625" customWidth="1"/>
    <col min="13" max="13" width="10" customWidth="1"/>
    <col min="14" max="14" width="9.42578125" customWidth="1"/>
    <col min="15" max="15" width="11.140625" customWidth="1"/>
    <col min="16" max="16" width="12.85546875" customWidth="1"/>
    <col min="19" max="19" width="11.140625" customWidth="1"/>
    <col min="20" max="20" width="11.7109375" customWidth="1"/>
    <col min="23" max="23" width="11.28515625" customWidth="1"/>
    <col min="24" max="24" width="12.140625" customWidth="1"/>
    <col min="28" max="28" width="11" customWidth="1"/>
    <col min="29" max="29" width="10.85546875" customWidth="1"/>
    <col min="32" max="32" width="11.42578125" customWidth="1"/>
  </cols>
  <sheetData>
    <row r="1" spans="2:16">
      <c r="B1" t="s">
        <v>67</v>
      </c>
      <c r="C1" s="218">
        <v>2.9</v>
      </c>
      <c r="D1" s="218">
        <v>0.45</v>
      </c>
      <c r="E1" s="218">
        <f t="shared" ref="E1" si="0">C1+D1</f>
        <v>3.35</v>
      </c>
      <c r="F1" s="218">
        <f t="shared" ref="F1" si="1">E1</f>
        <v>3.35</v>
      </c>
      <c r="G1" s="218">
        <f t="shared" ref="G1" si="2">2*E1</f>
        <v>6.7</v>
      </c>
      <c r="H1" s="217">
        <f t="shared" ref="H1" si="3">C1/2</f>
        <v>1.45</v>
      </c>
      <c r="I1" s="216">
        <v>0.45</v>
      </c>
      <c r="J1" s="217">
        <f t="shared" ref="J1" si="4">H1+I1</f>
        <v>1.9</v>
      </c>
      <c r="K1" s="217">
        <f t="shared" ref="K1" si="5">J1</f>
        <v>1.9</v>
      </c>
      <c r="L1" s="217">
        <f t="shared" ref="L1" si="6">2*J1</f>
        <v>3.8</v>
      </c>
    </row>
    <row r="4" spans="2:16">
      <c r="N4" t="s">
        <v>148</v>
      </c>
    </row>
    <row r="5" spans="2:16">
      <c r="B5" t="s">
        <v>144</v>
      </c>
      <c r="C5" t="s">
        <v>145</v>
      </c>
      <c r="D5" t="s">
        <v>146</v>
      </c>
      <c r="E5" s="197">
        <v>43272</v>
      </c>
      <c r="J5" t="s">
        <v>144</v>
      </c>
      <c r="K5" t="s">
        <v>147</v>
      </c>
      <c r="L5" s="197">
        <v>43272</v>
      </c>
      <c r="M5" s="197">
        <v>43284</v>
      </c>
      <c r="N5">
        <f>M5-L5 + 1</f>
        <v>13</v>
      </c>
    </row>
    <row r="6" spans="2:16">
      <c r="B6" t="s">
        <v>124</v>
      </c>
      <c r="D6" t="s">
        <v>129</v>
      </c>
      <c r="J6" t="s">
        <v>124</v>
      </c>
      <c r="L6" t="s">
        <v>129</v>
      </c>
    </row>
    <row r="7" spans="2:16">
      <c r="D7" t="s">
        <v>131</v>
      </c>
      <c r="L7" t="s">
        <v>131</v>
      </c>
    </row>
    <row r="9" spans="2:16" ht="15.75" thickBot="1">
      <c r="B9" s="172" t="s">
        <v>117</v>
      </c>
      <c r="C9" s="172"/>
      <c r="D9" s="172"/>
      <c r="E9" s="173"/>
      <c r="F9" s="172" t="s">
        <v>20</v>
      </c>
      <c r="G9" s="172" t="s">
        <v>20</v>
      </c>
      <c r="H9" s="172" t="s">
        <v>20</v>
      </c>
      <c r="J9" s="172" t="s">
        <v>117</v>
      </c>
      <c r="K9" s="172"/>
      <c r="L9" s="172"/>
      <c r="M9" s="173"/>
      <c r="N9" s="172" t="s">
        <v>152</v>
      </c>
      <c r="O9" s="172" t="s">
        <v>152</v>
      </c>
      <c r="P9" s="172" t="s">
        <v>152</v>
      </c>
    </row>
    <row r="10" spans="2:16" ht="15.75" thickBot="1">
      <c r="B10" s="187">
        <f>SUM(B121:N121)</f>
        <v>0</v>
      </c>
      <c r="C10" s="188" t="e">
        <f>AVERAGE(B121:N121)</f>
        <v>#DIV/0!</v>
      </c>
      <c r="D10" s="189" t="e">
        <f>STDEV(B121:M121)</f>
        <v>#DIV/0!</v>
      </c>
      <c r="E10" s="190" t="s">
        <v>40</v>
      </c>
      <c r="F10" s="192">
        <v>1378</v>
      </c>
      <c r="G10" s="192">
        <v>37640</v>
      </c>
      <c r="H10" s="191">
        <f>G10-F10*$L$1</f>
        <v>32403.599999999999</v>
      </c>
      <c r="J10" s="187">
        <f>SUM(J121:V121)</f>
        <v>0</v>
      </c>
      <c r="K10" s="188" t="e">
        <f>AVERAGE(J121:V121)</f>
        <v>#DIV/0!</v>
      </c>
      <c r="L10" s="189" t="e">
        <f>STDEV(J121:U121)</f>
        <v>#DIV/0!</v>
      </c>
      <c r="M10" s="190" t="s">
        <v>40</v>
      </c>
      <c r="N10" s="192">
        <v>159</v>
      </c>
      <c r="O10" s="192">
        <v>620</v>
      </c>
      <c r="P10" s="191">
        <f>O10-N10*$L$1</f>
        <v>15.800000000000068</v>
      </c>
    </row>
    <row r="11" spans="2:16" ht="15.75" thickBot="1">
      <c r="B11" s="134">
        <f>SUM(B122:N122)</f>
        <v>0</v>
      </c>
      <c r="C11" s="128" t="e">
        <f>AVERAGE(B122:N122)</f>
        <v>#DIV/0!</v>
      </c>
      <c r="D11" s="141" t="e">
        <f>STDEV(B122:M122)</f>
        <v>#DIV/0!</v>
      </c>
      <c r="E11" s="193" t="s">
        <v>41</v>
      </c>
      <c r="F11" s="194">
        <v>1948</v>
      </c>
      <c r="G11" s="194">
        <v>49210</v>
      </c>
      <c r="H11" s="191">
        <f t="shared" ref="H11:H13" si="7">G11-F11*$L$1</f>
        <v>41807.599999999999</v>
      </c>
      <c r="J11" s="134">
        <f>SUM(J122:V122)</f>
        <v>0</v>
      </c>
      <c r="K11" s="128" t="e">
        <f>AVERAGE(J122:V122)</f>
        <v>#DIV/0!</v>
      </c>
      <c r="L11" s="141" t="e">
        <f>STDEV(J122:U122)</f>
        <v>#DIV/0!</v>
      </c>
      <c r="M11" s="193" t="s">
        <v>41</v>
      </c>
      <c r="N11" s="194">
        <v>219</v>
      </c>
      <c r="O11" s="194">
        <v>1520</v>
      </c>
      <c r="P11" s="191">
        <f t="shared" ref="P11:P13" si="8">O11-N11*$L$1</f>
        <v>687.80000000000007</v>
      </c>
    </row>
    <row r="12" spans="2:16" ht="15.75" thickBot="1">
      <c r="B12" s="214">
        <f>SUM(B123:N123)</f>
        <v>0</v>
      </c>
      <c r="C12" s="128" t="e">
        <f>AVERAGE(B123:N123)</f>
        <v>#DIV/0!</v>
      </c>
      <c r="D12" s="141" t="e">
        <f>STDEV(B123:M123)</f>
        <v>#DIV/0!</v>
      </c>
      <c r="E12" s="193" t="s">
        <v>42</v>
      </c>
      <c r="F12" s="194">
        <v>2945</v>
      </c>
      <c r="G12" s="194">
        <v>60150</v>
      </c>
      <c r="H12" s="191">
        <f t="shared" si="7"/>
        <v>48959</v>
      </c>
      <c r="J12" s="214">
        <f>SUM(J123:V123)</f>
        <v>0</v>
      </c>
      <c r="K12" s="128" t="e">
        <f>AVERAGE(J123:V123)</f>
        <v>#DIV/0!</v>
      </c>
      <c r="L12" s="141" t="e">
        <f>STDEV(J123:U123)</f>
        <v>#DIV/0!</v>
      </c>
      <c r="M12" s="193" t="s">
        <v>42</v>
      </c>
      <c r="N12" s="194">
        <v>322</v>
      </c>
      <c r="O12" s="194">
        <v>2730</v>
      </c>
      <c r="P12" s="191">
        <f t="shared" si="8"/>
        <v>1506.4</v>
      </c>
    </row>
    <row r="13" spans="2:16">
      <c r="B13" s="214">
        <f>SUM(B124:N124)</f>
        <v>0</v>
      </c>
      <c r="C13" s="128" t="e">
        <f>AVERAGE(B124:N124)</f>
        <v>#DIV/0!</v>
      </c>
      <c r="D13" s="141" t="e">
        <f>STDEV(B124:M124)</f>
        <v>#DIV/0!</v>
      </c>
      <c r="E13" s="193" t="s">
        <v>43</v>
      </c>
      <c r="F13" s="194">
        <v>3247</v>
      </c>
      <c r="G13" s="228">
        <v>70460</v>
      </c>
      <c r="H13" s="191">
        <f t="shared" si="7"/>
        <v>58121.4</v>
      </c>
      <c r="J13" s="214">
        <f>SUM(J124:V124)</f>
        <v>0</v>
      </c>
      <c r="K13" s="128" t="e">
        <f>AVERAGE(J124:V124)</f>
        <v>#DIV/0!</v>
      </c>
      <c r="L13" s="141" t="e">
        <f>STDEV(J124:U124)</f>
        <v>#DIV/0!</v>
      </c>
      <c r="M13" s="193" t="s">
        <v>43</v>
      </c>
      <c r="N13" s="194">
        <v>354</v>
      </c>
      <c r="O13" s="228">
        <v>2430</v>
      </c>
      <c r="P13" s="191">
        <f t="shared" si="8"/>
        <v>1084.8</v>
      </c>
    </row>
    <row r="14" spans="2:16">
      <c r="B14" s="132">
        <f>SUM(B10:B13)</f>
        <v>0</v>
      </c>
      <c r="C14" s="126" t="e">
        <f>AVERAGE(B121:S124)</f>
        <v>#DIV/0!</v>
      </c>
      <c r="D14" s="139" t="e">
        <f>STDEV(B121:S124)</f>
        <v>#DIV/0!</v>
      </c>
      <c r="E14" s="124"/>
      <c r="F14" s="207">
        <f t="shared" ref="F14:H14" si="9">SUM(F10:F13)</f>
        <v>9518</v>
      </c>
      <c r="G14" s="207">
        <f t="shared" si="9"/>
        <v>217460</v>
      </c>
      <c r="H14" s="207">
        <f t="shared" si="9"/>
        <v>181291.6</v>
      </c>
      <c r="J14" s="132">
        <f>SUM(J10:J13)</f>
        <v>0</v>
      </c>
      <c r="K14" s="126" t="e">
        <f>AVERAGE(J121:AA124)</f>
        <v>#DIV/0!</v>
      </c>
      <c r="L14" s="139" t="e">
        <f>STDEV(J121:AA124)</f>
        <v>#DIV/0!</v>
      </c>
      <c r="M14" s="124"/>
      <c r="N14" s="207">
        <f t="shared" ref="N14:P14" si="10">SUM(N10:N13)</f>
        <v>1054</v>
      </c>
      <c r="O14" s="207">
        <f t="shared" si="10"/>
        <v>7300</v>
      </c>
      <c r="P14" s="207">
        <f t="shared" si="10"/>
        <v>3294.8</v>
      </c>
    </row>
    <row r="15" spans="2:16">
      <c r="B15" s="132">
        <f>AVERAGE(B10:B13)</f>
        <v>0</v>
      </c>
      <c r="C15" s="126"/>
      <c r="D15" s="139"/>
      <c r="E15" s="124"/>
      <c r="F15" s="138">
        <f t="shared" ref="F15:H15" si="11">AVERAGE(F10:F13)</f>
        <v>2379.5</v>
      </c>
      <c r="G15" s="138">
        <f t="shared" si="11"/>
        <v>54365</v>
      </c>
      <c r="H15" s="138">
        <f t="shared" si="11"/>
        <v>45322.9</v>
      </c>
      <c r="J15" s="132">
        <f>AVERAGE(J10:J13)</f>
        <v>0</v>
      </c>
      <c r="K15" s="126"/>
      <c r="L15" s="139"/>
      <c r="M15" s="124"/>
      <c r="N15" s="138">
        <f t="shared" ref="N15:P15" si="12">AVERAGE(N10:N13)</f>
        <v>263.5</v>
      </c>
      <c r="O15" s="138">
        <f t="shared" si="12"/>
        <v>1825</v>
      </c>
      <c r="P15" s="138">
        <f t="shared" si="12"/>
        <v>823.7</v>
      </c>
    </row>
    <row r="16" spans="2:16" ht="15.75" thickBot="1">
      <c r="B16" s="169">
        <f>STDEV(B10:B13)</f>
        <v>0</v>
      </c>
      <c r="C16" s="170"/>
      <c r="D16" s="171"/>
      <c r="E16" s="124"/>
      <c r="F16" s="178">
        <f t="shared" ref="F16:H16" si="13">STDEV(F10:F13)</f>
        <v>868.24362940363687</v>
      </c>
      <c r="G16" s="178">
        <f t="shared" si="13"/>
        <v>14128.162182912067</v>
      </c>
      <c r="H16" s="178">
        <f t="shared" si="13"/>
        <v>10897.835749052791</v>
      </c>
      <c r="J16" s="169">
        <f>STDEV(J10:J13)</f>
        <v>0</v>
      </c>
      <c r="K16" s="170"/>
      <c r="L16" s="171"/>
      <c r="M16" s="124"/>
      <c r="N16" s="178">
        <f t="shared" ref="N16:P16" si="14">STDEV(N10:N13)</f>
        <v>90.393583843102491</v>
      </c>
      <c r="O16" s="178">
        <f t="shared" si="14"/>
        <v>953.95667267089937</v>
      </c>
      <c r="P16" s="178">
        <f t="shared" si="14"/>
        <v>633.88319639083886</v>
      </c>
    </row>
    <row r="17" spans="2:16" ht="15.75" thickBot="1">
      <c r="B17" s="133">
        <f>SUM(B128:N128)</f>
        <v>0</v>
      </c>
      <c r="C17" s="127" t="e">
        <f>AVERAGE(B128:N128)</f>
        <v>#DIV/0!</v>
      </c>
      <c r="D17" s="140" t="e">
        <f>STDEV(B128:M128)</f>
        <v>#DIV/0!</v>
      </c>
      <c r="E17" s="190" t="s">
        <v>40</v>
      </c>
      <c r="F17" s="155">
        <v>1379</v>
      </c>
      <c r="G17" s="155">
        <v>49500</v>
      </c>
      <c r="H17" s="191">
        <f>G17-F17*$L$1</f>
        <v>44259.8</v>
      </c>
      <c r="J17" s="133">
        <f>SUM(J128:V128)</f>
        <v>0</v>
      </c>
      <c r="K17" s="127" t="e">
        <f>AVERAGE(J128:V128)</f>
        <v>#DIV/0!</v>
      </c>
      <c r="L17" s="140" t="e">
        <f>STDEV(J128:U128)</f>
        <v>#DIV/0!</v>
      </c>
      <c r="M17" s="190" t="s">
        <v>40</v>
      </c>
      <c r="N17" s="155">
        <v>163</v>
      </c>
      <c r="O17" s="155">
        <v>1160</v>
      </c>
      <c r="P17" s="191">
        <f>O17-N17*$L$1</f>
        <v>540.6</v>
      </c>
    </row>
    <row r="18" spans="2:16" ht="15.75" thickBot="1">
      <c r="B18" s="133">
        <f>SUM(B129:N129)</f>
        <v>0</v>
      </c>
      <c r="C18" s="127" t="e">
        <f>AVERAGE(B129:N129)</f>
        <v>#DIV/0!</v>
      </c>
      <c r="D18" s="140" t="e">
        <f>STDEV(B129:M129)</f>
        <v>#DIV/0!</v>
      </c>
      <c r="E18" s="193" t="s">
        <v>41</v>
      </c>
      <c r="F18" s="155">
        <v>2002</v>
      </c>
      <c r="G18" s="155">
        <v>46390</v>
      </c>
      <c r="H18" s="191">
        <f>G18-F18*$L$1</f>
        <v>38782.400000000001</v>
      </c>
      <c r="J18" s="133">
        <f>SUM(J129:V129)</f>
        <v>0</v>
      </c>
      <c r="K18" s="127" t="e">
        <f>AVERAGE(J129:V129)</f>
        <v>#DIV/0!</v>
      </c>
      <c r="L18" s="140" t="e">
        <f>STDEV(J129:U129)</f>
        <v>#DIV/0!</v>
      </c>
      <c r="M18" s="193" t="s">
        <v>41</v>
      </c>
      <c r="N18" s="155">
        <v>239</v>
      </c>
      <c r="O18" s="155">
        <v>450</v>
      </c>
      <c r="P18" s="191">
        <f>O18-N18*$L$1</f>
        <v>-458.19999999999993</v>
      </c>
    </row>
    <row r="19" spans="2:16" ht="15.75" thickBot="1">
      <c r="B19" s="214">
        <f>SUM(B130:N130)</f>
        <v>0</v>
      </c>
      <c r="C19" s="127" t="e">
        <f>AVERAGE(B130:N130)</f>
        <v>#DIV/0!</v>
      </c>
      <c r="D19" s="140" t="e">
        <f>STDEV(B130:M130)</f>
        <v>#DIV/0!</v>
      </c>
      <c r="E19" s="193" t="s">
        <v>42</v>
      </c>
      <c r="F19" s="155">
        <v>3055</v>
      </c>
      <c r="G19" s="229">
        <v>71120</v>
      </c>
      <c r="H19" s="191">
        <f t="shared" ref="H19:H20" si="15">G19-F19*$L$1</f>
        <v>59511</v>
      </c>
      <c r="J19" s="214">
        <f>SUM(J130:V130)</f>
        <v>0</v>
      </c>
      <c r="K19" s="127" t="e">
        <f>AVERAGE(J130:V130)</f>
        <v>#DIV/0!</v>
      </c>
      <c r="L19" s="140" t="e">
        <f>STDEV(J130:U130)</f>
        <v>#DIV/0!</v>
      </c>
      <c r="M19" s="193" t="s">
        <v>42</v>
      </c>
      <c r="N19" s="155">
        <v>337</v>
      </c>
      <c r="O19" s="229">
        <v>-1260</v>
      </c>
      <c r="P19" s="191">
        <f t="shared" ref="P19:P20" si="16">O19-N19*$L$1</f>
        <v>-2540.6</v>
      </c>
    </row>
    <row r="20" spans="2:16">
      <c r="B20" s="133">
        <f>SUM(B131:N131)</f>
        <v>0</v>
      </c>
      <c r="C20" s="127" t="e">
        <f>AVERAGE(B131:N131)</f>
        <v>#DIV/0!</v>
      </c>
      <c r="D20" s="140" t="e">
        <f>STDEV(B131:M131)</f>
        <v>#DIV/0!</v>
      </c>
      <c r="E20" s="193" t="s">
        <v>43</v>
      </c>
      <c r="F20" s="155">
        <v>3337</v>
      </c>
      <c r="G20" s="155">
        <v>66820</v>
      </c>
      <c r="H20" s="191">
        <f t="shared" si="15"/>
        <v>54139.4</v>
      </c>
      <c r="J20" s="133">
        <f>SUM(J131:V131)</f>
        <v>0</v>
      </c>
      <c r="K20" s="127" t="e">
        <f>AVERAGE(J131:V131)</f>
        <v>#DIV/0!</v>
      </c>
      <c r="L20" s="140" t="e">
        <f>STDEV(J131:U131)</f>
        <v>#DIV/0!</v>
      </c>
      <c r="M20" s="193" t="s">
        <v>43</v>
      </c>
      <c r="N20" s="155">
        <v>385</v>
      </c>
      <c r="O20" s="155">
        <v>-1640</v>
      </c>
      <c r="P20" s="191">
        <f t="shared" si="16"/>
        <v>-3103</v>
      </c>
    </row>
    <row r="21" spans="2:16">
      <c r="B21" s="132">
        <f>SUM(B17:B20)</f>
        <v>0</v>
      </c>
      <c r="C21" s="126" t="e">
        <f>AVERAGE(B128:S131)</f>
        <v>#DIV/0!</v>
      </c>
      <c r="D21" s="139" t="e">
        <f>STDEV(B128:S131)</f>
        <v>#DIV/0!</v>
      </c>
      <c r="E21" s="124"/>
      <c r="F21" s="138">
        <f t="shared" ref="F21:H21" si="17">SUM(F17:F20)</f>
        <v>9773</v>
      </c>
      <c r="G21" s="138">
        <f t="shared" si="17"/>
        <v>233830</v>
      </c>
      <c r="H21" s="138">
        <f t="shared" si="17"/>
        <v>196692.6</v>
      </c>
      <c r="J21" s="132">
        <f>SUM(J17:J20)</f>
        <v>0</v>
      </c>
      <c r="K21" s="126" t="e">
        <f>AVERAGE(J128:AA131)</f>
        <v>#DIV/0!</v>
      </c>
      <c r="L21" s="139" t="e">
        <f>STDEV(J128:AA131)</f>
        <v>#DIV/0!</v>
      </c>
      <c r="M21" s="124"/>
      <c r="N21" s="138">
        <f t="shared" ref="N21:P21" si="18">SUM(N17:N20)</f>
        <v>1124</v>
      </c>
      <c r="O21" s="138">
        <f t="shared" si="18"/>
        <v>-1290</v>
      </c>
      <c r="P21" s="138">
        <f t="shared" si="18"/>
        <v>-5561.2</v>
      </c>
    </row>
    <row r="22" spans="2:16">
      <c r="B22" s="132">
        <f>AVERAGE(B17:B20)</f>
        <v>0</v>
      </c>
      <c r="C22" s="126"/>
      <c r="D22" s="139"/>
      <c r="E22" s="124"/>
      <c r="F22" s="138">
        <f t="shared" ref="F22:H22" si="19">AVERAGE(F17:F20)</f>
        <v>2443.25</v>
      </c>
      <c r="G22" s="138">
        <f t="shared" si="19"/>
        <v>58457.5</v>
      </c>
      <c r="H22" s="138">
        <f t="shared" si="19"/>
        <v>49173.15</v>
      </c>
      <c r="J22" s="132">
        <f>AVERAGE(J17:J20)</f>
        <v>0</v>
      </c>
      <c r="K22" s="126"/>
      <c r="L22" s="139"/>
      <c r="M22" s="124"/>
      <c r="N22" s="138">
        <f t="shared" ref="N22:P22" si="20">AVERAGE(N17:N20)</f>
        <v>281</v>
      </c>
      <c r="O22" s="138">
        <f t="shared" si="20"/>
        <v>-322.5</v>
      </c>
      <c r="P22" s="138">
        <f t="shared" si="20"/>
        <v>-1390.3</v>
      </c>
    </row>
    <row r="23" spans="2:16" ht="15.75" thickBot="1">
      <c r="B23" s="169">
        <f>STDEV(B17:B20)</f>
        <v>0</v>
      </c>
      <c r="C23" s="170"/>
      <c r="D23" s="171"/>
      <c r="E23" s="144"/>
      <c r="F23" s="178">
        <f t="shared" ref="F23:H23" si="21">STDEV(F17:F20)</f>
        <v>912.93606019260733</v>
      </c>
      <c r="G23" s="178">
        <f t="shared" si="21"/>
        <v>12330.607919590448</v>
      </c>
      <c r="H23" s="178">
        <f t="shared" si="21"/>
        <v>9374.495105871023</v>
      </c>
      <c r="J23" s="169">
        <f>STDEV(J17:J20)</f>
        <v>0</v>
      </c>
      <c r="K23" s="170"/>
      <c r="L23" s="171"/>
      <c r="M23" s="144"/>
      <c r="N23" s="178">
        <f t="shared" ref="N23:P23" si="22">STDEV(N17:N20)</f>
        <v>99.398189118313425</v>
      </c>
      <c r="O23" s="178">
        <f t="shared" si="22"/>
        <v>1342.7924883118264</v>
      </c>
      <c r="P23" s="178">
        <f t="shared" si="22"/>
        <v>1717.9170139056969</v>
      </c>
    </row>
    <row r="24" spans="2:16" ht="15.75" thickBot="1">
      <c r="B24" s="172" t="s">
        <v>14</v>
      </c>
      <c r="C24" s="172"/>
      <c r="D24" s="172"/>
      <c r="E24" s="173"/>
      <c r="F24" s="172" t="s">
        <v>20</v>
      </c>
      <c r="G24" s="172" t="s">
        <v>20</v>
      </c>
      <c r="H24" s="172" t="s">
        <v>20</v>
      </c>
      <c r="J24" s="172" t="s">
        <v>14</v>
      </c>
      <c r="K24" s="172"/>
      <c r="L24" s="172"/>
      <c r="M24" s="173"/>
      <c r="N24" s="172" t="s">
        <v>20</v>
      </c>
      <c r="O24" s="172" t="s">
        <v>20</v>
      </c>
      <c r="P24" s="172" t="s">
        <v>20</v>
      </c>
    </row>
    <row r="25" spans="2:16" ht="15.75" thickBot="1">
      <c r="B25" s="133">
        <f>SUM(B136:N136)</f>
        <v>0</v>
      </c>
      <c r="C25" s="127" t="e">
        <f>AVERAGE(B136:N136)</f>
        <v>#DIV/0!</v>
      </c>
      <c r="D25" s="140" t="e">
        <f>STDEV(B136:M136)</f>
        <v>#DIV/0!</v>
      </c>
      <c r="E25" s="190" t="s">
        <v>40</v>
      </c>
      <c r="F25" s="155">
        <v>1359</v>
      </c>
      <c r="G25" s="155">
        <v>39670</v>
      </c>
      <c r="H25" s="191">
        <f>G25-F25*$L$1</f>
        <v>34505.800000000003</v>
      </c>
      <c r="J25" s="133">
        <f>SUM(J136:V136)</f>
        <v>0</v>
      </c>
      <c r="K25" s="127" t="e">
        <f>AVERAGE(J136:V136)</f>
        <v>#DIV/0!</v>
      </c>
      <c r="L25" s="140" t="e">
        <f>STDEV(J136:U136)</f>
        <v>#DIV/0!</v>
      </c>
      <c r="M25" s="190" t="s">
        <v>40</v>
      </c>
      <c r="N25" s="155">
        <v>149</v>
      </c>
      <c r="O25" s="155">
        <v>-1000</v>
      </c>
      <c r="P25" s="191">
        <f>O25-N25*$L$1</f>
        <v>-1566.1999999999998</v>
      </c>
    </row>
    <row r="26" spans="2:16" ht="15.75" thickBot="1">
      <c r="B26" s="133">
        <f>SUM(B137:N137)</f>
        <v>0</v>
      </c>
      <c r="C26" s="127" t="e">
        <f>AVERAGE(B137:N137)</f>
        <v>#DIV/0!</v>
      </c>
      <c r="D26" s="140" t="e">
        <f>STDEV(B137:M137)</f>
        <v>#DIV/0!</v>
      </c>
      <c r="E26" s="193" t="s">
        <v>41</v>
      </c>
      <c r="F26" s="155">
        <v>2088</v>
      </c>
      <c r="G26" s="155">
        <v>48750</v>
      </c>
      <c r="H26" s="191">
        <f t="shared" ref="H26:H28" si="23">G26-F26*$L$1</f>
        <v>40815.599999999999</v>
      </c>
      <c r="J26" s="133">
        <f>SUM(J137:V137)</f>
        <v>0</v>
      </c>
      <c r="K26" s="127" t="e">
        <f>AVERAGE(J137:V137)</f>
        <v>#DIV/0!</v>
      </c>
      <c r="L26" s="140" t="e">
        <f>STDEV(J137:U137)</f>
        <v>#DIV/0!</v>
      </c>
      <c r="M26" s="193" t="s">
        <v>41</v>
      </c>
      <c r="N26" s="155">
        <v>211</v>
      </c>
      <c r="O26" s="155">
        <v>1380</v>
      </c>
      <c r="P26" s="191">
        <f t="shared" ref="P26:P28" si="24">O26-N26*$L$1</f>
        <v>578.20000000000005</v>
      </c>
    </row>
    <row r="27" spans="2:16" ht="15.75" thickBot="1">
      <c r="B27" s="214">
        <f>SUM(B138:N138)</f>
        <v>0</v>
      </c>
      <c r="C27" s="127" t="e">
        <f>AVERAGE(B138:N138)</f>
        <v>#DIV/0!</v>
      </c>
      <c r="D27" s="140" t="e">
        <f>STDEV(B138:M138)</f>
        <v>#DIV/0!</v>
      </c>
      <c r="E27" s="193" t="s">
        <v>42</v>
      </c>
      <c r="F27" s="155">
        <v>3201</v>
      </c>
      <c r="G27" s="231">
        <v>71060</v>
      </c>
      <c r="H27" s="230">
        <f t="shared" si="23"/>
        <v>58896.2</v>
      </c>
      <c r="J27" s="214">
        <f>SUM(J138:V138)</f>
        <v>0</v>
      </c>
      <c r="K27" s="127" t="e">
        <f>AVERAGE(J138:V138)</f>
        <v>#DIV/0!</v>
      </c>
      <c r="L27" s="140" t="e">
        <f>STDEV(J138:U138)</f>
        <v>#DIV/0!</v>
      </c>
      <c r="M27" s="193" t="s">
        <v>42</v>
      </c>
      <c r="N27" s="155">
        <v>302</v>
      </c>
      <c r="O27" s="231">
        <v>1010</v>
      </c>
      <c r="P27" s="230">
        <f t="shared" si="24"/>
        <v>-137.59999999999991</v>
      </c>
    </row>
    <row r="28" spans="2:16">
      <c r="B28" s="214">
        <f>SUM(B139:N139)</f>
        <v>0</v>
      </c>
      <c r="C28" s="127" t="e">
        <f>AVERAGE(B139:N139)</f>
        <v>#DIV/0!</v>
      </c>
      <c r="D28" s="140" t="e">
        <f>STDEV(B139:M139)</f>
        <v>#DIV/0!</v>
      </c>
      <c r="E28" s="193" t="s">
        <v>43</v>
      </c>
      <c r="F28" s="155">
        <v>3497</v>
      </c>
      <c r="G28" s="231">
        <v>68310</v>
      </c>
      <c r="H28" s="230">
        <f t="shared" si="23"/>
        <v>55021.4</v>
      </c>
      <c r="J28" s="214">
        <f>SUM(J139:V139)</f>
        <v>0</v>
      </c>
      <c r="K28" s="127" t="e">
        <f>AVERAGE(J139:V139)</f>
        <v>#DIV/0!</v>
      </c>
      <c r="L28" s="140" t="e">
        <f>STDEV(J139:U139)</f>
        <v>#DIV/0!</v>
      </c>
      <c r="M28" s="193" t="s">
        <v>43</v>
      </c>
      <c r="N28" s="155">
        <v>349</v>
      </c>
      <c r="O28" s="231">
        <v>830</v>
      </c>
      <c r="P28" s="230">
        <f t="shared" si="24"/>
        <v>-496.20000000000005</v>
      </c>
    </row>
    <row r="29" spans="2:16">
      <c r="B29" s="132">
        <f>SUM(B25:B28)</f>
        <v>0</v>
      </c>
      <c r="C29" s="126" t="e">
        <f>AVERAGE(B136:S139)</f>
        <v>#DIV/0!</v>
      </c>
      <c r="D29" s="139" t="e">
        <f>STDEV(B136:S139)</f>
        <v>#DIV/0!</v>
      </c>
      <c r="E29" s="124"/>
      <c r="F29" s="138">
        <f t="shared" ref="F29:H29" si="25">SUM(F25:F28)</f>
        <v>10145</v>
      </c>
      <c r="G29" s="138">
        <f t="shared" si="25"/>
        <v>227790</v>
      </c>
      <c r="H29" s="138">
        <f t="shared" si="25"/>
        <v>189238.99999999997</v>
      </c>
      <c r="J29" s="132">
        <f>SUM(J25:J28)</f>
        <v>0</v>
      </c>
      <c r="K29" s="126" t="e">
        <f>AVERAGE(J136:AA139)</f>
        <v>#DIV/0!</v>
      </c>
      <c r="L29" s="139" t="e">
        <f>STDEV(J136:AA139)</f>
        <v>#DIV/0!</v>
      </c>
      <c r="M29" s="124"/>
      <c r="N29" s="138">
        <f t="shared" ref="N29:P29" si="26">SUM(N25:N28)</f>
        <v>1011</v>
      </c>
      <c r="O29" s="138">
        <f t="shared" si="26"/>
        <v>2220</v>
      </c>
      <c r="P29" s="138">
        <f t="shared" si="26"/>
        <v>-1621.7999999999997</v>
      </c>
    </row>
    <row r="30" spans="2:16">
      <c r="B30" s="132">
        <f>AVERAGE(B25:B28)</f>
        <v>0</v>
      </c>
      <c r="C30" s="126"/>
      <c r="D30" s="139"/>
      <c r="E30" s="124"/>
      <c r="F30" s="138">
        <f t="shared" ref="F30:H30" si="27">AVERAGE(F25:F28)</f>
        <v>2536.25</v>
      </c>
      <c r="G30" s="138">
        <f t="shared" si="27"/>
        <v>56947.5</v>
      </c>
      <c r="H30" s="138">
        <f t="shared" si="27"/>
        <v>47309.749999999993</v>
      </c>
      <c r="J30" s="132">
        <f>AVERAGE(J25:J28)</f>
        <v>0</v>
      </c>
      <c r="K30" s="126"/>
      <c r="L30" s="139"/>
      <c r="M30" s="124"/>
      <c r="N30" s="138">
        <f t="shared" ref="N30:P30" si="28">AVERAGE(N25:N28)</f>
        <v>252.75</v>
      </c>
      <c r="O30" s="138">
        <f t="shared" si="28"/>
        <v>555</v>
      </c>
      <c r="P30" s="138">
        <f t="shared" si="28"/>
        <v>-405.44999999999993</v>
      </c>
    </row>
    <row r="31" spans="2:16" ht="15.75" thickBot="1">
      <c r="B31" s="132">
        <f>STDEV(B25:B28)</f>
        <v>0</v>
      </c>
      <c r="C31" s="126"/>
      <c r="D31" s="139"/>
      <c r="E31" s="124"/>
      <c r="F31" s="178">
        <f t="shared" ref="F31:H31" si="29">STDEV(F25:F28)</f>
        <v>991.9305671265505</v>
      </c>
      <c r="G31" s="178">
        <f t="shared" si="29"/>
        <v>15209.427723180996</v>
      </c>
      <c r="H31" s="178">
        <f t="shared" si="29"/>
        <v>11544.558446154066</v>
      </c>
      <c r="J31" s="132">
        <f>STDEV(J25:J28)</f>
        <v>0</v>
      </c>
      <c r="K31" s="126"/>
      <c r="L31" s="139"/>
      <c r="M31" s="124"/>
      <c r="N31" s="178">
        <f t="shared" ref="N31:P31" si="30">STDEV(N25:N28)</f>
        <v>89.808592758896594</v>
      </c>
      <c r="O31" s="178">
        <f t="shared" si="30"/>
        <v>1061.6496597277278</v>
      </c>
      <c r="P31" s="178">
        <f t="shared" si="30"/>
        <v>893.47394477958892</v>
      </c>
    </row>
    <row r="32" spans="2:16">
      <c r="B32" s="18"/>
      <c r="C32" s="18"/>
      <c r="D32" s="18"/>
      <c r="E32" s="124"/>
      <c r="F32" s="200">
        <f t="shared" ref="F32:H32" si="31">SUM(F10:F13,F17:F20,F25:F28)</f>
        <v>29436</v>
      </c>
      <c r="G32" s="200">
        <f t="shared" si="31"/>
        <v>679080</v>
      </c>
      <c r="H32" s="200">
        <f t="shared" si="31"/>
        <v>567223.20000000007</v>
      </c>
      <c r="J32" s="18"/>
      <c r="K32" s="18"/>
      <c r="L32" s="18"/>
      <c r="M32" s="124"/>
      <c r="N32" s="200">
        <f t="shared" ref="N32:P32" si="32">SUM(N10:N13,N17:N20,N25:N28)</f>
        <v>3189</v>
      </c>
      <c r="O32" s="200">
        <f t="shared" si="32"/>
        <v>8230</v>
      </c>
      <c r="P32" s="200">
        <f t="shared" si="32"/>
        <v>-3888.2</v>
      </c>
    </row>
    <row r="33" spans="2:16">
      <c r="B33" s="18"/>
      <c r="C33" s="18"/>
      <c r="D33" s="18"/>
      <c r="E33" s="124"/>
      <c r="F33" s="203">
        <f t="shared" ref="F33:H33" si="33">AVERAGE(F10:F13,F17:F20,F25:F28)</f>
        <v>2453</v>
      </c>
      <c r="G33" s="203">
        <f t="shared" si="33"/>
        <v>56590</v>
      </c>
      <c r="H33" s="203">
        <f t="shared" si="33"/>
        <v>47268.600000000006</v>
      </c>
      <c r="J33" s="18"/>
      <c r="K33" s="18"/>
      <c r="L33" s="18"/>
      <c r="M33" s="124"/>
      <c r="N33" s="203">
        <f t="shared" ref="N33:P33" si="34">AVERAGE(N10:N13,N17:N20,N25:N28)</f>
        <v>265.75</v>
      </c>
      <c r="O33" s="203">
        <f t="shared" si="34"/>
        <v>685.83333333333337</v>
      </c>
      <c r="P33" s="203">
        <f t="shared" si="34"/>
        <v>-324.01666666666665</v>
      </c>
    </row>
    <row r="34" spans="2:16" ht="15.75" thickBot="1">
      <c r="B34" s="18"/>
      <c r="C34" s="18"/>
      <c r="D34" s="18"/>
      <c r="E34" s="124"/>
      <c r="F34" s="206">
        <f t="shared" ref="F34:H34" si="35">STDEV(F10:F13,F17:F20,F25:F28,)</f>
        <v>1053.4757855637836</v>
      </c>
      <c r="G34" s="206">
        <f t="shared" si="35"/>
        <v>19873.093361215564</v>
      </c>
      <c r="H34" s="206">
        <f t="shared" si="35"/>
        <v>16103.496466741577</v>
      </c>
      <c r="J34" s="18"/>
      <c r="K34" s="18"/>
      <c r="L34" s="18"/>
      <c r="M34" s="124"/>
      <c r="N34" s="206">
        <f t="shared" ref="N34:P34" si="36">STDEV(N10:N13,N17:N20,N25:N28,)</f>
        <v>109.98741186713492</v>
      </c>
      <c r="O34" s="206">
        <f t="shared" si="36"/>
        <v>1331.6993192620762</v>
      </c>
      <c r="P34" s="206">
        <f t="shared" si="36"/>
        <v>1366.0868264630537</v>
      </c>
    </row>
    <row r="36" spans="2:16">
      <c r="D36" t="s">
        <v>150</v>
      </c>
      <c r="G36" s="238" t="s">
        <v>149</v>
      </c>
      <c r="H36" s="238">
        <v>10</v>
      </c>
      <c r="I36" s="238">
        <v>15</v>
      </c>
    </row>
    <row r="37" spans="2:16">
      <c r="D37">
        <v>54</v>
      </c>
      <c r="E37">
        <v>55</v>
      </c>
      <c r="F37">
        <v>59</v>
      </c>
      <c r="H37">
        <v>62</v>
      </c>
      <c r="I37">
        <v>62</v>
      </c>
    </row>
    <row r="38" spans="2:16">
      <c r="D38">
        <v>65</v>
      </c>
      <c r="E38">
        <v>61</v>
      </c>
      <c r="F38">
        <v>68</v>
      </c>
      <c r="H38">
        <v>67</v>
      </c>
      <c r="I38">
        <v>72</v>
      </c>
    </row>
    <row r="39" spans="2:16">
      <c r="D39">
        <v>65</v>
      </c>
      <c r="E39">
        <v>54</v>
      </c>
      <c r="F39">
        <v>64</v>
      </c>
      <c r="H39">
        <v>72</v>
      </c>
      <c r="I39">
        <v>77</v>
      </c>
    </row>
    <row r="40" spans="2:16">
      <c r="D40">
        <v>67</v>
      </c>
      <c r="E40">
        <v>63</v>
      </c>
      <c r="F40">
        <v>65</v>
      </c>
      <c r="H40">
        <v>67</v>
      </c>
      <c r="I40">
        <v>74</v>
      </c>
    </row>
    <row r="41" spans="2:16">
      <c r="D41">
        <v>68</v>
      </c>
      <c r="E41">
        <v>55</v>
      </c>
      <c r="F41">
        <v>71</v>
      </c>
      <c r="H41">
        <v>74</v>
      </c>
      <c r="I41">
        <v>75</v>
      </c>
    </row>
    <row r="42" spans="2:16">
      <c r="D42">
        <v>68</v>
      </c>
      <c r="E42">
        <v>59</v>
      </c>
      <c r="F42">
        <v>69</v>
      </c>
      <c r="H42">
        <v>69</v>
      </c>
      <c r="I42">
        <v>72</v>
      </c>
    </row>
    <row r="43" spans="2:16">
      <c r="D43" s="237">
        <f>SUM(D37:D42)</f>
        <v>387</v>
      </c>
      <c r="E43" s="237">
        <f>SUM(E37:E42)</f>
        <v>347</v>
      </c>
      <c r="F43" s="237">
        <f>SUM(F37:F42)</f>
        <v>396</v>
      </c>
      <c r="G43" s="237">
        <f t="shared" ref="G43:I43" si="37">SUM(G37:G42)</f>
        <v>0</v>
      </c>
      <c r="H43" s="237">
        <f t="shared" si="37"/>
        <v>411</v>
      </c>
      <c r="I43" s="237">
        <f t="shared" si="37"/>
        <v>432</v>
      </c>
    </row>
    <row r="44" spans="2:16">
      <c r="B44" t="s">
        <v>151</v>
      </c>
      <c r="J44" s="692" t="s">
        <v>153</v>
      </c>
      <c r="K44" s="692"/>
      <c r="L44" s="692"/>
      <c r="M44" s="692"/>
      <c r="N44" s="692"/>
      <c r="O44" s="692"/>
      <c r="P44" s="692"/>
    </row>
    <row r="45" spans="2:16" ht="15.75" thickBot="1">
      <c r="B45" s="172" t="s">
        <v>117</v>
      </c>
      <c r="C45" s="172"/>
      <c r="D45" s="172"/>
      <c r="E45" s="173"/>
      <c r="F45" s="172" t="s">
        <v>20</v>
      </c>
      <c r="G45" s="172" t="s">
        <v>20</v>
      </c>
      <c r="H45" s="172" t="s">
        <v>20</v>
      </c>
      <c r="J45" s="172" t="s">
        <v>153</v>
      </c>
      <c r="K45" s="172"/>
      <c r="L45" s="172"/>
      <c r="M45" s="173"/>
      <c r="N45" s="172" t="s">
        <v>20</v>
      </c>
      <c r="O45" s="172" t="s">
        <v>20</v>
      </c>
      <c r="P45" s="172" t="s">
        <v>20</v>
      </c>
    </row>
    <row r="46" spans="2:16" ht="15.75" thickBot="1">
      <c r="B46" s="187">
        <f>SUM(B157:N157)</f>
        <v>0</v>
      </c>
      <c r="C46" s="188" t="e">
        <f>AVERAGE(B157:N157)</f>
        <v>#DIV/0!</v>
      </c>
      <c r="D46" s="189" t="e">
        <f>STDEV(B157:M157)</f>
        <v>#DIV/0!</v>
      </c>
      <c r="E46" s="190" t="s">
        <v>40</v>
      </c>
      <c r="F46" s="192">
        <v>1369</v>
      </c>
      <c r="G46" s="192">
        <v>43150</v>
      </c>
      <c r="H46" s="191">
        <f>G46-F46*$L$1</f>
        <v>37947.800000000003</v>
      </c>
      <c r="J46" s="187">
        <f>SUM(J157:V157)</f>
        <v>0</v>
      </c>
      <c r="K46" s="188" t="e">
        <f>AVERAGE(J157:V157)</f>
        <v>#DIV/0!</v>
      </c>
      <c r="L46" s="189" t="e">
        <f>STDEV(J157:U157)</f>
        <v>#DIV/0!</v>
      </c>
      <c r="M46" s="190" t="s">
        <v>40</v>
      </c>
      <c r="N46" s="192">
        <v>348</v>
      </c>
      <c r="O46" s="192">
        <v>14670</v>
      </c>
      <c r="P46" s="191">
        <f>O46-N46*$L$1</f>
        <v>13347.6</v>
      </c>
    </row>
    <row r="47" spans="2:16" ht="15.75" thickBot="1">
      <c r="B47" s="134">
        <f>SUM(B158:N158)</f>
        <v>0</v>
      </c>
      <c r="C47" s="128" t="e">
        <f>AVERAGE(B158:N158)</f>
        <v>#DIV/0!</v>
      </c>
      <c r="D47" s="141" t="e">
        <f>STDEV(B158:M158)</f>
        <v>#DIV/0!</v>
      </c>
      <c r="E47" s="193" t="s">
        <v>41</v>
      </c>
      <c r="F47" s="194">
        <v>1949</v>
      </c>
      <c r="G47" s="194">
        <v>48980</v>
      </c>
      <c r="H47" s="191">
        <f t="shared" ref="H47:H49" si="38">G47-F47*$L$1</f>
        <v>41573.800000000003</v>
      </c>
      <c r="J47" s="134">
        <f>SUM(J158:V158)</f>
        <v>0</v>
      </c>
      <c r="K47" s="128" t="e">
        <f>AVERAGE(J158:V158)</f>
        <v>#DIV/0!</v>
      </c>
      <c r="L47" s="141" t="e">
        <f>STDEV(J158:U158)</f>
        <v>#DIV/0!</v>
      </c>
      <c r="M47" s="193" t="s">
        <v>41</v>
      </c>
      <c r="N47" s="194">
        <v>1680</v>
      </c>
      <c r="O47" s="194">
        <v>32940</v>
      </c>
      <c r="P47" s="191">
        <f t="shared" ref="P47:P49" si="39">O47-N47*$L$1</f>
        <v>26556</v>
      </c>
    </row>
    <row r="48" spans="2:16" ht="15.75" thickBot="1">
      <c r="B48" s="214">
        <f>SUM(B159:N159)</f>
        <v>0</v>
      </c>
      <c r="C48" s="128" t="e">
        <f>AVERAGE(B159:N159)</f>
        <v>#DIV/0!</v>
      </c>
      <c r="D48" s="141" t="e">
        <f>STDEV(B159:M159)</f>
        <v>#DIV/0!</v>
      </c>
      <c r="E48" s="193" t="s">
        <v>42</v>
      </c>
      <c r="F48" s="194">
        <v>2953</v>
      </c>
      <c r="G48" s="194">
        <v>62120</v>
      </c>
      <c r="H48" s="191">
        <f t="shared" si="38"/>
        <v>50898.6</v>
      </c>
      <c r="J48" s="214">
        <f>SUM(J159:V159)</f>
        <v>0</v>
      </c>
      <c r="K48" s="128" t="e">
        <f>AVERAGE(J159:V159)</f>
        <v>#DIV/0!</v>
      </c>
      <c r="L48" s="141" t="e">
        <f>STDEV(J159:U159)</f>
        <v>#DIV/0!</v>
      </c>
      <c r="M48" s="193" t="s">
        <v>42</v>
      </c>
      <c r="N48" s="194">
        <v>2587</v>
      </c>
      <c r="O48" s="194">
        <v>44270</v>
      </c>
      <c r="P48" s="191">
        <f t="shared" si="39"/>
        <v>34439.4</v>
      </c>
    </row>
    <row r="49" spans="2:16">
      <c r="B49" s="214">
        <f>SUM(B160:N160)</f>
        <v>0</v>
      </c>
      <c r="C49" s="128" t="e">
        <f>AVERAGE(B160:N160)</f>
        <v>#DIV/0!</v>
      </c>
      <c r="D49" s="141" t="e">
        <f>STDEV(B160:M160)</f>
        <v>#DIV/0!</v>
      </c>
      <c r="E49" s="193" t="s">
        <v>43</v>
      </c>
      <c r="F49" s="194">
        <v>3254</v>
      </c>
      <c r="G49" s="228">
        <v>72640</v>
      </c>
      <c r="H49" s="191">
        <f t="shared" si="38"/>
        <v>60274.8</v>
      </c>
      <c r="J49" s="214">
        <f>SUM(J160:V160)</f>
        <v>0</v>
      </c>
      <c r="K49" s="128" t="e">
        <f>AVERAGE(J160:V160)</f>
        <v>#DIV/0!</v>
      </c>
      <c r="L49" s="141" t="e">
        <f>STDEV(J160:U160)</f>
        <v>#DIV/0!</v>
      </c>
      <c r="M49" s="193" t="s">
        <v>43</v>
      </c>
      <c r="N49" s="194">
        <v>3153</v>
      </c>
      <c r="O49" s="228">
        <v>53390</v>
      </c>
      <c r="P49" s="191">
        <f t="shared" si="39"/>
        <v>41408.6</v>
      </c>
    </row>
    <row r="50" spans="2:16">
      <c r="B50" s="132">
        <f>SUM(B46:B49)</f>
        <v>0</v>
      </c>
      <c r="C50" s="126" t="e">
        <f>AVERAGE(B157:S160)</f>
        <v>#DIV/0!</v>
      </c>
      <c r="D50" s="139" t="e">
        <f>STDEV(B157:S160)</f>
        <v>#DIV/0!</v>
      </c>
      <c r="E50" s="124"/>
      <c r="F50" s="207">
        <f t="shared" ref="F50:H50" si="40">SUM(F46:F49)</f>
        <v>9525</v>
      </c>
      <c r="G50" s="207">
        <f t="shared" si="40"/>
        <v>226890</v>
      </c>
      <c r="H50" s="207">
        <f t="shared" si="40"/>
        <v>190695</v>
      </c>
      <c r="J50" s="132">
        <f>SUM(J46:J49)</f>
        <v>0</v>
      </c>
      <c r="K50" s="126" t="e">
        <f>AVERAGE(J157:AA160)</f>
        <v>#DIV/0!</v>
      </c>
      <c r="L50" s="139" t="e">
        <f>STDEV(J157:AA160)</f>
        <v>#DIV/0!</v>
      </c>
      <c r="M50" s="124"/>
      <c r="N50" s="207">
        <f t="shared" ref="N50:P50" si="41">SUM(N46:N49)</f>
        <v>7768</v>
      </c>
      <c r="O50" s="207">
        <f t="shared" si="41"/>
        <v>145270</v>
      </c>
      <c r="P50" s="207">
        <f t="shared" si="41"/>
        <v>115751.6</v>
      </c>
    </row>
    <row r="51" spans="2:16">
      <c r="B51" s="132">
        <f>AVERAGE(B46:B49)</f>
        <v>0</v>
      </c>
      <c r="C51" s="126"/>
      <c r="D51" s="139"/>
      <c r="E51" s="124"/>
      <c r="F51" s="138">
        <f t="shared" ref="F51:H51" si="42">AVERAGE(F46:F49)</f>
        <v>2381.25</v>
      </c>
      <c r="G51" s="138">
        <f t="shared" si="42"/>
        <v>56722.5</v>
      </c>
      <c r="H51" s="138">
        <f t="shared" si="42"/>
        <v>47673.75</v>
      </c>
      <c r="J51" s="132">
        <f>AVERAGE(J46:J49)</f>
        <v>0</v>
      </c>
      <c r="K51" s="126"/>
      <c r="L51" s="139"/>
      <c r="M51" s="124"/>
      <c r="N51" s="138">
        <f t="shared" ref="N51:P51" si="43">AVERAGE(N46:N49)</f>
        <v>1942</v>
      </c>
      <c r="O51" s="138">
        <f t="shared" si="43"/>
        <v>36317.5</v>
      </c>
      <c r="P51" s="138">
        <f t="shared" si="43"/>
        <v>28937.9</v>
      </c>
    </row>
    <row r="52" spans="2:16" ht="15.75" thickBot="1">
      <c r="B52" s="169">
        <f>STDEV(B46:B49)</f>
        <v>0</v>
      </c>
      <c r="C52" s="170"/>
      <c r="D52" s="171"/>
      <c r="E52" s="124"/>
      <c r="F52" s="178">
        <f t="shared" ref="F52:H52" si="44">STDEV(F46:F49)</f>
        <v>875.61040613581872</v>
      </c>
      <c r="G52" s="178">
        <f t="shared" si="44"/>
        <v>13249.63993221451</v>
      </c>
      <c r="H52" s="178">
        <f t="shared" si="44"/>
        <v>10016.479954388513</v>
      </c>
      <c r="J52" s="169">
        <f>STDEV(J46:J49)</f>
        <v>0</v>
      </c>
      <c r="K52" s="170"/>
      <c r="L52" s="171"/>
      <c r="M52" s="124"/>
      <c r="N52" s="178">
        <f t="shared" ref="N52:P52" si="45">STDEV(N46:N49)</f>
        <v>1223.6592662992423</v>
      </c>
      <c r="O52" s="178">
        <f t="shared" si="45"/>
        <v>16680.670200364653</v>
      </c>
      <c r="P52" s="178">
        <f t="shared" si="45"/>
        <v>12034.890422434259</v>
      </c>
    </row>
    <row r="53" spans="2:16" ht="15.75" thickBot="1">
      <c r="B53" s="133">
        <f>SUM(B164:N164)</f>
        <v>0</v>
      </c>
      <c r="C53" s="127" t="e">
        <f>AVERAGE(B164:N164)</f>
        <v>#DIV/0!</v>
      </c>
      <c r="D53" s="140" t="e">
        <f>STDEV(B164:M164)</f>
        <v>#DIV/0!</v>
      </c>
      <c r="E53" s="190" t="s">
        <v>40</v>
      </c>
      <c r="F53" s="155">
        <v>1382</v>
      </c>
      <c r="G53" s="155">
        <v>50780</v>
      </c>
      <c r="H53" s="191">
        <f>G53-F53*$L$1</f>
        <v>45528.4</v>
      </c>
      <c r="J53" s="133">
        <f>SUM(J164:V164)</f>
        <v>0</v>
      </c>
      <c r="K53" s="127" t="e">
        <f>AVERAGE(J164:V164)</f>
        <v>#DIV/0!</v>
      </c>
      <c r="L53" s="140" t="e">
        <f>STDEV(J164:U164)</f>
        <v>#DIV/0!</v>
      </c>
      <c r="M53" s="190" t="s">
        <v>40</v>
      </c>
      <c r="N53" s="155">
        <v>380</v>
      </c>
      <c r="O53" s="155">
        <v>18460</v>
      </c>
      <c r="P53" s="191">
        <f>O53-N53*$L$1</f>
        <v>17016</v>
      </c>
    </row>
    <row r="54" spans="2:16" ht="15.75" thickBot="1">
      <c r="B54" s="133">
        <f>SUM(B165:N165)</f>
        <v>0</v>
      </c>
      <c r="C54" s="127" t="e">
        <f>AVERAGE(B165:N165)</f>
        <v>#DIV/0!</v>
      </c>
      <c r="D54" s="140" t="e">
        <f>STDEV(B165:M165)</f>
        <v>#DIV/0!</v>
      </c>
      <c r="E54" s="193" t="s">
        <v>41</v>
      </c>
      <c r="F54" s="155">
        <v>2008</v>
      </c>
      <c r="G54" s="155">
        <v>48650</v>
      </c>
      <c r="H54" s="191">
        <f>G54-F54*$L$1</f>
        <v>41019.599999999999</v>
      </c>
      <c r="J54" s="133">
        <f>SUM(J165:V165)</f>
        <v>0</v>
      </c>
      <c r="K54" s="127" t="e">
        <f>AVERAGE(J165:V165)</f>
        <v>#DIV/0!</v>
      </c>
      <c r="L54" s="140" t="e">
        <f>STDEV(J165:U165)</f>
        <v>#DIV/0!</v>
      </c>
      <c r="M54" s="193" t="s">
        <v>41</v>
      </c>
      <c r="N54" s="155">
        <v>1783</v>
      </c>
      <c r="O54" s="155">
        <v>32350</v>
      </c>
      <c r="P54" s="191">
        <f>O54-N54*$L$1</f>
        <v>25574.6</v>
      </c>
    </row>
    <row r="55" spans="2:16" ht="15.75" thickBot="1">
      <c r="B55" s="214">
        <f>SUM(B166:N166)</f>
        <v>0</v>
      </c>
      <c r="C55" s="127" t="e">
        <f>AVERAGE(B166:N166)</f>
        <v>#DIV/0!</v>
      </c>
      <c r="D55" s="140" t="e">
        <f>STDEV(B166:M166)</f>
        <v>#DIV/0!</v>
      </c>
      <c r="E55" s="193" t="s">
        <v>42</v>
      </c>
      <c r="F55" s="155">
        <v>3072</v>
      </c>
      <c r="G55" s="229">
        <v>77670</v>
      </c>
      <c r="H55" s="191">
        <f t="shared" ref="H55:H56" si="46">G55-F55*$L$1</f>
        <v>65996.399999999994</v>
      </c>
      <c r="J55" s="214">
        <f>SUM(J166:V166)</f>
        <v>0</v>
      </c>
      <c r="K55" s="127" t="e">
        <f>AVERAGE(J166:V166)</f>
        <v>#DIV/0!</v>
      </c>
      <c r="L55" s="140" t="e">
        <f>STDEV(J166:U166)</f>
        <v>#DIV/0!</v>
      </c>
      <c r="M55" s="193" t="s">
        <v>42</v>
      </c>
      <c r="N55" s="155">
        <v>2914</v>
      </c>
      <c r="O55" s="229">
        <v>49930</v>
      </c>
      <c r="P55" s="191">
        <f t="shared" ref="P55:P56" si="47">O55-N55*$L$1</f>
        <v>38856.800000000003</v>
      </c>
    </row>
    <row r="56" spans="2:16">
      <c r="B56" s="133">
        <f>SUM(B167:N167)</f>
        <v>0</v>
      </c>
      <c r="C56" s="127" t="e">
        <f>AVERAGE(B167:N167)</f>
        <v>#DIV/0!</v>
      </c>
      <c r="D56" s="140" t="e">
        <f>STDEV(B167:M167)</f>
        <v>#DIV/0!</v>
      </c>
      <c r="E56" s="193" t="s">
        <v>43</v>
      </c>
      <c r="F56" s="155">
        <v>3347</v>
      </c>
      <c r="G56" s="155">
        <v>74580</v>
      </c>
      <c r="H56" s="191">
        <f t="shared" si="46"/>
        <v>61861.4</v>
      </c>
      <c r="J56" s="133">
        <f>SUM(J167:V167)</f>
        <v>0</v>
      </c>
      <c r="K56" s="127" t="e">
        <f>AVERAGE(J167:V167)</f>
        <v>#DIV/0!</v>
      </c>
      <c r="L56" s="140" t="e">
        <f>STDEV(J167:U167)</f>
        <v>#DIV/0!</v>
      </c>
      <c r="M56" s="193" t="s">
        <v>43</v>
      </c>
      <c r="N56" s="155">
        <v>3372</v>
      </c>
      <c r="O56" s="155">
        <v>53570</v>
      </c>
      <c r="P56" s="191">
        <f t="shared" si="47"/>
        <v>40756.400000000001</v>
      </c>
    </row>
    <row r="57" spans="2:16">
      <c r="B57" s="132">
        <f>SUM(B53:B56)</f>
        <v>0</v>
      </c>
      <c r="C57" s="126" t="e">
        <f>AVERAGE(B164:S167)</f>
        <v>#DIV/0!</v>
      </c>
      <c r="D57" s="139" t="e">
        <f>STDEV(B164:S167)</f>
        <v>#DIV/0!</v>
      </c>
      <c r="E57" s="124"/>
      <c r="F57" s="138">
        <f t="shared" ref="F57:H57" si="48">SUM(F53:F56)</f>
        <v>9809</v>
      </c>
      <c r="G57" s="138">
        <f t="shared" si="48"/>
        <v>251680</v>
      </c>
      <c r="H57" s="138">
        <f t="shared" si="48"/>
        <v>214405.8</v>
      </c>
      <c r="J57" s="132">
        <f>SUM(J53:J56)</f>
        <v>0</v>
      </c>
      <c r="K57" s="126" t="e">
        <f>AVERAGE(J164:AA167)</f>
        <v>#DIV/0!</v>
      </c>
      <c r="L57" s="139" t="e">
        <f>STDEV(J164:AA167)</f>
        <v>#DIV/0!</v>
      </c>
      <c r="M57" s="124"/>
      <c r="N57" s="138">
        <f t="shared" ref="N57:P57" si="49">SUM(N53:N56)</f>
        <v>8449</v>
      </c>
      <c r="O57" s="138">
        <f t="shared" si="49"/>
        <v>154310</v>
      </c>
      <c r="P57" s="138">
        <f t="shared" si="49"/>
        <v>122203.79999999999</v>
      </c>
    </row>
    <row r="58" spans="2:16">
      <c r="B58" s="132">
        <f>AVERAGE(B53:B56)</f>
        <v>0</v>
      </c>
      <c r="C58" s="126"/>
      <c r="D58" s="139"/>
      <c r="E58" s="124"/>
      <c r="F58" s="138">
        <f t="shared" ref="F58:H58" si="50">AVERAGE(F53:F56)</f>
        <v>2452.25</v>
      </c>
      <c r="G58" s="138">
        <f t="shared" si="50"/>
        <v>62920</v>
      </c>
      <c r="H58" s="138">
        <f t="shared" si="50"/>
        <v>53601.45</v>
      </c>
      <c r="J58" s="132">
        <f>AVERAGE(J53:J56)</f>
        <v>0</v>
      </c>
      <c r="K58" s="126"/>
      <c r="L58" s="139"/>
      <c r="M58" s="124"/>
      <c r="N58" s="138">
        <f t="shared" ref="N58:P58" si="51">AVERAGE(N53:N56)</f>
        <v>2112.25</v>
      </c>
      <c r="O58" s="138">
        <f t="shared" si="51"/>
        <v>38577.5</v>
      </c>
      <c r="P58" s="138">
        <f t="shared" si="51"/>
        <v>30550.949999999997</v>
      </c>
    </row>
    <row r="59" spans="2:16" ht="15.75" thickBot="1">
      <c r="B59" s="169">
        <f>STDEV(B53:B56)</f>
        <v>0</v>
      </c>
      <c r="C59" s="170"/>
      <c r="D59" s="171"/>
      <c r="E59" s="144"/>
      <c r="F59" s="178">
        <f t="shared" ref="F59:H59" si="52">STDEV(F53:F56)</f>
        <v>917.87086056082342</v>
      </c>
      <c r="G59" s="178">
        <f t="shared" si="52"/>
        <v>15324.605487037288</v>
      </c>
      <c r="H59" s="178">
        <f t="shared" si="52"/>
        <v>12183.850584961519</v>
      </c>
      <c r="J59" s="169">
        <f>STDEV(J53:J56)</f>
        <v>0</v>
      </c>
      <c r="K59" s="170"/>
      <c r="L59" s="171"/>
      <c r="M59" s="144"/>
      <c r="N59" s="178">
        <f t="shared" ref="N59:P59" si="53">STDEV(N53:N56)</f>
        <v>1334.0250809736176</v>
      </c>
      <c r="O59" s="178">
        <f t="shared" si="53"/>
        <v>16300.816697331456</v>
      </c>
      <c r="P59" s="178">
        <f t="shared" si="53"/>
        <v>11270.866348688565</v>
      </c>
    </row>
    <row r="60" spans="2:16" ht="15.75" thickBot="1">
      <c r="B60" s="172" t="s">
        <v>14</v>
      </c>
      <c r="C60" s="172"/>
      <c r="D60" s="172"/>
      <c r="E60" s="173"/>
      <c r="F60" s="172" t="s">
        <v>20</v>
      </c>
      <c r="G60" s="172" t="s">
        <v>20</v>
      </c>
      <c r="H60" s="172" t="s">
        <v>20</v>
      </c>
      <c r="J60" s="172" t="s">
        <v>14</v>
      </c>
      <c r="K60" s="172"/>
      <c r="L60" s="172"/>
      <c r="M60" s="173"/>
      <c r="N60" s="172" t="s">
        <v>20</v>
      </c>
      <c r="O60" s="172" t="s">
        <v>20</v>
      </c>
      <c r="P60" s="172" t="s">
        <v>20</v>
      </c>
    </row>
    <row r="61" spans="2:16" ht="15.75" thickBot="1">
      <c r="B61" s="133">
        <f>SUM(B172:N172)</f>
        <v>0</v>
      </c>
      <c r="C61" s="127" t="e">
        <f>AVERAGE(B172:N172)</f>
        <v>#DIV/0!</v>
      </c>
      <c r="D61" s="140" t="e">
        <f>STDEV(B172:M172)</f>
        <v>#DIV/0!</v>
      </c>
      <c r="E61" s="190" t="s">
        <v>40</v>
      </c>
      <c r="F61" s="155">
        <v>1357</v>
      </c>
      <c r="G61" s="155">
        <v>40950</v>
      </c>
      <c r="H61" s="191">
        <f>G61-F61*$L$1</f>
        <v>35793.4</v>
      </c>
      <c r="J61" s="133">
        <f>SUM(J172:V172)</f>
        <v>0</v>
      </c>
      <c r="K61" s="127" t="e">
        <f>AVERAGE(J172:V172)</f>
        <v>#DIV/0!</v>
      </c>
      <c r="L61" s="140" t="e">
        <f>STDEV(J172:U172)</f>
        <v>#DIV/0!</v>
      </c>
      <c r="M61" s="190" t="s">
        <v>40</v>
      </c>
      <c r="N61" s="155">
        <v>447</v>
      </c>
      <c r="O61" s="155">
        <v>15240</v>
      </c>
      <c r="P61" s="191">
        <f>O61-N61*$L$1</f>
        <v>13541.4</v>
      </c>
    </row>
    <row r="62" spans="2:16" ht="15.75" thickBot="1">
      <c r="B62" s="133">
        <f>SUM(B173:N173)</f>
        <v>0</v>
      </c>
      <c r="C62" s="127" t="e">
        <f>AVERAGE(B173:N173)</f>
        <v>#DIV/0!</v>
      </c>
      <c r="D62" s="140" t="e">
        <f>STDEV(B173:M173)</f>
        <v>#DIV/0!</v>
      </c>
      <c r="E62" s="193" t="s">
        <v>41</v>
      </c>
      <c r="F62" s="155">
        <v>2094</v>
      </c>
      <c r="G62" s="155">
        <v>48500</v>
      </c>
      <c r="H62" s="191">
        <f t="shared" ref="H62:H64" si="54">G62-F62*$L$1</f>
        <v>40542.800000000003</v>
      </c>
      <c r="J62" s="133">
        <f>SUM(J173:V173)</f>
        <v>0</v>
      </c>
      <c r="K62" s="127" t="e">
        <f>AVERAGE(J173:V173)</f>
        <v>#DIV/0!</v>
      </c>
      <c r="L62" s="140" t="e">
        <f>STDEV(J173:U173)</f>
        <v>#DIV/0!</v>
      </c>
      <c r="M62" s="193" t="s">
        <v>41</v>
      </c>
      <c r="N62" s="155">
        <v>1917</v>
      </c>
      <c r="O62" s="155">
        <v>38280</v>
      </c>
      <c r="P62" s="191">
        <f t="shared" ref="P62:P64" si="55">O62-N62*$L$1</f>
        <v>30995.4</v>
      </c>
    </row>
    <row r="63" spans="2:16" ht="15.75" thickBot="1">
      <c r="B63" s="214">
        <f>SUM(B174:N174)</f>
        <v>0</v>
      </c>
      <c r="C63" s="127" t="e">
        <f>AVERAGE(B174:N174)</f>
        <v>#DIV/0!</v>
      </c>
      <c r="D63" s="140" t="e">
        <f>STDEV(B174:M174)</f>
        <v>#DIV/0!</v>
      </c>
      <c r="E63" s="193" t="s">
        <v>42</v>
      </c>
      <c r="F63" s="155">
        <v>3202</v>
      </c>
      <c r="G63" s="231">
        <v>75560</v>
      </c>
      <c r="H63" s="230">
        <f t="shared" si="54"/>
        <v>63392.4</v>
      </c>
      <c r="J63" s="214">
        <f>SUM(J174:V174)</f>
        <v>0</v>
      </c>
      <c r="K63" s="127" t="e">
        <f>AVERAGE(J174:V174)</f>
        <v>#DIV/0!</v>
      </c>
      <c r="L63" s="140" t="e">
        <f>STDEV(J174:U174)</f>
        <v>#DIV/0!</v>
      </c>
      <c r="M63" s="193" t="s">
        <v>42</v>
      </c>
      <c r="N63" s="155">
        <v>3219</v>
      </c>
      <c r="O63" s="231">
        <v>60300</v>
      </c>
      <c r="P63" s="230">
        <f t="shared" si="55"/>
        <v>48067.8</v>
      </c>
    </row>
    <row r="64" spans="2:16">
      <c r="B64" s="214">
        <f>SUM(B175:N175)</f>
        <v>0</v>
      </c>
      <c r="C64" s="127" t="e">
        <f>AVERAGE(B175:N175)</f>
        <v>#DIV/0!</v>
      </c>
      <c r="D64" s="140" t="e">
        <f>STDEV(B175:M175)</f>
        <v>#DIV/0!</v>
      </c>
      <c r="E64" s="193" t="s">
        <v>43</v>
      </c>
      <c r="F64" s="155">
        <v>3468</v>
      </c>
      <c r="G64" s="231">
        <v>72500</v>
      </c>
      <c r="H64" s="230">
        <f t="shared" si="54"/>
        <v>59321.599999999999</v>
      </c>
      <c r="J64" s="214">
        <f>SUM(J175:V175)</f>
        <v>0</v>
      </c>
      <c r="K64" s="127" t="e">
        <f>AVERAGE(J175:V175)</f>
        <v>#DIV/0!</v>
      </c>
      <c r="L64" s="140" t="e">
        <f>STDEV(J175:U175)</f>
        <v>#DIV/0!</v>
      </c>
      <c r="M64" s="193" t="s">
        <v>43</v>
      </c>
      <c r="N64" s="155">
        <v>3629</v>
      </c>
      <c r="O64" s="231">
        <v>63620</v>
      </c>
      <c r="P64" s="230">
        <f t="shared" si="55"/>
        <v>49829.8</v>
      </c>
    </row>
    <row r="65" spans="2:33">
      <c r="B65" s="132">
        <f>SUM(B61:B64)</f>
        <v>0</v>
      </c>
      <c r="C65" s="126" t="e">
        <f>AVERAGE(B172:S175)</f>
        <v>#DIV/0!</v>
      </c>
      <c r="D65" s="139" t="e">
        <f>STDEV(B172:S175)</f>
        <v>#DIV/0!</v>
      </c>
      <c r="E65" s="124"/>
      <c r="F65" s="138">
        <f t="shared" ref="F65:H65" si="56">SUM(F61:F64)</f>
        <v>10121</v>
      </c>
      <c r="G65" s="138">
        <f t="shared" si="56"/>
        <v>237510</v>
      </c>
      <c r="H65" s="138">
        <f t="shared" si="56"/>
        <v>199050.2</v>
      </c>
      <c r="J65" s="132">
        <f>SUM(J61:J64)</f>
        <v>0</v>
      </c>
      <c r="K65" s="126" t="e">
        <f>AVERAGE(J172:AA175)</f>
        <v>#DIV/0!</v>
      </c>
      <c r="L65" s="139" t="e">
        <f>STDEV(J172:AA175)</f>
        <v>#DIV/0!</v>
      </c>
      <c r="M65" s="124"/>
      <c r="N65" s="138">
        <f t="shared" ref="N65:P65" si="57">SUM(N61:N64)</f>
        <v>9212</v>
      </c>
      <c r="O65" s="138">
        <f t="shared" si="57"/>
        <v>177440</v>
      </c>
      <c r="P65" s="138">
        <f t="shared" si="57"/>
        <v>142434.40000000002</v>
      </c>
    </row>
    <row r="66" spans="2:33">
      <c r="B66" s="132">
        <f>AVERAGE(B61:B64)</f>
        <v>0</v>
      </c>
      <c r="C66" s="126"/>
      <c r="D66" s="139"/>
      <c r="E66" s="124"/>
      <c r="F66" s="138">
        <f t="shared" ref="F66:H66" si="58">AVERAGE(F61:F64)</f>
        <v>2530.25</v>
      </c>
      <c r="G66" s="138">
        <f t="shared" si="58"/>
        <v>59377.5</v>
      </c>
      <c r="H66" s="138">
        <f t="shared" si="58"/>
        <v>49762.55</v>
      </c>
      <c r="J66" s="132">
        <f>AVERAGE(J61:J64)</f>
        <v>0</v>
      </c>
      <c r="K66" s="126"/>
      <c r="L66" s="139"/>
      <c r="M66" s="124"/>
      <c r="N66" s="138">
        <f t="shared" ref="N66:P66" si="59">AVERAGE(N61:N64)</f>
        <v>2303</v>
      </c>
      <c r="O66" s="138">
        <f t="shared" si="59"/>
        <v>44360</v>
      </c>
      <c r="P66" s="138">
        <f t="shared" si="59"/>
        <v>35608.600000000006</v>
      </c>
    </row>
    <row r="67" spans="2:33" ht="15.75" thickBot="1">
      <c r="B67" s="132">
        <f>STDEV(B61:B64)</f>
        <v>0</v>
      </c>
      <c r="C67" s="126"/>
      <c r="D67" s="139"/>
      <c r="E67" s="124"/>
      <c r="F67" s="178">
        <f t="shared" ref="F67:H67" si="60">STDEV(F61:F64)</f>
        <v>982.76018607457502</v>
      </c>
      <c r="G67" s="178">
        <f t="shared" si="60"/>
        <v>17243.028301316448</v>
      </c>
      <c r="H67" s="178">
        <f t="shared" si="60"/>
        <v>13629.492405686538</v>
      </c>
      <c r="J67" s="132">
        <f>STDEV(J61:J64)</f>
        <v>0</v>
      </c>
      <c r="K67" s="126"/>
      <c r="L67" s="139"/>
      <c r="M67" s="124"/>
      <c r="N67" s="178">
        <f t="shared" ref="N67:P67" si="61">STDEV(N61:N64)</f>
        <v>1436.5542106025794</v>
      </c>
      <c r="O67" s="178">
        <f t="shared" si="61"/>
        <v>22434.88355218275</v>
      </c>
      <c r="P67" s="178">
        <f t="shared" si="61"/>
        <v>16987.418129898353</v>
      </c>
    </row>
    <row r="68" spans="2:33">
      <c r="B68" s="18"/>
      <c r="C68" s="18"/>
      <c r="D68" s="18"/>
      <c r="E68" s="124"/>
      <c r="F68" s="200">
        <f t="shared" ref="F68:H68" si="62">SUM(F46:F49,F53:F56,F61:F64)</f>
        <v>29455</v>
      </c>
      <c r="G68" s="200">
        <f t="shared" si="62"/>
        <v>716080</v>
      </c>
      <c r="H68" s="200">
        <f t="shared" si="62"/>
        <v>604151</v>
      </c>
      <c r="J68" s="18"/>
      <c r="K68" s="18"/>
      <c r="L68" s="18"/>
      <c r="M68" s="124"/>
      <c r="N68" s="200">
        <f t="shared" ref="N68:P68" si="63">SUM(N46:N49,N53:N56,N61:N64)</f>
        <v>25429</v>
      </c>
      <c r="O68" s="200">
        <f t="shared" si="63"/>
        <v>477020</v>
      </c>
      <c r="P68" s="200">
        <f t="shared" si="63"/>
        <v>380389.8</v>
      </c>
    </row>
    <row r="69" spans="2:33">
      <c r="B69" s="18"/>
      <c r="C69" s="18"/>
      <c r="D69" s="18"/>
      <c r="E69" s="124"/>
      <c r="F69" s="203">
        <f t="shared" ref="F69:H69" si="64">AVERAGE(F46:F49,F53:F56,F61:F64)</f>
        <v>2454.5833333333335</v>
      </c>
      <c r="G69" s="203">
        <f t="shared" si="64"/>
        <v>59673.333333333336</v>
      </c>
      <c r="H69" s="203">
        <f t="shared" si="64"/>
        <v>50345.916666666664</v>
      </c>
      <c r="J69" s="18"/>
      <c r="K69" s="18"/>
      <c r="L69" s="18"/>
      <c r="M69" s="124"/>
      <c r="N69" s="203">
        <f t="shared" ref="N69:P69" si="65">AVERAGE(N46:N49,N53:N56,N61:N64)</f>
        <v>2119.0833333333335</v>
      </c>
      <c r="O69" s="203">
        <f t="shared" si="65"/>
        <v>39751.666666666664</v>
      </c>
      <c r="P69" s="203">
        <f t="shared" si="65"/>
        <v>31699.149999999998</v>
      </c>
    </row>
    <row r="70" spans="2:33" ht="15.75" thickBot="1">
      <c r="B70" s="18"/>
      <c r="C70" s="18"/>
      <c r="D70" s="18"/>
      <c r="E70" s="124"/>
      <c r="F70" s="206">
        <f t="shared" ref="F70:H70" si="66">STDEV(F46:F49,F53:F56,F61:F64,)</f>
        <v>1053.9982727568195</v>
      </c>
      <c r="G70" s="206">
        <f t="shared" si="66"/>
        <v>21384.358530093672</v>
      </c>
      <c r="H70" s="206">
        <f t="shared" si="66"/>
        <v>17596.562477588981</v>
      </c>
      <c r="J70" s="18"/>
      <c r="K70" s="18"/>
      <c r="L70" s="18"/>
      <c r="M70" s="124"/>
      <c r="N70" s="206">
        <f t="shared" ref="N70:P70" si="67">STDEV(N46:N49,N53:N56,N61:N64,)</f>
        <v>1304.7340381305341</v>
      </c>
      <c r="O70" s="206">
        <f t="shared" si="67"/>
        <v>19870.693050512662</v>
      </c>
      <c r="P70" s="206">
        <f t="shared" si="67"/>
        <v>15016.041014673578</v>
      </c>
    </row>
    <row r="72" spans="2:33" ht="15.75" thickBot="1"/>
    <row r="73" spans="2:33" ht="15.75" thickBot="1">
      <c r="F73" s="155">
        <v>739</v>
      </c>
      <c r="G73" s="155">
        <v>23220</v>
      </c>
      <c r="H73" s="191">
        <f>G73-F73*$L$1</f>
        <v>20411.8</v>
      </c>
      <c r="J73" s="692" t="s">
        <v>154</v>
      </c>
      <c r="K73" s="692"/>
      <c r="L73" s="692"/>
      <c r="M73" s="692"/>
      <c r="N73" s="692"/>
      <c r="O73" s="692"/>
      <c r="P73" s="692"/>
      <c r="R73" t="s">
        <v>156</v>
      </c>
      <c r="S73" t="s">
        <v>155</v>
      </c>
      <c r="V73" t="s">
        <v>156</v>
      </c>
      <c r="W73" t="s">
        <v>158</v>
      </c>
      <c r="AA73" t="s">
        <v>157</v>
      </c>
      <c r="AB73" t="s">
        <v>155</v>
      </c>
      <c r="AE73" t="s">
        <v>157</v>
      </c>
      <c r="AF73" t="s">
        <v>158</v>
      </c>
    </row>
    <row r="74" spans="2:33" ht="15.75" thickBot="1">
      <c r="F74" s="155">
        <v>1541</v>
      </c>
      <c r="G74" s="155">
        <v>42710</v>
      </c>
      <c r="H74" s="191">
        <f t="shared" ref="H74:H76" si="68">G74-F74*$L$1</f>
        <v>36854.199999999997</v>
      </c>
      <c r="J74" s="172" t="s">
        <v>119</v>
      </c>
      <c r="K74" s="172"/>
      <c r="L74" s="172"/>
      <c r="M74" s="173"/>
      <c r="N74" s="172" t="s">
        <v>20</v>
      </c>
      <c r="O74" s="172" t="s">
        <v>20</v>
      </c>
      <c r="P74" s="172" t="s">
        <v>20</v>
      </c>
      <c r="R74" s="172" t="s">
        <v>152</v>
      </c>
      <c r="S74" s="172" t="s">
        <v>152</v>
      </c>
      <c r="T74" s="172" t="s">
        <v>152</v>
      </c>
      <c r="V74" s="172" t="s">
        <v>152</v>
      </c>
      <c r="W74" s="172" t="s">
        <v>152</v>
      </c>
      <c r="X74" s="172" t="s">
        <v>152</v>
      </c>
      <c r="AA74" s="172" t="s">
        <v>152</v>
      </c>
      <c r="AB74" s="172" t="s">
        <v>152</v>
      </c>
      <c r="AC74" s="172" t="s">
        <v>152</v>
      </c>
      <c r="AE74" s="172" t="s">
        <v>152</v>
      </c>
      <c r="AF74" s="172" t="s">
        <v>152</v>
      </c>
      <c r="AG74" s="172" t="s">
        <v>152</v>
      </c>
    </row>
    <row r="75" spans="2:33" ht="15.75" thickBot="1">
      <c r="F75" s="155">
        <v>2050</v>
      </c>
      <c r="G75" s="231">
        <v>51670</v>
      </c>
      <c r="H75" s="230">
        <f t="shared" si="68"/>
        <v>43880</v>
      </c>
      <c r="J75" s="187">
        <f>SUM(J186:V186)</f>
        <v>0</v>
      </c>
      <c r="K75" s="188" t="e">
        <f>AVERAGE(J186:V186)</f>
        <v>#DIV/0!</v>
      </c>
      <c r="L75" s="189" t="e">
        <f>STDEV(J186:U186)</f>
        <v>#DIV/0!</v>
      </c>
      <c r="M75" s="190" t="s">
        <v>40</v>
      </c>
      <c r="N75" s="192">
        <v>271</v>
      </c>
      <c r="O75" s="192">
        <v>15870</v>
      </c>
      <c r="P75" s="191">
        <f>O75-N75*$L$1</f>
        <v>14840.2</v>
      </c>
      <c r="Q75">
        <v>1000</v>
      </c>
      <c r="R75" s="192">
        <v>364</v>
      </c>
      <c r="S75" s="192">
        <v>11980</v>
      </c>
      <c r="T75" s="191">
        <f>S75-R75*$L$1</f>
        <v>10596.8</v>
      </c>
      <c r="U75">
        <v>1000</v>
      </c>
      <c r="V75" s="192">
        <v>355</v>
      </c>
      <c r="W75" s="192">
        <v>8920</v>
      </c>
      <c r="X75" s="191">
        <f>W75-V75*$L$1</f>
        <v>7571</v>
      </c>
      <c r="Z75">
        <v>1000</v>
      </c>
      <c r="AA75" s="192">
        <v>340</v>
      </c>
      <c r="AB75" s="192">
        <v>12440</v>
      </c>
      <c r="AC75" s="191">
        <f>AB75-AA75*$L$1</f>
        <v>11148</v>
      </c>
      <c r="AD75">
        <v>1000</v>
      </c>
      <c r="AE75" s="192">
        <v>317</v>
      </c>
      <c r="AF75" s="192">
        <v>7350</v>
      </c>
      <c r="AG75" s="191">
        <f>AF75-AE75*$L$1</f>
        <v>6145.4</v>
      </c>
    </row>
    <row r="76" spans="2:33" ht="15.75" thickBot="1">
      <c r="F76" s="155">
        <v>2672</v>
      </c>
      <c r="G76" s="231">
        <v>55440</v>
      </c>
      <c r="H76" s="230">
        <f t="shared" si="68"/>
        <v>45286.400000000001</v>
      </c>
      <c r="J76" s="134">
        <f>SUM(J187:V187)</f>
        <v>0</v>
      </c>
      <c r="K76" s="128" t="e">
        <f>AVERAGE(J187:V187)</f>
        <v>#DIV/0!</v>
      </c>
      <c r="L76" s="141" t="e">
        <f>STDEV(J187:U187)</f>
        <v>#DIV/0!</v>
      </c>
      <c r="M76" s="193" t="s">
        <v>41</v>
      </c>
      <c r="N76" s="194">
        <v>960</v>
      </c>
      <c r="O76" s="194">
        <v>35830</v>
      </c>
      <c r="P76" s="191">
        <f t="shared" ref="P76:P78" si="69">O76-N76*$L$1</f>
        <v>32182</v>
      </c>
      <c r="R76" s="194">
        <v>541</v>
      </c>
      <c r="S76" s="194">
        <v>8950</v>
      </c>
      <c r="T76" s="191">
        <f t="shared" ref="T76:T78" si="70">S76-R76*$L$1</f>
        <v>6894.2000000000007</v>
      </c>
      <c r="V76" s="194">
        <v>511</v>
      </c>
      <c r="W76" s="194">
        <v>7450</v>
      </c>
      <c r="X76" s="191">
        <f t="shared" ref="X76:X78" si="71">W76-V76*$L$1</f>
        <v>5508.2</v>
      </c>
      <c r="AA76" s="194">
        <v>532</v>
      </c>
      <c r="AB76" s="194">
        <v>13840</v>
      </c>
      <c r="AC76" s="191">
        <f t="shared" ref="AC76:AC78" si="72">AB76-AA76*$L$1</f>
        <v>11818.4</v>
      </c>
      <c r="AE76" s="194">
        <v>507</v>
      </c>
      <c r="AF76" s="194">
        <v>13360</v>
      </c>
      <c r="AG76" s="191">
        <f t="shared" ref="AG76:AG78" si="73">AF76-AE76*$L$1</f>
        <v>11433.4</v>
      </c>
    </row>
    <row r="77" spans="2:33" ht="15.75" thickBot="1">
      <c r="F77" s="138">
        <f t="shared" ref="F77:H77" si="74">SUM(F73:F76)</f>
        <v>7002</v>
      </c>
      <c r="G77" s="138">
        <f t="shared" si="74"/>
        <v>173040</v>
      </c>
      <c r="H77" s="138">
        <f t="shared" si="74"/>
        <v>146432.4</v>
      </c>
      <c r="J77" s="214">
        <f>SUM(J188:V188)</f>
        <v>0</v>
      </c>
      <c r="K77" s="128" t="e">
        <f>AVERAGE(J188:V188)</f>
        <v>#DIV/0!</v>
      </c>
      <c r="L77" s="141" t="e">
        <f>STDEV(J188:U188)</f>
        <v>#DIV/0!</v>
      </c>
      <c r="M77" s="193" t="s">
        <v>42</v>
      </c>
      <c r="N77" s="194">
        <v>1472</v>
      </c>
      <c r="O77" s="194">
        <v>75930</v>
      </c>
      <c r="P77" s="239">
        <f t="shared" si="69"/>
        <v>70336.399999999994</v>
      </c>
      <c r="Q77">
        <v>750</v>
      </c>
      <c r="R77" s="194">
        <v>451</v>
      </c>
      <c r="S77" s="194">
        <v>10610</v>
      </c>
      <c r="T77" s="239">
        <f t="shared" si="70"/>
        <v>8896.2000000000007</v>
      </c>
      <c r="U77">
        <v>750</v>
      </c>
      <c r="V77" s="194">
        <v>428</v>
      </c>
      <c r="W77" s="194">
        <v>8770</v>
      </c>
      <c r="X77" s="239">
        <f t="shared" si="71"/>
        <v>7143.6</v>
      </c>
      <c r="Z77">
        <v>750</v>
      </c>
      <c r="AA77" s="194">
        <v>415</v>
      </c>
      <c r="AB77" s="194">
        <v>13140</v>
      </c>
      <c r="AC77" s="239">
        <f t="shared" si="72"/>
        <v>11563</v>
      </c>
      <c r="AD77">
        <v>750</v>
      </c>
      <c r="AE77" s="194">
        <v>385</v>
      </c>
      <c r="AF77" s="194">
        <v>6830</v>
      </c>
      <c r="AG77" s="239">
        <f t="shared" si="73"/>
        <v>5367</v>
      </c>
    </row>
    <row r="78" spans="2:33">
      <c r="F78" s="138">
        <f t="shared" ref="F78:H78" si="75">AVERAGE(F73:F76)</f>
        <v>1750.5</v>
      </c>
      <c r="G78" s="138">
        <f t="shared" si="75"/>
        <v>43260</v>
      </c>
      <c r="H78" s="138">
        <f t="shared" si="75"/>
        <v>36608.1</v>
      </c>
      <c r="J78" s="214">
        <f>SUM(J189:V189)</f>
        <v>0</v>
      </c>
      <c r="K78" s="128" t="e">
        <f>AVERAGE(J189:V189)</f>
        <v>#DIV/0!</v>
      </c>
      <c r="L78" s="141" t="e">
        <f>STDEV(J189:U189)</f>
        <v>#DIV/0!</v>
      </c>
      <c r="M78" s="193" t="s">
        <v>43</v>
      </c>
      <c r="N78" s="194">
        <v>1775</v>
      </c>
      <c r="O78" s="228">
        <v>52930</v>
      </c>
      <c r="P78" s="191">
        <f t="shared" si="69"/>
        <v>46185</v>
      </c>
      <c r="R78" s="194">
        <v>590</v>
      </c>
      <c r="S78" s="228">
        <v>13830</v>
      </c>
      <c r="T78" s="191">
        <f t="shared" si="70"/>
        <v>11588</v>
      </c>
      <c r="V78" s="194">
        <v>555</v>
      </c>
      <c r="W78" s="228">
        <v>13080</v>
      </c>
      <c r="X78" s="191">
        <f t="shared" si="71"/>
        <v>10971</v>
      </c>
      <c r="AA78" s="194">
        <v>568</v>
      </c>
      <c r="AB78" s="228">
        <v>15140</v>
      </c>
      <c r="AC78" s="191">
        <f t="shared" si="72"/>
        <v>12981.6</v>
      </c>
      <c r="AE78" s="194">
        <v>536</v>
      </c>
      <c r="AF78" s="228">
        <v>12010</v>
      </c>
      <c r="AG78" s="191">
        <f t="shared" si="73"/>
        <v>9973.2000000000007</v>
      </c>
    </row>
    <row r="79" spans="2:33" ht="15.75" thickBot="1">
      <c r="F79" s="178">
        <f t="shared" ref="F79:H79" si="76">STDEV(F73:F76)</f>
        <v>817.69696913546977</v>
      </c>
      <c r="G79" s="178">
        <f t="shared" si="76"/>
        <v>14387.31617316679</v>
      </c>
      <c r="H79" s="178">
        <f t="shared" si="76"/>
        <v>11410.143431759898</v>
      </c>
      <c r="J79" s="132">
        <f>SUM(J75:J78)</f>
        <v>0</v>
      </c>
      <c r="K79" s="126" t="e">
        <f>AVERAGE(J186:AA189)</f>
        <v>#DIV/0!</v>
      </c>
      <c r="L79" s="139" t="e">
        <f>STDEV(J186:AA189)</f>
        <v>#DIV/0!</v>
      </c>
      <c r="M79" s="124"/>
      <c r="N79" s="207">
        <f t="shared" ref="N79:P79" si="77">SUM(N75:N78)</f>
        <v>4478</v>
      </c>
      <c r="O79" s="207">
        <f t="shared" si="77"/>
        <v>180560</v>
      </c>
      <c r="P79" s="207">
        <f t="shared" si="77"/>
        <v>163543.59999999998</v>
      </c>
      <c r="R79" s="207">
        <f t="shared" ref="R79:T79" si="78">SUM(R75:R78)</f>
        <v>1946</v>
      </c>
      <c r="S79" s="207">
        <f t="shared" si="78"/>
        <v>45370</v>
      </c>
      <c r="T79" s="207">
        <f t="shared" si="78"/>
        <v>37975.199999999997</v>
      </c>
      <c r="V79" s="207">
        <f t="shared" ref="V79:X79" si="79">SUM(V75:V78)</f>
        <v>1849</v>
      </c>
      <c r="W79" s="207">
        <f t="shared" si="79"/>
        <v>38220</v>
      </c>
      <c r="X79" s="207">
        <f t="shared" si="79"/>
        <v>31193.800000000003</v>
      </c>
      <c r="AA79" s="207">
        <f t="shared" ref="AA79:AC79" si="80">SUM(AA75:AA78)</f>
        <v>1855</v>
      </c>
      <c r="AB79" s="207">
        <f t="shared" si="80"/>
        <v>54560</v>
      </c>
      <c r="AC79" s="207">
        <f t="shared" si="80"/>
        <v>47511</v>
      </c>
      <c r="AE79" s="207">
        <f t="shared" ref="AE79:AG79" si="81">SUM(AE75:AE78)</f>
        <v>1745</v>
      </c>
      <c r="AF79" s="207">
        <f t="shared" si="81"/>
        <v>39550</v>
      </c>
      <c r="AG79" s="207">
        <f t="shared" si="81"/>
        <v>32919</v>
      </c>
    </row>
    <row r="80" spans="2:33">
      <c r="J80" s="132">
        <f>AVERAGE(J75:J78)</f>
        <v>0</v>
      </c>
      <c r="K80" s="126"/>
      <c r="L80" s="139"/>
      <c r="M80" s="124"/>
      <c r="N80" s="138">
        <f t="shared" ref="N80:P80" si="82">AVERAGE(N75:N78)</f>
        <v>1119.5</v>
      </c>
      <c r="O80" s="138">
        <f t="shared" si="82"/>
        <v>45140</v>
      </c>
      <c r="P80" s="138">
        <f t="shared" si="82"/>
        <v>40885.899999999994</v>
      </c>
      <c r="R80" s="138">
        <f t="shared" ref="R80:T80" si="83">AVERAGE(R75:R78)</f>
        <v>486.5</v>
      </c>
      <c r="S80" s="138">
        <f t="shared" si="83"/>
        <v>11342.5</v>
      </c>
      <c r="T80" s="138">
        <f t="shared" si="83"/>
        <v>9493.7999999999993</v>
      </c>
      <c r="V80" s="138">
        <f t="shared" ref="V80:X80" si="84">AVERAGE(V75:V78)</f>
        <v>462.25</v>
      </c>
      <c r="W80" s="138">
        <f t="shared" si="84"/>
        <v>9555</v>
      </c>
      <c r="X80" s="138">
        <f t="shared" si="84"/>
        <v>7798.4500000000007</v>
      </c>
      <c r="AA80" s="138">
        <f t="shared" ref="AA80:AC80" si="85">AVERAGE(AA75:AA78)</f>
        <v>463.75</v>
      </c>
      <c r="AB80" s="138">
        <f t="shared" si="85"/>
        <v>13640</v>
      </c>
      <c r="AC80" s="138">
        <f t="shared" si="85"/>
        <v>11877.75</v>
      </c>
      <c r="AE80" s="138">
        <f t="shared" ref="AE80:AG80" si="86">AVERAGE(AE75:AE78)</f>
        <v>436.25</v>
      </c>
      <c r="AF80" s="138">
        <f t="shared" si="86"/>
        <v>9887.5</v>
      </c>
      <c r="AG80" s="138">
        <f t="shared" si="86"/>
        <v>8229.75</v>
      </c>
    </row>
    <row r="81" spans="10:33" ht="15.75" thickBot="1">
      <c r="J81" s="169">
        <f>STDEV(J75:J78)</f>
        <v>0</v>
      </c>
      <c r="K81" s="170"/>
      <c r="L81" s="171"/>
      <c r="M81" s="124"/>
      <c r="N81" s="178">
        <f t="shared" ref="N81:P81" si="87">STDEV(N75:N78)</f>
        <v>658.11067964793483</v>
      </c>
      <c r="O81" s="178">
        <f t="shared" si="87"/>
        <v>25508.934382551801</v>
      </c>
      <c r="P81" s="178">
        <f t="shared" si="87"/>
        <v>23448.871861705138</v>
      </c>
      <c r="R81" s="178">
        <f t="shared" ref="R81:T81" si="88">STDEV(R75:R78)</f>
        <v>99.914963844261081</v>
      </c>
      <c r="S81" s="178">
        <f t="shared" si="88"/>
        <v>2069.9979871165738</v>
      </c>
      <c r="T81" s="178">
        <f t="shared" si="88"/>
        <v>2058.9097891845627</v>
      </c>
      <c r="V81" s="178">
        <f t="shared" ref="V81:X81" si="89">STDEV(V75:V78)</f>
        <v>88.797053254410798</v>
      </c>
      <c r="W81" s="178">
        <f t="shared" si="89"/>
        <v>2441.0448582523018</v>
      </c>
      <c r="X81" s="178">
        <f t="shared" si="89"/>
        <v>2294.259545764889</v>
      </c>
      <c r="AA81" s="178">
        <f t="shared" ref="AA81:AC81" si="90">STDEV(AA75:AA78)</f>
        <v>105.22475944377349</v>
      </c>
      <c r="AB81" s="178">
        <f t="shared" si="90"/>
        <v>1151.8101695447331</v>
      </c>
      <c r="AC81" s="178">
        <f t="shared" si="90"/>
        <v>786.04704481771842</v>
      </c>
      <c r="AE81" s="178">
        <f t="shared" ref="AE81:AG81" si="91">STDEV(AE75:AE78)</f>
        <v>102.9607530404992</v>
      </c>
      <c r="AF81" s="178">
        <f t="shared" si="91"/>
        <v>3283.8227215650154</v>
      </c>
      <c r="AG81" s="178">
        <f t="shared" si="91"/>
        <v>2935.0095803364356</v>
      </c>
    </row>
    <row r="82" spans="10:33" ht="15.75" thickBot="1">
      <c r="J82" s="133">
        <f>SUM(J193:V193)</f>
        <v>0</v>
      </c>
      <c r="K82" s="127" t="e">
        <f>AVERAGE(J193:V193)</f>
        <v>#DIV/0!</v>
      </c>
      <c r="L82" s="140" t="e">
        <f>STDEV(J193:U193)</f>
        <v>#DIV/0!</v>
      </c>
      <c r="M82" s="190" t="s">
        <v>40</v>
      </c>
      <c r="N82" s="155">
        <v>271</v>
      </c>
      <c r="O82" s="155">
        <v>22930</v>
      </c>
      <c r="P82" s="191">
        <f>O82-N82*$L$1</f>
        <v>21900.2</v>
      </c>
      <c r="Q82">
        <v>500</v>
      </c>
      <c r="R82" s="155">
        <v>572</v>
      </c>
      <c r="S82" s="155">
        <v>12430</v>
      </c>
      <c r="T82" s="191">
        <f>S82-R82*$L$1</f>
        <v>10256.4</v>
      </c>
      <c r="U82">
        <v>500</v>
      </c>
      <c r="V82" s="155">
        <v>550</v>
      </c>
      <c r="W82" s="155">
        <v>13490</v>
      </c>
      <c r="X82" s="191">
        <f>W82-V82*$L$1</f>
        <v>11400</v>
      </c>
      <c r="Z82">
        <v>500</v>
      </c>
      <c r="AA82" s="155">
        <v>529</v>
      </c>
      <c r="AB82" s="155">
        <v>7130</v>
      </c>
      <c r="AC82" s="191">
        <f>AB82-AA82*$L$1</f>
        <v>5119.8</v>
      </c>
      <c r="AD82">
        <v>500</v>
      </c>
      <c r="AE82" s="155">
        <v>490</v>
      </c>
      <c r="AF82" s="155">
        <v>3570</v>
      </c>
      <c r="AG82" s="191">
        <f>AF82-AE82*$L$1</f>
        <v>1708</v>
      </c>
    </row>
    <row r="83" spans="10:33" ht="15.75" thickBot="1">
      <c r="J83" s="133">
        <f>SUM(J194:V194)</f>
        <v>0</v>
      </c>
      <c r="K83" s="127" t="e">
        <f>AVERAGE(J194:V194)</f>
        <v>#DIV/0!</v>
      </c>
      <c r="L83" s="140" t="e">
        <f>STDEV(J194:U194)</f>
        <v>#DIV/0!</v>
      </c>
      <c r="M83" s="193" t="s">
        <v>41</v>
      </c>
      <c r="N83" s="155">
        <v>991</v>
      </c>
      <c r="O83" s="155">
        <v>42050</v>
      </c>
      <c r="P83" s="191">
        <f>O83-N83*$L$1</f>
        <v>38284.199999999997</v>
      </c>
      <c r="R83" s="155">
        <v>680</v>
      </c>
      <c r="S83" s="155">
        <v>12640</v>
      </c>
      <c r="T83" s="191">
        <f>S83-R83*$L$1</f>
        <v>10056</v>
      </c>
      <c r="V83" s="155">
        <v>643</v>
      </c>
      <c r="W83" s="155">
        <v>12240</v>
      </c>
      <c r="X83" s="191">
        <f>W83-V83*$L$1</f>
        <v>9796.6</v>
      </c>
      <c r="AA83" s="155">
        <v>635</v>
      </c>
      <c r="AB83" s="155">
        <v>11540</v>
      </c>
      <c r="AC83" s="191">
        <f>AB83-AA83*$L$1</f>
        <v>9127</v>
      </c>
      <c r="AE83" s="155">
        <v>599</v>
      </c>
      <c r="AF83" s="155">
        <v>10630</v>
      </c>
      <c r="AG83" s="191">
        <f>AF83-AE83*$L$1</f>
        <v>8353.7999999999993</v>
      </c>
    </row>
    <row r="84" spans="10:33" ht="15.75" thickBot="1">
      <c r="J84" s="214">
        <f>SUM(J195:V195)</f>
        <v>0</v>
      </c>
      <c r="K84" s="127" t="e">
        <f>AVERAGE(J195:V195)</f>
        <v>#DIV/0!</v>
      </c>
      <c r="L84" s="140" t="e">
        <f>STDEV(J195:U195)</f>
        <v>#DIV/0!</v>
      </c>
      <c r="M84" s="193" t="s">
        <v>42</v>
      </c>
      <c r="N84" s="155">
        <v>1606</v>
      </c>
      <c r="O84" s="229">
        <v>80200</v>
      </c>
      <c r="P84" s="239">
        <f t="shared" ref="P84:P85" si="92">O84-N84*$L$1</f>
        <v>74097.2</v>
      </c>
      <c r="Q84">
        <v>425</v>
      </c>
      <c r="R84" s="155">
        <v>600</v>
      </c>
      <c r="S84" s="229">
        <v>10270</v>
      </c>
      <c r="T84" s="239">
        <f t="shared" ref="T84:T85" si="93">S84-R84*$L$1</f>
        <v>7990</v>
      </c>
      <c r="U84">
        <v>425</v>
      </c>
      <c r="V84" s="155">
        <v>590</v>
      </c>
      <c r="W84" s="229">
        <v>8330</v>
      </c>
      <c r="X84" s="239">
        <f t="shared" ref="X84:X85" si="94">W84-V84*$L$1</f>
        <v>6088</v>
      </c>
      <c r="Z84">
        <v>425</v>
      </c>
      <c r="AA84" s="155">
        <v>550</v>
      </c>
      <c r="AB84" s="229">
        <v>5510</v>
      </c>
      <c r="AC84" s="239">
        <f t="shared" ref="AC84:AC85" si="95">AB84-AA84*$L$1</f>
        <v>3420</v>
      </c>
      <c r="AD84">
        <v>425</v>
      </c>
      <c r="AE84" s="155">
        <v>527</v>
      </c>
      <c r="AF84" s="229">
        <v>7870</v>
      </c>
      <c r="AG84" s="239">
        <f t="shared" ref="AG84:AG85" si="96">AF84-AE84*$L$1</f>
        <v>5867.4</v>
      </c>
    </row>
    <row r="85" spans="10:33">
      <c r="J85" s="133">
        <f>SUM(J196:V196)</f>
        <v>0</v>
      </c>
      <c r="K85" s="127" t="e">
        <f>AVERAGE(J196:V196)</f>
        <v>#DIV/0!</v>
      </c>
      <c r="L85" s="140" t="e">
        <f>STDEV(J196:U196)</f>
        <v>#DIV/0!</v>
      </c>
      <c r="M85" s="193" t="s">
        <v>43</v>
      </c>
      <c r="N85" s="155">
        <v>1882</v>
      </c>
      <c r="O85" s="155">
        <v>67540</v>
      </c>
      <c r="P85" s="239">
        <f t="shared" si="92"/>
        <v>60388.4</v>
      </c>
      <c r="R85" s="155">
        <v>703</v>
      </c>
      <c r="S85" s="155">
        <v>12460</v>
      </c>
      <c r="T85" s="239">
        <f t="shared" si="93"/>
        <v>9788.6</v>
      </c>
      <c r="V85" s="155">
        <v>677</v>
      </c>
      <c r="W85" s="155">
        <v>8490</v>
      </c>
      <c r="X85" s="239">
        <f t="shared" si="94"/>
        <v>5917.4</v>
      </c>
      <c r="AA85" s="155">
        <v>657</v>
      </c>
      <c r="AB85" s="155">
        <v>8670</v>
      </c>
      <c r="AC85" s="239">
        <f t="shared" si="95"/>
        <v>6173.4</v>
      </c>
      <c r="AE85" s="155">
        <v>626</v>
      </c>
      <c r="AF85" s="155">
        <v>9230</v>
      </c>
      <c r="AG85" s="239">
        <f t="shared" si="96"/>
        <v>6851.2000000000007</v>
      </c>
    </row>
    <row r="86" spans="10:33">
      <c r="J86" s="132">
        <f>SUM(J82:J85)</f>
        <v>0</v>
      </c>
      <c r="K86" s="126" t="e">
        <f>AVERAGE(J193:AA196)</f>
        <v>#DIV/0!</v>
      </c>
      <c r="L86" s="139" t="e">
        <f>STDEV(J193:AA196)</f>
        <v>#DIV/0!</v>
      </c>
      <c r="M86" s="124"/>
      <c r="N86" s="138">
        <f t="shared" ref="N86:P86" si="97">SUM(N82:N85)</f>
        <v>4750</v>
      </c>
      <c r="O86" s="138">
        <f t="shared" si="97"/>
        <v>212720</v>
      </c>
      <c r="P86" s="138">
        <f t="shared" si="97"/>
        <v>194669.99999999997</v>
      </c>
      <c r="R86" s="138">
        <f t="shared" ref="R86:T86" si="98">SUM(R82:R85)</f>
        <v>2555</v>
      </c>
      <c r="S86" s="138">
        <f t="shared" si="98"/>
        <v>47800</v>
      </c>
      <c r="T86" s="138">
        <f t="shared" si="98"/>
        <v>38091</v>
      </c>
      <c r="V86" s="138">
        <f t="shared" ref="V86:X86" si="99">SUM(V82:V85)</f>
        <v>2460</v>
      </c>
      <c r="W86" s="138">
        <f t="shared" si="99"/>
        <v>42550</v>
      </c>
      <c r="X86" s="138">
        <f t="shared" si="99"/>
        <v>33202</v>
      </c>
      <c r="AA86" s="138">
        <f t="shared" ref="AA86:AC86" si="100">SUM(AA82:AA85)</f>
        <v>2371</v>
      </c>
      <c r="AB86" s="138">
        <f t="shared" si="100"/>
        <v>32850</v>
      </c>
      <c r="AC86" s="138">
        <f t="shared" si="100"/>
        <v>23840.199999999997</v>
      </c>
      <c r="AE86" s="138">
        <f t="shared" ref="AE86:AG86" si="101">SUM(AE82:AE85)</f>
        <v>2242</v>
      </c>
      <c r="AF86" s="138">
        <f t="shared" si="101"/>
        <v>31300</v>
      </c>
      <c r="AG86" s="138">
        <f t="shared" si="101"/>
        <v>22780.400000000001</v>
      </c>
    </row>
    <row r="87" spans="10:33">
      <c r="J87" s="132">
        <f>AVERAGE(J82:J85)</f>
        <v>0</v>
      </c>
      <c r="K87" s="126"/>
      <c r="L87" s="139"/>
      <c r="M87" s="124"/>
      <c r="N87" s="138">
        <f t="shared" ref="N87:P87" si="102">AVERAGE(N82:N85)</f>
        <v>1187.5</v>
      </c>
      <c r="O87" s="138">
        <f t="shared" si="102"/>
        <v>53180</v>
      </c>
      <c r="P87" s="138">
        <f t="shared" si="102"/>
        <v>48667.499999999993</v>
      </c>
      <c r="R87" s="138">
        <f t="shared" ref="R87:T87" si="103">AVERAGE(R82:R85)</f>
        <v>638.75</v>
      </c>
      <c r="S87" s="138">
        <f t="shared" si="103"/>
        <v>11950</v>
      </c>
      <c r="T87" s="138">
        <f t="shared" si="103"/>
        <v>9522.75</v>
      </c>
      <c r="V87" s="138">
        <f t="shared" ref="V87:X87" si="104">AVERAGE(V82:V85)</f>
        <v>615</v>
      </c>
      <c r="W87" s="138">
        <f t="shared" si="104"/>
        <v>10637.5</v>
      </c>
      <c r="X87" s="138">
        <f t="shared" si="104"/>
        <v>8300.5</v>
      </c>
      <c r="AA87" s="138">
        <f t="shared" ref="AA87:AC87" si="105">AVERAGE(AA82:AA85)</f>
        <v>592.75</v>
      </c>
      <c r="AB87" s="138">
        <f t="shared" si="105"/>
        <v>8212.5</v>
      </c>
      <c r="AC87" s="138">
        <f t="shared" si="105"/>
        <v>5960.0499999999993</v>
      </c>
      <c r="AE87" s="138">
        <f t="shared" ref="AE87:AG87" si="106">AVERAGE(AE82:AE85)</f>
        <v>560.5</v>
      </c>
      <c r="AF87" s="138">
        <f t="shared" si="106"/>
        <v>7825</v>
      </c>
      <c r="AG87" s="138">
        <f t="shared" si="106"/>
        <v>5695.1</v>
      </c>
    </row>
    <row r="88" spans="10:33" ht="15.75" thickBot="1">
      <c r="J88" s="169">
        <f>STDEV(J82:J85)</f>
        <v>0</v>
      </c>
      <c r="K88" s="170"/>
      <c r="L88" s="171"/>
      <c r="M88" s="144"/>
      <c r="N88" s="178">
        <f t="shared" ref="N88:P88" si="107">STDEV(N82:N85)</f>
        <v>715.55502933037928</v>
      </c>
      <c r="O88" s="178">
        <f t="shared" si="107"/>
        <v>25659.497267093913</v>
      </c>
      <c r="P88" s="178">
        <f t="shared" si="107"/>
        <v>23154.196214941254</v>
      </c>
      <c r="R88" s="178">
        <f t="shared" ref="R88:T88" si="108">STDEV(R82:R85)</f>
        <v>62.68107103956239</v>
      </c>
      <c r="S88" s="178">
        <f t="shared" si="108"/>
        <v>1123.8327277669039</v>
      </c>
      <c r="T88" s="178">
        <f t="shared" si="108"/>
        <v>1039.6468422818648</v>
      </c>
      <c r="V88" s="178">
        <f t="shared" ref="V88:X88" si="109">STDEV(V82:V85)</f>
        <v>56.207947243546741</v>
      </c>
      <c r="W88" s="178">
        <f t="shared" si="109"/>
        <v>2623.0437154827086</v>
      </c>
      <c r="X88" s="178">
        <f t="shared" si="109"/>
        <v>2733.7115990291777</v>
      </c>
      <c r="AA88" s="178">
        <f t="shared" ref="AA88:AC88" si="110">STDEV(AA82:AA85)</f>
        <v>62.728914119938871</v>
      </c>
      <c r="AB88" s="178">
        <f t="shared" si="110"/>
        <v>2566.2472601056975</v>
      </c>
      <c r="AC88" s="178">
        <f t="shared" si="110"/>
        <v>2396.7314263387984</v>
      </c>
      <c r="AE88" s="178">
        <f t="shared" ref="AE88:AG88" si="111">STDEV(AE82:AE85)</f>
        <v>62.888790734120498</v>
      </c>
      <c r="AF88" s="178">
        <f t="shared" si="111"/>
        <v>3052.2723775355739</v>
      </c>
      <c r="AG88" s="178">
        <f t="shared" si="111"/>
        <v>2847.9177539622383</v>
      </c>
    </row>
    <row r="89" spans="10:33" ht="15.75" thickBot="1">
      <c r="J89" s="172" t="s">
        <v>14</v>
      </c>
      <c r="K89" s="172"/>
      <c r="L89" s="172"/>
      <c r="M89" s="173"/>
      <c r="N89" s="172" t="s">
        <v>20</v>
      </c>
      <c r="O89" s="172" t="s">
        <v>20</v>
      </c>
      <c r="P89" s="172" t="s">
        <v>20</v>
      </c>
      <c r="R89" s="172" t="s">
        <v>20</v>
      </c>
      <c r="S89" s="172" t="s">
        <v>20</v>
      </c>
      <c r="T89" s="172" t="s">
        <v>20</v>
      </c>
      <c r="V89" s="172" t="s">
        <v>20</v>
      </c>
      <c r="W89" s="172" t="s">
        <v>20</v>
      </c>
      <c r="X89" s="172" t="s">
        <v>20</v>
      </c>
      <c r="AA89" s="172" t="s">
        <v>20</v>
      </c>
      <c r="AB89" s="172" t="s">
        <v>20</v>
      </c>
      <c r="AC89" s="172" t="s">
        <v>20</v>
      </c>
      <c r="AE89" s="172" t="s">
        <v>20</v>
      </c>
      <c r="AF89" s="172" t="s">
        <v>20</v>
      </c>
      <c r="AG89" s="172" t="s">
        <v>20</v>
      </c>
    </row>
    <row r="90" spans="10:33" ht="15.75" thickBot="1">
      <c r="J90" s="133">
        <f>SUM(J201:V201)</f>
        <v>0</v>
      </c>
      <c r="K90" s="127" t="e">
        <f>AVERAGE(J201:V201)</f>
        <v>#DIV/0!</v>
      </c>
      <c r="L90" s="140" t="e">
        <f>STDEV(J201:U201)</f>
        <v>#DIV/0!</v>
      </c>
      <c r="M90" s="190" t="s">
        <v>40</v>
      </c>
      <c r="N90" s="155">
        <v>321</v>
      </c>
      <c r="O90" s="155">
        <v>27720</v>
      </c>
      <c r="P90" s="191">
        <f>O90-N90*$L$1</f>
        <v>26500.2</v>
      </c>
      <c r="Q90">
        <v>350</v>
      </c>
      <c r="R90" s="155">
        <v>673</v>
      </c>
      <c r="S90" s="155">
        <v>8660</v>
      </c>
      <c r="T90" s="191">
        <f>S90-R90*$L$1</f>
        <v>6102.6</v>
      </c>
      <c r="U90">
        <v>350</v>
      </c>
      <c r="V90" s="155">
        <v>650</v>
      </c>
      <c r="W90" s="155">
        <v>5680</v>
      </c>
      <c r="X90" s="191">
        <f>W90-V90*$L$1</f>
        <v>3210</v>
      </c>
      <c r="Z90">
        <v>350</v>
      </c>
      <c r="AA90" s="155">
        <v>586</v>
      </c>
      <c r="AB90" s="155">
        <v>4660</v>
      </c>
      <c r="AC90" s="191">
        <f>AB90-AA90*$L$1</f>
        <v>2433.2000000000003</v>
      </c>
      <c r="AD90">
        <v>350</v>
      </c>
      <c r="AE90" s="155">
        <v>570</v>
      </c>
      <c r="AF90" s="155">
        <v>7690</v>
      </c>
      <c r="AG90" s="191">
        <f>AF90-AE90*$L$1</f>
        <v>5524</v>
      </c>
    </row>
    <row r="91" spans="10:33" ht="15.75" thickBot="1">
      <c r="J91" s="133">
        <f>SUM(J202:V202)</f>
        <v>0</v>
      </c>
      <c r="K91" s="127" t="e">
        <f>AVERAGE(J202:V202)</f>
        <v>#DIV/0!</v>
      </c>
      <c r="L91" s="140" t="e">
        <f>STDEV(J202:U202)</f>
        <v>#DIV/0!</v>
      </c>
      <c r="M91" s="193" t="s">
        <v>41</v>
      </c>
      <c r="N91" s="155">
        <v>1029</v>
      </c>
      <c r="O91" s="155">
        <v>40130</v>
      </c>
      <c r="P91" s="191">
        <f t="shared" ref="P91:P93" si="112">O91-N91*$L$1</f>
        <v>36219.800000000003</v>
      </c>
      <c r="Q91">
        <v>673</v>
      </c>
      <c r="R91" s="155">
        <v>768</v>
      </c>
      <c r="S91" s="155">
        <v>11250</v>
      </c>
      <c r="T91" s="191">
        <f t="shared" ref="T91" si="113">S91-R91*$L$1</f>
        <v>8331.6</v>
      </c>
      <c r="U91">
        <v>673</v>
      </c>
      <c r="V91" s="155">
        <v>737</v>
      </c>
      <c r="W91" s="155">
        <v>6840</v>
      </c>
      <c r="X91" s="191">
        <f t="shared" ref="X91" si="114">W91-V91*$L$1</f>
        <v>4039.4</v>
      </c>
      <c r="Z91">
        <v>673</v>
      </c>
      <c r="AA91" s="155">
        <v>685</v>
      </c>
      <c r="AB91" s="155">
        <v>10770</v>
      </c>
      <c r="AC91" s="191">
        <f t="shared" ref="AC91" si="115">AB91-AA91*$L$1</f>
        <v>8167</v>
      </c>
      <c r="AE91" s="155">
        <v>655</v>
      </c>
      <c r="AF91" s="155">
        <v>10090</v>
      </c>
      <c r="AG91" s="191">
        <f t="shared" ref="AG91" si="116">AF91-AE91*$L$1</f>
        <v>7601</v>
      </c>
    </row>
    <row r="92" spans="10:33" ht="15.75" thickBot="1">
      <c r="J92" s="214">
        <f>SUM(J203:V203)</f>
        <v>0</v>
      </c>
      <c r="K92" s="127" t="e">
        <f>AVERAGE(J203:V203)</f>
        <v>#DIV/0!</v>
      </c>
      <c r="L92" s="140" t="e">
        <f>STDEV(J203:U203)</f>
        <v>#DIV/0!</v>
      </c>
      <c r="M92" s="193" t="s">
        <v>42</v>
      </c>
      <c r="N92" s="155">
        <v>1732</v>
      </c>
      <c r="O92" s="231">
        <v>71580</v>
      </c>
      <c r="P92" s="230">
        <f t="shared" si="112"/>
        <v>64998.400000000001</v>
      </c>
      <c r="R92" s="155"/>
      <c r="S92" s="231"/>
      <c r="T92" s="230"/>
      <c r="V92" s="155"/>
      <c r="W92" s="231"/>
      <c r="X92" s="230"/>
      <c r="AA92" s="155"/>
      <c r="AB92" s="231"/>
      <c r="AC92" s="230"/>
      <c r="AE92" s="155"/>
      <c r="AF92" s="231"/>
      <c r="AG92" s="230"/>
    </row>
    <row r="93" spans="10:33">
      <c r="J93" s="214">
        <f>SUM(J204:V204)</f>
        <v>0</v>
      </c>
      <c r="K93" s="127" t="e">
        <f>AVERAGE(J204:V204)</f>
        <v>#DIV/0!</v>
      </c>
      <c r="L93" s="140" t="e">
        <f>STDEV(J204:U204)</f>
        <v>#DIV/0!</v>
      </c>
      <c r="M93" s="193" t="s">
        <v>43</v>
      </c>
      <c r="N93" s="155">
        <v>2019</v>
      </c>
      <c r="O93" s="231">
        <v>61260</v>
      </c>
      <c r="P93" s="230">
        <f t="shared" si="112"/>
        <v>53587.8</v>
      </c>
      <c r="R93" s="155"/>
      <c r="S93" s="231"/>
      <c r="T93" s="230"/>
      <c r="V93" s="155"/>
      <c r="W93" s="231"/>
      <c r="X93" s="230"/>
      <c r="AA93" s="155"/>
      <c r="AB93" s="231"/>
      <c r="AC93" s="230"/>
      <c r="AE93" s="155"/>
      <c r="AF93" s="231"/>
      <c r="AG93" s="230"/>
    </row>
    <row r="94" spans="10:33">
      <c r="J94" s="132">
        <f>SUM(J90:J93)</f>
        <v>0</v>
      </c>
      <c r="K94" s="126" t="e">
        <f>AVERAGE(J201:AA204)</f>
        <v>#DIV/0!</v>
      </c>
      <c r="L94" s="139" t="e">
        <f>STDEV(J201:AA204)</f>
        <v>#DIV/0!</v>
      </c>
      <c r="M94" s="124"/>
      <c r="N94" s="138">
        <f t="shared" ref="N94:P94" si="117">SUM(N90:N93)</f>
        <v>5101</v>
      </c>
      <c r="O94" s="138">
        <f t="shared" si="117"/>
        <v>200690</v>
      </c>
      <c r="P94" s="138">
        <f t="shared" si="117"/>
        <v>181306.2</v>
      </c>
      <c r="R94" s="138">
        <f t="shared" ref="R94:T94" si="118">SUM(R90:R93)</f>
        <v>1441</v>
      </c>
      <c r="S94" s="138">
        <f>SUM(S90:S93)</f>
        <v>19910</v>
      </c>
      <c r="T94" s="138">
        <f t="shared" si="118"/>
        <v>14434.2</v>
      </c>
      <c r="V94" s="138">
        <f t="shared" ref="V94" si="119">SUM(V90:V93)</f>
        <v>1387</v>
      </c>
      <c r="W94" s="138">
        <f>SUM(W90:W93)</f>
        <v>12520</v>
      </c>
      <c r="X94" s="138">
        <f t="shared" ref="X94" si="120">SUM(X90:X93)</f>
        <v>7249.4</v>
      </c>
      <c r="AA94" s="138">
        <f t="shared" ref="AA94" si="121">SUM(AA90:AA93)</f>
        <v>1271</v>
      </c>
      <c r="AB94" s="138">
        <f>SUM(AB90:AB93)</f>
        <v>15430</v>
      </c>
      <c r="AC94" s="138">
        <f t="shared" ref="AC94" si="122">SUM(AC90:AC93)</f>
        <v>10600.2</v>
      </c>
      <c r="AE94" s="138">
        <f t="shared" ref="AE94" si="123">SUM(AE90:AE93)</f>
        <v>1225</v>
      </c>
      <c r="AF94" s="138">
        <f>SUM(AF90:AF93)</f>
        <v>17780</v>
      </c>
      <c r="AG94" s="138">
        <f t="shared" ref="AG94" si="124">SUM(AG90:AG93)</f>
        <v>13125</v>
      </c>
    </row>
    <row r="95" spans="10:33">
      <c r="J95" s="132">
        <f>AVERAGE(J90:J93)</f>
        <v>0</v>
      </c>
      <c r="K95" s="126"/>
      <c r="L95" s="139"/>
      <c r="M95" s="124"/>
      <c r="N95" s="138">
        <f t="shared" ref="N95:P95" si="125">AVERAGE(N90:N93)</f>
        <v>1275.25</v>
      </c>
      <c r="O95" s="138">
        <f t="shared" si="125"/>
        <v>50172.5</v>
      </c>
      <c r="P95" s="138">
        <f t="shared" si="125"/>
        <v>45326.55</v>
      </c>
      <c r="R95" s="138">
        <f t="shared" ref="R95:T95" si="126">AVERAGE(R90:R93)</f>
        <v>720.5</v>
      </c>
      <c r="S95" s="138">
        <f t="shared" si="126"/>
        <v>9955</v>
      </c>
      <c r="T95" s="138">
        <f t="shared" si="126"/>
        <v>7217.1</v>
      </c>
      <c r="V95" s="138">
        <f t="shared" ref="V95:X95" si="127">AVERAGE(V90:V93)</f>
        <v>693.5</v>
      </c>
      <c r="W95" s="138">
        <f t="shared" si="127"/>
        <v>6260</v>
      </c>
      <c r="X95" s="138">
        <f t="shared" si="127"/>
        <v>3624.7</v>
      </c>
      <c r="AA95" s="138">
        <f t="shared" ref="AA95:AC95" si="128">AVERAGE(AA90:AA93)</f>
        <v>635.5</v>
      </c>
      <c r="AB95" s="138">
        <f t="shared" si="128"/>
        <v>7715</v>
      </c>
      <c r="AC95" s="138">
        <f t="shared" si="128"/>
        <v>5300.1</v>
      </c>
      <c r="AE95" s="138">
        <f t="shared" ref="AE95:AG95" si="129">AVERAGE(AE90:AE93)</f>
        <v>612.5</v>
      </c>
      <c r="AF95" s="138">
        <f t="shared" si="129"/>
        <v>8890</v>
      </c>
      <c r="AG95" s="138">
        <f t="shared" si="129"/>
        <v>6562.5</v>
      </c>
    </row>
    <row r="96" spans="10:33" ht="15.75" thickBot="1">
      <c r="J96" s="132">
        <f>STDEV(J90:J93)</f>
        <v>0</v>
      </c>
      <c r="K96" s="126"/>
      <c r="L96" s="139"/>
      <c r="M96" s="124"/>
      <c r="N96" s="178">
        <f t="shared" ref="N96:P96" si="130">STDEV(N90:N93)</f>
        <v>760.04753140839819</v>
      </c>
      <c r="O96" s="178">
        <f t="shared" si="130"/>
        <v>19884.502131056739</v>
      </c>
      <c r="P96" s="178">
        <f t="shared" si="130"/>
        <v>17249.099337549975</v>
      </c>
      <c r="R96" s="178">
        <f t="shared" ref="R96:T96" si="131">STDEV(R90:R93)</f>
        <v>67.175144212722017</v>
      </c>
      <c r="S96" s="178">
        <f t="shared" si="131"/>
        <v>1831.4065632731581</v>
      </c>
      <c r="T96" s="178">
        <f t="shared" si="131"/>
        <v>1576.1410152648145</v>
      </c>
      <c r="V96" s="178">
        <f t="shared" ref="V96:X96" si="132">STDEV(V90:V93)</f>
        <v>61.518289963229634</v>
      </c>
      <c r="W96" s="178">
        <f t="shared" si="132"/>
        <v>820.24386617639516</v>
      </c>
      <c r="X96" s="178">
        <f t="shared" si="132"/>
        <v>586.47436431612539</v>
      </c>
      <c r="AA96" s="178">
        <f t="shared" ref="AA96:AC96" si="133">STDEV(AA90:AA93)</f>
        <v>70.003571337468202</v>
      </c>
      <c r="AB96" s="178">
        <f t="shared" si="133"/>
        <v>4320.4224330498055</v>
      </c>
      <c r="AC96" s="178">
        <f t="shared" si="133"/>
        <v>4054.4088619674244</v>
      </c>
      <c r="AE96" s="178">
        <f t="shared" ref="AE96:AG96" si="134">STDEV(AE90:AE93)</f>
        <v>60.104076400856542</v>
      </c>
      <c r="AF96" s="178">
        <f t="shared" si="134"/>
        <v>1697.0562748477141</v>
      </c>
      <c r="AG96" s="178">
        <f t="shared" si="134"/>
        <v>1468.6607845244591</v>
      </c>
    </row>
    <row r="97" spans="10:33">
      <c r="J97" s="18"/>
      <c r="K97" s="18"/>
      <c r="L97" s="18"/>
      <c r="M97" s="124"/>
      <c r="N97" s="200">
        <f t="shared" ref="N97:P97" si="135">SUM(N75:N78,N82:N85,N90:N93)</f>
        <v>14329</v>
      </c>
      <c r="O97" s="200">
        <f t="shared" si="135"/>
        <v>593970</v>
      </c>
      <c r="P97" s="200">
        <f t="shared" si="135"/>
        <v>539519.80000000005</v>
      </c>
      <c r="R97" s="200">
        <f t="shared" ref="R97:T97" si="136">SUM(R75:R78,R82:R85,R90:R93)</f>
        <v>5942</v>
      </c>
      <c r="S97" s="200">
        <f>SUM(S75:S78,S82:S85,S90:S93)</f>
        <v>113080</v>
      </c>
      <c r="T97" s="200">
        <f t="shared" si="136"/>
        <v>90500.400000000023</v>
      </c>
      <c r="V97" s="200">
        <f t="shared" ref="V97" si="137">SUM(V75:V78,V82:V85,V90:V93)</f>
        <v>5696</v>
      </c>
      <c r="W97" s="200">
        <f>SUM(W75:W78,W82:W85,W90:W93)</f>
        <v>93290</v>
      </c>
      <c r="X97" s="200">
        <f t="shared" ref="X97" si="138">SUM(X75:X78,X82:X85,X90:X93)</f>
        <v>71645.2</v>
      </c>
      <c r="AA97" s="200">
        <f t="shared" ref="AA97" si="139">SUM(AA75:AA78,AA82:AA85,AA90:AA93)</f>
        <v>5497</v>
      </c>
      <c r="AB97" s="200">
        <f>SUM(AB75:AB78,AB82:AB85,AB90:AB93)</f>
        <v>102840</v>
      </c>
      <c r="AC97" s="200">
        <f t="shared" ref="AC97" si="140">SUM(AC75:AC78,AC82:AC85,AC90:AC93)</f>
        <v>81951.399999999994</v>
      </c>
      <c r="AE97" s="200">
        <f t="shared" ref="AE97" si="141">SUM(AE75:AE78,AE82:AE85,AE90:AE93)</f>
        <v>5212</v>
      </c>
      <c r="AF97" s="200">
        <f>SUM(AF75:AF78,AF82:AF85,AF90:AF93)</f>
        <v>88630</v>
      </c>
      <c r="AG97" s="200">
        <f t="shared" ref="AG97" si="142">SUM(AG75:AG78,AG82:AG85,AG90:AG93)</f>
        <v>68824.400000000009</v>
      </c>
    </row>
    <row r="98" spans="10:33">
      <c r="J98" s="18"/>
      <c r="K98" s="18"/>
      <c r="L98" s="18"/>
      <c r="M98" s="124"/>
      <c r="N98" s="203">
        <f t="shared" ref="N98:P98" si="143">AVERAGE(N75:N78,N82:N85,N90:N93)</f>
        <v>1194.0833333333333</v>
      </c>
      <c r="O98" s="203">
        <f t="shared" si="143"/>
        <v>49497.5</v>
      </c>
      <c r="P98" s="203">
        <f t="shared" si="143"/>
        <v>44959.983333333337</v>
      </c>
      <c r="R98" s="203">
        <f t="shared" ref="R98:T98" si="144">AVERAGE(R75:R78,R82:R85,R90:R93)</f>
        <v>594.20000000000005</v>
      </c>
      <c r="S98" s="203">
        <f t="shared" si="144"/>
        <v>11308</v>
      </c>
      <c r="T98" s="203">
        <f t="shared" si="144"/>
        <v>9050.0400000000027</v>
      </c>
      <c r="V98" s="203">
        <f t="shared" ref="V98:X98" si="145">AVERAGE(V75:V78,V82:V85,V90:V93)</f>
        <v>569.6</v>
      </c>
      <c r="W98" s="203">
        <f t="shared" si="145"/>
        <v>9329</v>
      </c>
      <c r="X98" s="203">
        <f t="shared" si="145"/>
        <v>7164.5199999999995</v>
      </c>
      <c r="AA98" s="203">
        <f t="shared" ref="AA98:AC98" si="146">AVERAGE(AA75:AA78,AA82:AA85,AA90:AA93)</f>
        <v>549.70000000000005</v>
      </c>
      <c r="AB98" s="203">
        <f t="shared" si="146"/>
        <v>10284</v>
      </c>
      <c r="AC98" s="203">
        <f t="shared" si="146"/>
        <v>8195.14</v>
      </c>
      <c r="AE98" s="203">
        <f t="shared" ref="AE98:AG98" si="147">AVERAGE(AE75:AE78,AE82:AE85,AE90:AE93)</f>
        <v>521.20000000000005</v>
      </c>
      <c r="AF98" s="203">
        <f t="shared" si="147"/>
        <v>8863</v>
      </c>
      <c r="AG98" s="203">
        <f t="shared" si="147"/>
        <v>6882.4400000000005</v>
      </c>
    </row>
    <row r="99" spans="10:33" ht="15.75" thickBot="1">
      <c r="J99" s="18"/>
      <c r="K99" s="18"/>
      <c r="L99" s="18"/>
      <c r="M99" s="124"/>
      <c r="N99" s="206">
        <f t="shared" ref="N99:P99" si="148">STDEV(N75:N78,N82:N85,N90:N93,)</f>
        <v>703.16749472727031</v>
      </c>
      <c r="O99" s="206">
        <f t="shared" si="148"/>
        <v>25011.804879563038</v>
      </c>
      <c r="P99" s="206">
        <f t="shared" si="148"/>
        <v>22616.944376954558</v>
      </c>
      <c r="R99" s="206">
        <f t="shared" ref="R99:T99" si="149">STDEV(R75:R78,R82:R85,R90:R93,)</f>
        <v>212.94685636647381</v>
      </c>
      <c r="S99" s="206">
        <f t="shared" si="149"/>
        <v>3762.4274079375937</v>
      </c>
      <c r="T99" s="206">
        <f t="shared" si="149"/>
        <v>3182.8049093384657</v>
      </c>
      <c r="V99" s="206">
        <f t="shared" ref="V99:X99" si="150">STDEV(V75:V78,V82:V85,V90:V93,)</f>
        <v>204.1836517362828</v>
      </c>
      <c r="W99" s="206">
        <f t="shared" si="150"/>
        <v>3797.3529057633145</v>
      </c>
      <c r="X99" s="206">
        <f t="shared" si="150"/>
        <v>3421.2314192407389</v>
      </c>
      <c r="AA99" s="206">
        <f t="shared" ref="AA99:AC99" si="151">STDEV(AA75:AA78,AA82:AA85,AA90:AA93,)</f>
        <v>193.98664433877443</v>
      </c>
      <c r="AB99" s="206">
        <f t="shared" si="151"/>
        <v>4625.6231029893788</v>
      </c>
      <c r="AC99" s="206">
        <f t="shared" si="151"/>
        <v>4330.9482770153027</v>
      </c>
      <c r="AE99" s="206">
        <f t="shared" ref="AE99:AG99" si="152">STDEV(AE75:AE78,AE82:AE85,AE90:AE93,)</f>
        <v>185.99721405538207</v>
      </c>
      <c r="AF99" s="206">
        <f t="shared" si="152"/>
        <v>3782.866878199894</v>
      </c>
      <c r="AG99" s="206">
        <f t="shared" si="152"/>
        <v>3293.9083227293122</v>
      </c>
    </row>
  </sheetData>
  <mergeCells count="2">
    <mergeCell ref="J44:P44"/>
    <mergeCell ref="J73:P73"/>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H65"/>
  <sheetViews>
    <sheetView workbookViewId="0">
      <selection activeCell="B22" sqref="B22"/>
    </sheetView>
  </sheetViews>
  <sheetFormatPr defaultRowHeight="15"/>
  <cols>
    <col min="1" max="1" width="10.140625" style="75" customWidth="1"/>
    <col min="2" max="2" width="8.7109375" style="75" customWidth="1"/>
    <col min="3" max="3" width="8.42578125" style="75" customWidth="1"/>
    <col min="4" max="4" width="4.140625" style="75" customWidth="1"/>
    <col min="5" max="5" width="6.5703125" customWidth="1"/>
    <col min="6" max="16" width="8.140625" style="196" customWidth="1"/>
    <col min="18" max="18" width="9.140625" style="242"/>
    <col min="19" max="19" width="8.28515625" customWidth="1"/>
    <col min="20" max="20" width="6" style="261" customWidth="1"/>
    <col min="21" max="21" width="9.140625" style="243" customWidth="1"/>
    <col min="23" max="23" width="9.140625" style="242"/>
    <col min="25" max="25" width="7.7109375" customWidth="1"/>
    <col min="26" max="26" width="8.42578125" style="243" customWidth="1"/>
    <col min="28" max="28" width="9.140625" style="242"/>
    <col min="31" max="31" width="8.28515625" style="243" customWidth="1"/>
  </cols>
  <sheetData>
    <row r="1" spans="1:34" ht="15.75" thickBot="1">
      <c r="A1" s="75" t="s">
        <v>165</v>
      </c>
      <c r="G1" s="5" t="s">
        <v>75</v>
      </c>
      <c r="H1" s="266" t="s">
        <v>161</v>
      </c>
      <c r="I1" s="6" t="s">
        <v>162</v>
      </c>
      <c r="J1" s="267" t="s">
        <v>164</v>
      </c>
      <c r="K1" s="268" t="s">
        <v>163</v>
      </c>
      <c r="L1" s="5" t="s">
        <v>75</v>
      </c>
      <c r="M1" s="266" t="s">
        <v>161</v>
      </c>
      <c r="N1" s="6" t="s">
        <v>162</v>
      </c>
      <c r="O1" s="267" t="s">
        <v>164</v>
      </c>
      <c r="P1" s="268" t="s">
        <v>163</v>
      </c>
      <c r="Q1" s="5" t="s">
        <v>75</v>
      </c>
      <c r="R1" s="266" t="s">
        <v>161</v>
      </c>
      <c r="S1" s="6" t="s">
        <v>162</v>
      </c>
      <c r="T1" s="267" t="s">
        <v>164</v>
      </c>
      <c r="U1" s="268" t="s">
        <v>163</v>
      </c>
      <c r="V1" s="5" t="s">
        <v>75</v>
      </c>
      <c r="W1" s="266" t="s">
        <v>161</v>
      </c>
      <c r="X1" s="6" t="s">
        <v>162</v>
      </c>
      <c r="Y1" s="267" t="s">
        <v>164</v>
      </c>
      <c r="Z1" s="268" t="s">
        <v>163</v>
      </c>
      <c r="AA1" s="5" t="s">
        <v>75</v>
      </c>
      <c r="AB1" s="266" t="s">
        <v>161</v>
      </c>
      <c r="AC1" s="6" t="s">
        <v>162</v>
      </c>
      <c r="AD1" s="267" t="s">
        <v>164</v>
      </c>
      <c r="AE1" s="268" t="s">
        <v>163</v>
      </c>
    </row>
    <row r="2" spans="1:34" ht="15.75" thickBot="1">
      <c r="A2" s="255" t="s">
        <v>0</v>
      </c>
      <c r="B2" s="256" t="s">
        <v>1</v>
      </c>
      <c r="C2" s="257" t="s">
        <v>2</v>
      </c>
      <c r="D2" s="248"/>
      <c r="E2" s="254" t="s">
        <v>159</v>
      </c>
      <c r="F2" s="262" t="s">
        <v>160</v>
      </c>
      <c r="G2" s="693" t="s">
        <v>16</v>
      </c>
      <c r="H2" s="694"/>
      <c r="I2" s="694"/>
      <c r="J2" s="694"/>
      <c r="K2" s="695"/>
      <c r="L2" s="693" t="s">
        <v>15</v>
      </c>
      <c r="M2" s="694"/>
      <c r="N2" s="694"/>
      <c r="O2" s="694"/>
      <c r="P2" s="695"/>
      <c r="Q2" s="693" t="s">
        <v>13</v>
      </c>
      <c r="R2" s="694"/>
      <c r="S2" s="694"/>
      <c r="T2" s="694"/>
      <c r="U2" s="695"/>
      <c r="V2" s="696" t="s">
        <v>20</v>
      </c>
      <c r="W2" s="697"/>
      <c r="X2" s="697"/>
      <c r="Y2" s="697"/>
      <c r="Z2" s="698"/>
      <c r="AA2" s="699" t="s">
        <v>152</v>
      </c>
      <c r="AB2" s="700"/>
      <c r="AC2" s="700"/>
      <c r="AD2" s="700"/>
      <c r="AE2" s="701"/>
      <c r="AF2" s="240"/>
      <c r="AG2" s="240"/>
      <c r="AH2" s="241"/>
    </row>
    <row r="3" spans="1:34">
      <c r="A3" s="116">
        <f>SUM(K3,P3,U3,Z3,AE3)</f>
        <v>41958</v>
      </c>
      <c r="B3" s="57">
        <f>AVERAGE(K3,P3,U3,Z3,AE3)</f>
        <v>8391.6</v>
      </c>
      <c r="C3" s="244">
        <f>STDEV(K3,P3,U3,Z3,AE3)</f>
        <v>7855.4158896903728</v>
      </c>
      <c r="D3" s="249"/>
      <c r="E3" s="250" t="s">
        <v>42</v>
      </c>
      <c r="F3" s="263">
        <v>3</v>
      </c>
      <c r="G3" s="9">
        <v>1146</v>
      </c>
      <c r="H3" s="269">
        <v>7240</v>
      </c>
      <c r="I3" s="10">
        <f>G3*4</f>
        <v>4584</v>
      </c>
      <c r="J3" s="270">
        <f>I3/K3*100</f>
        <v>172.59036144578312</v>
      </c>
      <c r="K3" s="271">
        <f>H3-G3*4</f>
        <v>2656</v>
      </c>
      <c r="L3" s="9">
        <v>954</v>
      </c>
      <c r="M3" s="269">
        <v>7950</v>
      </c>
      <c r="N3" s="10">
        <f>L3*4</f>
        <v>3816</v>
      </c>
      <c r="O3" s="270">
        <f>N3/P3*100</f>
        <v>92.307692307692307</v>
      </c>
      <c r="P3" s="271">
        <f>M3-L3*4</f>
        <v>4134</v>
      </c>
      <c r="Q3" s="9">
        <v>1016</v>
      </c>
      <c r="R3" s="269">
        <v>7930</v>
      </c>
      <c r="S3" s="10">
        <f>Q3*4</f>
        <v>4064</v>
      </c>
      <c r="T3" s="270">
        <f>S3/U3*100</f>
        <v>105.12157268494569</v>
      </c>
      <c r="U3" s="271">
        <f>R3-Q3*4</f>
        <v>3866</v>
      </c>
      <c r="V3" s="9">
        <v>1303</v>
      </c>
      <c r="W3" s="269">
        <v>14950</v>
      </c>
      <c r="X3" s="10">
        <f>V3*4</f>
        <v>5212</v>
      </c>
      <c r="Y3" s="270">
        <f>X3/Z3*100</f>
        <v>53.522283836516735</v>
      </c>
      <c r="Z3" s="271">
        <f>W3-V3*4</f>
        <v>9738</v>
      </c>
      <c r="AA3" s="9">
        <v>1149</v>
      </c>
      <c r="AB3" s="269">
        <v>26160</v>
      </c>
      <c r="AC3" s="10">
        <f>AA3*4</f>
        <v>4596</v>
      </c>
      <c r="AD3" s="270">
        <f>AC3/AE3*100</f>
        <v>21.313299944351698</v>
      </c>
      <c r="AE3" s="271">
        <f>AB3-AA3*4</f>
        <v>21564</v>
      </c>
    </row>
    <row r="4" spans="1:34">
      <c r="A4" s="116">
        <f t="shared" ref="A4:A18" si="0">SUM(K4,P4,U4,Z4,AE4)</f>
        <v>46980</v>
      </c>
      <c r="B4" s="57">
        <f t="shared" ref="B4:B18" si="1">AVERAGE(K4,P4,U4,Z4,AE4)</f>
        <v>9396</v>
      </c>
      <c r="C4" s="244">
        <f t="shared" ref="C4:C18" si="2">STDEV(K4,P4,U4,Z4,AE4)</f>
        <v>11164.279645368975</v>
      </c>
      <c r="D4" s="249"/>
      <c r="E4" s="250" t="s">
        <v>43</v>
      </c>
      <c r="F4" s="263">
        <v>3</v>
      </c>
      <c r="G4" s="9">
        <v>1390</v>
      </c>
      <c r="H4" s="269">
        <v>7290</v>
      </c>
      <c r="I4" s="10">
        <f t="shared" ref="I4:I18" si="3">G4*4</f>
        <v>5560</v>
      </c>
      <c r="J4" s="270">
        <f t="shared" ref="J4:J18" si="4">I4/K4*100</f>
        <v>321.38728323699422</v>
      </c>
      <c r="K4" s="271">
        <f t="shared" ref="K4:K18" si="5">H4-G4*4</f>
        <v>1730</v>
      </c>
      <c r="L4" s="9">
        <v>1161</v>
      </c>
      <c r="M4" s="269">
        <v>10930</v>
      </c>
      <c r="N4" s="10">
        <f t="shared" ref="N4:N18" si="6">L4*4</f>
        <v>4644</v>
      </c>
      <c r="O4" s="270">
        <f t="shared" ref="O4:O18" si="7">N4/P4*100</f>
        <v>73.878460069996819</v>
      </c>
      <c r="P4" s="271">
        <f t="shared" ref="P4:P18" si="8">M4-L4*4</f>
        <v>6286</v>
      </c>
      <c r="Q4" s="9">
        <v>1229</v>
      </c>
      <c r="R4" s="269">
        <v>9080</v>
      </c>
      <c r="S4" s="10">
        <f t="shared" ref="S4:S18" si="9">Q4*4</f>
        <v>4916</v>
      </c>
      <c r="T4" s="270">
        <f t="shared" ref="T4:T18" si="10">S4/U4*100</f>
        <v>118.059558117195</v>
      </c>
      <c r="U4" s="271">
        <f t="shared" ref="U4:U18" si="11">R4-Q4*4</f>
        <v>4164</v>
      </c>
      <c r="V4" s="9">
        <v>1607</v>
      </c>
      <c r="W4" s="269">
        <v>12110</v>
      </c>
      <c r="X4" s="273">
        <f t="shared" ref="X4:X18" si="12">V4*4</f>
        <v>6428</v>
      </c>
      <c r="Y4" s="270">
        <f t="shared" ref="Y4:Y18" si="13">X4/Z4*100</f>
        <v>113.12917986624429</v>
      </c>
      <c r="Z4" s="271">
        <f t="shared" ref="Z4:Z18" si="14">W4-V4*4</f>
        <v>5682</v>
      </c>
      <c r="AA4" s="9">
        <v>1428</v>
      </c>
      <c r="AB4" s="269">
        <v>34830</v>
      </c>
      <c r="AC4" s="10">
        <f t="shared" ref="AC4:AC18" si="15">AA4*4</f>
        <v>5712</v>
      </c>
      <c r="AD4" s="270">
        <f t="shared" ref="AD4:AD18" si="16">AC4/AE4*100</f>
        <v>19.616731918400991</v>
      </c>
      <c r="AE4" s="271">
        <f t="shared" ref="AE4:AE18" si="17">AB4-AA4*4</f>
        <v>29118</v>
      </c>
    </row>
    <row r="5" spans="1:34">
      <c r="A5" s="116">
        <f t="shared" si="0"/>
        <v>72320</v>
      </c>
      <c r="B5" s="57">
        <f t="shared" si="1"/>
        <v>14464</v>
      </c>
      <c r="C5" s="244">
        <f t="shared" si="2"/>
        <v>9527.2059912652257</v>
      </c>
      <c r="D5" s="249"/>
      <c r="E5" s="250" t="s">
        <v>42</v>
      </c>
      <c r="F5" s="263">
        <v>3.25</v>
      </c>
      <c r="G5" s="9">
        <v>1142</v>
      </c>
      <c r="H5" s="269">
        <v>15600</v>
      </c>
      <c r="I5" s="10">
        <f t="shared" si="3"/>
        <v>4568</v>
      </c>
      <c r="J5" s="270">
        <f t="shared" si="4"/>
        <v>41.40681653372009</v>
      </c>
      <c r="K5" s="271">
        <f t="shared" si="5"/>
        <v>11032</v>
      </c>
      <c r="L5" s="9">
        <v>947</v>
      </c>
      <c r="M5" s="269">
        <v>6490</v>
      </c>
      <c r="N5" s="10">
        <f t="shared" si="6"/>
        <v>3788</v>
      </c>
      <c r="O5" s="270">
        <f t="shared" si="7"/>
        <v>140.19245003700962</v>
      </c>
      <c r="P5" s="271">
        <f t="shared" si="8"/>
        <v>2702</v>
      </c>
      <c r="Q5" s="9">
        <v>1023</v>
      </c>
      <c r="R5" s="269">
        <v>17100</v>
      </c>
      <c r="S5" s="10">
        <f t="shared" si="9"/>
        <v>4092</v>
      </c>
      <c r="T5" s="270">
        <f t="shared" si="10"/>
        <v>31.457564575645758</v>
      </c>
      <c r="U5" s="271">
        <f t="shared" si="11"/>
        <v>13008</v>
      </c>
      <c r="V5" s="9">
        <v>1330</v>
      </c>
      <c r="W5" s="269">
        <v>22100</v>
      </c>
      <c r="X5" s="10">
        <f t="shared" si="12"/>
        <v>5320</v>
      </c>
      <c r="Y5" s="270">
        <f t="shared" si="13"/>
        <v>31.704410011918949</v>
      </c>
      <c r="Z5" s="271">
        <f t="shared" si="14"/>
        <v>16780</v>
      </c>
      <c r="AA5" s="9">
        <v>1158</v>
      </c>
      <c r="AB5" s="269">
        <v>33430</v>
      </c>
      <c r="AC5" s="10">
        <f t="shared" si="15"/>
        <v>4632</v>
      </c>
      <c r="AD5" s="270">
        <f t="shared" si="16"/>
        <v>16.084450309049238</v>
      </c>
      <c r="AE5" s="271">
        <f t="shared" si="17"/>
        <v>28798</v>
      </c>
    </row>
    <row r="6" spans="1:34">
      <c r="A6" s="116">
        <f t="shared" si="0"/>
        <v>69752</v>
      </c>
      <c r="B6" s="57">
        <f t="shared" si="1"/>
        <v>13950.4</v>
      </c>
      <c r="C6" s="244">
        <f t="shared" si="2"/>
        <v>9185.7273419147386</v>
      </c>
      <c r="D6" s="249"/>
      <c r="E6" s="250" t="s">
        <v>43</v>
      </c>
      <c r="F6" s="263">
        <v>3.25</v>
      </c>
      <c r="G6" s="9">
        <v>1389</v>
      </c>
      <c r="H6" s="269">
        <v>18390</v>
      </c>
      <c r="I6" s="10">
        <f t="shared" si="3"/>
        <v>5556</v>
      </c>
      <c r="J6" s="270">
        <f t="shared" si="4"/>
        <v>43.291257597007949</v>
      </c>
      <c r="K6" s="271">
        <f t="shared" si="5"/>
        <v>12834</v>
      </c>
      <c r="L6" s="9">
        <v>1157</v>
      </c>
      <c r="M6" s="269">
        <v>6180</v>
      </c>
      <c r="N6" s="10">
        <f t="shared" si="6"/>
        <v>4628</v>
      </c>
      <c r="O6" s="270">
        <f t="shared" si="7"/>
        <v>298.1958762886598</v>
      </c>
      <c r="P6" s="271">
        <f t="shared" si="8"/>
        <v>1552</v>
      </c>
      <c r="Q6" s="9">
        <v>1251</v>
      </c>
      <c r="R6" s="269">
        <v>21310</v>
      </c>
      <c r="S6" s="10">
        <f t="shared" si="9"/>
        <v>5004</v>
      </c>
      <c r="T6" s="270">
        <f t="shared" si="10"/>
        <v>30.688090273518949</v>
      </c>
      <c r="U6" s="271">
        <f t="shared" si="11"/>
        <v>16306</v>
      </c>
      <c r="V6" s="9">
        <v>1626</v>
      </c>
      <c r="W6" s="269">
        <v>18460</v>
      </c>
      <c r="X6" s="10">
        <f t="shared" si="12"/>
        <v>6504</v>
      </c>
      <c r="Y6" s="270">
        <f t="shared" si="13"/>
        <v>54.399464703914354</v>
      </c>
      <c r="Z6" s="271">
        <f t="shared" si="14"/>
        <v>11956</v>
      </c>
      <c r="AA6" s="9">
        <v>1419</v>
      </c>
      <c r="AB6" s="269">
        <v>32780</v>
      </c>
      <c r="AC6" s="10">
        <f t="shared" si="15"/>
        <v>5676</v>
      </c>
      <c r="AD6" s="270">
        <f t="shared" si="16"/>
        <v>20.941558441558442</v>
      </c>
      <c r="AE6" s="271">
        <f t="shared" si="17"/>
        <v>27104</v>
      </c>
    </row>
    <row r="7" spans="1:34">
      <c r="A7" s="116">
        <f t="shared" si="0"/>
        <v>64526</v>
      </c>
      <c r="B7" s="57">
        <f t="shared" si="1"/>
        <v>12905.2</v>
      </c>
      <c r="C7" s="244">
        <f t="shared" si="2"/>
        <v>10450.286943428873</v>
      </c>
      <c r="D7" s="249"/>
      <c r="E7" s="250" t="s">
        <v>42</v>
      </c>
      <c r="F7" s="263">
        <v>3.5</v>
      </c>
      <c r="G7" s="9">
        <v>1159</v>
      </c>
      <c r="H7" s="269">
        <v>11510</v>
      </c>
      <c r="I7" s="10">
        <f t="shared" si="3"/>
        <v>4636</v>
      </c>
      <c r="J7" s="270">
        <f t="shared" si="4"/>
        <v>67.442537096304918</v>
      </c>
      <c r="K7" s="271">
        <f t="shared" si="5"/>
        <v>6874</v>
      </c>
      <c r="L7" s="9">
        <v>953</v>
      </c>
      <c r="M7" s="269">
        <v>3140</v>
      </c>
      <c r="N7" s="10">
        <f t="shared" si="6"/>
        <v>3812</v>
      </c>
      <c r="O7" s="270">
        <f t="shared" si="7"/>
        <v>-567.2619047619047</v>
      </c>
      <c r="P7" s="271">
        <f t="shared" si="8"/>
        <v>-672</v>
      </c>
      <c r="Q7" s="9">
        <v>1044</v>
      </c>
      <c r="R7" s="269">
        <v>21480</v>
      </c>
      <c r="S7" s="10">
        <f t="shared" si="9"/>
        <v>4176</v>
      </c>
      <c r="T7" s="270">
        <f t="shared" si="10"/>
        <v>24.133148404993065</v>
      </c>
      <c r="U7" s="271">
        <f t="shared" si="11"/>
        <v>17304</v>
      </c>
      <c r="V7" s="9">
        <v>1357</v>
      </c>
      <c r="W7" s="269">
        <v>19570</v>
      </c>
      <c r="X7" s="10">
        <f t="shared" si="12"/>
        <v>5428</v>
      </c>
      <c r="Y7" s="270">
        <f t="shared" si="13"/>
        <v>38.382124169141562</v>
      </c>
      <c r="Z7" s="271">
        <f t="shared" si="14"/>
        <v>14142</v>
      </c>
      <c r="AA7" s="9">
        <v>1168</v>
      </c>
      <c r="AB7" s="269">
        <v>31550</v>
      </c>
      <c r="AC7" s="10">
        <f t="shared" si="15"/>
        <v>4672</v>
      </c>
      <c r="AD7" s="270">
        <f t="shared" si="16"/>
        <v>17.382245702805267</v>
      </c>
      <c r="AE7" s="271">
        <f t="shared" si="17"/>
        <v>26878</v>
      </c>
    </row>
    <row r="8" spans="1:34">
      <c r="A8" s="116">
        <f t="shared" si="0"/>
        <v>70136</v>
      </c>
      <c r="B8" s="57">
        <f t="shared" si="1"/>
        <v>14027.2</v>
      </c>
      <c r="C8" s="244">
        <f t="shared" si="2"/>
        <v>8367.0261861667423</v>
      </c>
      <c r="D8" s="249"/>
      <c r="E8" s="250" t="s">
        <v>43</v>
      </c>
      <c r="F8" s="263">
        <v>3.5</v>
      </c>
      <c r="G8" s="9">
        <v>1402</v>
      </c>
      <c r="H8" s="269">
        <v>14450</v>
      </c>
      <c r="I8" s="10">
        <f t="shared" si="3"/>
        <v>5608</v>
      </c>
      <c r="J8" s="270">
        <f t="shared" si="4"/>
        <v>63.424564578149742</v>
      </c>
      <c r="K8" s="271">
        <f t="shared" si="5"/>
        <v>8842</v>
      </c>
      <c r="L8" s="9">
        <v>1184</v>
      </c>
      <c r="M8" s="269">
        <v>7590</v>
      </c>
      <c r="N8" s="10">
        <f t="shared" si="6"/>
        <v>4736</v>
      </c>
      <c r="O8" s="270">
        <f t="shared" si="7"/>
        <v>165.94253679046952</v>
      </c>
      <c r="P8" s="271">
        <f t="shared" si="8"/>
        <v>2854</v>
      </c>
      <c r="Q8" s="9">
        <v>1257</v>
      </c>
      <c r="R8" s="269">
        <v>20620</v>
      </c>
      <c r="S8" s="10">
        <f t="shared" si="9"/>
        <v>5028</v>
      </c>
      <c r="T8" s="270">
        <f t="shared" si="10"/>
        <v>32.247306310928678</v>
      </c>
      <c r="U8" s="271">
        <f t="shared" si="11"/>
        <v>15592</v>
      </c>
      <c r="V8" s="9">
        <v>1643</v>
      </c>
      <c r="W8" s="269">
        <v>25130</v>
      </c>
      <c r="X8" s="10">
        <f t="shared" si="12"/>
        <v>6572</v>
      </c>
      <c r="Y8" s="270">
        <f t="shared" si="13"/>
        <v>35.413298846858495</v>
      </c>
      <c r="Z8" s="271">
        <f t="shared" si="14"/>
        <v>18558</v>
      </c>
      <c r="AA8" s="9">
        <v>1440</v>
      </c>
      <c r="AB8" s="269">
        <v>30050</v>
      </c>
      <c r="AC8" s="10">
        <f t="shared" si="15"/>
        <v>5760</v>
      </c>
      <c r="AD8" s="270">
        <f t="shared" si="16"/>
        <v>23.713462330177027</v>
      </c>
      <c r="AE8" s="271">
        <f t="shared" si="17"/>
        <v>24290</v>
      </c>
    </row>
    <row r="9" spans="1:34">
      <c r="A9" s="116">
        <f t="shared" si="0"/>
        <v>79118</v>
      </c>
      <c r="B9" s="57">
        <f t="shared" si="1"/>
        <v>15823.6</v>
      </c>
      <c r="C9" s="244">
        <f t="shared" si="2"/>
        <v>11405.751917344161</v>
      </c>
      <c r="D9" s="249"/>
      <c r="E9" s="250" t="s">
        <v>42</v>
      </c>
      <c r="F9" s="263">
        <v>3.75</v>
      </c>
      <c r="G9" s="9">
        <v>1141</v>
      </c>
      <c r="H9" s="269">
        <v>12100</v>
      </c>
      <c r="I9" s="10">
        <f t="shared" si="3"/>
        <v>4564</v>
      </c>
      <c r="J9" s="270">
        <f t="shared" si="4"/>
        <v>60.562632696390665</v>
      </c>
      <c r="K9" s="271">
        <f t="shared" si="5"/>
        <v>7536</v>
      </c>
      <c r="L9" s="9">
        <v>966</v>
      </c>
      <c r="M9" s="269">
        <v>5470</v>
      </c>
      <c r="N9" s="10">
        <f t="shared" si="6"/>
        <v>3864</v>
      </c>
      <c r="O9" s="270">
        <f t="shared" si="7"/>
        <v>240.59775840597757</v>
      </c>
      <c r="P9" s="271">
        <f t="shared" si="8"/>
        <v>1606</v>
      </c>
      <c r="Q9" s="9">
        <v>1052</v>
      </c>
      <c r="R9" s="269">
        <v>20640</v>
      </c>
      <c r="S9" s="10">
        <f t="shared" si="9"/>
        <v>4208</v>
      </c>
      <c r="T9" s="270">
        <f t="shared" si="10"/>
        <v>25.608568646543329</v>
      </c>
      <c r="U9" s="271">
        <f t="shared" si="11"/>
        <v>16432</v>
      </c>
      <c r="V9" s="9">
        <v>1385</v>
      </c>
      <c r="W9" s="269">
        <v>30140</v>
      </c>
      <c r="X9" s="10">
        <f t="shared" si="12"/>
        <v>5540</v>
      </c>
      <c r="Y9" s="270">
        <f t="shared" si="13"/>
        <v>22.520325203252032</v>
      </c>
      <c r="Z9" s="271">
        <f t="shared" si="14"/>
        <v>24600</v>
      </c>
      <c r="AA9" s="9">
        <v>1169</v>
      </c>
      <c r="AB9" s="269">
        <v>33620</v>
      </c>
      <c r="AC9" s="10">
        <f t="shared" si="15"/>
        <v>4676</v>
      </c>
      <c r="AD9" s="270">
        <f t="shared" si="16"/>
        <v>16.155334438916526</v>
      </c>
      <c r="AE9" s="271">
        <f t="shared" si="17"/>
        <v>28944</v>
      </c>
    </row>
    <row r="10" spans="1:34">
      <c r="A10" s="116">
        <f t="shared" si="0"/>
        <v>76796</v>
      </c>
      <c r="B10" s="57">
        <f t="shared" si="1"/>
        <v>15359.2</v>
      </c>
      <c r="C10" s="244">
        <f t="shared" si="2"/>
        <v>10167.655147574587</v>
      </c>
      <c r="D10" s="249"/>
      <c r="E10" s="250" t="s">
        <v>43</v>
      </c>
      <c r="F10" s="263">
        <v>3.75</v>
      </c>
      <c r="G10" s="9">
        <v>1378</v>
      </c>
      <c r="H10" s="269">
        <v>9840</v>
      </c>
      <c r="I10" s="10">
        <f t="shared" si="3"/>
        <v>5512</v>
      </c>
      <c r="J10" s="270">
        <f t="shared" si="4"/>
        <v>127.35674676524953</v>
      </c>
      <c r="K10" s="271">
        <f t="shared" si="5"/>
        <v>4328</v>
      </c>
      <c r="L10" s="9">
        <v>1194</v>
      </c>
      <c r="M10" s="269">
        <v>9990</v>
      </c>
      <c r="N10" s="10">
        <f t="shared" si="6"/>
        <v>4776</v>
      </c>
      <c r="O10" s="270">
        <f t="shared" si="7"/>
        <v>91.599539700805522</v>
      </c>
      <c r="P10" s="271">
        <f t="shared" si="8"/>
        <v>5214</v>
      </c>
      <c r="Q10" s="9">
        <v>1264</v>
      </c>
      <c r="R10" s="269">
        <v>22750</v>
      </c>
      <c r="S10" s="10">
        <f t="shared" si="9"/>
        <v>5056</v>
      </c>
      <c r="T10" s="270">
        <f t="shared" si="10"/>
        <v>28.574658076184019</v>
      </c>
      <c r="U10" s="271">
        <f t="shared" si="11"/>
        <v>17694</v>
      </c>
      <c r="V10" s="9">
        <v>1646</v>
      </c>
      <c r="W10" s="269">
        <v>33090</v>
      </c>
      <c r="X10" s="10">
        <f t="shared" si="12"/>
        <v>6584</v>
      </c>
      <c r="Y10" s="270">
        <f t="shared" si="13"/>
        <v>24.839658945144496</v>
      </c>
      <c r="Z10" s="271">
        <f t="shared" si="14"/>
        <v>26506</v>
      </c>
      <c r="AA10" s="9">
        <v>1419</v>
      </c>
      <c r="AB10" s="269">
        <v>28730</v>
      </c>
      <c r="AC10" s="10">
        <f t="shared" si="15"/>
        <v>5676</v>
      </c>
      <c r="AD10" s="270">
        <f t="shared" si="16"/>
        <v>24.620456319944477</v>
      </c>
      <c r="AE10" s="271">
        <f t="shared" si="17"/>
        <v>23054</v>
      </c>
    </row>
    <row r="11" spans="1:34" s="290" customFormat="1">
      <c r="A11" s="281">
        <f t="shared" si="0"/>
        <v>84896</v>
      </c>
      <c r="B11" s="282">
        <f t="shared" si="1"/>
        <v>16979.2</v>
      </c>
      <c r="C11" s="283">
        <f t="shared" si="2"/>
        <v>12209.823716991166</v>
      </c>
      <c r="D11" s="281"/>
      <c r="E11" s="284" t="s">
        <v>42</v>
      </c>
      <c r="F11" s="285">
        <v>4</v>
      </c>
      <c r="G11" s="286">
        <v>1132</v>
      </c>
      <c r="H11" s="287">
        <v>14710</v>
      </c>
      <c r="I11" s="287">
        <f t="shared" si="3"/>
        <v>4528</v>
      </c>
      <c r="J11" s="288">
        <f t="shared" si="4"/>
        <v>44.470634452956197</v>
      </c>
      <c r="K11" s="289">
        <f t="shared" si="5"/>
        <v>10182</v>
      </c>
      <c r="L11" s="286">
        <v>963</v>
      </c>
      <c r="M11" s="287">
        <v>2710</v>
      </c>
      <c r="N11" s="287">
        <f t="shared" si="6"/>
        <v>3852</v>
      </c>
      <c r="O11" s="288">
        <f t="shared" si="7"/>
        <v>-337.30297723292472</v>
      </c>
      <c r="P11" s="289">
        <f t="shared" si="8"/>
        <v>-1142</v>
      </c>
      <c r="Q11" s="286">
        <v>1070</v>
      </c>
      <c r="R11" s="287">
        <v>32340</v>
      </c>
      <c r="S11" s="287">
        <f t="shared" si="9"/>
        <v>4280</v>
      </c>
      <c r="T11" s="288">
        <f t="shared" si="10"/>
        <v>15.253029223093369</v>
      </c>
      <c r="U11" s="289">
        <f t="shared" si="11"/>
        <v>28060</v>
      </c>
      <c r="V11" s="286">
        <v>1395</v>
      </c>
      <c r="W11" s="287">
        <v>28210</v>
      </c>
      <c r="X11" s="287">
        <f t="shared" si="12"/>
        <v>5580</v>
      </c>
      <c r="Y11" s="288">
        <f t="shared" si="13"/>
        <v>24.657534246575342</v>
      </c>
      <c r="Z11" s="289">
        <f t="shared" si="14"/>
        <v>22630</v>
      </c>
      <c r="AA11" s="286">
        <v>1171</v>
      </c>
      <c r="AB11" s="287">
        <v>29850</v>
      </c>
      <c r="AC11" s="287">
        <f t="shared" si="15"/>
        <v>4684</v>
      </c>
      <c r="AD11" s="288">
        <f t="shared" si="16"/>
        <v>18.612413573869507</v>
      </c>
      <c r="AE11" s="289">
        <f t="shared" si="17"/>
        <v>25166</v>
      </c>
    </row>
    <row r="12" spans="1:34" s="290" customFormat="1">
      <c r="A12" s="281">
        <f t="shared" si="0"/>
        <v>94298</v>
      </c>
      <c r="B12" s="282">
        <f t="shared" si="1"/>
        <v>18859.599999999999</v>
      </c>
      <c r="C12" s="283">
        <f t="shared" si="2"/>
        <v>13139.235548539345</v>
      </c>
      <c r="D12" s="281"/>
      <c r="E12" s="284" t="s">
        <v>43</v>
      </c>
      <c r="F12" s="285">
        <v>4</v>
      </c>
      <c r="G12" s="286">
        <v>1384</v>
      </c>
      <c r="H12" s="287">
        <v>13590</v>
      </c>
      <c r="I12" s="287">
        <f t="shared" si="3"/>
        <v>5536</v>
      </c>
      <c r="J12" s="288">
        <f t="shared" si="4"/>
        <v>68.736031785448233</v>
      </c>
      <c r="K12" s="289">
        <f t="shared" si="5"/>
        <v>8054</v>
      </c>
      <c r="L12" s="286">
        <v>1184</v>
      </c>
      <c r="M12" s="287">
        <v>8380</v>
      </c>
      <c r="N12" s="287">
        <f t="shared" si="6"/>
        <v>4736</v>
      </c>
      <c r="O12" s="288">
        <f t="shared" si="7"/>
        <v>129.96706915477498</v>
      </c>
      <c r="P12" s="289">
        <f t="shared" si="8"/>
        <v>3644</v>
      </c>
      <c r="Q12" s="286">
        <v>1270</v>
      </c>
      <c r="R12" s="287">
        <v>27200</v>
      </c>
      <c r="S12" s="287">
        <f t="shared" si="9"/>
        <v>5080</v>
      </c>
      <c r="T12" s="288">
        <f t="shared" si="10"/>
        <v>22.965641952983727</v>
      </c>
      <c r="U12" s="289">
        <f t="shared" si="11"/>
        <v>22120</v>
      </c>
      <c r="V12" s="286">
        <v>1681</v>
      </c>
      <c r="W12" s="287">
        <v>42990</v>
      </c>
      <c r="X12" s="287">
        <f t="shared" si="12"/>
        <v>6724</v>
      </c>
      <c r="Y12" s="288">
        <f t="shared" si="13"/>
        <v>18.540781999669111</v>
      </c>
      <c r="Z12" s="289">
        <f t="shared" si="14"/>
        <v>36266</v>
      </c>
      <c r="AA12" s="286">
        <v>1449</v>
      </c>
      <c r="AB12" s="287">
        <v>30010</v>
      </c>
      <c r="AC12" s="287">
        <f t="shared" si="15"/>
        <v>5796</v>
      </c>
      <c r="AD12" s="288">
        <f t="shared" si="16"/>
        <v>23.936565623193193</v>
      </c>
      <c r="AE12" s="289">
        <f t="shared" si="17"/>
        <v>24214</v>
      </c>
    </row>
    <row r="13" spans="1:34">
      <c r="A13" s="116">
        <f t="shared" si="0"/>
        <v>61892</v>
      </c>
      <c r="B13" s="57">
        <f t="shared" si="1"/>
        <v>12378.4</v>
      </c>
      <c r="C13" s="244">
        <f t="shared" si="2"/>
        <v>9633.3598915435523</v>
      </c>
      <c r="D13" s="249"/>
      <c r="E13" s="250" t="s">
        <v>42</v>
      </c>
      <c r="F13" s="263">
        <v>4.5</v>
      </c>
      <c r="G13" s="9">
        <v>1143</v>
      </c>
      <c r="H13" s="269">
        <v>8060</v>
      </c>
      <c r="I13" s="10">
        <f t="shared" si="3"/>
        <v>4572</v>
      </c>
      <c r="J13" s="270">
        <f t="shared" si="4"/>
        <v>131.07798165137615</v>
      </c>
      <c r="K13" s="271">
        <f t="shared" si="5"/>
        <v>3488</v>
      </c>
      <c r="L13" s="9">
        <v>982</v>
      </c>
      <c r="M13" s="269">
        <v>4400</v>
      </c>
      <c r="N13" s="10">
        <f t="shared" si="6"/>
        <v>3928</v>
      </c>
      <c r="O13" s="270">
        <f t="shared" si="7"/>
        <v>832.20338983050851</v>
      </c>
      <c r="P13" s="271">
        <f t="shared" si="8"/>
        <v>472</v>
      </c>
      <c r="Q13" s="9">
        <v>1094</v>
      </c>
      <c r="R13" s="269">
        <v>25050</v>
      </c>
      <c r="S13" s="10">
        <f t="shared" si="9"/>
        <v>4376</v>
      </c>
      <c r="T13" s="270">
        <f t="shared" si="10"/>
        <v>21.166682789977749</v>
      </c>
      <c r="U13" s="271">
        <f t="shared" si="11"/>
        <v>20674</v>
      </c>
      <c r="V13" s="9">
        <v>1391</v>
      </c>
      <c r="W13" s="269">
        <v>22880</v>
      </c>
      <c r="X13" s="10">
        <f t="shared" si="12"/>
        <v>5564</v>
      </c>
      <c r="Y13" s="270">
        <f t="shared" si="13"/>
        <v>32.132132132132128</v>
      </c>
      <c r="Z13" s="271">
        <f t="shared" si="14"/>
        <v>17316</v>
      </c>
      <c r="AA13" s="9">
        <v>1187</v>
      </c>
      <c r="AB13" s="269">
        <v>24690</v>
      </c>
      <c r="AC13" s="10">
        <f t="shared" si="15"/>
        <v>4748</v>
      </c>
      <c r="AD13" s="270">
        <f t="shared" si="16"/>
        <v>23.809046234078828</v>
      </c>
      <c r="AE13" s="271">
        <f t="shared" si="17"/>
        <v>19942</v>
      </c>
    </row>
    <row r="14" spans="1:34">
      <c r="A14" s="116">
        <f t="shared" si="0"/>
        <v>60160</v>
      </c>
      <c r="B14" s="57">
        <f t="shared" si="1"/>
        <v>12032</v>
      </c>
      <c r="C14" s="244">
        <f t="shared" si="2"/>
        <v>12745.404818992609</v>
      </c>
      <c r="D14" s="249"/>
      <c r="E14" s="250" t="s">
        <v>43</v>
      </c>
      <c r="F14" s="263">
        <v>4.5</v>
      </c>
      <c r="G14" s="9">
        <v>1383</v>
      </c>
      <c r="H14" s="269">
        <v>5160</v>
      </c>
      <c r="I14" s="10">
        <f t="shared" si="3"/>
        <v>5532</v>
      </c>
      <c r="J14" s="270">
        <f t="shared" si="4"/>
        <v>-1487.0967741935483</v>
      </c>
      <c r="K14" s="271">
        <f t="shared" si="5"/>
        <v>-372</v>
      </c>
      <c r="L14" s="9">
        <v>1182</v>
      </c>
      <c r="M14" s="269">
        <v>1470</v>
      </c>
      <c r="N14" s="10">
        <f t="shared" si="6"/>
        <v>4728</v>
      </c>
      <c r="O14" s="270">
        <f t="shared" si="7"/>
        <v>-145.11970534069982</v>
      </c>
      <c r="P14" s="271">
        <f t="shared" si="8"/>
        <v>-3258</v>
      </c>
      <c r="Q14" s="9">
        <v>1280</v>
      </c>
      <c r="R14" s="269">
        <v>25390</v>
      </c>
      <c r="S14" s="10">
        <f t="shared" si="9"/>
        <v>5120</v>
      </c>
      <c r="T14" s="270">
        <f t="shared" si="10"/>
        <v>25.259003453379382</v>
      </c>
      <c r="U14" s="271">
        <f t="shared" si="11"/>
        <v>20270</v>
      </c>
      <c r="V14" s="9">
        <v>1672</v>
      </c>
      <c r="W14" s="269">
        <v>30030</v>
      </c>
      <c r="X14" s="10">
        <f t="shared" si="12"/>
        <v>6688</v>
      </c>
      <c r="Y14" s="270">
        <f t="shared" si="13"/>
        <v>28.652214891611688</v>
      </c>
      <c r="Z14" s="271">
        <f t="shared" si="14"/>
        <v>23342</v>
      </c>
      <c r="AA14" s="9">
        <v>1453</v>
      </c>
      <c r="AB14" s="269">
        <v>25990</v>
      </c>
      <c r="AC14" s="10">
        <f t="shared" si="15"/>
        <v>5812</v>
      </c>
      <c r="AD14" s="270">
        <f t="shared" si="16"/>
        <v>28.8036475369214</v>
      </c>
      <c r="AE14" s="271">
        <f t="shared" si="17"/>
        <v>20178</v>
      </c>
    </row>
    <row r="15" spans="1:34">
      <c r="A15" s="116">
        <f t="shared" si="0"/>
        <v>68938</v>
      </c>
      <c r="B15" s="57">
        <f t="shared" si="1"/>
        <v>13787.6</v>
      </c>
      <c r="C15" s="244">
        <f t="shared" si="2"/>
        <v>13294.292263975545</v>
      </c>
      <c r="D15" s="249"/>
      <c r="E15" s="250" t="s">
        <v>42</v>
      </c>
      <c r="F15" s="263">
        <v>5</v>
      </c>
      <c r="G15" s="9">
        <v>1166</v>
      </c>
      <c r="H15" s="269">
        <v>8270</v>
      </c>
      <c r="I15" s="10">
        <f t="shared" si="3"/>
        <v>4664</v>
      </c>
      <c r="J15" s="270">
        <f t="shared" si="4"/>
        <v>129.33998890737658</v>
      </c>
      <c r="K15" s="271">
        <f t="shared" si="5"/>
        <v>3606</v>
      </c>
      <c r="L15" s="9">
        <v>965</v>
      </c>
      <c r="M15" s="269">
        <v>920</v>
      </c>
      <c r="N15" s="10">
        <f t="shared" si="6"/>
        <v>3860</v>
      </c>
      <c r="O15" s="270">
        <f t="shared" si="7"/>
        <v>-131.29251700680271</v>
      </c>
      <c r="P15" s="271">
        <f t="shared" si="8"/>
        <v>-2940</v>
      </c>
      <c r="Q15" s="9">
        <v>1098</v>
      </c>
      <c r="R15" s="269">
        <v>34470</v>
      </c>
      <c r="S15" s="10">
        <f t="shared" si="9"/>
        <v>4392</v>
      </c>
      <c r="T15" s="270">
        <f t="shared" si="10"/>
        <v>14.602034709754639</v>
      </c>
      <c r="U15" s="271">
        <f t="shared" si="11"/>
        <v>30078</v>
      </c>
      <c r="V15" s="9">
        <v>1399</v>
      </c>
      <c r="W15" s="269">
        <v>25620</v>
      </c>
      <c r="X15" s="10">
        <f t="shared" si="12"/>
        <v>5596</v>
      </c>
      <c r="Y15" s="270">
        <f t="shared" si="13"/>
        <v>27.946464242908508</v>
      </c>
      <c r="Z15" s="271">
        <f t="shared" si="14"/>
        <v>20024</v>
      </c>
      <c r="AA15" s="9">
        <v>1195</v>
      </c>
      <c r="AB15" s="269">
        <v>22950</v>
      </c>
      <c r="AC15" s="10">
        <f t="shared" si="15"/>
        <v>4780</v>
      </c>
      <c r="AD15" s="270">
        <f t="shared" si="16"/>
        <v>26.307099614749585</v>
      </c>
      <c r="AE15" s="271">
        <f t="shared" si="17"/>
        <v>18170</v>
      </c>
    </row>
    <row r="16" spans="1:34" s="243" customFormat="1">
      <c r="A16" s="116">
        <f t="shared" si="0"/>
        <v>71620</v>
      </c>
      <c r="B16" s="57">
        <f t="shared" si="1"/>
        <v>14324</v>
      </c>
      <c r="C16" s="244">
        <f t="shared" si="2"/>
        <v>13878.586887720234</v>
      </c>
      <c r="D16" s="251"/>
      <c r="E16" s="260" t="s">
        <v>43</v>
      </c>
      <c r="F16" s="264">
        <v>5</v>
      </c>
      <c r="G16" s="272">
        <v>1397</v>
      </c>
      <c r="H16" s="273">
        <v>7610</v>
      </c>
      <c r="I16" s="10">
        <f t="shared" si="3"/>
        <v>5588</v>
      </c>
      <c r="J16" s="274">
        <f t="shared" si="4"/>
        <v>276.36003956478731</v>
      </c>
      <c r="K16" s="271">
        <f t="shared" si="5"/>
        <v>2022</v>
      </c>
      <c r="L16" s="272">
        <v>1171</v>
      </c>
      <c r="M16" s="273">
        <v>2050</v>
      </c>
      <c r="N16" s="10">
        <f t="shared" si="6"/>
        <v>4684</v>
      </c>
      <c r="O16" s="274">
        <f t="shared" si="7"/>
        <v>-177.82839787395596</v>
      </c>
      <c r="P16" s="271">
        <f t="shared" si="8"/>
        <v>-2634</v>
      </c>
      <c r="Q16" s="272">
        <v>1309</v>
      </c>
      <c r="R16" s="273">
        <v>34080</v>
      </c>
      <c r="S16" s="273">
        <f t="shared" si="9"/>
        <v>5236</v>
      </c>
      <c r="T16" s="274">
        <f t="shared" si="10"/>
        <v>18.152822077381778</v>
      </c>
      <c r="U16" s="271">
        <f t="shared" si="11"/>
        <v>28844</v>
      </c>
      <c r="V16" s="272">
        <v>1686</v>
      </c>
      <c r="W16" s="273">
        <v>25980</v>
      </c>
      <c r="X16" s="273">
        <f t="shared" si="12"/>
        <v>6744</v>
      </c>
      <c r="Y16" s="274">
        <f t="shared" si="13"/>
        <v>35.059263880224577</v>
      </c>
      <c r="Z16" s="271">
        <f t="shared" si="14"/>
        <v>19236</v>
      </c>
      <c r="AA16" s="272">
        <v>1472</v>
      </c>
      <c r="AB16" s="273">
        <v>30040</v>
      </c>
      <c r="AC16" s="273">
        <f t="shared" si="15"/>
        <v>5888</v>
      </c>
      <c r="AD16" s="274">
        <f t="shared" si="16"/>
        <v>24.378933421662801</v>
      </c>
      <c r="AE16" s="271">
        <f t="shared" si="17"/>
        <v>24152</v>
      </c>
    </row>
    <row r="17" spans="1:31">
      <c r="A17" s="116">
        <f t="shared" si="0"/>
        <v>13322</v>
      </c>
      <c r="B17" s="57">
        <f t="shared" si="1"/>
        <v>2664.4</v>
      </c>
      <c r="C17" s="244">
        <f t="shared" si="2"/>
        <v>12545.314854558255</v>
      </c>
      <c r="D17" s="249"/>
      <c r="E17" s="250" t="s">
        <v>42</v>
      </c>
      <c r="F17" s="263">
        <v>10</v>
      </c>
      <c r="G17" s="9">
        <v>1126</v>
      </c>
      <c r="H17" s="269">
        <v>-2440</v>
      </c>
      <c r="I17" s="10">
        <f t="shared" si="3"/>
        <v>4504</v>
      </c>
      <c r="J17" s="270">
        <f t="shared" si="4"/>
        <v>-64.861751152073737</v>
      </c>
      <c r="K17" s="271">
        <f t="shared" si="5"/>
        <v>-6944</v>
      </c>
      <c r="L17" s="9">
        <v>955</v>
      </c>
      <c r="M17" s="269">
        <v>4080</v>
      </c>
      <c r="N17" s="10">
        <f t="shared" si="6"/>
        <v>3820</v>
      </c>
      <c r="O17" s="270">
        <f t="shared" si="7"/>
        <v>1469.2307692307691</v>
      </c>
      <c r="P17" s="271">
        <f t="shared" si="8"/>
        <v>260</v>
      </c>
      <c r="Q17" s="9">
        <v>1059</v>
      </c>
      <c r="R17" s="269">
        <v>28220</v>
      </c>
      <c r="S17" s="10">
        <f t="shared" si="9"/>
        <v>4236</v>
      </c>
      <c r="T17" s="270">
        <f t="shared" si="10"/>
        <v>17.661774516344231</v>
      </c>
      <c r="U17" s="271">
        <f t="shared" si="11"/>
        <v>23984</v>
      </c>
      <c r="V17" s="9">
        <v>1362</v>
      </c>
      <c r="W17" s="269">
        <v>-640</v>
      </c>
      <c r="X17" s="10">
        <f t="shared" si="12"/>
        <v>5448</v>
      </c>
      <c r="Y17" s="270">
        <f t="shared" si="13"/>
        <v>-89.487516425755587</v>
      </c>
      <c r="Z17" s="271">
        <f t="shared" si="14"/>
        <v>-6088</v>
      </c>
      <c r="AA17" s="9">
        <v>1210</v>
      </c>
      <c r="AB17" s="269">
        <v>6950</v>
      </c>
      <c r="AC17" s="10">
        <f t="shared" si="15"/>
        <v>4840</v>
      </c>
      <c r="AD17" s="270">
        <f t="shared" si="16"/>
        <v>229.38388625592418</v>
      </c>
      <c r="AE17" s="271">
        <f t="shared" si="17"/>
        <v>2110</v>
      </c>
    </row>
    <row r="18" spans="1:31" ht="15.75" thickBot="1">
      <c r="A18" s="116">
        <f t="shared" si="0"/>
        <v>34969</v>
      </c>
      <c r="B18" s="57">
        <f t="shared" si="1"/>
        <v>6993.8</v>
      </c>
      <c r="C18" s="244">
        <f t="shared" si="2"/>
        <v>11466.341796754534</v>
      </c>
      <c r="D18" s="252"/>
      <c r="E18" s="253" t="s">
        <v>43</v>
      </c>
      <c r="F18" s="265">
        <v>10</v>
      </c>
      <c r="G18" s="275">
        <v>1273</v>
      </c>
      <c r="H18" s="276">
        <v>1357</v>
      </c>
      <c r="I18" s="10">
        <f t="shared" si="3"/>
        <v>5092</v>
      </c>
      <c r="J18" s="278">
        <f t="shared" si="4"/>
        <v>-136.33199464524765</v>
      </c>
      <c r="K18" s="279">
        <f t="shared" si="5"/>
        <v>-3735</v>
      </c>
      <c r="L18" s="275">
        <v>1165</v>
      </c>
      <c r="M18" s="276">
        <v>3340</v>
      </c>
      <c r="N18" s="10">
        <f t="shared" si="6"/>
        <v>4660</v>
      </c>
      <c r="O18" s="278">
        <f t="shared" si="7"/>
        <v>-353.030303030303</v>
      </c>
      <c r="P18" s="279">
        <f t="shared" si="8"/>
        <v>-1320</v>
      </c>
      <c r="Q18" s="275">
        <v>1273</v>
      </c>
      <c r="R18" s="276">
        <v>30420</v>
      </c>
      <c r="S18" s="277">
        <f t="shared" si="9"/>
        <v>5092</v>
      </c>
      <c r="T18" s="278">
        <f t="shared" si="10"/>
        <v>20.104232469993683</v>
      </c>
      <c r="U18" s="279">
        <f t="shared" si="11"/>
        <v>25328</v>
      </c>
      <c r="V18" s="275">
        <v>1649</v>
      </c>
      <c r="W18" s="276">
        <v>15570</v>
      </c>
      <c r="X18" s="277">
        <f t="shared" si="12"/>
        <v>6596</v>
      </c>
      <c r="Y18" s="278">
        <f t="shared" si="13"/>
        <v>73.501225763316242</v>
      </c>
      <c r="Z18" s="279">
        <f t="shared" si="14"/>
        <v>8974</v>
      </c>
      <c r="AA18" s="275">
        <v>1437</v>
      </c>
      <c r="AB18" s="276">
        <v>11470</v>
      </c>
      <c r="AC18" s="277">
        <f t="shared" si="15"/>
        <v>5748</v>
      </c>
      <c r="AD18" s="278">
        <f t="shared" si="16"/>
        <v>100.45438657811954</v>
      </c>
      <c r="AE18" s="279">
        <f t="shared" si="17"/>
        <v>5722</v>
      </c>
    </row>
    <row r="19" spans="1:31">
      <c r="A19" s="75">
        <f>SUM(A3:A18)</f>
        <v>1011681</v>
      </c>
      <c r="G19"/>
      <c r="H19" s="242"/>
      <c r="I19"/>
      <c r="J19" s="261"/>
      <c r="K19" s="243">
        <f>SUM(K3:K18)</f>
        <v>72133</v>
      </c>
      <c r="P19" s="243">
        <f>SUM(P3:P18)</f>
        <v>16758</v>
      </c>
      <c r="U19" s="243">
        <f>SUM(U3:U18)</f>
        <v>303724</v>
      </c>
      <c r="Z19" s="243">
        <f>SUM(Z3:Z18)</f>
        <v>269662</v>
      </c>
      <c r="AE19" s="243">
        <f>SUM(AE3:AE18)</f>
        <v>349404</v>
      </c>
    </row>
    <row r="21" spans="1:31">
      <c r="A21" s="75" t="s">
        <v>167</v>
      </c>
      <c r="B21" s="75" t="s">
        <v>168</v>
      </c>
    </row>
    <row r="23" spans="1:31" ht="15.75" thickBot="1"/>
    <row r="24" spans="1:31" ht="15.75" thickBot="1">
      <c r="Q24" s="5" t="s">
        <v>75</v>
      </c>
      <c r="R24" s="266" t="s">
        <v>161</v>
      </c>
      <c r="S24" s="6" t="s">
        <v>162</v>
      </c>
      <c r="T24" s="267" t="s">
        <v>164</v>
      </c>
      <c r="U24" s="268" t="s">
        <v>163</v>
      </c>
      <c r="V24" s="5" t="s">
        <v>75</v>
      </c>
      <c r="W24" s="266" t="s">
        <v>161</v>
      </c>
      <c r="X24" s="6" t="s">
        <v>162</v>
      </c>
      <c r="Y24" s="267" t="s">
        <v>164</v>
      </c>
      <c r="Z24" s="268" t="s">
        <v>163</v>
      </c>
      <c r="AA24" s="5" t="s">
        <v>75</v>
      </c>
      <c r="AB24" s="266" t="s">
        <v>161</v>
      </c>
      <c r="AC24" s="6" t="s">
        <v>162</v>
      </c>
      <c r="AD24" s="267" t="s">
        <v>164</v>
      </c>
      <c r="AE24" s="268" t="s">
        <v>163</v>
      </c>
    </row>
    <row r="25" spans="1:31" ht="15.75" thickBot="1">
      <c r="A25" s="255" t="s">
        <v>0</v>
      </c>
      <c r="B25" s="256" t="s">
        <v>1</v>
      </c>
      <c r="C25" s="257" t="s">
        <v>2</v>
      </c>
      <c r="D25" s="248"/>
      <c r="E25" s="254" t="s">
        <v>159</v>
      </c>
      <c r="F25" s="262" t="s">
        <v>160</v>
      </c>
      <c r="G25" s="262"/>
      <c r="H25" s="262"/>
      <c r="I25" s="262"/>
      <c r="J25" s="262"/>
      <c r="K25" s="262"/>
      <c r="L25" s="262"/>
      <c r="M25" s="262"/>
      <c r="N25" s="262"/>
      <c r="O25" s="262"/>
      <c r="P25" s="262"/>
      <c r="Q25" s="693" t="s">
        <v>13</v>
      </c>
      <c r="R25" s="694"/>
      <c r="S25" s="694"/>
      <c r="T25" s="694"/>
      <c r="U25" s="695"/>
      <c r="V25" s="696" t="s">
        <v>20</v>
      </c>
      <c r="W25" s="697"/>
      <c r="X25" s="697"/>
      <c r="Y25" s="697"/>
      <c r="Z25" s="698"/>
      <c r="AA25" s="699" t="s">
        <v>152</v>
      </c>
      <c r="AB25" s="700"/>
      <c r="AC25" s="700"/>
      <c r="AD25" s="700"/>
      <c r="AE25" s="701"/>
    </row>
    <row r="26" spans="1:31">
      <c r="A26" s="116">
        <f>SUM(U26,Z26,AE26)</f>
        <v>35168</v>
      </c>
      <c r="B26" s="57">
        <f>AVERAGE(U26,Z26,AE26)</f>
        <v>11722.666666666666</v>
      </c>
      <c r="C26" s="244">
        <f>STDEV(U26,Z26,AE26)</f>
        <v>9014.3761477616044</v>
      </c>
      <c r="D26" s="249"/>
      <c r="E26" s="250" t="s">
        <v>42</v>
      </c>
      <c r="F26" s="263">
        <v>3</v>
      </c>
      <c r="G26" s="263"/>
      <c r="H26" s="263"/>
      <c r="I26" s="263"/>
      <c r="J26" s="263"/>
      <c r="K26" s="263"/>
      <c r="L26" s="263"/>
      <c r="M26" s="263"/>
      <c r="N26" s="263"/>
      <c r="O26" s="263"/>
      <c r="P26" s="263"/>
      <c r="Q26" s="9">
        <v>1016</v>
      </c>
      <c r="R26" s="269">
        <v>7930</v>
      </c>
      <c r="S26" s="10">
        <f>Q26*4</f>
        <v>4064</v>
      </c>
      <c r="T26" s="270">
        <f>S26/U26*100</f>
        <v>105.12157268494569</v>
      </c>
      <c r="U26" s="271">
        <f>R26-Q26*4</f>
        <v>3866</v>
      </c>
      <c r="V26" s="9">
        <v>1303</v>
      </c>
      <c r="W26" s="269">
        <v>14950</v>
      </c>
      <c r="X26" s="10">
        <f>V26*4</f>
        <v>5212</v>
      </c>
      <c r="Y26" s="270">
        <f>X26/Z26*100</f>
        <v>53.522283836516735</v>
      </c>
      <c r="Z26" s="271">
        <f>W26-V26*4</f>
        <v>9738</v>
      </c>
      <c r="AA26" s="9">
        <v>1149</v>
      </c>
      <c r="AB26" s="269">
        <v>26160</v>
      </c>
      <c r="AC26" s="10">
        <f>AA26*4</f>
        <v>4596</v>
      </c>
      <c r="AD26" s="270">
        <f>AC26/AE26*100</f>
        <v>21.313299944351698</v>
      </c>
      <c r="AE26" s="271">
        <f>AB26-AA26*4</f>
        <v>21564</v>
      </c>
    </row>
    <row r="27" spans="1:31">
      <c r="A27" s="116">
        <f t="shared" ref="A27:A41" si="18">SUM(U27,Z27,AE27)</f>
        <v>35230</v>
      </c>
      <c r="B27" s="57">
        <f t="shared" ref="B27:B41" si="19">AVERAGE(U27,Z27,AE27)</f>
        <v>11743.333333333334</v>
      </c>
      <c r="C27" s="244">
        <f t="shared" ref="C27:C41" si="20">STDEV(U27,Z27,AE27)</f>
        <v>10506.745515778583</v>
      </c>
      <c r="D27" s="249"/>
      <c r="E27" s="250" t="s">
        <v>43</v>
      </c>
      <c r="F27" s="263">
        <v>3</v>
      </c>
      <c r="G27" s="263"/>
      <c r="H27" s="263"/>
      <c r="I27" s="263"/>
      <c r="J27" s="263"/>
      <c r="K27" s="263"/>
      <c r="L27" s="263"/>
      <c r="M27" s="263"/>
      <c r="N27" s="263"/>
      <c r="O27" s="263"/>
      <c r="P27" s="263"/>
      <c r="Q27" s="9">
        <v>1064</v>
      </c>
      <c r="R27" s="269">
        <v>10730</v>
      </c>
      <c r="S27" s="10">
        <f t="shared" ref="S27:S41" si="21">Q27*4</f>
        <v>4256</v>
      </c>
      <c r="T27" s="270">
        <f t="shared" ref="T27:T41" si="22">S27/U27*100</f>
        <v>65.739882607352484</v>
      </c>
      <c r="U27" s="271">
        <f t="shared" ref="U27:U41" si="23">R27-Q27*4</f>
        <v>6474</v>
      </c>
      <c r="V27" s="9">
        <v>1389</v>
      </c>
      <c r="W27" s="269">
        <v>10470</v>
      </c>
      <c r="X27" s="273">
        <f t="shared" ref="X27:X41" si="24">V27*4</f>
        <v>5556</v>
      </c>
      <c r="Y27" s="270">
        <f t="shared" ref="Y27:Y41" si="25">X27/Z27*100</f>
        <v>113.06471306471306</v>
      </c>
      <c r="Z27" s="271">
        <f t="shared" ref="Z27:Z41" si="26">W27-V27*4</f>
        <v>4914</v>
      </c>
      <c r="AA27" s="9">
        <v>1222</v>
      </c>
      <c r="AB27" s="269">
        <v>28730</v>
      </c>
      <c r="AC27" s="10">
        <f t="shared" ref="AC27:AC41" si="27">AA27*4</f>
        <v>4888</v>
      </c>
      <c r="AD27" s="270">
        <f t="shared" ref="AD27:AD41" si="28">AC27/AE27*100</f>
        <v>20.50163576881134</v>
      </c>
      <c r="AE27" s="271">
        <f t="shared" ref="AE27:AE41" si="29">AB27-AA27*4</f>
        <v>23842</v>
      </c>
    </row>
    <row r="28" spans="1:31">
      <c r="A28" s="116">
        <f t="shared" si="18"/>
        <v>58586</v>
      </c>
      <c r="B28" s="57">
        <f t="shared" si="19"/>
        <v>19528.666666666668</v>
      </c>
      <c r="C28" s="244">
        <f t="shared" si="20"/>
        <v>8246.0536824188439</v>
      </c>
      <c r="D28" s="249"/>
      <c r="E28" s="250" t="s">
        <v>42</v>
      </c>
      <c r="F28" s="263">
        <v>3.25</v>
      </c>
      <c r="G28" s="263"/>
      <c r="H28" s="263"/>
      <c r="I28" s="263"/>
      <c r="J28" s="263"/>
      <c r="K28" s="263"/>
      <c r="L28" s="263"/>
      <c r="M28" s="263"/>
      <c r="N28" s="263"/>
      <c r="O28" s="263"/>
      <c r="P28" s="263"/>
      <c r="Q28" s="9">
        <v>1023</v>
      </c>
      <c r="R28" s="269">
        <v>17100</v>
      </c>
      <c r="S28" s="10">
        <f t="shared" si="21"/>
        <v>4092</v>
      </c>
      <c r="T28" s="270">
        <f t="shared" si="22"/>
        <v>31.457564575645758</v>
      </c>
      <c r="U28" s="271">
        <f t="shared" si="23"/>
        <v>13008</v>
      </c>
      <c r="V28" s="9">
        <v>1330</v>
      </c>
      <c r="W28" s="269">
        <v>22100</v>
      </c>
      <c r="X28" s="10">
        <f t="shared" si="24"/>
        <v>5320</v>
      </c>
      <c r="Y28" s="270">
        <f t="shared" si="25"/>
        <v>31.704410011918949</v>
      </c>
      <c r="Z28" s="271">
        <f t="shared" si="26"/>
        <v>16780</v>
      </c>
      <c r="AA28" s="9">
        <v>1158</v>
      </c>
      <c r="AB28" s="269">
        <v>33430</v>
      </c>
      <c r="AC28" s="10">
        <f t="shared" si="27"/>
        <v>4632</v>
      </c>
      <c r="AD28" s="270">
        <f t="shared" si="28"/>
        <v>16.084450309049238</v>
      </c>
      <c r="AE28" s="271">
        <f t="shared" si="29"/>
        <v>28798</v>
      </c>
    </row>
    <row r="29" spans="1:31">
      <c r="A29" s="116">
        <f t="shared" si="18"/>
        <v>53198</v>
      </c>
      <c r="B29" s="57">
        <f t="shared" si="19"/>
        <v>17732.666666666668</v>
      </c>
      <c r="C29" s="244">
        <f t="shared" si="20"/>
        <v>8847.3006806219328</v>
      </c>
      <c r="D29" s="249"/>
      <c r="E29" s="250" t="s">
        <v>43</v>
      </c>
      <c r="F29" s="263">
        <v>3.25</v>
      </c>
      <c r="G29" s="263"/>
      <c r="H29" s="263"/>
      <c r="I29" s="263"/>
      <c r="J29" s="263"/>
      <c r="K29" s="263"/>
      <c r="L29" s="263"/>
      <c r="M29" s="263"/>
      <c r="N29" s="263"/>
      <c r="O29" s="263"/>
      <c r="P29" s="263"/>
      <c r="Q29" s="9">
        <v>1077</v>
      </c>
      <c r="R29" s="269">
        <v>18140</v>
      </c>
      <c r="S29" s="10">
        <f t="shared" si="21"/>
        <v>4308</v>
      </c>
      <c r="T29" s="270">
        <f t="shared" si="22"/>
        <v>31.145170618854827</v>
      </c>
      <c r="U29" s="271">
        <f t="shared" si="23"/>
        <v>13832</v>
      </c>
      <c r="V29" s="9">
        <v>1406</v>
      </c>
      <c r="W29" s="269">
        <v>17130</v>
      </c>
      <c r="X29" s="10">
        <f t="shared" si="24"/>
        <v>5624</v>
      </c>
      <c r="Y29" s="270">
        <f t="shared" si="25"/>
        <v>48.878845819572398</v>
      </c>
      <c r="Z29" s="271">
        <f t="shared" si="26"/>
        <v>11506</v>
      </c>
      <c r="AA29" s="9">
        <v>1220</v>
      </c>
      <c r="AB29" s="269">
        <v>32740</v>
      </c>
      <c r="AC29" s="10">
        <f t="shared" si="27"/>
        <v>4880</v>
      </c>
      <c r="AD29" s="270">
        <f t="shared" si="28"/>
        <v>17.516152189519023</v>
      </c>
      <c r="AE29" s="271">
        <f t="shared" si="29"/>
        <v>27860</v>
      </c>
    </row>
    <row r="30" spans="1:31">
      <c r="A30" s="116">
        <f t="shared" si="18"/>
        <v>58324</v>
      </c>
      <c r="B30" s="57">
        <f t="shared" si="19"/>
        <v>19441.333333333332</v>
      </c>
      <c r="C30" s="244">
        <f t="shared" si="20"/>
        <v>6631.5585900550841</v>
      </c>
      <c r="D30" s="249"/>
      <c r="E30" s="250" t="s">
        <v>42</v>
      </c>
      <c r="F30" s="263">
        <v>3.5</v>
      </c>
      <c r="G30" s="263"/>
      <c r="H30" s="263"/>
      <c r="I30" s="263"/>
      <c r="J30" s="263"/>
      <c r="K30" s="263"/>
      <c r="L30" s="263"/>
      <c r="M30" s="263"/>
      <c r="N30" s="263"/>
      <c r="O30" s="263"/>
      <c r="P30" s="263"/>
      <c r="Q30" s="9">
        <v>1044</v>
      </c>
      <c r="R30" s="269">
        <v>21480</v>
      </c>
      <c r="S30" s="10">
        <f t="shared" si="21"/>
        <v>4176</v>
      </c>
      <c r="T30" s="270">
        <f t="shared" si="22"/>
        <v>24.133148404993065</v>
      </c>
      <c r="U30" s="271">
        <f t="shared" si="23"/>
        <v>17304</v>
      </c>
      <c r="V30" s="9">
        <v>1357</v>
      </c>
      <c r="W30" s="269">
        <v>19570</v>
      </c>
      <c r="X30" s="10">
        <f t="shared" si="24"/>
        <v>5428</v>
      </c>
      <c r="Y30" s="270">
        <f t="shared" si="25"/>
        <v>38.382124169141562</v>
      </c>
      <c r="Z30" s="271">
        <f t="shared" si="26"/>
        <v>14142</v>
      </c>
      <c r="AA30" s="9">
        <v>1168</v>
      </c>
      <c r="AB30" s="269">
        <v>31550</v>
      </c>
      <c r="AC30" s="10">
        <f t="shared" si="27"/>
        <v>4672</v>
      </c>
      <c r="AD30" s="270">
        <f t="shared" si="28"/>
        <v>17.382245702805267</v>
      </c>
      <c r="AE30" s="271">
        <f t="shared" si="29"/>
        <v>26878</v>
      </c>
    </row>
    <row r="31" spans="1:31">
      <c r="A31" s="116">
        <f t="shared" si="18"/>
        <v>61230</v>
      </c>
      <c r="B31" s="57">
        <f t="shared" si="19"/>
        <v>20410</v>
      </c>
      <c r="C31" s="244">
        <f t="shared" si="20"/>
        <v>7183.3632791332502</v>
      </c>
      <c r="D31" s="249"/>
      <c r="E31" s="250" t="s">
        <v>43</v>
      </c>
      <c r="F31" s="263">
        <v>3.5</v>
      </c>
      <c r="G31" s="263"/>
      <c r="H31" s="263"/>
      <c r="I31" s="263"/>
      <c r="J31" s="263"/>
      <c r="K31" s="263"/>
      <c r="L31" s="263"/>
      <c r="M31" s="263"/>
      <c r="N31" s="263"/>
      <c r="O31" s="263"/>
      <c r="P31" s="263"/>
      <c r="Q31" s="9">
        <v>1104</v>
      </c>
      <c r="R31" s="269">
        <v>25480</v>
      </c>
      <c r="S31" s="10">
        <f t="shared" si="21"/>
        <v>4416</v>
      </c>
      <c r="T31" s="270">
        <f t="shared" si="22"/>
        <v>20.964679073300417</v>
      </c>
      <c r="U31" s="271">
        <f t="shared" si="23"/>
        <v>21064</v>
      </c>
      <c r="V31" s="9">
        <v>1427</v>
      </c>
      <c r="W31" s="269">
        <v>18630</v>
      </c>
      <c r="X31" s="10">
        <f t="shared" si="24"/>
        <v>5708</v>
      </c>
      <c r="Y31" s="270">
        <f t="shared" si="25"/>
        <v>44.172728679770934</v>
      </c>
      <c r="Z31" s="271">
        <f t="shared" si="26"/>
        <v>12922</v>
      </c>
      <c r="AA31" s="9">
        <v>1239</v>
      </c>
      <c r="AB31" s="269">
        <v>32200</v>
      </c>
      <c r="AC31" s="10">
        <f t="shared" si="27"/>
        <v>4956</v>
      </c>
      <c r="AD31" s="270">
        <f t="shared" si="28"/>
        <v>18.191161356628982</v>
      </c>
      <c r="AE31" s="271">
        <f t="shared" si="29"/>
        <v>27244</v>
      </c>
    </row>
    <row r="32" spans="1:31">
      <c r="A32" s="116">
        <f t="shared" si="18"/>
        <v>69976</v>
      </c>
      <c r="B32" s="57">
        <f t="shared" si="19"/>
        <v>23325.333333333332</v>
      </c>
      <c r="C32" s="244">
        <f t="shared" si="20"/>
        <v>6352.6464826348847</v>
      </c>
      <c r="D32" s="249"/>
      <c r="E32" s="250" t="s">
        <v>42</v>
      </c>
      <c r="F32" s="263">
        <v>3.75</v>
      </c>
      <c r="G32" s="263"/>
      <c r="H32" s="263"/>
      <c r="I32" s="263"/>
      <c r="J32" s="263"/>
      <c r="K32" s="263"/>
      <c r="L32" s="263"/>
      <c r="M32" s="263"/>
      <c r="N32" s="263"/>
      <c r="O32" s="263"/>
      <c r="P32" s="263"/>
      <c r="Q32" s="9">
        <v>1052</v>
      </c>
      <c r="R32" s="269">
        <v>20640</v>
      </c>
      <c r="S32" s="10">
        <f t="shared" si="21"/>
        <v>4208</v>
      </c>
      <c r="T32" s="270">
        <f t="shared" si="22"/>
        <v>25.608568646543329</v>
      </c>
      <c r="U32" s="271">
        <f t="shared" si="23"/>
        <v>16432</v>
      </c>
      <c r="V32" s="9">
        <v>1385</v>
      </c>
      <c r="W32" s="269">
        <v>30140</v>
      </c>
      <c r="X32" s="10">
        <f t="shared" si="24"/>
        <v>5540</v>
      </c>
      <c r="Y32" s="270">
        <f t="shared" si="25"/>
        <v>22.520325203252032</v>
      </c>
      <c r="Z32" s="271">
        <f t="shared" si="26"/>
        <v>24600</v>
      </c>
      <c r="AA32" s="9">
        <v>1169</v>
      </c>
      <c r="AB32" s="269">
        <v>33620</v>
      </c>
      <c r="AC32" s="10">
        <f t="shared" si="27"/>
        <v>4676</v>
      </c>
      <c r="AD32" s="270">
        <f t="shared" si="28"/>
        <v>16.155334438916526</v>
      </c>
      <c r="AE32" s="271">
        <f t="shared" si="29"/>
        <v>28944</v>
      </c>
    </row>
    <row r="33" spans="1:31">
      <c r="A33" s="116">
        <f t="shared" si="18"/>
        <v>72388</v>
      </c>
      <c r="B33" s="57">
        <f t="shared" si="19"/>
        <v>24129.333333333332</v>
      </c>
      <c r="C33" s="244">
        <f t="shared" si="20"/>
        <v>4127.2878907744462</v>
      </c>
      <c r="D33" s="249"/>
      <c r="E33" s="250" t="s">
        <v>43</v>
      </c>
      <c r="F33" s="263">
        <v>3.75</v>
      </c>
      <c r="G33" s="263"/>
      <c r="H33" s="263"/>
      <c r="I33" s="263"/>
      <c r="J33" s="263"/>
      <c r="K33" s="263"/>
      <c r="L33" s="263"/>
      <c r="M33" s="263"/>
      <c r="N33" s="263"/>
      <c r="O33" s="263"/>
      <c r="P33" s="263"/>
      <c r="Q33" s="9">
        <v>1124</v>
      </c>
      <c r="R33" s="269">
        <v>27460</v>
      </c>
      <c r="S33" s="10">
        <f t="shared" si="21"/>
        <v>4496</v>
      </c>
      <c r="T33" s="270">
        <f t="shared" si="22"/>
        <v>19.578470649712592</v>
      </c>
      <c r="U33" s="271">
        <f t="shared" si="23"/>
        <v>22964</v>
      </c>
      <c r="V33" s="9">
        <v>1440</v>
      </c>
      <c r="W33" s="269">
        <v>26470</v>
      </c>
      <c r="X33" s="10">
        <f t="shared" si="24"/>
        <v>5760</v>
      </c>
      <c r="Y33" s="270">
        <f t="shared" si="25"/>
        <v>27.812650893288264</v>
      </c>
      <c r="Z33" s="271">
        <f t="shared" si="26"/>
        <v>20710</v>
      </c>
      <c r="AA33" s="9">
        <v>1244</v>
      </c>
      <c r="AB33" s="269">
        <v>33690</v>
      </c>
      <c r="AC33" s="10">
        <f t="shared" si="27"/>
        <v>4976</v>
      </c>
      <c r="AD33" s="270">
        <f t="shared" si="28"/>
        <v>17.329525666922059</v>
      </c>
      <c r="AE33" s="271">
        <f t="shared" si="29"/>
        <v>28714</v>
      </c>
    </row>
    <row r="34" spans="1:31">
      <c r="A34" s="251">
        <f t="shared" si="18"/>
        <v>75856</v>
      </c>
      <c r="B34" s="258">
        <f t="shared" si="19"/>
        <v>25285.333333333332</v>
      </c>
      <c r="C34" s="259">
        <f t="shared" si="20"/>
        <v>2716.9662002559717</v>
      </c>
      <c r="D34" s="251"/>
      <c r="E34" s="260" t="s">
        <v>42</v>
      </c>
      <c r="F34" s="264">
        <v>4</v>
      </c>
      <c r="G34" s="264"/>
      <c r="H34" s="264"/>
      <c r="I34" s="264"/>
      <c r="J34" s="264"/>
      <c r="K34" s="264"/>
      <c r="L34" s="264"/>
      <c r="M34" s="264"/>
      <c r="N34" s="264"/>
      <c r="O34" s="264"/>
      <c r="P34" s="264"/>
      <c r="Q34" s="272">
        <v>1070</v>
      </c>
      <c r="R34" s="273">
        <v>32340</v>
      </c>
      <c r="S34" s="273">
        <f t="shared" si="21"/>
        <v>4280</v>
      </c>
      <c r="T34" s="274">
        <f t="shared" si="22"/>
        <v>15.253029223093369</v>
      </c>
      <c r="U34" s="271">
        <f t="shared" si="23"/>
        <v>28060</v>
      </c>
      <c r="V34" s="272">
        <v>1395</v>
      </c>
      <c r="W34" s="273">
        <v>28210</v>
      </c>
      <c r="X34" s="273">
        <f t="shared" si="24"/>
        <v>5580</v>
      </c>
      <c r="Y34" s="274">
        <f t="shared" si="25"/>
        <v>24.657534246575342</v>
      </c>
      <c r="Z34" s="271">
        <f t="shared" si="26"/>
        <v>22630</v>
      </c>
      <c r="AA34" s="272">
        <v>1171</v>
      </c>
      <c r="AB34" s="273">
        <v>29850</v>
      </c>
      <c r="AC34" s="273">
        <f t="shared" si="27"/>
        <v>4684</v>
      </c>
      <c r="AD34" s="274">
        <f t="shared" si="28"/>
        <v>18.612413573869507</v>
      </c>
      <c r="AE34" s="271">
        <f t="shared" si="29"/>
        <v>25166</v>
      </c>
    </row>
    <row r="35" spans="1:31">
      <c r="A35" s="251">
        <f t="shared" si="18"/>
        <v>78014</v>
      </c>
      <c r="B35" s="258">
        <f t="shared" si="19"/>
        <v>26004.666666666668</v>
      </c>
      <c r="C35" s="259">
        <f t="shared" si="20"/>
        <v>6795.9191676574092</v>
      </c>
      <c r="D35" s="251"/>
      <c r="E35" s="260" t="s">
        <v>43</v>
      </c>
      <c r="F35" s="264">
        <v>4</v>
      </c>
      <c r="G35" s="264"/>
      <c r="H35" s="264"/>
      <c r="I35" s="264"/>
      <c r="J35" s="264"/>
      <c r="K35" s="264"/>
      <c r="L35" s="264"/>
      <c r="M35" s="264"/>
      <c r="N35" s="264"/>
      <c r="O35" s="264"/>
      <c r="P35" s="264"/>
      <c r="Q35" s="272">
        <v>1148</v>
      </c>
      <c r="R35" s="273">
        <v>38030</v>
      </c>
      <c r="S35" s="273">
        <f t="shared" si="21"/>
        <v>4592</v>
      </c>
      <c r="T35" s="274">
        <f t="shared" si="22"/>
        <v>13.732878760691428</v>
      </c>
      <c r="U35" s="271">
        <f t="shared" si="23"/>
        <v>33438</v>
      </c>
      <c r="V35" s="272">
        <v>1460</v>
      </c>
      <c r="W35" s="280">
        <v>25950</v>
      </c>
      <c r="X35" s="273">
        <f t="shared" si="24"/>
        <v>5840</v>
      </c>
      <c r="Y35" s="274">
        <f t="shared" si="25"/>
        <v>29.040278468423669</v>
      </c>
      <c r="Z35" s="271">
        <f t="shared" si="26"/>
        <v>20110</v>
      </c>
      <c r="AA35" s="272">
        <v>1246</v>
      </c>
      <c r="AB35" s="273">
        <v>29450</v>
      </c>
      <c r="AC35" s="273">
        <f t="shared" si="27"/>
        <v>4984</v>
      </c>
      <c r="AD35" s="274">
        <f t="shared" si="28"/>
        <v>20.371127278672443</v>
      </c>
      <c r="AE35" s="271">
        <f t="shared" si="29"/>
        <v>24466</v>
      </c>
    </row>
    <row r="36" spans="1:31">
      <c r="A36" s="116">
        <f t="shared" si="18"/>
        <v>57932</v>
      </c>
      <c r="B36" s="57">
        <f t="shared" si="19"/>
        <v>19310.666666666668</v>
      </c>
      <c r="C36" s="244">
        <f t="shared" si="20"/>
        <v>1765.7795256864242</v>
      </c>
      <c r="D36" s="249"/>
      <c r="E36" s="250" t="s">
        <v>42</v>
      </c>
      <c r="F36" s="263">
        <v>4.5</v>
      </c>
      <c r="G36" s="263"/>
      <c r="H36" s="263"/>
      <c r="I36" s="263"/>
      <c r="J36" s="263"/>
      <c r="K36" s="263"/>
      <c r="L36" s="263"/>
      <c r="M36" s="263"/>
      <c r="N36" s="263"/>
      <c r="O36" s="263"/>
      <c r="P36" s="263"/>
      <c r="Q36" s="9">
        <v>1094</v>
      </c>
      <c r="R36" s="269">
        <v>25050</v>
      </c>
      <c r="S36" s="10">
        <f t="shared" si="21"/>
        <v>4376</v>
      </c>
      <c r="T36" s="270">
        <f t="shared" si="22"/>
        <v>21.166682789977749</v>
      </c>
      <c r="U36" s="271">
        <f t="shared" si="23"/>
        <v>20674</v>
      </c>
      <c r="V36" s="9">
        <v>1391</v>
      </c>
      <c r="W36" s="269">
        <v>22880</v>
      </c>
      <c r="X36" s="10">
        <f t="shared" si="24"/>
        <v>5564</v>
      </c>
      <c r="Y36" s="270">
        <f t="shared" si="25"/>
        <v>32.132132132132128</v>
      </c>
      <c r="Z36" s="271">
        <f t="shared" si="26"/>
        <v>17316</v>
      </c>
      <c r="AA36" s="9">
        <v>1187</v>
      </c>
      <c r="AB36" s="269">
        <v>24690</v>
      </c>
      <c r="AC36" s="10">
        <f t="shared" si="27"/>
        <v>4748</v>
      </c>
      <c r="AD36" s="270">
        <f t="shared" si="28"/>
        <v>23.809046234078828</v>
      </c>
      <c r="AE36" s="271">
        <f t="shared" si="29"/>
        <v>19942</v>
      </c>
    </row>
    <row r="37" spans="1:31">
      <c r="A37" s="116">
        <f t="shared" si="18"/>
        <v>61746</v>
      </c>
      <c r="B37" s="57">
        <f t="shared" si="19"/>
        <v>20582</v>
      </c>
      <c r="C37" s="244">
        <f t="shared" si="20"/>
        <v>5097.9588072090182</v>
      </c>
      <c r="D37" s="249"/>
      <c r="E37" s="250" t="s">
        <v>43</v>
      </c>
      <c r="F37" s="263">
        <v>4.5</v>
      </c>
      <c r="G37" s="263"/>
      <c r="H37" s="263"/>
      <c r="I37" s="263"/>
      <c r="J37" s="263"/>
      <c r="K37" s="263"/>
      <c r="L37" s="263"/>
      <c r="M37" s="263"/>
      <c r="N37" s="263"/>
      <c r="O37" s="263"/>
      <c r="P37" s="263"/>
      <c r="Q37" s="9">
        <v>1167</v>
      </c>
      <c r="R37" s="269">
        <v>29210</v>
      </c>
      <c r="S37" s="10">
        <f t="shared" si="21"/>
        <v>4668</v>
      </c>
      <c r="T37" s="270">
        <f t="shared" si="22"/>
        <v>19.020454730665797</v>
      </c>
      <c r="U37" s="271">
        <f t="shared" si="23"/>
        <v>24542</v>
      </c>
      <c r="V37" s="9">
        <v>1470</v>
      </c>
      <c r="W37" s="269">
        <v>20710</v>
      </c>
      <c r="X37" s="10">
        <f t="shared" si="24"/>
        <v>5880</v>
      </c>
      <c r="Y37" s="270">
        <f t="shared" si="25"/>
        <v>39.649359406608227</v>
      </c>
      <c r="Z37" s="271">
        <f t="shared" si="26"/>
        <v>14830</v>
      </c>
      <c r="AA37" s="9">
        <v>1279</v>
      </c>
      <c r="AB37" s="269">
        <v>27490</v>
      </c>
      <c r="AC37" s="10">
        <f t="shared" si="27"/>
        <v>5116</v>
      </c>
      <c r="AD37" s="270">
        <f t="shared" si="28"/>
        <v>22.865826405649415</v>
      </c>
      <c r="AE37" s="271">
        <f t="shared" si="29"/>
        <v>22374</v>
      </c>
    </row>
    <row r="38" spans="1:31">
      <c r="A38" s="116">
        <f t="shared" si="18"/>
        <v>68272</v>
      </c>
      <c r="B38" s="57">
        <f t="shared" si="19"/>
        <v>22757.333333333332</v>
      </c>
      <c r="C38" s="244">
        <f t="shared" si="20"/>
        <v>6407.2965697970758</v>
      </c>
      <c r="D38" s="249"/>
      <c r="E38" s="250" t="s">
        <v>42</v>
      </c>
      <c r="F38" s="263">
        <v>5</v>
      </c>
      <c r="G38" s="263"/>
      <c r="H38" s="263"/>
      <c r="I38" s="263"/>
      <c r="J38" s="263"/>
      <c r="K38" s="263"/>
      <c r="L38" s="263"/>
      <c r="M38" s="263"/>
      <c r="N38" s="263"/>
      <c r="O38" s="263"/>
      <c r="P38" s="263"/>
      <c r="Q38" s="9">
        <v>1098</v>
      </c>
      <c r="R38" s="269">
        <v>34470</v>
      </c>
      <c r="S38" s="10">
        <f t="shared" si="21"/>
        <v>4392</v>
      </c>
      <c r="T38" s="270">
        <f t="shared" si="22"/>
        <v>14.602034709754639</v>
      </c>
      <c r="U38" s="271">
        <f t="shared" si="23"/>
        <v>30078</v>
      </c>
      <c r="V38" s="9">
        <v>1399</v>
      </c>
      <c r="W38" s="269">
        <v>25620</v>
      </c>
      <c r="X38" s="10">
        <f t="shared" si="24"/>
        <v>5596</v>
      </c>
      <c r="Y38" s="270">
        <f t="shared" si="25"/>
        <v>27.946464242908508</v>
      </c>
      <c r="Z38" s="271">
        <f t="shared" si="26"/>
        <v>20024</v>
      </c>
      <c r="AA38" s="9">
        <v>1195</v>
      </c>
      <c r="AB38" s="269">
        <v>22950</v>
      </c>
      <c r="AC38" s="10">
        <f t="shared" si="27"/>
        <v>4780</v>
      </c>
      <c r="AD38" s="270">
        <f t="shared" si="28"/>
        <v>26.307099614749585</v>
      </c>
      <c r="AE38" s="271">
        <f t="shared" si="29"/>
        <v>18170</v>
      </c>
    </row>
    <row r="39" spans="1:31">
      <c r="A39" s="251">
        <f t="shared" si="18"/>
        <v>68466</v>
      </c>
      <c r="B39" s="258">
        <f t="shared" si="19"/>
        <v>22822</v>
      </c>
      <c r="C39" s="259">
        <f t="shared" si="20"/>
        <v>11006.520976221324</v>
      </c>
      <c r="D39" s="251"/>
      <c r="E39" s="260" t="s">
        <v>43</v>
      </c>
      <c r="F39" s="264">
        <v>5</v>
      </c>
      <c r="G39" s="264"/>
      <c r="H39" s="264"/>
      <c r="I39" s="264"/>
      <c r="J39" s="264"/>
      <c r="K39" s="264"/>
      <c r="L39" s="264"/>
      <c r="M39" s="264"/>
      <c r="N39" s="264"/>
      <c r="O39" s="264"/>
      <c r="P39" s="264"/>
      <c r="Q39" s="272">
        <v>1182</v>
      </c>
      <c r="R39" s="273">
        <v>40170</v>
      </c>
      <c r="S39" s="273">
        <f t="shared" si="21"/>
        <v>4728</v>
      </c>
      <c r="T39" s="274">
        <f t="shared" si="22"/>
        <v>13.340104960216692</v>
      </c>
      <c r="U39" s="271">
        <f t="shared" si="23"/>
        <v>35442</v>
      </c>
      <c r="V39" s="272">
        <v>1480</v>
      </c>
      <c r="W39" s="273">
        <v>21130</v>
      </c>
      <c r="X39" s="273">
        <f t="shared" si="24"/>
        <v>5920</v>
      </c>
      <c r="Y39" s="274">
        <f t="shared" si="25"/>
        <v>38.921761998685078</v>
      </c>
      <c r="Z39" s="271">
        <f t="shared" si="26"/>
        <v>15210</v>
      </c>
      <c r="AA39" s="272">
        <v>1284</v>
      </c>
      <c r="AB39" s="273">
        <v>22950</v>
      </c>
      <c r="AC39" s="273">
        <f t="shared" si="27"/>
        <v>5136</v>
      </c>
      <c r="AD39" s="274">
        <f t="shared" si="28"/>
        <v>28.831256315257665</v>
      </c>
      <c r="AE39" s="271">
        <f t="shared" si="29"/>
        <v>17814</v>
      </c>
    </row>
    <row r="40" spans="1:31">
      <c r="A40" s="116">
        <f t="shared" si="18"/>
        <v>20006</v>
      </c>
      <c r="B40" s="57">
        <f t="shared" si="19"/>
        <v>6668.666666666667</v>
      </c>
      <c r="C40" s="244">
        <f t="shared" si="20"/>
        <v>15545.654612570464</v>
      </c>
      <c r="D40" s="249"/>
      <c r="E40" s="250" t="s">
        <v>42</v>
      </c>
      <c r="F40" s="263">
        <v>10</v>
      </c>
      <c r="G40" s="263"/>
      <c r="H40" s="263"/>
      <c r="I40" s="263"/>
      <c r="J40" s="263"/>
      <c r="K40" s="263"/>
      <c r="L40" s="263"/>
      <c r="M40" s="263"/>
      <c r="N40" s="263"/>
      <c r="O40" s="263"/>
      <c r="P40" s="263"/>
      <c r="Q40" s="9">
        <v>1059</v>
      </c>
      <c r="R40" s="269">
        <v>28220</v>
      </c>
      <c r="S40" s="10">
        <f t="shared" si="21"/>
        <v>4236</v>
      </c>
      <c r="T40" s="270">
        <f t="shared" si="22"/>
        <v>17.661774516344231</v>
      </c>
      <c r="U40" s="271">
        <f t="shared" si="23"/>
        <v>23984</v>
      </c>
      <c r="V40" s="9">
        <v>1362</v>
      </c>
      <c r="W40" s="269">
        <v>-640</v>
      </c>
      <c r="X40" s="10">
        <f t="shared" si="24"/>
        <v>5448</v>
      </c>
      <c r="Y40" s="270">
        <f t="shared" si="25"/>
        <v>-89.487516425755587</v>
      </c>
      <c r="Z40" s="271">
        <f t="shared" si="26"/>
        <v>-6088</v>
      </c>
      <c r="AA40" s="9">
        <v>1210</v>
      </c>
      <c r="AB40" s="269">
        <v>6950</v>
      </c>
      <c r="AC40" s="10">
        <f t="shared" si="27"/>
        <v>4840</v>
      </c>
      <c r="AD40" s="270">
        <f t="shared" si="28"/>
        <v>229.38388625592418</v>
      </c>
      <c r="AE40" s="271">
        <f t="shared" si="29"/>
        <v>2110</v>
      </c>
    </row>
    <row r="41" spans="1:31" ht="15.75" thickBot="1">
      <c r="A41" s="245">
        <f t="shared" si="18"/>
        <v>29442</v>
      </c>
      <c r="B41" s="246">
        <f t="shared" si="19"/>
        <v>9814</v>
      </c>
      <c r="C41" s="247">
        <f t="shared" si="20"/>
        <v>13841.15081920575</v>
      </c>
      <c r="D41" s="252"/>
      <c r="E41" s="253" t="s">
        <v>43</v>
      </c>
      <c r="F41" s="265">
        <v>10</v>
      </c>
      <c r="G41" s="265"/>
      <c r="H41" s="265"/>
      <c r="I41" s="265"/>
      <c r="J41" s="265"/>
      <c r="K41" s="265"/>
      <c r="L41" s="265"/>
      <c r="M41" s="265"/>
      <c r="N41" s="265"/>
      <c r="O41" s="265"/>
      <c r="P41" s="265"/>
      <c r="Q41" s="275">
        <v>1129</v>
      </c>
      <c r="R41" s="276">
        <v>28850</v>
      </c>
      <c r="S41" s="277">
        <f t="shared" si="21"/>
        <v>4516</v>
      </c>
      <c r="T41" s="278">
        <f t="shared" si="22"/>
        <v>18.558395660392865</v>
      </c>
      <c r="U41" s="279">
        <f t="shared" si="23"/>
        <v>24334</v>
      </c>
      <c r="V41" s="275">
        <v>1430</v>
      </c>
      <c r="W41" s="276">
        <v>2490</v>
      </c>
      <c r="X41" s="277">
        <f t="shared" si="24"/>
        <v>5720</v>
      </c>
      <c r="Y41" s="278">
        <f t="shared" si="25"/>
        <v>-177.08978328173376</v>
      </c>
      <c r="Z41" s="279">
        <f t="shared" si="26"/>
        <v>-3230</v>
      </c>
      <c r="AA41" s="275">
        <v>1263</v>
      </c>
      <c r="AB41" s="276">
        <v>13390</v>
      </c>
      <c r="AC41" s="277">
        <f t="shared" si="27"/>
        <v>5052</v>
      </c>
      <c r="AD41" s="278">
        <f t="shared" si="28"/>
        <v>60.590069561045809</v>
      </c>
      <c r="AE41" s="279">
        <f t="shared" si="29"/>
        <v>8338</v>
      </c>
    </row>
    <row r="42" spans="1:31">
      <c r="A42" s="75">
        <f>SUM(A26:A41)</f>
        <v>903834</v>
      </c>
      <c r="U42" s="243">
        <f>SUM(U26:U41)</f>
        <v>335496</v>
      </c>
      <c r="Z42" s="243">
        <f>SUM(Z26:Z41)</f>
        <v>216114</v>
      </c>
      <c r="AE42" s="243">
        <f>SUM(AE26:AE41)</f>
        <v>352224</v>
      </c>
    </row>
    <row r="46" spans="1:31" ht="15.75" thickBot="1">
      <c r="A46" s="75" t="s">
        <v>166</v>
      </c>
    </row>
    <row r="47" spans="1:31" ht="15.75" thickBot="1">
      <c r="L47" s="5" t="s">
        <v>75</v>
      </c>
      <c r="M47" s="266" t="s">
        <v>161</v>
      </c>
      <c r="N47" s="6" t="s">
        <v>162</v>
      </c>
      <c r="O47" s="267" t="s">
        <v>164</v>
      </c>
      <c r="P47" s="268" t="s">
        <v>163</v>
      </c>
      <c r="Q47" s="5" t="s">
        <v>75</v>
      </c>
      <c r="R47" s="266" t="s">
        <v>161</v>
      </c>
      <c r="S47" s="6" t="s">
        <v>162</v>
      </c>
      <c r="T47" s="267" t="s">
        <v>164</v>
      </c>
      <c r="U47" s="268" t="s">
        <v>163</v>
      </c>
      <c r="V47" s="5" t="s">
        <v>75</v>
      </c>
      <c r="W47" s="266" t="s">
        <v>161</v>
      </c>
      <c r="X47" s="6" t="s">
        <v>162</v>
      </c>
      <c r="Y47" s="267" t="s">
        <v>164</v>
      </c>
      <c r="Z47" s="268" t="s">
        <v>163</v>
      </c>
      <c r="AA47" s="5" t="s">
        <v>75</v>
      </c>
      <c r="AB47" s="266" t="s">
        <v>161</v>
      </c>
      <c r="AC47" s="6" t="s">
        <v>162</v>
      </c>
      <c r="AD47" s="267" t="s">
        <v>164</v>
      </c>
      <c r="AE47" s="268" t="s">
        <v>163</v>
      </c>
    </row>
    <row r="48" spans="1:31" ht="15.75" thickBot="1">
      <c r="A48" s="255" t="s">
        <v>0</v>
      </c>
      <c r="B48" s="256" t="s">
        <v>1</v>
      </c>
      <c r="C48" s="257" t="s">
        <v>2</v>
      </c>
      <c r="D48" s="248"/>
      <c r="E48" s="254" t="s">
        <v>159</v>
      </c>
      <c r="F48" s="262" t="s">
        <v>160</v>
      </c>
      <c r="G48" s="262"/>
      <c r="H48" s="262"/>
      <c r="I48" s="262"/>
      <c r="J48" s="262"/>
      <c r="K48" s="262"/>
      <c r="L48" s="693" t="s">
        <v>15</v>
      </c>
      <c r="M48" s="694"/>
      <c r="N48" s="694"/>
      <c r="O48" s="694"/>
      <c r="P48" s="695"/>
      <c r="Q48" s="693" t="s">
        <v>13</v>
      </c>
      <c r="R48" s="694"/>
      <c r="S48" s="694"/>
      <c r="T48" s="694"/>
      <c r="U48" s="695"/>
      <c r="V48" s="696" t="s">
        <v>20</v>
      </c>
      <c r="W48" s="697"/>
      <c r="X48" s="697"/>
      <c r="Y48" s="697"/>
      <c r="Z48" s="698"/>
      <c r="AA48" s="699" t="s">
        <v>152</v>
      </c>
      <c r="AB48" s="700"/>
      <c r="AC48" s="700"/>
      <c r="AD48" s="700"/>
      <c r="AE48" s="701"/>
    </row>
    <row r="49" spans="1:31">
      <c r="A49" s="116">
        <f>SUM(P49,U49,Z49,AE49)</f>
        <v>46722</v>
      </c>
      <c r="B49" s="57">
        <f>AVERAGE(P49,U49,Z49,AE49)</f>
        <v>11680.5</v>
      </c>
      <c r="C49" s="244">
        <f>STDEV(P49,U49,Z49,AE49)</f>
        <v>12694.441762703338</v>
      </c>
      <c r="D49" s="249"/>
      <c r="E49" s="250" t="s">
        <v>42</v>
      </c>
      <c r="F49" s="263">
        <v>3</v>
      </c>
      <c r="G49" s="263"/>
      <c r="H49" s="263"/>
      <c r="I49" s="263"/>
      <c r="J49" s="263"/>
      <c r="K49" s="263"/>
      <c r="L49" s="9">
        <v>565</v>
      </c>
      <c r="M49" s="269">
        <v>7510</v>
      </c>
      <c r="N49" s="10">
        <f>L49*4</f>
        <v>2260</v>
      </c>
      <c r="O49" s="270">
        <f>N49/P49*100</f>
        <v>43.047619047619044</v>
      </c>
      <c r="P49" s="271">
        <f>M49-L49*4</f>
        <v>5250</v>
      </c>
      <c r="Q49" s="9">
        <v>577</v>
      </c>
      <c r="R49" s="269">
        <v>18760</v>
      </c>
      <c r="S49" s="10">
        <f>Q49*4</f>
        <v>2308</v>
      </c>
      <c r="T49" s="270">
        <f>S49/U49*100</f>
        <v>14.028689521030877</v>
      </c>
      <c r="U49" s="271">
        <f>R49-Q49*4</f>
        <v>16452</v>
      </c>
      <c r="V49" s="9">
        <v>729</v>
      </c>
      <c r="W49" s="269">
        <v>970</v>
      </c>
      <c r="X49" s="10">
        <f>V49*4</f>
        <v>2916</v>
      </c>
      <c r="Y49" s="270">
        <f>X49/Z49*100</f>
        <v>-149.84583761562178</v>
      </c>
      <c r="Z49" s="271">
        <f>W49-V49*4</f>
        <v>-1946</v>
      </c>
      <c r="AA49" s="9">
        <v>671</v>
      </c>
      <c r="AB49" s="269">
        <v>29650</v>
      </c>
      <c r="AC49" s="10">
        <f>AA49*4</f>
        <v>2684</v>
      </c>
      <c r="AD49" s="270">
        <f>AC49/AE49*100</f>
        <v>9.9532744938070152</v>
      </c>
      <c r="AE49" s="271">
        <f>AB49-AA49*4</f>
        <v>26966</v>
      </c>
    </row>
    <row r="50" spans="1:31">
      <c r="A50" s="116">
        <f>SUM(P50,U50,Z50,AE50)</f>
        <v>40116</v>
      </c>
      <c r="B50" s="57">
        <f t="shared" ref="B50:B64" si="30">AVERAGE(P50,U50,Z50,AE50)</f>
        <v>10029</v>
      </c>
      <c r="C50" s="244">
        <f>STDEV(P50,U50,Z50,AE50)</f>
        <v>12151.820988367683</v>
      </c>
      <c r="D50" s="249"/>
      <c r="E50" s="250" t="s">
        <v>43</v>
      </c>
      <c r="F50" s="263">
        <v>3</v>
      </c>
      <c r="G50" s="263"/>
      <c r="H50" s="263"/>
      <c r="I50" s="263"/>
      <c r="J50" s="263"/>
      <c r="K50" s="263"/>
      <c r="L50" s="9">
        <v>621</v>
      </c>
      <c r="M50" s="269">
        <v>3380</v>
      </c>
      <c r="N50" s="10">
        <f t="shared" ref="N50:N64" si="31">L50*4</f>
        <v>2484</v>
      </c>
      <c r="O50" s="270">
        <f t="shared" ref="O50:O64" si="32">N50/P50*100</f>
        <v>277.23214285714283</v>
      </c>
      <c r="P50" s="271">
        <f t="shared" ref="P50:P64" si="33">M50-L50*4</f>
        <v>896</v>
      </c>
      <c r="Q50" s="9">
        <v>635</v>
      </c>
      <c r="R50" s="269">
        <v>15930</v>
      </c>
      <c r="S50" s="10">
        <f t="shared" ref="S50:S64" si="34">Q50*4</f>
        <v>2540</v>
      </c>
      <c r="T50" s="270">
        <f t="shared" ref="T50:T64" si="35">S50/U50*100</f>
        <v>18.969380134428679</v>
      </c>
      <c r="U50" s="271">
        <f t="shared" ref="U50:U64" si="36">R50-Q50*4</f>
        <v>13390</v>
      </c>
      <c r="V50" s="9">
        <v>823</v>
      </c>
      <c r="W50" s="269">
        <v>3330</v>
      </c>
      <c r="X50" s="273">
        <f t="shared" ref="X50:X64" si="37">V50*4</f>
        <v>3292</v>
      </c>
      <c r="Y50" s="270">
        <f t="shared" ref="Y50:Y64" si="38">X50/Z50*100</f>
        <v>8663.1578947368416</v>
      </c>
      <c r="Z50" s="271">
        <f t="shared" ref="Z50:Z64" si="39">W50-V50*4</f>
        <v>38</v>
      </c>
      <c r="AA50" s="9">
        <v>772</v>
      </c>
      <c r="AB50" s="269">
        <v>28880</v>
      </c>
      <c r="AC50" s="10">
        <f t="shared" ref="AC50:AC64" si="40">AA50*4</f>
        <v>3088</v>
      </c>
      <c r="AD50" s="270">
        <f t="shared" ref="AD50:AD64" si="41">AC50/AE50*100</f>
        <v>11.9727047146402</v>
      </c>
      <c r="AE50" s="271">
        <f t="shared" ref="AE50:AE64" si="42">AB50-AA50*4</f>
        <v>25792</v>
      </c>
    </row>
    <row r="51" spans="1:31">
      <c r="A51" s="116">
        <f t="shared" ref="A51:A64" si="43">SUM(P51,U51,Z51,AE51)</f>
        <v>40414</v>
      </c>
      <c r="B51" s="57">
        <f t="shared" si="30"/>
        <v>10103.5</v>
      </c>
      <c r="C51" s="244">
        <f t="shared" ref="C51:C64" si="44">STDEV(P51,U51,Z51,AE51)</f>
        <v>6823.7945211346059</v>
      </c>
      <c r="D51" s="249"/>
      <c r="E51" s="250" t="s">
        <v>42</v>
      </c>
      <c r="F51" s="263">
        <v>3.25</v>
      </c>
      <c r="G51" s="263"/>
      <c r="H51" s="263"/>
      <c r="I51" s="263"/>
      <c r="J51" s="263"/>
      <c r="K51" s="263"/>
      <c r="L51" s="9">
        <v>565</v>
      </c>
      <c r="M51" s="269">
        <v>6380</v>
      </c>
      <c r="N51" s="10">
        <f t="shared" si="31"/>
        <v>2260</v>
      </c>
      <c r="O51" s="270">
        <f t="shared" si="32"/>
        <v>54.854368932038831</v>
      </c>
      <c r="P51" s="271">
        <f t="shared" si="33"/>
        <v>4120</v>
      </c>
      <c r="Q51" s="9">
        <v>572</v>
      </c>
      <c r="R51" s="269">
        <v>16740</v>
      </c>
      <c r="S51" s="10">
        <f t="shared" si="34"/>
        <v>2288</v>
      </c>
      <c r="T51" s="270">
        <f t="shared" si="35"/>
        <v>15.83171879324661</v>
      </c>
      <c r="U51" s="271">
        <f t="shared" si="36"/>
        <v>14452</v>
      </c>
      <c r="V51" s="9">
        <v>734</v>
      </c>
      <c r="W51" s="269">
        <v>7390</v>
      </c>
      <c r="X51" s="10">
        <f t="shared" si="37"/>
        <v>2936</v>
      </c>
      <c r="Y51" s="270">
        <f t="shared" si="38"/>
        <v>65.918275707229455</v>
      </c>
      <c r="Z51" s="271">
        <f t="shared" si="39"/>
        <v>4454</v>
      </c>
      <c r="AA51" s="9">
        <v>653</v>
      </c>
      <c r="AB51" s="269">
        <v>20000</v>
      </c>
      <c r="AC51" s="10">
        <f t="shared" si="40"/>
        <v>2612</v>
      </c>
      <c r="AD51" s="270">
        <f t="shared" si="41"/>
        <v>15.021854152288935</v>
      </c>
      <c r="AE51" s="271">
        <f t="shared" si="42"/>
        <v>17388</v>
      </c>
    </row>
    <row r="52" spans="1:31">
      <c r="A52" s="116">
        <f t="shared" si="43"/>
        <v>34224</v>
      </c>
      <c r="B52" s="57">
        <f t="shared" si="30"/>
        <v>8556</v>
      </c>
      <c r="C52" s="244">
        <f t="shared" si="44"/>
        <v>14168.266419478896</v>
      </c>
      <c r="D52" s="249"/>
      <c r="E52" s="250" t="s">
        <v>43</v>
      </c>
      <c r="F52" s="263">
        <v>3.25</v>
      </c>
      <c r="G52" s="263"/>
      <c r="H52" s="263"/>
      <c r="I52" s="263"/>
      <c r="J52" s="263"/>
      <c r="K52" s="263"/>
      <c r="L52" s="9">
        <v>630</v>
      </c>
      <c r="M52" s="269">
        <v>2380</v>
      </c>
      <c r="N52" s="10">
        <f t="shared" si="31"/>
        <v>2520</v>
      </c>
      <c r="O52" s="270">
        <f t="shared" si="32"/>
        <v>-1800</v>
      </c>
      <c r="P52" s="271">
        <f t="shared" si="33"/>
        <v>-140</v>
      </c>
      <c r="Q52" s="9">
        <v>633</v>
      </c>
      <c r="R52" s="269">
        <v>15100</v>
      </c>
      <c r="S52" s="10">
        <f t="shared" si="34"/>
        <v>2532</v>
      </c>
      <c r="T52" s="270">
        <f t="shared" si="35"/>
        <v>20.146403564608526</v>
      </c>
      <c r="U52" s="271">
        <f t="shared" si="36"/>
        <v>12568</v>
      </c>
      <c r="V52" s="9">
        <v>814</v>
      </c>
      <c r="W52" s="269">
        <v>-1650</v>
      </c>
      <c r="X52" s="10">
        <f t="shared" si="37"/>
        <v>3256</v>
      </c>
      <c r="Y52" s="270">
        <f t="shared" si="38"/>
        <v>-66.367713004484301</v>
      </c>
      <c r="Z52" s="271">
        <f t="shared" si="39"/>
        <v>-4906</v>
      </c>
      <c r="AA52" s="9">
        <v>762</v>
      </c>
      <c r="AB52" s="269">
        <v>29750</v>
      </c>
      <c r="AC52" s="10">
        <f t="shared" si="40"/>
        <v>3048</v>
      </c>
      <c r="AD52" s="270">
        <f t="shared" si="41"/>
        <v>11.414875290240431</v>
      </c>
      <c r="AE52" s="271">
        <f t="shared" si="42"/>
        <v>26702</v>
      </c>
    </row>
    <row r="53" spans="1:31">
      <c r="A53" s="116">
        <f t="shared" si="43"/>
        <v>41762</v>
      </c>
      <c r="B53" s="57">
        <f t="shared" si="30"/>
        <v>10440.5</v>
      </c>
      <c r="C53" s="244">
        <f t="shared" si="44"/>
        <v>5621.4874366131962</v>
      </c>
      <c r="D53" s="249"/>
      <c r="E53" s="250" t="s">
        <v>42</v>
      </c>
      <c r="F53" s="263">
        <v>3.5</v>
      </c>
      <c r="G53" s="263"/>
      <c r="H53" s="263"/>
      <c r="I53" s="263"/>
      <c r="J53" s="263"/>
      <c r="K53" s="263"/>
      <c r="L53" s="9">
        <v>558</v>
      </c>
      <c r="M53" s="269">
        <v>6260</v>
      </c>
      <c r="N53" s="10">
        <f t="shared" si="31"/>
        <v>2232</v>
      </c>
      <c r="O53" s="270">
        <f t="shared" si="32"/>
        <v>55.412115193644482</v>
      </c>
      <c r="P53" s="271">
        <f t="shared" si="33"/>
        <v>4028</v>
      </c>
      <c r="Q53" s="9">
        <v>576</v>
      </c>
      <c r="R53" s="269">
        <v>14540</v>
      </c>
      <c r="S53" s="10">
        <f t="shared" si="34"/>
        <v>2304</v>
      </c>
      <c r="T53" s="270">
        <f t="shared" si="35"/>
        <v>18.829682902909447</v>
      </c>
      <c r="U53" s="271">
        <f t="shared" si="36"/>
        <v>12236</v>
      </c>
      <c r="V53" s="9">
        <v>743</v>
      </c>
      <c r="W53" s="269">
        <v>11260</v>
      </c>
      <c r="X53" s="10">
        <f t="shared" si="37"/>
        <v>2972</v>
      </c>
      <c r="Y53" s="270">
        <f t="shared" si="38"/>
        <v>35.859073359073356</v>
      </c>
      <c r="Z53" s="271">
        <f t="shared" si="39"/>
        <v>8288</v>
      </c>
      <c r="AA53" s="9">
        <v>660</v>
      </c>
      <c r="AB53" s="269">
        <v>19850</v>
      </c>
      <c r="AC53" s="10">
        <f t="shared" si="40"/>
        <v>2640</v>
      </c>
      <c r="AD53" s="270">
        <f t="shared" si="41"/>
        <v>15.339918651946544</v>
      </c>
      <c r="AE53" s="271">
        <f t="shared" si="42"/>
        <v>17210</v>
      </c>
    </row>
    <row r="54" spans="1:31">
      <c r="A54" s="116">
        <f t="shared" si="43"/>
        <v>39240</v>
      </c>
      <c r="B54" s="57">
        <f t="shared" si="30"/>
        <v>9810</v>
      </c>
      <c r="C54" s="244">
        <f t="shared" si="44"/>
        <v>11983.078847552772</v>
      </c>
      <c r="D54" s="249"/>
      <c r="E54" s="250" t="s">
        <v>43</v>
      </c>
      <c r="F54" s="263">
        <v>3.5</v>
      </c>
      <c r="G54" s="263"/>
      <c r="H54" s="263"/>
      <c r="I54" s="263"/>
      <c r="J54" s="263"/>
      <c r="K54" s="263"/>
      <c r="L54" s="9">
        <v>632</v>
      </c>
      <c r="M54" s="269">
        <v>2360</v>
      </c>
      <c r="N54" s="10">
        <f t="shared" si="31"/>
        <v>2528</v>
      </c>
      <c r="O54" s="270">
        <f t="shared" si="32"/>
        <v>-1504.7619047619048</v>
      </c>
      <c r="P54" s="271">
        <f t="shared" si="33"/>
        <v>-168</v>
      </c>
      <c r="Q54" s="9">
        <v>640</v>
      </c>
      <c r="R54" s="269">
        <v>11150</v>
      </c>
      <c r="S54" s="10">
        <f t="shared" si="34"/>
        <v>2560</v>
      </c>
      <c r="T54" s="270">
        <f t="shared" si="35"/>
        <v>29.80209545983702</v>
      </c>
      <c r="U54" s="271">
        <f t="shared" si="36"/>
        <v>8590</v>
      </c>
      <c r="V54" s="9">
        <v>824</v>
      </c>
      <c r="W54" s="269">
        <v>7150</v>
      </c>
      <c r="X54" s="10">
        <f t="shared" si="37"/>
        <v>3296</v>
      </c>
      <c r="Y54" s="270">
        <f t="shared" si="38"/>
        <v>85.521536066424503</v>
      </c>
      <c r="Z54" s="271">
        <f t="shared" si="39"/>
        <v>3854</v>
      </c>
      <c r="AA54" s="9">
        <v>759</v>
      </c>
      <c r="AB54" s="269">
        <v>30000</v>
      </c>
      <c r="AC54" s="10">
        <f t="shared" si="40"/>
        <v>3036</v>
      </c>
      <c r="AD54" s="270">
        <f t="shared" si="41"/>
        <v>11.259457053849577</v>
      </c>
      <c r="AE54" s="271">
        <f t="shared" si="42"/>
        <v>26964</v>
      </c>
    </row>
    <row r="55" spans="1:31">
      <c r="A55" s="116">
        <f t="shared" si="43"/>
        <v>37778</v>
      </c>
      <c r="B55" s="57">
        <f t="shared" si="30"/>
        <v>9444.5</v>
      </c>
      <c r="C55" s="244">
        <f>STDEV(P55,U55,Z55,AE55)</f>
        <v>7272.5084851560441</v>
      </c>
      <c r="D55" s="249"/>
      <c r="E55" s="250" t="s">
        <v>42</v>
      </c>
      <c r="F55" s="263">
        <v>3.75</v>
      </c>
      <c r="G55" s="263"/>
      <c r="H55" s="263"/>
      <c r="I55" s="263"/>
      <c r="J55" s="263"/>
      <c r="K55" s="263"/>
      <c r="L55" s="9">
        <v>557</v>
      </c>
      <c r="M55" s="269">
        <v>1130</v>
      </c>
      <c r="N55" s="10">
        <f t="shared" si="31"/>
        <v>2228</v>
      </c>
      <c r="O55" s="270">
        <f t="shared" si="32"/>
        <v>-202.91438979963573</v>
      </c>
      <c r="P55" s="271">
        <f t="shared" si="33"/>
        <v>-1098</v>
      </c>
      <c r="Q55" s="9">
        <v>580</v>
      </c>
      <c r="R55" s="269">
        <v>16610</v>
      </c>
      <c r="S55" s="10">
        <f t="shared" si="34"/>
        <v>2320</v>
      </c>
      <c r="T55" s="270">
        <f t="shared" si="35"/>
        <v>16.235129461161652</v>
      </c>
      <c r="U55" s="271">
        <f t="shared" si="36"/>
        <v>14290</v>
      </c>
      <c r="V55" s="9">
        <v>746</v>
      </c>
      <c r="W55" s="269">
        <v>13300</v>
      </c>
      <c r="X55" s="10">
        <f t="shared" si="37"/>
        <v>2984</v>
      </c>
      <c r="Y55" s="270">
        <f t="shared" si="38"/>
        <v>28.925940286932921</v>
      </c>
      <c r="Z55" s="271">
        <f t="shared" si="39"/>
        <v>10316</v>
      </c>
      <c r="AA55" s="9">
        <v>670</v>
      </c>
      <c r="AB55" s="269">
        <v>16950</v>
      </c>
      <c r="AC55" s="10">
        <f t="shared" si="40"/>
        <v>2680</v>
      </c>
      <c r="AD55" s="270">
        <f t="shared" si="41"/>
        <v>18.780658724597057</v>
      </c>
      <c r="AE55" s="271">
        <f t="shared" si="42"/>
        <v>14270</v>
      </c>
    </row>
    <row r="56" spans="1:31">
      <c r="A56" s="116">
        <f t="shared" si="43"/>
        <v>26806</v>
      </c>
      <c r="B56" s="57">
        <f t="shared" si="30"/>
        <v>6701.5</v>
      </c>
      <c r="C56" s="244">
        <f t="shared" si="44"/>
        <v>13512.583703101836</v>
      </c>
      <c r="D56" s="249"/>
      <c r="E56" s="250" t="s">
        <v>43</v>
      </c>
      <c r="F56" s="263">
        <v>3.75</v>
      </c>
      <c r="G56" s="263"/>
      <c r="H56" s="263"/>
      <c r="I56" s="263"/>
      <c r="J56" s="263"/>
      <c r="K56" s="263"/>
      <c r="L56" s="9">
        <v>628</v>
      </c>
      <c r="M56" s="269">
        <v>-4440</v>
      </c>
      <c r="N56" s="10">
        <f t="shared" si="31"/>
        <v>2512</v>
      </c>
      <c r="O56" s="270">
        <f t="shared" si="32"/>
        <v>-36.133486766398157</v>
      </c>
      <c r="P56" s="271">
        <f t="shared" si="33"/>
        <v>-6952</v>
      </c>
      <c r="Q56" s="9">
        <v>650</v>
      </c>
      <c r="R56" s="269">
        <v>16690</v>
      </c>
      <c r="S56" s="10">
        <f t="shared" si="34"/>
        <v>2600</v>
      </c>
      <c r="T56" s="270">
        <f t="shared" si="35"/>
        <v>18.452803406671396</v>
      </c>
      <c r="U56" s="271">
        <f t="shared" si="36"/>
        <v>14090</v>
      </c>
      <c r="V56" s="9">
        <v>822</v>
      </c>
      <c r="W56" s="269">
        <v>1140</v>
      </c>
      <c r="X56" s="10">
        <f t="shared" si="37"/>
        <v>3288</v>
      </c>
      <c r="Y56" s="270">
        <f t="shared" si="38"/>
        <v>-153.07262569832403</v>
      </c>
      <c r="Z56" s="271">
        <f t="shared" si="39"/>
        <v>-2148</v>
      </c>
      <c r="AA56" s="9">
        <v>761</v>
      </c>
      <c r="AB56" s="269">
        <v>24860</v>
      </c>
      <c r="AC56" s="10">
        <f t="shared" si="40"/>
        <v>3044</v>
      </c>
      <c r="AD56" s="270">
        <f t="shared" si="41"/>
        <v>13.953061972863953</v>
      </c>
      <c r="AE56" s="271">
        <f t="shared" si="42"/>
        <v>21816</v>
      </c>
    </row>
    <row r="57" spans="1:31">
      <c r="A57" s="116">
        <f t="shared" si="43"/>
        <v>40020</v>
      </c>
      <c r="B57" s="57">
        <f t="shared" si="30"/>
        <v>10005</v>
      </c>
      <c r="C57" s="244">
        <f t="shared" si="44"/>
        <v>8305.1003606217782</v>
      </c>
      <c r="D57" s="251"/>
      <c r="E57" s="260" t="s">
        <v>42</v>
      </c>
      <c r="F57" s="264">
        <v>4</v>
      </c>
      <c r="G57" s="264"/>
      <c r="H57" s="264"/>
      <c r="I57" s="264"/>
      <c r="J57" s="264"/>
      <c r="K57" s="264"/>
      <c r="L57" s="272">
        <v>563</v>
      </c>
      <c r="M57" s="273">
        <v>2460</v>
      </c>
      <c r="N57" s="273">
        <f t="shared" si="31"/>
        <v>2252</v>
      </c>
      <c r="O57" s="274">
        <f t="shared" si="32"/>
        <v>1082.6923076923076</v>
      </c>
      <c r="P57" s="271">
        <f t="shared" si="33"/>
        <v>208</v>
      </c>
      <c r="Q57" s="272">
        <v>590</v>
      </c>
      <c r="R57" s="273">
        <v>14040</v>
      </c>
      <c r="S57" s="273">
        <f t="shared" si="34"/>
        <v>2360</v>
      </c>
      <c r="T57" s="274">
        <f t="shared" si="35"/>
        <v>20.205479452054796</v>
      </c>
      <c r="U57" s="271">
        <f t="shared" si="36"/>
        <v>11680</v>
      </c>
      <c r="V57" s="272">
        <v>751</v>
      </c>
      <c r="W57" s="273">
        <v>10940</v>
      </c>
      <c r="X57" s="273">
        <f t="shared" si="37"/>
        <v>3004</v>
      </c>
      <c r="Y57" s="274">
        <f t="shared" si="38"/>
        <v>37.85282258064516</v>
      </c>
      <c r="Z57" s="271">
        <f t="shared" si="39"/>
        <v>7936</v>
      </c>
      <c r="AA57" s="272">
        <v>676</v>
      </c>
      <c r="AB57" s="273">
        <v>22900</v>
      </c>
      <c r="AC57" s="273">
        <f t="shared" si="40"/>
        <v>2704</v>
      </c>
      <c r="AD57" s="274">
        <f t="shared" si="41"/>
        <v>13.388789859378095</v>
      </c>
      <c r="AE57" s="271">
        <f t="shared" si="42"/>
        <v>20196</v>
      </c>
    </row>
    <row r="58" spans="1:31">
      <c r="A58" s="116">
        <f t="shared" si="43"/>
        <v>32860</v>
      </c>
      <c r="B58" s="57">
        <f t="shared" si="30"/>
        <v>8215</v>
      </c>
      <c r="C58" s="244">
        <f t="shared" si="44"/>
        <v>16110.668142569382</v>
      </c>
      <c r="D58" s="251"/>
      <c r="E58" s="260" t="s">
        <v>43</v>
      </c>
      <c r="F58" s="264">
        <v>4</v>
      </c>
      <c r="G58" s="264"/>
      <c r="H58" s="264"/>
      <c r="I58" s="264"/>
      <c r="J58" s="264"/>
      <c r="K58" s="264"/>
      <c r="L58" s="272">
        <v>626</v>
      </c>
      <c r="M58" s="273">
        <v>-5290</v>
      </c>
      <c r="N58" s="273">
        <f t="shared" si="31"/>
        <v>2504</v>
      </c>
      <c r="O58" s="274">
        <f t="shared" si="32"/>
        <v>-32.127277392866304</v>
      </c>
      <c r="P58" s="271">
        <f t="shared" si="33"/>
        <v>-7794</v>
      </c>
      <c r="Q58" s="272">
        <v>655</v>
      </c>
      <c r="R58" s="273">
        <v>16960</v>
      </c>
      <c r="S58" s="273">
        <f t="shared" si="34"/>
        <v>2620</v>
      </c>
      <c r="T58" s="274">
        <f t="shared" si="35"/>
        <v>18.270571827057182</v>
      </c>
      <c r="U58" s="271">
        <f t="shared" si="36"/>
        <v>14340</v>
      </c>
      <c r="V58" s="272">
        <v>832</v>
      </c>
      <c r="W58" s="280">
        <v>1720</v>
      </c>
      <c r="X58" s="273">
        <f t="shared" si="37"/>
        <v>3328</v>
      </c>
      <c r="Y58" s="274">
        <f t="shared" si="38"/>
        <v>-206.96517412935322</v>
      </c>
      <c r="Z58" s="271">
        <f t="shared" si="39"/>
        <v>-1608</v>
      </c>
      <c r="AA58" s="272">
        <v>772</v>
      </c>
      <c r="AB58" s="273">
        <v>31010</v>
      </c>
      <c r="AC58" s="273">
        <f t="shared" si="40"/>
        <v>3088</v>
      </c>
      <c r="AD58" s="274">
        <f t="shared" si="41"/>
        <v>11.059379700594512</v>
      </c>
      <c r="AE58" s="271">
        <f t="shared" si="42"/>
        <v>27922</v>
      </c>
    </row>
    <row r="59" spans="1:31">
      <c r="A59" s="116">
        <f t="shared" si="43"/>
        <v>28196</v>
      </c>
      <c r="B59" s="57">
        <f t="shared" si="30"/>
        <v>7049</v>
      </c>
      <c r="C59" s="244">
        <f t="shared" si="44"/>
        <v>9460.0023255811102</v>
      </c>
      <c r="D59" s="249"/>
      <c r="E59" s="250" t="s">
        <v>42</v>
      </c>
      <c r="F59" s="263">
        <v>4.5</v>
      </c>
      <c r="G59" s="263"/>
      <c r="H59" s="263"/>
      <c r="I59" s="263"/>
      <c r="J59" s="263"/>
      <c r="K59" s="263"/>
      <c r="L59" s="9">
        <v>563</v>
      </c>
      <c r="M59" s="269">
        <v>3670</v>
      </c>
      <c r="N59" s="10">
        <f t="shared" si="31"/>
        <v>2252</v>
      </c>
      <c r="O59" s="270">
        <f t="shared" si="32"/>
        <v>158.81523272214386</v>
      </c>
      <c r="P59" s="271">
        <f t="shared" si="33"/>
        <v>1418</v>
      </c>
      <c r="Q59" s="9">
        <v>579</v>
      </c>
      <c r="R59" s="269">
        <v>7640</v>
      </c>
      <c r="S59" s="10">
        <f t="shared" si="34"/>
        <v>2316</v>
      </c>
      <c r="T59" s="270">
        <f t="shared" si="35"/>
        <v>43.501126972201355</v>
      </c>
      <c r="U59" s="271">
        <f t="shared" si="36"/>
        <v>5324</v>
      </c>
      <c r="V59" s="9">
        <v>745</v>
      </c>
      <c r="W59" s="269">
        <v>3540</v>
      </c>
      <c r="X59" s="10">
        <f t="shared" si="37"/>
        <v>2980</v>
      </c>
      <c r="Y59" s="270">
        <f t="shared" si="38"/>
        <v>532.14285714285711</v>
      </c>
      <c r="Z59" s="271">
        <f t="shared" si="39"/>
        <v>560</v>
      </c>
      <c r="AA59" s="9">
        <v>694</v>
      </c>
      <c r="AB59" s="269">
        <v>23670</v>
      </c>
      <c r="AC59" s="10">
        <f t="shared" si="40"/>
        <v>2776</v>
      </c>
      <c r="AD59" s="270">
        <f t="shared" si="41"/>
        <v>13.286110845218724</v>
      </c>
      <c r="AE59" s="271">
        <f t="shared" si="42"/>
        <v>20894</v>
      </c>
    </row>
    <row r="60" spans="1:31">
      <c r="A60" s="116">
        <f t="shared" si="43"/>
        <v>22782</v>
      </c>
      <c r="B60" s="57">
        <f t="shared" si="30"/>
        <v>5695.5</v>
      </c>
      <c r="C60" s="244">
        <f t="shared" si="44"/>
        <v>15608.874003805227</v>
      </c>
      <c r="D60" s="249"/>
      <c r="E60" s="250" t="s">
        <v>43</v>
      </c>
      <c r="F60" s="263">
        <v>4.5</v>
      </c>
      <c r="G60" s="263"/>
      <c r="H60" s="263"/>
      <c r="I60" s="263"/>
      <c r="J60" s="263"/>
      <c r="K60" s="263"/>
      <c r="L60" s="9">
        <v>630</v>
      </c>
      <c r="M60" s="269">
        <v>-5190</v>
      </c>
      <c r="N60" s="10">
        <f t="shared" si="31"/>
        <v>2520</v>
      </c>
      <c r="O60" s="270">
        <f t="shared" si="32"/>
        <v>-32.684824902723733</v>
      </c>
      <c r="P60" s="271">
        <f t="shared" si="33"/>
        <v>-7710</v>
      </c>
      <c r="Q60" s="9">
        <v>651</v>
      </c>
      <c r="R60" s="269">
        <v>12400</v>
      </c>
      <c r="S60" s="10">
        <f t="shared" si="34"/>
        <v>2604</v>
      </c>
      <c r="T60" s="270">
        <f t="shared" si="35"/>
        <v>26.582278481012654</v>
      </c>
      <c r="U60" s="271">
        <f t="shared" si="36"/>
        <v>9796</v>
      </c>
      <c r="V60" s="9">
        <v>828</v>
      </c>
      <c r="W60" s="269">
        <v>-2010</v>
      </c>
      <c r="X60" s="10">
        <f t="shared" si="37"/>
        <v>3312</v>
      </c>
      <c r="Y60" s="270">
        <f t="shared" si="38"/>
        <v>-62.232243517474636</v>
      </c>
      <c r="Z60" s="271">
        <f t="shared" si="39"/>
        <v>-5322</v>
      </c>
      <c r="AA60" s="9">
        <v>768</v>
      </c>
      <c r="AB60" s="269">
        <v>29090</v>
      </c>
      <c r="AC60" s="10">
        <f t="shared" si="40"/>
        <v>3072</v>
      </c>
      <c r="AD60" s="270">
        <f t="shared" si="41"/>
        <v>11.807210392804981</v>
      </c>
      <c r="AE60" s="271">
        <f t="shared" si="42"/>
        <v>26018</v>
      </c>
    </row>
    <row r="61" spans="1:31">
      <c r="A61" s="116">
        <f t="shared" si="43"/>
        <v>39710</v>
      </c>
      <c r="B61" s="57">
        <f t="shared" si="30"/>
        <v>9927.5</v>
      </c>
      <c r="C61" s="244">
        <f t="shared" si="44"/>
        <v>9102.9611848745863</v>
      </c>
      <c r="D61" s="249"/>
      <c r="E61" s="250" t="s">
        <v>42</v>
      </c>
      <c r="F61" s="263">
        <v>5</v>
      </c>
      <c r="G61" s="263"/>
      <c r="H61" s="263"/>
      <c r="I61" s="263"/>
      <c r="J61" s="263"/>
      <c r="K61" s="263"/>
      <c r="L61" s="9">
        <v>564</v>
      </c>
      <c r="M61" s="269">
        <v>6660</v>
      </c>
      <c r="N61" s="10">
        <f t="shared" si="31"/>
        <v>2256</v>
      </c>
      <c r="O61" s="270">
        <f t="shared" si="32"/>
        <v>51.22615803814714</v>
      </c>
      <c r="P61" s="271">
        <f t="shared" si="33"/>
        <v>4404</v>
      </c>
      <c r="Q61" s="9">
        <v>574</v>
      </c>
      <c r="R61" s="269">
        <v>13450</v>
      </c>
      <c r="S61" s="10">
        <f t="shared" si="34"/>
        <v>2296</v>
      </c>
      <c r="T61" s="270">
        <f t="shared" si="35"/>
        <v>20.584543661466739</v>
      </c>
      <c r="U61" s="271">
        <f t="shared" si="36"/>
        <v>11154</v>
      </c>
      <c r="V61" s="9">
        <v>739</v>
      </c>
      <c r="W61" s="269">
        <v>4850</v>
      </c>
      <c r="X61" s="10">
        <f t="shared" si="37"/>
        <v>2956</v>
      </c>
      <c r="Y61" s="270">
        <f t="shared" si="38"/>
        <v>156.07180570221752</v>
      </c>
      <c r="Z61" s="271">
        <f t="shared" si="39"/>
        <v>1894</v>
      </c>
      <c r="AA61" s="9">
        <v>693</v>
      </c>
      <c r="AB61" s="269">
        <v>25030</v>
      </c>
      <c r="AC61" s="10">
        <f t="shared" si="40"/>
        <v>2772</v>
      </c>
      <c r="AD61" s="270">
        <f t="shared" si="41"/>
        <v>12.453949141881571</v>
      </c>
      <c r="AE61" s="271">
        <f t="shared" si="42"/>
        <v>22258</v>
      </c>
    </row>
    <row r="62" spans="1:31">
      <c r="A62" s="116">
        <f t="shared" si="43"/>
        <v>32786</v>
      </c>
      <c r="B62" s="57">
        <f t="shared" si="30"/>
        <v>8196.5</v>
      </c>
      <c r="C62" s="244">
        <f t="shared" si="44"/>
        <v>12929.855722319566</v>
      </c>
      <c r="D62" s="251"/>
      <c r="E62" s="260" t="s">
        <v>43</v>
      </c>
      <c r="F62" s="264">
        <v>5</v>
      </c>
      <c r="G62" s="264"/>
      <c r="H62" s="264"/>
      <c r="I62" s="264"/>
      <c r="J62" s="264"/>
      <c r="K62" s="264"/>
      <c r="L62" s="272">
        <v>622</v>
      </c>
      <c r="M62" s="273">
        <v>-4310</v>
      </c>
      <c r="N62" s="273">
        <f t="shared" si="31"/>
        <v>2488</v>
      </c>
      <c r="O62" s="274">
        <f t="shared" si="32"/>
        <v>-36.598999705795819</v>
      </c>
      <c r="P62" s="271">
        <f t="shared" si="33"/>
        <v>-6798</v>
      </c>
      <c r="Q62" s="272">
        <v>648</v>
      </c>
      <c r="R62" s="273">
        <v>22020</v>
      </c>
      <c r="S62" s="273">
        <f t="shared" si="34"/>
        <v>2592</v>
      </c>
      <c r="T62" s="274">
        <f t="shared" si="35"/>
        <v>13.341568869672638</v>
      </c>
      <c r="U62" s="271">
        <f t="shared" si="36"/>
        <v>19428</v>
      </c>
      <c r="V62" s="272">
        <v>828</v>
      </c>
      <c r="W62" s="273">
        <v>4920</v>
      </c>
      <c r="X62" s="273">
        <f t="shared" si="37"/>
        <v>3312</v>
      </c>
      <c r="Y62" s="274">
        <f t="shared" si="38"/>
        <v>205.97014925373136</v>
      </c>
      <c r="Z62" s="271">
        <f t="shared" si="39"/>
        <v>1608</v>
      </c>
      <c r="AA62" s="272">
        <v>768</v>
      </c>
      <c r="AB62" s="273">
        <v>21620</v>
      </c>
      <c r="AC62" s="273">
        <f t="shared" si="40"/>
        <v>3072</v>
      </c>
      <c r="AD62" s="274">
        <f t="shared" si="41"/>
        <v>16.562432607289196</v>
      </c>
      <c r="AE62" s="271">
        <f t="shared" si="42"/>
        <v>18548</v>
      </c>
    </row>
    <row r="63" spans="1:31">
      <c r="A63" s="116">
        <f t="shared" si="43"/>
        <v>38450</v>
      </c>
      <c r="B63" s="57">
        <f t="shared" si="30"/>
        <v>9612.5</v>
      </c>
      <c r="C63" s="244">
        <f t="shared" si="44"/>
        <v>8621.4287099064968</v>
      </c>
      <c r="D63" s="249"/>
      <c r="E63" s="250" t="s">
        <v>42</v>
      </c>
      <c r="F63" s="263">
        <v>10</v>
      </c>
      <c r="G63" s="263"/>
      <c r="H63" s="263"/>
      <c r="I63" s="263"/>
      <c r="J63" s="263"/>
      <c r="K63" s="263"/>
      <c r="L63" s="9">
        <v>542</v>
      </c>
      <c r="M63" s="269">
        <v>5870</v>
      </c>
      <c r="N63" s="10">
        <f t="shared" si="31"/>
        <v>2168</v>
      </c>
      <c r="O63" s="270">
        <f t="shared" si="32"/>
        <v>58.562938951917886</v>
      </c>
      <c r="P63" s="271">
        <f t="shared" si="33"/>
        <v>3702</v>
      </c>
      <c r="Q63" s="9">
        <v>562</v>
      </c>
      <c r="R63" s="269">
        <v>18090</v>
      </c>
      <c r="S63" s="10">
        <f t="shared" si="34"/>
        <v>2248</v>
      </c>
      <c r="T63" s="270">
        <f t="shared" si="35"/>
        <v>14.190127509152886</v>
      </c>
      <c r="U63" s="271">
        <f t="shared" si="36"/>
        <v>15842</v>
      </c>
      <c r="V63" s="9">
        <v>731</v>
      </c>
      <c r="W63" s="269">
        <v>3740</v>
      </c>
      <c r="X63" s="10">
        <f t="shared" si="37"/>
        <v>2924</v>
      </c>
      <c r="Y63" s="270">
        <f t="shared" si="38"/>
        <v>358.33333333333337</v>
      </c>
      <c r="Z63" s="271">
        <f t="shared" si="39"/>
        <v>816</v>
      </c>
      <c r="AA63" s="9">
        <v>680</v>
      </c>
      <c r="AB63" s="269">
        <v>20810</v>
      </c>
      <c r="AC63" s="10">
        <f t="shared" si="40"/>
        <v>2720</v>
      </c>
      <c r="AD63" s="270">
        <f t="shared" si="41"/>
        <v>15.035931453841902</v>
      </c>
      <c r="AE63" s="271">
        <f t="shared" si="42"/>
        <v>18090</v>
      </c>
    </row>
    <row r="64" spans="1:31" ht="15.75" thickBot="1">
      <c r="A64" s="116">
        <f t="shared" si="43"/>
        <v>31646</v>
      </c>
      <c r="B64" s="57">
        <f t="shared" si="30"/>
        <v>7911.5</v>
      </c>
      <c r="C64" s="244">
        <f t="shared" si="44"/>
        <v>6379.0413856628957</v>
      </c>
      <c r="D64" s="252"/>
      <c r="E64" s="253" t="s">
        <v>43</v>
      </c>
      <c r="F64" s="265">
        <v>10</v>
      </c>
      <c r="G64" s="265"/>
      <c r="H64" s="265"/>
      <c r="I64" s="265"/>
      <c r="J64" s="265"/>
      <c r="K64" s="265"/>
      <c r="L64" s="275">
        <v>624</v>
      </c>
      <c r="M64" s="276">
        <v>6190</v>
      </c>
      <c r="N64" s="277">
        <f t="shared" si="31"/>
        <v>2496</v>
      </c>
      <c r="O64" s="278">
        <f t="shared" si="32"/>
        <v>67.569030860855435</v>
      </c>
      <c r="P64" s="279">
        <f t="shared" si="33"/>
        <v>3694</v>
      </c>
      <c r="Q64" s="275">
        <v>629</v>
      </c>
      <c r="R64" s="276">
        <v>12240</v>
      </c>
      <c r="S64" s="277">
        <f t="shared" si="34"/>
        <v>2516</v>
      </c>
      <c r="T64" s="278">
        <f t="shared" si="35"/>
        <v>25.874125874125873</v>
      </c>
      <c r="U64" s="279">
        <f t="shared" si="36"/>
        <v>9724</v>
      </c>
      <c r="V64" s="275">
        <v>815</v>
      </c>
      <c r="W64" s="276">
        <v>5370</v>
      </c>
      <c r="X64" s="277">
        <f t="shared" si="37"/>
        <v>3260</v>
      </c>
      <c r="Y64" s="278">
        <f t="shared" si="38"/>
        <v>154.50236966824644</v>
      </c>
      <c r="Z64" s="279">
        <f t="shared" si="39"/>
        <v>2110</v>
      </c>
      <c r="AA64" s="275">
        <v>763</v>
      </c>
      <c r="AB64" s="276">
        <v>19170</v>
      </c>
      <c r="AC64" s="277">
        <f t="shared" si="40"/>
        <v>3052</v>
      </c>
      <c r="AD64" s="278">
        <f t="shared" si="41"/>
        <v>18.935351780617943</v>
      </c>
      <c r="AE64" s="279">
        <f t="shared" si="42"/>
        <v>16118</v>
      </c>
    </row>
    <row r="65" spans="1:31">
      <c r="A65" s="75">
        <f>SUM(A49:A64)</f>
        <v>573512</v>
      </c>
      <c r="L65"/>
      <c r="M65" s="242"/>
      <c r="N65"/>
      <c r="O65" s="261"/>
      <c r="P65" s="243">
        <f>SUM(P49:P64)</f>
        <v>-2940</v>
      </c>
      <c r="U65" s="243">
        <f>SUM(U49:U64)</f>
        <v>203356</v>
      </c>
      <c r="Z65" s="243">
        <f>SUM(Z49:Z64)</f>
        <v>25944</v>
      </c>
      <c r="AE65" s="243">
        <f>SUM(AE49:AE64)</f>
        <v>347152</v>
      </c>
    </row>
  </sheetData>
  <mergeCells count="12">
    <mergeCell ref="G2:K2"/>
    <mergeCell ref="Q48:U48"/>
    <mergeCell ref="V48:Z48"/>
    <mergeCell ref="AA48:AE48"/>
    <mergeCell ref="L48:P48"/>
    <mergeCell ref="Q2:U2"/>
    <mergeCell ref="V2:Z2"/>
    <mergeCell ref="AA2:AE2"/>
    <mergeCell ref="Q25:U25"/>
    <mergeCell ref="V25:Z25"/>
    <mergeCell ref="AA25:AE25"/>
    <mergeCell ref="L2:P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2:Q18"/>
  <sheetViews>
    <sheetView workbookViewId="0">
      <selection activeCell="M15" sqref="M15"/>
    </sheetView>
  </sheetViews>
  <sheetFormatPr defaultRowHeight="15"/>
  <cols>
    <col min="1" max="1" width="10.5703125" customWidth="1"/>
    <col min="4" max="4" width="11.85546875" customWidth="1"/>
    <col min="5" max="5" width="9.42578125" customWidth="1"/>
    <col min="7" max="7" width="8.42578125" customWidth="1"/>
    <col min="8" max="8" width="9.28515625" customWidth="1"/>
    <col min="9" max="9" width="11.140625" style="1" customWidth="1"/>
    <col min="12" max="12" width="10" customWidth="1"/>
    <col min="13" max="13" width="11.140625" customWidth="1"/>
    <col min="16" max="16" width="10.140625" customWidth="1"/>
    <col min="17" max="17" width="10.85546875" customWidth="1"/>
  </cols>
  <sheetData>
    <row r="2" spans="1:17">
      <c r="D2">
        <f>SUM(D3:D8)</f>
        <v>1628</v>
      </c>
    </row>
    <row r="3" spans="1:17">
      <c r="B3">
        <v>3</v>
      </c>
      <c r="C3">
        <v>86</v>
      </c>
      <c r="D3">
        <f>B3*C3</f>
        <v>258</v>
      </c>
      <c r="E3" t="s">
        <v>169</v>
      </c>
    </row>
    <row r="4" spans="1:17">
      <c r="B4">
        <v>2</v>
      </c>
      <c r="C4">
        <v>111</v>
      </c>
      <c r="D4">
        <f t="shared" ref="D4:D8" si="0">B4*C4</f>
        <v>222</v>
      </c>
      <c r="E4" t="s">
        <v>170</v>
      </c>
    </row>
    <row r="5" spans="1:17">
      <c r="B5">
        <v>4</v>
      </c>
      <c r="C5">
        <v>109</v>
      </c>
      <c r="D5">
        <f t="shared" si="0"/>
        <v>436</v>
      </c>
      <c r="E5" t="s">
        <v>171</v>
      </c>
    </row>
    <row r="6" spans="1:17">
      <c r="B6">
        <v>2</v>
      </c>
      <c r="C6">
        <v>129</v>
      </c>
      <c r="D6">
        <f t="shared" si="0"/>
        <v>258</v>
      </c>
      <c r="E6" t="s">
        <v>172</v>
      </c>
    </row>
    <row r="7" spans="1:17">
      <c r="B7">
        <v>1</v>
      </c>
      <c r="C7">
        <v>164</v>
      </c>
      <c r="D7">
        <f t="shared" si="0"/>
        <v>164</v>
      </c>
      <c r="E7" t="s">
        <v>173</v>
      </c>
    </row>
    <row r="8" spans="1:17">
      <c r="B8">
        <v>10</v>
      </c>
      <c r="C8">
        <v>29</v>
      </c>
      <c r="D8">
        <f t="shared" si="0"/>
        <v>290</v>
      </c>
      <c r="E8" t="s">
        <v>174</v>
      </c>
    </row>
    <row r="12" spans="1:17">
      <c r="D12" t="s">
        <v>176</v>
      </c>
      <c r="I12" s="1">
        <f>SUM(I13:I20)</f>
        <v>51739</v>
      </c>
      <c r="M12" s="1">
        <f>SUM(M13:M20)</f>
        <v>28504.600000000002</v>
      </c>
      <c r="Q12" s="1">
        <f>SUM(Q13:Q20)</f>
        <v>22202.48</v>
      </c>
    </row>
    <row r="13" spans="1:17">
      <c r="A13" t="s">
        <v>176</v>
      </c>
      <c r="B13" t="s">
        <v>175</v>
      </c>
      <c r="C13">
        <v>1</v>
      </c>
      <c r="D13">
        <v>10171</v>
      </c>
      <c r="E13">
        <f t="shared" ref="E13:E18" si="1">C13*D13</f>
        <v>10171</v>
      </c>
      <c r="G13">
        <v>1</v>
      </c>
      <c r="H13">
        <v>10171</v>
      </c>
      <c r="I13" s="1">
        <f t="shared" ref="I13:I18" si="2">G13*H13</f>
        <v>10171</v>
      </c>
      <c r="K13">
        <v>1</v>
      </c>
      <c r="L13">
        <v>10171</v>
      </c>
      <c r="M13" s="1">
        <f t="shared" ref="M13:M18" si="3">K13*L13</f>
        <v>10171</v>
      </c>
      <c r="O13">
        <v>1</v>
      </c>
      <c r="P13">
        <v>10171</v>
      </c>
      <c r="Q13" s="1">
        <f t="shared" ref="Q13:Q18" si="4">O13*P13</f>
        <v>10171</v>
      </c>
    </row>
    <row r="14" spans="1:17">
      <c r="A14" t="s">
        <v>182</v>
      </c>
      <c r="B14" t="s">
        <v>177</v>
      </c>
      <c r="C14">
        <v>4</v>
      </c>
      <c r="D14">
        <v>2425.5300000000002</v>
      </c>
      <c r="E14">
        <f t="shared" si="1"/>
        <v>9702.1200000000008</v>
      </c>
      <c r="G14">
        <v>0</v>
      </c>
      <c r="H14">
        <v>2425.5300000000002</v>
      </c>
      <c r="I14" s="1">
        <f t="shared" si="2"/>
        <v>0</v>
      </c>
      <c r="K14">
        <v>4</v>
      </c>
      <c r="L14">
        <v>2425.5300000000002</v>
      </c>
      <c r="M14" s="1">
        <f t="shared" si="3"/>
        <v>9702.1200000000008</v>
      </c>
      <c r="O14">
        <v>0</v>
      </c>
      <c r="P14">
        <v>2425.5300000000002</v>
      </c>
      <c r="Q14" s="1">
        <f t="shared" si="4"/>
        <v>0</v>
      </c>
    </row>
    <row r="15" spans="1:17">
      <c r="B15" t="s">
        <v>178</v>
      </c>
      <c r="C15">
        <v>2</v>
      </c>
      <c r="D15">
        <v>15939</v>
      </c>
      <c r="E15">
        <f t="shared" si="1"/>
        <v>31878</v>
      </c>
      <c r="G15">
        <v>2</v>
      </c>
      <c r="H15">
        <v>15939</v>
      </c>
      <c r="I15" s="1">
        <f t="shared" si="2"/>
        <v>31878</v>
      </c>
      <c r="K15">
        <v>2</v>
      </c>
      <c r="L15">
        <v>4315.74</v>
      </c>
      <c r="M15" s="1">
        <f t="shared" si="3"/>
        <v>8631.48</v>
      </c>
      <c r="O15">
        <v>2</v>
      </c>
      <c r="P15">
        <v>4315.74</v>
      </c>
      <c r="Q15" s="1">
        <f t="shared" si="4"/>
        <v>8631.48</v>
      </c>
    </row>
    <row r="16" spans="1:17">
      <c r="B16" t="s">
        <v>179</v>
      </c>
      <c r="C16">
        <v>2</v>
      </c>
      <c r="D16">
        <v>1700</v>
      </c>
      <c r="E16">
        <f t="shared" si="1"/>
        <v>3400</v>
      </c>
      <c r="G16">
        <v>1</v>
      </c>
      <c r="H16">
        <v>1700</v>
      </c>
      <c r="I16" s="1">
        <f t="shared" si="2"/>
        <v>1700</v>
      </c>
      <c r="K16">
        <v>0</v>
      </c>
      <c r="L16">
        <v>1700</v>
      </c>
      <c r="M16" s="1">
        <f t="shared" si="3"/>
        <v>0</v>
      </c>
      <c r="O16">
        <v>2</v>
      </c>
      <c r="P16">
        <v>1700</v>
      </c>
      <c r="Q16" s="1">
        <f t="shared" si="4"/>
        <v>3400</v>
      </c>
    </row>
    <row r="17" spans="2:17">
      <c r="B17" t="s">
        <v>180</v>
      </c>
      <c r="C17">
        <v>1</v>
      </c>
      <c r="D17">
        <v>5190</v>
      </c>
      <c r="E17">
        <f t="shared" si="1"/>
        <v>5190</v>
      </c>
      <c r="G17">
        <v>1</v>
      </c>
      <c r="H17">
        <v>5190</v>
      </c>
      <c r="I17" s="1">
        <f t="shared" si="2"/>
        <v>5190</v>
      </c>
      <c r="K17">
        <v>0</v>
      </c>
      <c r="L17">
        <v>5190</v>
      </c>
      <c r="M17" s="1">
        <f t="shared" si="3"/>
        <v>0</v>
      </c>
      <c r="O17">
        <v>0</v>
      </c>
      <c r="P17">
        <v>5190</v>
      </c>
      <c r="Q17" s="1">
        <f t="shared" si="4"/>
        <v>0</v>
      </c>
    </row>
    <row r="18" spans="2:17">
      <c r="B18" t="s">
        <v>181</v>
      </c>
      <c r="C18">
        <v>1</v>
      </c>
      <c r="D18">
        <v>2800</v>
      </c>
      <c r="E18">
        <f t="shared" si="1"/>
        <v>2800</v>
      </c>
      <c r="G18">
        <v>1</v>
      </c>
      <c r="H18">
        <v>2800</v>
      </c>
      <c r="I18" s="1">
        <f t="shared" si="2"/>
        <v>2800</v>
      </c>
      <c r="K18">
        <v>0</v>
      </c>
      <c r="L18">
        <v>2800</v>
      </c>
      <c r="M18" s="1">
        <f t="shared" si="3"/>
        <v>0</v>
      </c>
      <c r="O18">
        <v>0</v>
      </c>
      <c r="P18">
        <v>2800</v>
      </c>
      <c r="Q18" s="1">
        <f t="shared" si="4"/>
        <v>0</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2:AH41"/>
  <sheetViews>
    <sheetView workbookViewId="0">
      <selection activeCell="N6" sqref="N6"/>
    </sheetView>
  </sheetViews>
  <sheetFormatPr defaultRowHeight="15"/>
  <cols>
    <col min="1" max="1" width="7.5703125" customWidth="1"/>
    <col min="2" max="2" width="12" customWidth="1"/>
    <col min="3" max="3" width="9.28515625" customWidth="1"/>
    <col min="11" max="11" width="9.140625" style="291"/>
    <col min="12" max="12" width="9.140625" customWidth="1"/>
    <col min="13" max="13" width="7.42578125" customWidth="1"/>
    <col min="14" max="14" width="8" customWidth="1"/>
    <col min="15" max="15" width="9.7109375" style="196" customWidth="1"/>
    <col min="16" max="16" width="8.5703125" style="196" customWidth="1"/>
    <col min="17" max="17" width="9.42578125" style="196" customWidth="1"/>
    <col min="18" max="18" width="9.7109375" style="294" customWidth="1"/>
    <col min="19" max="19" width="9.42578125" style="196" customWidth="1"/>
    <col min="20" max="20" width="8.42578125" style="196" customWidth="1"/>
    <col min="21" max="21" width="9" style="196" customWidth="1"/>
    <col min="22" max="22" width="8.7109375" style="196" customWidth="1"/>
    <col min="23" max="23" width="7.85546875" style="196" customWidth="1"/>
    <col min="26" max="26" width="7.85546875" customWidth="1"/>
    <col min="28" max="28" width="8.140625" customWidth="1"/>
    <col min="29" max="29" width="8.28515625" customWidth="1"/>
    <col min="30" max="30" width="7.42578125" customWidth="1"/>
    <col min="31" max="31" width="8.140625" customWidth="1"/>
    <col min="32" max="32" width="7.42578125" customWidth="1"/>
    <col min="33" max="33" width="8.140625" customWidth="1"/>
    <col min="34" max="34" width="8.5703125" customWidth="1"/>
  </cols>
  <sheetData>
    <row r="2" spans="1:34">
      <c r="B2">
        <v>1.5</v>
      </c>
      <c r="C2">
        <f>SQRT(B2)</f>
        <v>1.2247448713915889</v>
      </c>
      <c r="D2">
        <v>1.5</v>
      </c>
      <c r="E2">
        <f>SQRT(D2)</f>
        <v>1.2247448713915889</v>
      </c>
      <c r="F2">
        <v>1.5</v>
      </c>
      <c r="G2">
        <f>SQRT(F2)</f>
        <v>1.2247448713915889</v>
      </c>
      <c r="H2">
        <v>1.5</v>
      </c>
      <c r="I2">
        <f>SQRT(H2)</f>
        <v>1.2247448713915889</v>
      </c>
      <c r="J2">
        <v>1.5</v>
      </c>
      <c r="K2" s="291">
        <f>SQRT(J2)</f>
        <v>1.2247448713915889</v>
      </c>
      <c r="L2">
        <v>1.5</v>
      </c>
      <c r="M2">
        <f>SQRT(L2)</f>
        <v>1.2247448713915889</v>
      </c>
      <c r="N2" s="238">
        <v>1.5</v>
      </c>
      <c r="O2" s="291">
        <v>1</v>
      </c>
      <c r="P2" s="291"/>
      <c r="Q2" s="291"/>
      <c r="R2" s="293">
        <v>1.5</v>
      </c>
      <c r="S2" s="293">
        <v>1</v>
      </c>
      <c r="T2" s="293"/>
      <c r="U2" s="293"/>
      <c r="V2" s="293"/>
      <c r="W2" s="293"/>
      <c r="X2">
        <v>1.5</v>
      </c>
      <c r="Y2">
        <f>SQRT(X2)</f>
        <v>1.2247448713915889</v>
      </c>
      <c r="AA2">
        <v>2</v>
      </c>
      <c r="AB2">
        <f>SQRT(AA2)</f>
        <v>1.4142135623730951</v>
      </c>
      <c r="AC2">
        <v>2</v>
      </c>
      <c r="AD2">
        <f>SQRT(AC2)</f>
        <v>1.4142135623730951</v>
      </c>
      <c r="AE2">
        <v>1.91</v>
      </c>
      <c r="AF2">
        <f>SQRT(AE2)</f>
        <v>1.3820274961085253</v>
      </c>
      <c r="AG2">
        <v>1.91</v>
      </c>
      <c r="AH2">
        <f>SQRT(AG2)</f>
        <v>1.3820274961085253</v>
      </c>
    </row>
    <row r="3" spans="1:34">
      <c r="A3">
        <v>1</v>
      </c>
      <c r="B3" s="261">
        <v>15</v>
      </c>
      <c r="D3" s="261">
        <v>30</v>
      </c>
      <c r="F3" s="261">
        <v>45</v>
      </c>
      <c r="H3" s="261">
        <v>60</v>
      </c>
      <c r="J3" s="261">
        <v>90</v>
      </c>
      <c r="L3" s="261">
        <v>120</v>
      </c>
      <c r="N3" s="292">
        <v>150</v>
      </c>
      <c r="O3" s="291">
        <v>100</v>
      </c>
      <c r="P3" s="291">
        <v>0</v>
      </c>
      <c r="Q3" s="291">
        <f>N3/O3</f>
        <v>1.5</v>
      </c>
      <c r="R3" s="294">
        <v>30</v>
      </c>
      <c r="S3" s="293">
        <v>100</v>
      </c>
      <c r="T3" s="293">
        <v>0</v>
      </c>
      <c r="U3" s="293">
        <v>1</v>
      </c>
      <c r="V3" s="293">
        <v>0</v>
      </c>
      <c r="W3" s="293">
        <v>1</v>
      </c>
      <c r="X3" s="261">
        <v>180</v>
      </c>
      <c r="AA3" s="261">
        <v>240</v>
      </c>
      <c r="AC3" s="261">
        <v>300</v>
      </c>
      <c r="AE3" s="261">
        <v>60</v>
      </c>
      <c r="AG3" s="261">
        <v>120</v>
      </c>
    </row>
    <row r="4" spans="1:34">
      <c r="A4">
        <v>2</v>
      </c>
      <c r="B4" s="261">
        <f>B3*B$2</f>
        <v>22.5</v>
      </c>
      <c r="D4" s="261">
        <f>D3*D$2</f>
        <v>45</v>
      </c>
      <c r="F4" s="261">
        <f>F3*F$2</f>
        <v>67.5</v>
      </c>
      <c r="H4" s="261">
        <f>H3*H$2</f>
        <v>90</v>
      </c>
      <c r="J4" s="261">
        <f>J3*J$2</f>
        <v>135</v>
      </c>
      <c r="L4" s="261">
        <f>L3*L$2</f>
        <v>180</v>
      </c>
      <c r="N4" s="292">
        <f>N3*N$2</f>
        <v>225</v>
      </c>
      <c r="O4" s="291">
        <f>SQRT(N4/N3)*O3</f>
        <v>122.4744871391589</v>
      </c>
      <c r="P4" s="291">
        <f>O4-O3</f>
        <v>22.474487139158896</v>
      </c>
      <c r="Q4" s="291">
        <f t="shared" ref="Q4:Q17" si="0">N4/O4</f>
        <v>1.8371173070873836</v>
      </c>
      <c r="R4" s="294">
        <v>40</v>
      </c>
      <c r="S4" s="293">
        <f>SQRT(R4/R3)*S3</f>
        <v>115.47005383792515</v>
      </c>
      <c r="T4" s="293">
        <f>S4-S3</f>
        <v>15.47005383792515</v>
      </c>
      <c r="U4" s="293">
        <f>S4/S3</f>
        <v>1.1547005383792515</v>
      </c>
      <c r="V4" s="293">
        <f>R4-R3</f>
        <v>10</v>
      </c>
      <c r="W4" s="293">
        <f>R4/R3</f>
        <v>1.3333333333333333</v>
      </c>
      <c r="X4" s="261">
        <f>X3*X$2</f>
        <v>270</v>
      </c>
      <c r="AA4" s="261">
        <f>AA3*AA$2</f>
        <v>480</v>
      </c>
      <c r="AC4" s="261">
        <f>AC3*AC$2</f>
        <v>600</v>
      </c>
      <c r="AE4" s="261">
        <f>AE3*AE$2</f>
        <v>114.6</v>
      </c>
      <c r="AG4" s="261">
        <f>AG3*AG$2</f>
        <v>229.2</v>
      </c>
    </row>
    <row r="5" spans="1:34">
      <c r="A5">
        <v>3</v>
      </c>
      <c r="B5" s="261">
        <f t="shared" ref="B5:B17" si="1">B4*B$2</f>
        <v>33.75</v>
      </c>
      <c r="D5" s="261">
        <f t="shared" ref="D5:D17" si="2">D4*D$2</f>
        <v>67.5</v>
      </c>
      <c r="F5" s="261">
        <f t="shared" ref="F5:F12" si="3">F4*F$2</f>
        <v>101.25</v>
      </c>
      <c r="H5" s="261">
        <f t="shared" ref="H5" si="4">H4*H$2</f>
        <v>135</v>
      </c>
      <c r="J5" s="261">
        <f t="shared" ref="J5:J17" si="5">J4*J$2</f>
        <v>202.5</v>
      </c>
      <c r="L5" s="261">
        <f t="shared" ref="L5:L17" si="6">L4*L$2</f>
        <v>270</v>
      </c>
      <c r="N5" s="292">
        <f>N4*N$2</f>
        <v>337.5</v>
      </c>
      <c r="O5" s="291">
        <f t="shared" ref="O5:O17" si="7">SQRT(N5/N4)*O4</f>
        <v>149.99999999999997</v>
      </c>
      <c r="P5" s="291">
        <f t="shared" ref="P5:P17" si="8">O5-O4</f>
        <v>27.525512860841076</v>
      </c>
      <c r="Q5" s="291">
        <f t="shared" si="0"/>
        <v>2.2500000000000004</v>
      </c>
      <c r="R5" s="294">
        <v>60</v>
      </c>
      <c r="S5" s="293">
        <f t="shared" ref="S5" si="9">SQRT(R5/R4)*S4</f>
        <v>141.42135623730948</v>
      </c>
      <c r="T5" s="293">
        <f t="shared" ref="T5:T21" si="10">S5-S4</f>
        <v>25.951302399384332</v>
      </c>
      <c r="U5" s="293">
        <f t="shared" ref="U5:U21" si="11">S5/S4</f>
        <v>1.2247448713915889</v>
      </c>
      <c r="V5" s="293">
        <f t="shared" ref="V5:V21" si="12">R5-R4</f>
        <v>20</v>
      </c>
      <c r="W5" s="293">
        <f t="shared" ref="W5:W21" si="13">R5/R4</f>
        <v>1.5</v>
      </c>
      <c r="X5" s="261">
        <f t="shared" ref="X5:X17" si="14">X4*X$2</f>
        <v>405</v>
      </c>
      <c r="AA5" s="261">
        <f t="shared" ref="AA5:AA17" si="15">AA4*AA$2</f>
        <v>960</v>
      </c>
      <c r="AC5" s="261">
        <f t="shared" ref="AC5:AC17" si="16">AC4*AC$2</f>
        <v>1200</v>
      </c>
      <c r="AE5" s="261">
        <f t="shared" ref="AE5:AE10" si="17">AE4*AE$2</f>
        <v>218.88599999999997</v>
      </c>
      <c r="AG5" s="261">
        <f t="shared" ref="AG5:AG10" si="18">AG4*AG$2</f>
        <v>437.77199999999993</v>
      </c>
    </row>
    <row r="6" spans="1:34">
      <c r="A6">
        <v>4</v>
      </c>
      <c r="B6" s="261">
        <f t="shared" si="1"/>
        <v>50.625</v>
      </c>
      <c r="D6" s="261">
        <f t="shared" si="2"/>
        <v>101.25</v>
      </c>
      <c r="F6" s="261">
        <f t="shared" si="3"/>
        <v>151.875</v>
      </c>
      <c r="H6" s="261">
        <f t="shared" ref="H6" si="19">H5*H$2</f>
        <v>202.5</v>
      </c>
      <c r="J6" s="261">
        <f t="shared" si="5"/>
        <v>303.75</v>
      </c>
      <c r="L6" s="261">
        <f t="shared" si="6"/>
        <v>405</v>
      </c>
      <c r="N6" s="292">
        <f t="shared" ref="N6:N17" si="20">N5*N$2</f>
        <v>506.25</v>
      </c>
      <c r="O6" s="291">
        <f>SQRT(N6/N5)*O5</f>
        <v>183.71173070873832</v>
      </c>
      <c r="P6" s="291">
        <f t="shared" si="8"/>
        <v>33.711730708738344</v>
      </c>
      <c r="Q6" s="291">
        <f t="shared" si="0"/>
        <v>2.7556759606310761</v>
      </c>
      <c r="R6" s="294">
        <v>90</v>
      </c>
      <c r="S6" s="293">
        <f>SQRT(R6/R5)*S5</f>
        <v>173.2050807568877</v>
      </c>
      <c r="T6" s="293">
        <f t="shared" si="10"/>
        <v>31.783724519578215</v>
      </c>
      <c r="U6" s="293">
        <f t="shared" si="11"/>
        <v>1.2247448713915889</v>
      </c>
      <c r="V6" s="293">
        <f t="shared" si="12"/>
        <v>30</v>
      </c>
      <c r="W6" s="293">
        <f t="shared" si="13"/>
        <v>1.5</v>
      </c>
      <c r="X6" s="261">
        <f t="shared" si="14"/>
        <v>607.5</v>
      </c>
      <c r="AA6" s="261">
        <f t="shared" si="15"/>
        <v>1920</v>
      </c>
      <c r="AC6" s="261">
        <f t="shared" si="16"/>
        <v>2400</v>
      </c>
      <c r="AE6" s="261">
        <f t="shared" si="17"/>
        <v>418.07225999999991</v>
      </c>
      <c r="AG6" s="261">
        <f t="shared" si="18"/>
        <v>836.14451999999983</v>
      </c>
    </row>
    <row r="7" spans="1:34">
      <c r="A7">
        <v>5</v>
      </c>
      <c r="B7" s="261">
        <f t="shared" si="1"/>
        <v>75.9375</v>
      </c>
      <c r="D7" s="261">
        <f t="shared" si="2"/>
        <v>151.875</v>
      </c>
      <c r="F7" s="261">
        <f t="shared" si="3"/>
        <v>227.8125</v>
      </c>
      <c r="H7" s="261">
        <f t="shared" ref="H7" si="21">H6*H$2</f>
        <v>303.75</v>
      </c>
      <c r="J7" s="261">
        <f t="shared" si="5"/>
        <v>455.625</v>
      </c>
      <c r="L7" s="261">
        <f t="shared" si="6"/>
        <v>607.5</v>
      </c>
      <c r="N7" s="292">
        <f t="shared" si="20"/>
        <v>759.375</v>
      </c>
      <c r="O7" s="291">
        <f t="shared" si="7"/>
        <v>224.99999999999991</v>
      </c>
      <c r="P7" s="291">
        <f t="shared" si="8"/>
        <v>41.288269291261599</v>
      </c>
      <c r="Q7" s="291">
        <f t="shared" si="0"/>
        <v>3.3750000000000013</v>
      </c>
      <c r="R7" s="294">
        <v>120</v>
      </c>
      <c r="S7" s="293">
        <f t="shared" ref="S7:S21" si="22">SQRT(R7/R6)*S6</f>
        <v>199.99999999999994</v>
      </c>
      <c r="T7" s="293">
        <f t="shared" si="10"/>
        <v>26.794919243112247</v>
      </c>
      <c r="U7" s="293">
        <f t="shared" si="11"/>
        <v>1.1547005383792515</v>
      </c>
      <c r="V7" s="293">
        <f t="shared" si="12"/>
        <v>30</v>
      </c>
      <c r="W7" s="293">
        <f t="shared" si="13"/>
        <v>1.3333333333333333</v>
      </c>
      <c r="X7" s="261">
        <f t="shared" si="14"/>
        <v>911.25</v>
      </c>
      <c r="AA7" s="261">
        <f t="shared" si="15"/>
        <v>3840</v>
      </c>
      <c r="AC7" s="261">
        <f t="shared" si="16"/>
        <v>4800</v>
      </c>
      <c r="AE7" s="261">
        <f t="shared" si="17"/>
        <v>798.51801659999978</v>
      </c>
      <c r="AG7" s="261">
        <f t="shared" si="18"/>
        <v>1597.0360331999996</v>
      </c>
    </row>
    <row r="8" spans="1:34">
      <c r="A8">
        <v>6</v>
      </c>
      <c r="B8" s="261">
        <f t="shared" si="1"/>
        <v>113.90625</v>
      </c>
      <c r="D8" s="261">
        <f t="shared" si="2"/>
        <v>227.8125</v>
      </c>
      <c r="F8" s="261">
        <f t="shared" si="3"/>
        <v>341.71875</v>
      </c>
      <c r="H8" s="261">
        <f t="shared" ref="H8" si="23">H7*H$2</f>
        <v>455.625</v>
      </c>
      <c r="J8" s="261">
        <f t="shared" si="5"/>
        <v>683.4375</v>
      </c>
      <c r="L8" s="261">
        <f t="shared" si="6"/>
        <v>911.25</v>
      </c>
      <c r="N8" s="292">
        <f t="shared" si="20"/>
        <v>1139.0625</v>
      </c>
      <c r="O8" s="291">
        <f t="shared" si="7"/>
        <v>275.56759606310743</v>
      </c>
      <c r="P8" s="291">
        <f t="shared" si="8"/>
        <v>50.567596063107516</v>
      </c>
      <c r="Q8" s="291">
        <f t="shared" si="0"/>
        <v>4.1335139409466146</v>
      </c>
      <c r="R8" s="294">
        <v>150</v>
      </c>
      <c r="S8" s="293">
        <f t="shared" si="22"/>
        <v>223.60679774997891</v>
      </c>
      <c r="T8" s="293">
        <f t="shared" si="10"/>
        <v>23.606797749978966</v>
      </c>
      <c r="U8" s="293">
        <f t="shared" si="11"/>
        <v>1.1180339887498949</v>
      </c>
      <c r="V8" s="293">
        <f t="shared" si="12"/>
        <v>30</v>
      </c>
      <c r="W8" s="293">
        <f t="shared" si="13"/>
        <v>1.25</v>
      </c>
      <c r="X8" s="261">
        <f t="shared" si="14"/>
        <v>1366.875</v>
      </c>
      <c r="AA8" s="261">
        <f t="shared" si="15"/>
        <v>7680</v>
      </c>
      <c r="AC8" s="261">
        <f t="shared" si="16"/>
        <v>9600</v>
      </c>
      <c r="AE8" s="261">
        <f t="shared" si="17"/>
        <v>1525.1694117059994</v>
      </c>
      <c r="AG8" s="261">
        <f t="shared" si="18"/>
        <v>3050.3388234119989</v>
      </c>
    </row>
    <row r="9" spans="1:34">
      <c r="A9">
        <v>7</v>
      </c>
      <c r="B9" s="261">
        <f t="shared" si="1"/>
        <v>170.859375</v>
      </c>
      <c r="D9" s="261">
        <f t="shared" si="2"/>
        <v>341.71875</v>
      </c>
      <c r="F9" s="261">
        <f t="shared" si="3"/>
        <v>512.578125</v>
      </c>
      <c r="H9" s="261">
        <f t="shared" ref="H9" si="24">H8*H$2</f>
        <v>683.4375</v>
      </c>
      <c r="J9" s="261">
        <f t="shared" si="5"/>
        <v>1025.15625</v>
      </c>
      <c r="L9" s="261">
        <f t="shared" si="6"/>
        <v>1366.875</v>
      </c>
      <c r="N9" s="292">
        <f t="shared" si="20"/>
        <v>1708.59375</v>
      </c>
      <c r="O9" s="291">
        <f t="shared" si="7"/>
        <v>337.49999999999983</v>
      </c>
      <c r="P9" s="291">
        <f t="shared" si="8"/>
        <v>61.932403936892399</v>
      </c>
      <c r="Q9" s="291">
        <f t="shared" si="0"/>
        <v>5.0625000000000027</v>
      </c>
      <c r="R9" s="294">
        <v>180</v>
      </c>
      <c r="S9" s="293">
        <f t="shared" si="22"/>
        <v>244.94897427831773</v>
      </c>
      <c r="T9" s="293">
        <f t="shared" si="10"/>
        <v>21.342176528338825</v>
      </c>
      <c r="U9" s="293">
        <f t="shared" si="11"/>
        <v>1.0954451150103321</v>
      </c>
      <c r="V9" s="293">
        <f t="shared" si="12"/>
        <v>30</v>
      </c>
      <c r="W9" s="293">
        <f t="shared" si="13"/>
        <v>1.2</v>
      </c>
      <c r="X9" s="261">
        <f t="shared" si="14"/>
        <v>2050.3125</v>
      </c>
      <c r="AA9" s="261">
        <f t="shared" si="15"/>
        <v>15360</v>
      </c>
      <c r="AC9" s="261">
        <f t="shared" si="16"/>
        <v>19200</v>
      </c>
      <c r="AE9" s="261">
        <f t="shared" si="17"/>
        <v>2913.0735763584589</v>
      </c>
      <c r="AG9" s="261">
        <f t="shared" si="18"/>
        <v>5826.1471527169178</v>
      </c>
    </row>
    <row r="10" spans="1:34">
      <c r="A10">
        <v>8</v>
      </c>
      <c r="B10" s="261">
        <f t="shared" si="1"/>
        <v>256.2890625</v>
      </c>
      <c r="D10" s="261">
        <f t="shared" si="2"/>
        <v>512.578125</v>
      </c>
      <c r="F10" s="261">
        <f t="shared" si="3"/>
        <v>768.8671875</v>
      </c>
      <c r="H10" s="261">
        <f t="shared" ref="H10" si="25">H9*H$2</f>
        <v>1025.15625</v>
      </c>
      <c r="J10" s="261">
        <f t="shared" si="5"/>
        <v>1537.734375</v>
      </c>
      <c r="L10" s="261">
        <f t="shared" si="6"/>
        <v>2050.3125</v>
      </c>
      <c r="N10" s="292">
        <f t="shared" si="20"/>
        <v>2562.890625</v>
      </c>
      <c r="O10" s="291">
        <f t="shared" si="7"/>
        <v>413.35139409466103</v>
      </c>
      <c r="P10" s="291">
        <f t="shared" si="8"/>
        <v>75.851394094661202</v>
      </c>
      <c r="Q10" s="291">
        <f t="shared" si="0"/>
        <v>6.2002709114199233</v>
      </c>
      <c r="R10" s="294">
        <v>240</v>
      </c>
      <c r="S10" s="293">
        <f t="shared" si="22"/>
        <v>282.84271247461891</v>
      </c>
      <c r="T10" s="293">
        <f t="shared" si="10"/>
        <v>37.893738196301172</v>
      </c>
      <c r="U10" s="293">
        <f t="shared" si="11"/>
        <v>1.1547005383792515</v>
      </c>
      <c r="V10" s="293">
        <f t="shared" si="12"/>
        <v>60</v>
      </c>
      <c r="W10" s="293">
        <f t="shared" si="13"/>
        <v>1.3333333333333333</v>
      </c>
      <c r="X10" s="261">
        <f t="shared" si="14"/>
        <v>3075.46875</v>
      </c>
      <c r="AA10" s="261">
        <f t="shared" si="15"/>
        <v>30720</v>
      </c>
      <c r="AC10" s="261">
        <f t="shared" si="16"/>
        <v>38400</v>
      </c>
      <c r="AE10" s="261">
        <f t="shared" si="17"/>
        <v>5563.9705308446564</v>
      </c>
      <c r="AG10" s="261">
        <f t="shared" si="18"/>
        <v>11127.941061689313</v>
      </c>
    </row>
    <row r="11" spans="1:34">
      <c r="A11">
        <v>9</v>
      </c>
      <c r="B11" s="261">
        <f t="shared" si="1"/>
        <v>384.43359375</v>
      </c>
      <c r="D11" s="261">
        <f t="shared" si="2"/>
        <v>768.8671875</v>
      </c>
      <c r="F11" s="261">
        <f t="shared" si="3"/>
        <v>1153.30078125</v>
      </c>
      <c r="H11" s="261">
        <f t="shared" ref="H11" si="26">H10*H$2</f>
        <v>1537.734375</v>
      </c>
      <c r="J11" s="261">
        <f t="shared" si="5"/>
        <v>2306.6015625</v>
      </c>
      <c r="L11" s="261">
        <f t="shared" si="6"/>
        <v>3075.46875</v>
      </c>
      <c r="N11" s="292">
        <f t="shared" si="20"/>
        <v>3844.3359375</v>
      </c>
      <c r="O11" s="291">
        <f t="shared" si="7"/>
        <v>506.2499999999996</v>
      </c>
      <c r="P11" s="291">
        <f t="shared" si="8"/>
        <v>92.89860590533857</v>
      </c>
      <c r="Q11" s="291">
        <f t="shared" si="0"/>
        <v>7.5937500000000062</v>
      </c>
      <c r="R11" s="294">
        <v>300</v>
      </c>
      <c r="S11" s="293">
        <f t="shared" si="22"/>
        <v>316.22776601683785</v>
      </c>
      <c r="T11" s="293">
        <f t="shared" si="10"/>
        <v>33.385053542218941</v>
      </c>
      <c r="U11" s="293">
        <f t="shared" si="11"/>
        <v>1.1180339887498949</v>
      </c>
      <c r="V11" s="293">
        <f t="shared" si="12"/>
        <v>60</v>
      </c>
      <c r="W11" s="293">
        <f t="shared" si="13"/>
        <v>1.25</v>
      </c>
      <c r="X11" s="261">
        <f t="shared" si="14"/>
        <v>4613.203125</v>
      </c>
      <c r="AA11" s="261">
        <f t="shared" si="15"/>
        <v>61440</v>
      </c>
      <c r="AC11" s="261">
        <f t="shared" si="16"/>
        <v>76800</v>
      </c>
    </row>
    <row r="12" spans="1:34">
      <c r="A12">
        <v>10</v>
      </c>
      <c r="B12" s="261">
        <f t="shared" si="1"/>
        <v>576.650390625</v>
      </c>
      <c r="D12" s="261">
        <f t="shared" si="2"/>
        <v>1153.30078125</v>
      </c>
      <c r="F12" s="261">
        <f t="shared" si="3"/>
        <v>1729.951171875</v>
      </c>
      <c r="H12" s="261">
        <f t="shared" ref="H12" si="27">H11*H$2</f>
        <v>2306.6015625</v>
      </c>
      <c r="J12" s="261">
        <f t="shared" si="5"/>
        <v>3459.90234375</v>
      </c>
      <c r="L12" s="261">
        <f t="shared" si="6"/>
        <v>4613.203125</v>
      </c>
      <c r="N12" s="292">
        <f t="shared" si="20"/>
        <v>5766.50390625</v>
      </c>
      <c r="O12" s="291">
        <f t="shared" si="7"/>
        <v>620.02709114199138</v>
      </c>
      <c r="P12" s="291">
        <f t="shared" si="8"/>
        <v>113.77709114199178</v>
      </c>
      <c r="Q12" s="291">
        <f t="shared" si="0"/>
        <v>9.300406367129888</v>
      </c>
      <c r="R12" s="294">
        <v>360</v>
      </c>
      <c r="S12" s="293">
        <f t="shared" si="22"/>
        <v>346.41016151377534</v>
      </c>
      <c r="T12" s="293">
        <f t="shared" si="10"/>
        <v>30.182395496937488</v>
      </c>
      <c r="U12" s="293">
        <f t="shared" si="11"/>
        <v>1.0954451150103321</v>
      </c>
      <c r="V12" s="293">
        <f t="shared" si="12"/>
        <v>60</v>
      </c>
      <c r="W12" s="293">
        <f t="shared" si="13"/>
        <v>1.2</v>
      </c>
      <c r="X12" s="261">
        <f t="shared" si="14"/>
        <v>6919.8046875</v>
      </c>
      <c r="AA12" s="261">
        <f t="shared" si="15"/>
        <v>122880</v>
      </c>
      <c r="AC12" s="261">
        <f t="shared" si="16"/>
        <v>153600</v>
      </c>
    </row>
    <row r="13" spans="1:34">
      <c r="A13">
        <v>11</v>
      </c>
      <c r="B13" s="261">
        <f t="shared" si="1"/>
        <v>864.9755859375</v>
      </c>
      <c r="D13" s="261">
        <f t="shared" si="2"/>
        <v>1729.951171875</v>
      </c>
      <c r="F13" s="261">
        <f t="shared" ref="F13" si="28">F12*F$2</f>
        <v>2594.9267578125</v>
      </c>
      <c r="H13" s="261">
        <f t="shared" ref="H13" si="29">H12*H$2</f>
        <v>3459.90234375</v>
      </c>
      <c r="J13" s="261">
        <f t="shared" si="5"/>
        <v>5189.853515625</v>
      </c>
      <c r="L13" s="261">
        <f t="shared" si="6"/>
        <v>6919.8046875</v>
      </c>
      <c r="N13" s="292">
        <f t="shared" si="20"/>
        <v>8649.755859375</v>
      </c>
      <c r="O13" s="291">
        <f t="shared" si="7"/>
        <v>759.3749999999992</v>
      </c>
      <c r="P13" s="291">
        <f t="shared" si="8"/>
        <v>139.34790885800783</v>
      </c>
      <c r="Q13" s="291">
        <f t="shared" si="0"/>
        <v>11.390625000000012</v>
      </c>
      <c r="R13" s="294">
        <v>420</v>
      </c>
      <c r="S13" s="293">
        <f t="shared" si="22"/>
        <v>374.16573867739402</v>
      </c>
      <c r="T13" s="293">
        <f t="shared" si="10"/>
        <v>27.755577163618682</v>
      </c>
      <c r="U13" s="293">
        <f t="shared" si="11"/>
        <v>1.0801234497346435</v>
      </c>
      <c r="V13" s="293">
        <f t="shared" si="12"/>
        <v>60</v>
      </c>
      <c r="W13" s="293">
        <f t="shared" si="13"/>
        <v>1.1666666666666667</v>
      </c>
      <c r="X13" s="261">
        <f t="shared" si="14"/>
        <v>10379.70703125</v>
      </c>
      <c r="AA13" s="261">
        <f t="shared" si="15"/>
        <v>245760</v>
      </c>
      <c r="AC13" s="261">
        <f t="shared" si="16"/>
        <v>307200</v>
      </c>
    </row>
    <row r="14" spans="1:34">
      <c r="A14">
        <v>12</v>
      </c>
      <c r="B14" s="261">
        <f t="shared" si="1"/>
        <v>1297.46337890625</v>
      </c>
      <c r="D14" s="261">
        <f t="shared" si="2"/>
        <v>2594.9267578125</v>
      </c>
      <c r="F14" s="261">
        <f t="shared" ref="F14:F17" si="30">F13*F$2</f>
        <v>3892.39013671875</v>
      </c>
      <c r="H14" s="261">
        <f t="shared" ref="H14:H17" si="31">H13*H$2</f>
        <v>5189.853515625</v>
      </c>
      <c r="J14" s="261">
        <f t="shared" si="5"/>
        <v>7784.7802734375</v>
      </c>
      <c r="L14" s="261">
        <f t="shared" si="6"/>
        <v>10379.70703125</v>
      </c>
      <c r="N14" s="292">
        <f t="shared" si="20"/>
        <v>12974.6337890625</v>
      </c>
      <c r="O14" s="291">
        <f t="shared" si="7"/>
        <v>930.04063671298684</v>
      </c>
      <c r="P14" s="291">
        <f t="shared" si="8"/>
        <v>170.66563671298763</v>
      </c>
      <c r="Q14" s="291">
        <f t="shared" si="0"/>
        <v>13.950609550694836</v>
      </c>
      <c r="R14" s="294">
        <v>480</v>
      </c>
      <c r="S14" s="293">
        <f t="shared" si="22"/>
        <v>399.99999999999989</v>
      </c>
      <c r="T14" s="293">
        <f t="shared" si="10"/>
        <v>25.834261322605869</v>
      </c>
      <c r="U14" s="293">
        <f t="shared" si="11"/>
        <v>1.0690449676496976</v>
      </c>
      <c r="V14" s="293">
        <f t="shared" si="12"/>
        <v>60</v>
      </c>
      <c r="W14" s="293">
        <f t="shared" si="13"/>
        <v>1.1428571428571428</v>
      </c>
      <c r="X14" s="261">
        <f t="shared" si="14"/>
        <v>15569.560546875</v>
      </c>
      <c r="AA14" s="261">
        <f t="shared" si="15"/>
        <v>491520</v>
      </c>
      <c r="AC14" s="261">
        <f t="shared" si="16"/>
        <v>614400</v>
      </c>
    </row>
    <row r="15" spans="1:34">
      <c r="A15">
        <v>13</v>
      </c>
      <c r="B15" s="261">
        <f t="shared" si="1"/>
        <v>1946.195068359375</v>
      </c>
      <c r="D15" s="261">
        <f t="shared" si="2"/>
        <v>3892.39013671875</v>
      </c>
      <c r="F15" s="261">
        <f t="shared" si="30"/>
        <v>5838.585205078125</v>
      </c>
      <c r="H15" s="261">
        <f t="shared" si="31"/>
        <v>7784.7802734375</v>
      </c>
      <c r="J15" s="261">
        <f t="shared" si="5"/>
        <v>11677.17041015625</v>
      </c>
      <c r="L15" s="261">
        <f t="shared" si="6"/>
        <v>15569.560546875</v>
      </c>
      <c r="N15" s="292">
        <f t="shared" si="20"/>
        <v>19461.95068359375</v>
      </c>
      <c r="O15" s="291">
        <f t="shared" si="7"/>
        <v>1139.0624999999986</v>
      </c>
      <c r="P15" s="291">
        <f t="shared" si="8"/>
        <v>209.0218632870118</v>
      </c>
      <c r="Q15" s="291">
        <f t="shared" si="0"/>
        <v>17.085937500000021</v>
      </c>
      <c r="R15" s="294">
        <v>540</v>
      </c>
      <c r="S15" s="293">
        <f t="shared" si="22"/>
        <v>424.26406871192836</v>
      </c>
      <c r="T15" s="293">
        <f t="shared" si="10"/>
        <v>24.264068711928473</v>
      </c>
      <c r="U15" s="293">
        <f t="shared" si="11"/>
        <v>1.0606601717798212</v>
      </c>
      <c r="V15" s="293">
        <f t="shared" si="12"/>
        <v>60</v>
      </c>
      <c r="W15" s="293">
        <f t="shared" si="13"/>
        <v>1.125</v>
      </c>
      <c r="X15" s="261">
        <f t="shared" si="14"/>
        <v>23354.3408203125</v>
      </c>
      <c r="AA15" s="261">
        <f t="shared" si="15"/>
        <v>983040</v>
      </c>
      <c r="AC15" s="261">
        <f t="shared" si="16"/>
        <v>1228800</v>
      </c>
    </row>
    <row r="16" spans="1:34">
      <c r="A16">
        <v>14</v>
      </c>
      <c r="B16" s="261">
        <f t="shared" si="1"/>
        <v>2919.2926025390625</v>
      </c>
      <c r="D16" s="261">
        <f t="shared" si="2"/>
        <v>5838.585205078125</v>
      </c>
      <c r="F16" s="261">
        <f t="shared" si="30"/>
        <v>8757.8778076171875</v>
      </c>
      <c r="H16" s="261">
        <f t="shared" si="31"/>
        <v>11677.17041015625</v>
      </c>
      <c r="J16" s="261">
        <f t="shared" si="5"/>
        <v>17515.755615234375</v>
      </c>
      <c r="L16" s="261">
        <f t="shared" si="6"/>
        <v>23354.3408203125</v>
      </c>
      <c r="N16" s="292">
        <f t="shared" si="20"/>
        <v>29192.926025390625</v>
      </c>
      <c r="O16" s="291">
        <f t="shared" si="7"/>
        <v>1395.0609550694801</v>
      </c>
      <c r="P16" s="291">
        <f t="shared" si="8"/>
        <v>255.99845506948145</v>
      </c>
      <c r="Q16" s="291">
        <f t="shared" si="0"/>
        <v>20.925914326042257</v>
      </c>
      <c r="R16" s="294">
        <v>600</v>
      </c>
      <c r="S16" s="293">
        <f t="shared" si="22"/>
        <v>447.21359549995782</v>
      </c>
      <c r="T16" s="293">
        <f t="shared" si="10"/>
        <v>22.949526788029459</v>
      </c>
      <c r="U16" s="293">
        <f t="shared" si="11"/>
        <v>1.0540925533894598</v>
      </c>
      <c r="V16" s="293">
        <f t="shared" si="12"/>
        <v>60</v>
      </c>
      <c r="W16" s="293">
        <f t="shared" si="13"/>
        <v>1.1111111111111112</v>
      </c>
      <c r="X16" s="261">
        <f t="shared" si="14"/>
        <v>35031.51123046875</v>
      </c>
      <c r="AA16" s="261">
        <f t="shared" si="15"/>
        <v>1966080</v>
      </c>
      <c r="AC16" s="261">
        <f t="shared" si="16"/>
        <v>2457600</v>
      </c>
    </row>
    <row r="17" spans="1:29">
      <c r="A17">
        <v>15</v>
      </c>
      <c r="B17" s="261">
        <f t="shared" si="1"/>
        <v>4378.9389038085937</v>
      </c>
      <c r="D17" s="261">
        <f t="shared" si="2"/>
        <v>8757.8778076171875</v>
      </c>
      <c r="F17" s="261">
        <f t="shared" si="30"/>
        <v>13136.816711425781</v>
      </c>
      <c r="H17" s="261">
        <f t="shared" si="31"/>
        <v>17515.755615234375</v>
      </c>
      <c r="J17" s="261">
        <f t="shared" si="5"/>
        <v>26273.633422851563</v>
      </c>
      <c r="L17" s="261">
        <f t="shared" si="6"/>
        <v>35031.51123046875</v>
      </c>
      <c r="N17" s="292">
        <f t="shared" si="20"/>
        <v>43789.389038085938</v>
      </c>
      <c r="O17" s="291">
        <f t="shared" si="7"/>
        <v>1708.5937499999977</v>
      </c>
      <c r="P17" s="291">
        <f t="shared" si="8"/>
        <v>313.53279493051764</v>
      </c>
      <c r="Q17" s="291">
        <f t="shared" si="0"/>
        <v>25.628906250000036</v>
      </c>
      <c r="R17" s="294">
        <v>660</v>
      </c>
      <c r="S17" s="293">
        <f t="shared" si="22"/>
        <v>469.04157598234286</v>
      </c>
      <c r="T17" s="293">
        <f t="shared" si="10"/>
        <v>21.827980482385044</v>
      </c>
      <c r="U17" s="293">
        <f t="shared" si="11"/>
        <v>1.0488088481701516</v>
      </c>
      <c r="V17" s="293">
        <f t="shared" si="12"/>
        <v>60</v>
      </c>
      <c r="W17" s="293">
        <f t="shared" si="13"/>
        <v>1.1000000000000001</v>
      </c>
      <c r="X17" s="261">
        <f t="shared" si="14"/>
        <v>52547.266845703125</v>
      </c>
      <c r="AA17" s="261">
        <f t="shared" si="15"/>
        <v>3932160</v>
      </c>
      <c r="AC17" s="261">
        <f t="shared" si="16"/>
        <v>4915200</v>
      </c>
    </row>
    <row r="18" spans="1:29">
      <c r="R18" s="294">
        <v>720</v>
      </c>
      <c r="S18" s="293">
        <f t="shared" si="22"/>
        <v>489.89794855663553</v>
      </c>
      <c r="T18" s="293">
        <f t="shared" si="10"/>
        <v>20.856372574292664</v>
      </c>
      <c r="U18" s="293">
        <f t="shared" si="11"/>
        <v>1.044465935734187</v>
      </c>
      <c r="V18" s="293">
        <f t="shared" si="12"/>
        <v>60</v>
      </c>
      <c r="W18" s="293">
        <f t="shared" si="13"/>
        <v>1.0909090909090908</v>
      </c>
    </row>
    <row r="19" spans="1:29">
      <c r="R19" s="294">
        <v>780</v>
      </c>
      <c r="S19" s="293">
        <f t="shared" si="22"/>
        <v>509.90195135927837</v>
      </c>
      <c r="T19" s="293">
        <f t="shared" si="10"/>
        <v>20.004002802642844</v>
      </c>
      <c r="U19" s="293">
        <f t="shared" si="11"/>
        <v>1.0408329997330663</v>
      </c>
      <c r="V19" s="293">
        <f t="shared" si="12"/>
        <v>60</v>
      </c>
      <c r="W19" s="293">
        <f t="shared" si="13"/>
        <v>1.0833333333333333</v>
      </c>
    </row>
    <row r="20" spans="1:29">
      <c r="B20">
        <v>2</v>
      </c>
      <c r="C20">
        <f>SQRT(B20)</f>
        <v>1.4142135623730951</v>
      </c>
      <c r="D20">
        <v>2</v>
      </c>
      <c r="E20">
        <f>SQRT(D20)</f>
        <v>1.4142135623730951</v>
      </c>
      <c r="F20">
        <v>2</v>
      </c>
      <c r="G20">
        <f>SQRT(F20)</f>
        <v>1.4142135623730951</v>
      </c>
      <c r="H20">
        <v>2</v>
      </c>
      <c r="I20">
        <f>SQRT(H20)</f>
        <v>1.4142135623730951</v>
      </c>
      <c r="J20">
        <v>2</v>
      </c>
      <c r="K20" s="291">
        <f>SQRT(J20)</f>
        <v>1.4142135623730951</v>
      </c>
      <c r="L20">
        <v>2</v>
      </c>
      <c r="M20">
        <f>SQRT(L20)</f>
        <v>1.4142135623730951</v>
      </c>
      <c r="N20">
        <v>2</v>
      </c>
      <c r="O20" s="196">
        <f>SQRT(N20)</f>
        <v>1.4142135623730951</v>
      </c>
      <c r="R20" s="294">
        <v>840</v>
      </c>
      <c r="S20" s="293">
        <f t="shared" si="22"/>
        <v>529.15026221291794</v>
      </c>
      <c r="T20" s="293">
        <f t="shared" si="10"/>
        <v>19.248310853639566</v>
      </c>
      <c r="U20" s="293">
        <f t="shared" si="11"/>
        <v>1.0377490433255416</v>
      </c>
      <c r="V20" s="293">
        <f t="shared" si="12"/>
        <v>60</v>
      </c>
      <c r="W20" s="293">
        <f t="shared" si="13"/>
        <v>1.0769230769230769</v>
      </c>
    </row>
    <row r="21" spans="1:29">
      <c r="A21">
        <v>1</v>
      </c>
      <c r="B21" s="261">
        <v>15</v>
      </c>
      <c r="D21" s="261">
        <v>30</v>
      </c>
      <c r="F21" s="261">
        <v>45</v>
      </c>
      <c r="H21" s="261">
        <v>60</v>
      </c>
      <c r="J21" s="261">
        <v>90</v>
      </c>
      <c r="L21" s="261">
        <v>120</v>
      </c>
      <c r="N21" s="261">
        <v>150</v>
      </c>
      <c r="R21" s="294">
        <v>900</v>
      </c>
      <c r="S21" s="293">
        <f t="shared" si="22"/>
        <v>547.72255750516592</v>
      </c>
      <c r="T21" s="293">
        <f t="shared" si="10"/>
        <v>18.572295292247986</v>
      </c>
      <c r="U21" s="293">
        <f t="shared" si="11"/>
        <v>1.0350983390135313</v>
      </c>
      <c r="V21" s="293">
        <f t="shared" si="12"/>
        <v>60</v>
      </c>
      <c r="W21" s="293">
        <f t="shared" si="13"/>
        <v>1.0714285714285714</v>
      </c>
    </row>
    <row r="22" spans="1:29">
      <c r="A22">
        <v>2</v>
      </c>
      <c r="B22" s="261">
        <f>B21*B$20</f>
        <v>30</v>
      </c>
      <c r="D22" s="261">
        <f>D21*D$20</f>
        <v>60</v>
      </c>
      <c r="F22" s="261">
        <f>F21*F$20</f>
        <v>90</v>
      </c>
      <c r="H22" s="261">
        <f>H21*H$20</f>
        <v>120</v>
      </c>
      <c r="J22" s="261">
        <f>J21*J$20</f>
        <v>180</v>
      </c>
      <c r="L22" s="261">
        <f>L21*L$20</f>
        <v>240</v>
      </c>
      <c r="N22" s="261">
        <f>N21*N$20</f>
        <v>300</v>
      </c>
      <c r="R22" s="294" t="s">
        <v>21</v>
      </c>
      <c r="S22" s="293" t="s">
        <v>21</v>
      </c>
      <c r="T22" s="293"/>
      <c r="U22" s="293"/>
    </row>
    <row r="23" spans="1:29">
      <c r="A23">
        <v>3</v>
      </c>
      <c r="B23" s="261">
        <f t="shared" ref="B23:B30" si="32">B22*B$20</f>
        <v>60</v>
      </c>
      <c r="D23" s="261">
        <f t="shared" ref="D23:D30" si="33">D22*D$20</f>
        <v>120</v>
      </c>
      <c r="F23" s="261">
        <f t="shared" ref="F23:F30" si="34">F22*F$20</f>
        <v>180</v>
      </c>
      <c r="H23" s="261">
        <f t="shared" ref="H23:H30" si="35">H22*H$20</f>
        <v>240</v>
      </c>
      <c r="J23" s="261">
        <f t="shared" ref="J23:J30" si="36">J22*J$20</f>
        <v>360</v>
      </c>
      <c r="L23" s="261">
        <f t="shared" ref="L23:N30" si="37">L22*L$20</f>
        <v>480</v>
      </c>
      <c r="N23" s="261">
        <f t="shared" si="37"/>
        <v>600</v>
      </c>
      <c r="R23" s="294">
        <v>30</v>
      </c>
      <c r="S23" s="293">
        <v>100</v>
      </c>
      <c r="T23" s="293">
        <v>0</v>
      </c>
      <c r="U23" s="293">
        <v>100</v>
      </c>
      <c r="V23" s="293">
        <v>0</v>
      </c>
      <c r="W23" s="293">
        <v>30</v>
      </c>
    </row>
    <row r="24" spans="1:29">
      <c r="A24">
        <v>4</v>
      </c>
      <c r="B24" s="261">
        <f t="shared" si="32"/>
        <v>120</v>
      </c>
      <c r="D24" s="261">
        <f t="shared" si="33"/>
        <v>240</v>
      </c>
      <c r="F24" s="261">
        <f t="shared" si="34"/>
        <v>360</v>
      </c>
      <c r="H24" s="261">
        <f t="shared" si="35"/>
        <v>480</v>
      </c>
      <c r="J24" s="261">
        <f t="shared" si="36"/>
        <v>720</v>
      </c>
      <c r="L24" s="261">
        <f t="shared" si="37"/>
        <v>960</v>
      </c>
      <c r="N24" s="261">
        <f t="shared" si="37"/>
        <v>1200</v>
      </c>
      <c r="R24" s="294">
        <v>46</v>
      </c>
      <c r="S24" s="293">
        <f>SQRT(R24/R23)*S23</f>
        <v>123.82783747337807</v>
      </c>
      <c r="T24" s="293">
        <f>S24-S23</f>
        <v>23.827837473378068</v>
      </c>
      <c r="U24" s="293">
        <f>S24/S23</f>
        <v>1.2382783747337807</v>
      </c>
      <c r="V24" s="293">
        <f>R24-R23</f>
        <v>16</v>
      </c>
      <c r="W24" s="293">
        <f>R24/R23</f>
        <v>1.5333333333333334</v>
      </c>
    </row>
    <row r="25" spans="1:29">
      <c r="A25">
        <v>5</v>
      </c>
      <c r="B25" s="261">
        <f t="shared" si="32"/>
        <v>240</v>
      </c>
      <c r="D25" s="261">
        <f t="shared" si="33"/>
        <v>480</v>
      </c>
      <c r="F25" s="261">
        <f t="shared" si="34"/>
        <v>720</v>
      </c>
      <c r="H25" s="261">
        <f t="shared" si="35"/>
        <v>960</v>
      </c>
      <c r="J25" s="261">
        <f t="shared" si="36"/>
        <v>1440</v>
      </c>
      <c r="L25" s="261">
        <f t="shared" si="37"/>
        <v>1920</v>
      </c>
      <c r="N25" s="261">
        <f t="shared" si="37"/>
        <v>2400</v>
      </c>
      <c r="R25" s="294">
        <v>66</v>
      </c>
      <c r="S25" s="293">
        <f t="shared" ref="S25" si="38">SQRT(R25/R24)*S24</f>
        <v>148.32396974191326</v>
      </c>
      <c r="T25" s="293">
        <f t="shared" ref="T25:T41" si="39">S25-S24</f>
        <v>24.496132268535192</v>
      </c>
      <c r="U25" s="293">
        <f t="shared" ref="U25:U41" si="40">S25/S24</f>
        <v>1.1978241142570356</v>
      </c>
      <c r="V25" s="293">
        <f t="shared" ref="V25:V41" si="41">R25-R24</f>
        <v>20</v>
      </c>
      <c r="W25" s="293">
        <f t="shared" ref="W25:W41" si="42">R25/R24</f>
        <v>1.4347826086956521</v>
      </c>
    </row>
    <row r="26" spans="1:29">
      <c r="A26">
        <v>6</v>
      </c>
      <c r="B26" s="261">
        <f t="shared" si="32"/>
        <v>480</v>
      </c>
      <c r="D26" s="261">
        <f t="shared" si="33"/>
        <v>960</v>
      </c>
      <c r="F26" s="261">
        <f t="shared" si="34"/>
        <v>1440</v>
      </c>
      <c r="H26" s="261">
        <f t="shared" si="35"/>
        <v>1920</v>
      </c>
      <c r="J26" s="261">
        <f t="shared" si="36"/>
        <v>2880</v>
      </c>
      <c r="L26" s="261">
        <f t="shared" si="37"/>
        <v>3840</v>
      </c>
      <c r="N26" s="261">
        <f t="shared" si="37"/>
        <v>4800</v>
      </c>
      <c r="R26" s="294">
        <v>90</v>
      </c>
      <c r="S26" s="293">
        <f>SQRT(R26/R25)*S25</f>
        <v>173.20508075688772</v>
      </c>
      <c r="T26" s="293">
        <f t="shared" si="39"/>
        <v>24.881111014974465</v>
      </c>
      <c r="U26" s="293">
        <f t="shared" si="40"/>
        <v>1.1677484162422844</v>
      </c>
      <c r="V26" s="293">
        <f t="shared" si="41"/>
        <v>24</v>
      </c>
      <c r="W26" s="293">
        <f t="shared" si="42"/>
        <v>1.3636363636363635</v>
      </c>
    </row>
    <row r="27" spans="1:29">
      <c r="A27">
        <v>7</v>
      </c>
      <c r="B27" s="261">
        <f t="shared" si="32"/>
        <v>960</v>
      </c>
      <c r="D27" s="261">
        <f t="shared" si="33"/>
        <v>1920</v>
      </c>
      <c r="F27" s="261">
        <f t="shared" si="34"/>
        <v>2880</v>
      </c>
      <c r="H27" s="261">
        <f t="shared" si="35"/>
        <v>3840</v>
      </c>
      <c r="J27" s="261">
        <f t="shared" si="36"/>
        <v>5760</v>
      </c>
      <c r="L27" s="261">
        <f t="shared" si="37"/>
        <v>7680</v>
      </c>
      <c r="N27" s="261">
        <f t="shared" si="37"/>
        <v>9600</v>
      </c>
      <c r="R27" s="294">
        <v>118</v>
      </c>
      <c r="S27" s="293">
        <f t="shared" ref="S27:S41" si="43">SQRT(R27/R26)*S26</f>
        <v>198.32633040858022</v>
      </c>
      <c r="T27" s="293">
        <f t="shared" si="39"/>
        <v>25.121249651692494</v>
      </c>
      <c r="U27" s="293">
        <f t="shared" si="40"/>
        <v>1.1450376024878446</v>
      </c>
      <c r="V27" s="293">
        <f t="shared" si="41"/>
        <v>28</v>
      </c>
      <c r="W27" s="293">
        <f t="shared" si="42"/>
        <v>1.3111111111111111</v>
      </c>
    </row>
    <row r="28" spans="1:29">
      <c r="A28">
        <v>8</v>
      </c>
      <c r="B28" s="261">
        <f t="shared" si="32"/>
        <v>1920</v>
      </c>
      <c r="D28" s="261">
        <f t="shared" si="33"/>
        <v>3840</v>
      </c>
      <c r="F28" s="261">
        <f t="shared" si="34"/>
        <v>5760</v>
      </c>
      <c r="H28" s="261">
        <f t="shared" si="35"/>
        <v>7680</v>
      </c>
      <c r="J28" s="261">
        <f t="shared" si="36"/>
        <v>11520</v>
      </c>
      <c r="L28" s="261">
        <f t="shared" si="37"/>
        <v>15360</v>
      </c>
      <c r="N28" s="261">
        <f t="shared" si="37"/>
        <v>19200</v>
      </c>
      <c r="R28" s="294">
        <v>150</v>
      </c>
      <c r="S28" s="293">
        <f t="shared" si="43"/>
        <v>223.60679774997897</v>
      </c>
      <c r="T28" s="293">
        <f t="shared" si="39"/>
        <v>25.280467341398747</v>
      </c>
      <c r="U28" s="293">
        <f t="shared" si="40"/>
        <v>1.1274690420042432</v>
      </c>
      <c r="V28" s="293">
        <f t="shared" si="41"/>
        <v>32</v>
      </c>
      <c r="W28" s="293">
        <f t="shared" si="42"/>
        <v>1.271186440677966</v>
      </c>
    </row>
    <row r="29" spans="1:29">
      <c r="A29">
        <v>9</v>
      </c>
      <c r="B29" s="261">
        <f t="shared" si="32"/>
        <v>3840</v>
      </c>
      <c r="D29" s="261">
        <f t="shared" si="33"/>
        <v>7680</v>
      </c>
      <c r="F29" s="261">
        <f t="shared" si="34"/>
        <v>11520</v>
      </c>
      <c r="H29" s="261">
        <f t="shared" si="35"/>
        <v>15360</v>
      </c>
      <c r="J29" s="261">
        <f t="shared" si="36"/>
        <v>23040</v>
      </c>
      <c r="L29" s="261">
        <f t="shared" si="37"/>
        <v>30720</v>
      </c>
      <c r="N29" s="261">
        <f t="shared" si="37"/>
        <v>38400</v>
      </c>
      <c r="R29" s="294">
        <v>185</v>
      </c>
      <c r="S29" s="293">
        <f t="shared" si="43"/>
        <v>248.32774042918896</v>
      </c>
      <c r="T29" s="293">
        <f t="shared" si="39"/>
        <v>24.720942679209998</v>
      </c>
      <c r="U29" s="293">
        <f t="shared" si="40"/>
        <v>1.1105554165971787</v>
      </c>
      <c r="V29" s="293">
        <f t="shared" si="41"/>
        <v>35</v>
      </c>
      <c r="W29" s="293">
        <f t="shared" si="42"/>
        <v>1.2333333333333334</v>
      </c>
    </row>
    <row r="30" spans="1:29">
      <c r="A30">
        <v>10</v>
      </c>
      <c r="B30" s="261">
        <f t="shared" si="32"/>
        <v>7680</v>
      </c>
      <c r="D30" s="261">
        <f t="shared" si="33"/>
        <v>15360</v>
      </c>
      <c r="F30" s="261">
        <f t="shared" si="34"/>
        <v>23040</v>
      </c>
      <c r="H30" s="261">
        <f t="shared" si="35"/>
        <v>30720</v>
      </c>
      <c r="J30" s="261">
        <f t="shared" si="36"/>
        <v>46080</v>
      </c>
      <c r="L30" s="261">
        <f t="shared" si="37"/>
        <v>61440</v>
      </c>
      <c r="N30" s="261">
        <f t="shared" si="37"/>
        <v>76800</v>
      </c>
      <c r="R30" s="294">
        <v>225</v>
      </c>
      <c r="S30" s="293">
        <f t="shared" si="43"/>
        <v>273.86127875258302</v>
      </c>
      <c r="T30" s="293">
        <f t="shared" si="39"/>
        <v>25.533538323394055</v>
      </c>
      <c r="U30" s="293">
        <f t="shared" si="40"/>
        <v>1.1028219331407116</v>
      </c>
      <c r="V30" s="293">
        <f t="shared" si="41"/>
        <v>40</v>
      </c>
      <c r="W30" s="293">
        <f t="shared" si="42"/>
        <v>1.2162162162162162</v>
      </c>
    </row>
    <row r="31" spans="1:29">
      <c r="B31" s="261"/>
      <c r="R31" s="294">
        <v>275</v>
      </c>
      <c r="S31" s="293">
        <f t="shared" si="43"/>
        <v>302.76503540974915</v>
      </c>
      <c r="T31" s="293">
        <f t="shared" si="39"/>
        <v>28.903756657166127</v>
      </c>
      <c r="U31" s="293">
        <f t="shared" si="40"/>
        <v>1.1055415967851334</v>
      </c>
      <c r="V31" s="293">
        <f t="shared" si="41"/>
        <v>50</v>
      </c>
      <c r="W31" s="293">
        <f t="shared" si="42"/>
        <v>1.2222222222222223</v>
      </c>
    </row>
    <row r="32" spans="1:29">
      <c r="B32" s="261"/>
      <c r="R32" s="294">
        <v>360</v>
      </c>
      <c r="S32" s="293">
        <f t="shared" si="43"/>
        <v>346.41016151377539</v>
      </c>
      <c r="T32" s="293">
        <f t="shared" si="39"/>
        <v>43.645126104026247</v>
      </c>
      <c r="U32" s="293">
        <f t="shared" si="40"/>
        <v>1.1441551070947107</v>
      </c>
      <c r="V32" s="293">
        <f t="shared" si="41"/>
        <v>85</v>
      </c>
      <c r="W32" s="293">
        <f t="shared" si="42"/>
        <v>1.3090909090909091</v>
      </c>
    </row>
    <row r="33" spans="12:23">
      <c r="R33" s="294">
        <v>420</v>
      </c>
      <c r="S33" s="293">
        <f t="shared" si="43"/>
        <v>374.16573867739407</v>
      </c>
      <c r="T33" s="293">
        <f t="shared" si="39"/>
        <v>27.755577163618682</v>
      </c>
      <c r="U33" s="293">
        <f t="shared" si="40"/>
        <v>1.0801234497346435</v>
      </c>
      <c r="V33" s="293">
        <f t="shared" si="41"/>
        <v>60</v>
      </c>
      <c r="W33" s="293">
        <f t="shared" si="42"/>
        <v>1.1666666666666667</v>
      </c>
    </row>
    <row r="34" spans="12:23">
      <c r="L34">
        <f>M34*N34</f>
        <v>376.7757954009254</v>
      </c>
      <c r="M34">
        <v>13</v>
      </c>
      <c r="N34">
        <f>SQRT(O34)</f>
        <v>28.982753492378876</v>
      </c>
      <c r="O34" s="196">
        <v>840</v>
      </c>
      <c r="R34" s="294">
        <v>480</v>
      </c>
      <c r="S34" s="293">
        <f t="shared" si="43"/>
        <v>399.99999999999994</v>
      </c>
      <c r="T34" s="293">
        <f t="shared" si="39"/>
        <v>25.834261322605869</v>
      </c>
      <c r="U34" s="293">
        <f t="shared" si="40"/>
        <v>1.0690449676496976</v>
      </c>
      <c r="V34" s="293">
        <f t="shared" si="41"/>
        <v>60</v>
      </c>
      <c r="W34" s="293">
        <f t="shared" si="42"/>
        <v>1.1428571428571428</v>
      </c>
    </row>
    <row r="35" spans="12:23">
      <c r="R35" s="294">
        <v>540</v>
      </c>
      <c r="S35" s="293">
        <f t="shared" si="43"/>
        <v>424.26406871192842</v>
      </c>
      <c r="T35" s="293">
        <f t="shared" si="39"/>
        <v>24.264068711928473</v>
      </c>
      <c r="U35" s="293">
        <f t="shared" si="40"/>
        <v>1.0606601717798212</v>
      </c>
      <c r="V35" s="293">
        <f t="shared" si="41"/>
        <v>60</v>
      </c>
      <c r="W35" s="293">
        <f t="shared" si="42"/>
        <v>1.125</v>
      </c>
    </row>
    <row r="36" spans="12:23">
      <c r="R36" s="294">
        <v>600</v>
      </c>
      <c r="S36" s="293">
        <f t="shared" si="43"/>
        <v>447.21359549995788</v>
      </c>
      <c r="T36" s="293">
        <f t="shared" si="39"/>
        <v>22.949526788029459</v>
      </c>
      <c r="U36" s="293">
        <f t="shared" si="40"/>
        <v>1.0540925533894598</v>
      </c>
      <c r="V36" s="293">
        <f t="shared" si="41"/>
        <v>60</v>
      </c>
      <c r="W36" s="293">
        <f t="shared" si="42"/>
        <v>1.1111111111111112</v>
      </c>
    </row>
    <row r="37" spans="12:23">
      <c r="R37" s="294">
        <v>660</v>
      </c>
      <c r="S37" s="293">
        <f t="shared" si="43"/>
        <v>469.04157598234292</v>
      </c>
      <c r="T37" s="293">
        <f t="shared" si="39"/>
        <v>21.827980482385044</v>
      </c>
      <c r="U37" s="293">
        <f t="shared" si="40"/>
        <v>1.0488088481701516</v>
      </c>
      <c r="V37" s="293">
        <f t="shared" si="41"/>
        <v>60</v>
      </c>
      <c r="W37" s="293">
        <f t="shared" si="42"/>
        <v>1.1000000000000001</v>
      </c>
    </row>
    <row r="38" spans="12:23">
      <c r="R38" s="294">
        <v>720</v>
      </c>
      <c r="S38" s="293">
        <f t="shared" si="43"/>
        <v>489.89794855663558</v>
      </c>
      <c r="T38" s="293">
        <f t="shared" si="39"/>
        <v>20.856372574292664</v>
      </c>
      <c r="U38" s="293">
        <f t="shared" si="40"/>
        <v>1.044465935734187</v>
      </c>
      <c r="V38" s="293">
        <f t="shared" si="41"/>
        <v>60</v>
      </c>
      <c r="W38" s="293">
        <f t="shared" si="42"/>
        <v>1.0909090909090908</v>
      </c>
    </row>
    <row r="39" spans="12:23">
      <c r="R39" s="294">
        <v>780</v>
      </c>
      <c r="S39" s="293">
        <f t="shared" si="43"/>
        <v>509.90195135927843</v>
      </c>
      <c r="T39" s="293">
        <f t="shared" si="39"/>
        <v>20.004002802642844</v>
      </c>
      <c r="U39" s="293">
        <f t="shared" si="40"/>
        <v>1.0408329997330663</v>
      </c>
      <c r="V39" s="293">
        <f t="shared" si="41"/>
        <v>60</v>
      </c>
      <c r="W39" s="293">
        <f t="shared" si="42"/>
        <v>1.0833333333333333</v>
      </c>
    </row>
    <row r="40" spans="12:23">
      <c r="R40" s="294">
        <v>840</v>
      </c>
      <c r="S40" s="293">
        <f t="shared" si="43"/>
        <v>529.15026221291805</v>
      </c>
      <c r="T40" s="293">
        <f t="shared" si="39"/>
        <v>19.248310853639623</v>
      </c>
      <c r="U40" s="293">
        <f t="shared" si="40"/>
        <v>1.0377490433255416</v>
      </c>
      <c r="V40" s="293">
        <f t="shared" si="41"/>
        <v>60</v>
      </c>
      <c r="W40" s="293">
        <f t="shared" si="42"/>
        <v>1.0769230769230769</v>
      </c>
    </row>
    <row r="41" spans="12:23">
      <c r="R41" s="294">
        <v>900</v>
      </c>
      <c r="S41" s="293">
        <f t="shared" si="43"/>
        <v>547.72255750516604</v>
      </c>
      <c r="T41" s="293">
        <f t="shared" si="39"/>
        <v>18.572295292247986</v>
      </c>
      <c r="U41" s="293">
        <f t="shared" si="40"/>
        <v>1.0350983390135313</v>
      </c>
      <c r="V41" s="293">
        <f t="shared" si="41"/>
        <v>60</v>
      </c>
      <c r="W41" s="293">
        <f t="shared" si="42"/>
        <v>1.0714285714285714</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AN33"/>
  <sheetViews>
    <sheetView zoomScale="70" zoomScaleNormal="70" workbookViewId="0">
      <selection activeCell="L12" sqref="L12"/>
    </sheetView>
  </sheetViews>
  <sheetFormatPr defaultRowHeight="15"/>
  <cols>
    <col min="1" max="1" width="7.5703125" customWidth="1"/>
    <col min="5" max="5" width="7.140625" customWidth="1"/>
    <col min="6" max="6" width="9.28515625" customWidth="1"/>
    <col min="7" max="7" width="7.5703125" customWidth="1"/>
    <col min="8" max="8" width="9.140625" customWidth="1"/>
    <col min="9" max="9" width="7.140625" customWidth="1"/>
    <col min="12" max="12" width="10.42578125" customWidth="1"/>
    <col min="13" max="13" width="10.28515625" customWidth="1"/>
    <col min="14" max="14" width="8.7109375" customWidth="1"/>
    <col min="15" max="15" width="7.5703125" customWidth="1"/>
    <col min="16" max="16" width="9.85546875" customWidth="1"/>
  </cols>
  <sheetData>
    <row r="1" spans="1:40" ht="15.75" thickBot="1"/>
    <row r="2" spans="1:40">
      <c r="A2" s="5"/>
      <c r="B2" s="295">
        <v>1.5</v>
      </c>
      <c r="C2" s="6">
        <f>SQRT(B2)</f>
        <v>1.2247448713915889</v>
      </c>
      <c r="D2" s="295"/>
      <c r="E2" s="295"/>
      <c r="F2" s="295"/>
      <c r="G2" s="295"/>
      <c r="H2" s="296"/>
      <c r="I2" s="5"/>
      <c r="J2" s="295">
        <v>1.9</v>
      </c>
      <c r="K2" s="6">
        <f>SQRT(J2)</f>
        <v>1.3784048752090221</v>
      </c>
      <c r="L2" s="295" t="s">
        <v>184</v>
      </c>
      <c r="M2" s="295" t="s">
        <v>183</v>
      </c>
      <c r="N2" s="295"/>
      <c r="O2" s="296"/>
      <c r="P2" s="295"/>
      <c r="Q2" s="5"/>
      <c r="R2" s="295">
        <v>1.62</v>
      </c>
      <c r="S2" s="6">
        <f>SQRT(R2)</f>
        <v>1.2727922061357855</v>
      </c>
      <c r="T2" s="295" t="s">
        <v>184</v>
      </c>
      <c r="U2" s="295" t="s">
        <v>183</v>
      </c>
      <c r="V2" s="295"/>
      <c r="W2" s="296"/>
      <c r="X2" s="297"/>
      <c r="Z2" s="5"/>
      <c r="AA2" s="295">
        <v>1.62</v>
      </c>
      <c r="AB2" s="6">
        <f>SQRT(AA2)</f>
        <v>1.2727922061357855</v>
      </c>
      <c r="AC2" s="295" t="s">
        <v>184</v>
      </c>
      <c r="AD2" s="295" t="s">
        <v>183</v>
      </c>
      <c r="AE2" s="295"/>
      <c r="AF2" s="296"/>
      <c r="AH2" s="5"/>
      <c r="AI2" s="295">
        <v>1.62</v>
      </c>
      <c r="AJ2" s="6">
        <f>SQRT(AI2)</f>
        <v>1.2727922061357855</v>
      </c>
      <c r="AK2" s="295" t="s">
        <v>184</v>
      </c>
      <c r="AL2" s="295" t="s">
        <v>183</v>
      </c>
      <c r="AM2" s="295"/>
      <c r="AN2" s="296"/>
    </row>
    <row r="3" spans="1:40">
      <c r="A3" s="9">
        <v>1</v>
      </c>
      <c r="B3" s="270">
        <v>7</v>
      </c>
      <c r="C3" s="297">
        <v>100</v>
      </c>
      <c r="D3" s="297">
        <v>0</v>
      </c>
      <c r="E3" s="297">
        <v>1</v>
      </c>
      <c r="F3" s="297">
        <v>100</v>
      </c>
      <c r="G3" s="297">
        <v>1</v>
      </c>
      <c r="H3" s="298"/>
      <c r="I3" s="9">
        <v>1</v>
      </c>
      <c r="J3" s="270">
        <v>5</v>
      </c>
      <c r="K3" s="297">
        <v>100</v>
      </c>
      <c r="L3" s="297">
        <v>0</v>
      </c>
      <c r="M3" s="297">
        <v>1</v>
      </c>
      <c r="N3" s="297">
        <v>100</v>
      </c>
      <c r="O3" s="298">
        <v>1</v>
      </c>
      <c r="P3" s="298">
        <v>0</v>
      </c>
      <c r="Q3" s="9">
        <v>1</v>
      </c>
      <c r="R3" s="270">
        <v>5</v>
      </c>
      <c r="S3" s="297">
        <v>100</v>
      </c>
      <c r="T3" s="297">
        <v>0</v>
      </c>
      <c r="U3" s="297">
        <v>1</v>
      </c>
      <c r="V3" s="297">
        <v>100</v>
      </c>
      <c r="W3" s="298">
        <v>1</v>
      </c>
      <c r="X3" s="298">
        <v>0</v>
      </c>
      <c r="Z3" s="9">
        <v>1</v>
      </c>
      <c r="AA3" s="270">
        <v>150</v>
      </c>
      <c r="AB3" s="297">
        <v>100</v>
      </c>
      <c r="AC3" s="297">
        <v>0</v>
      </c>
      <c r="AD3" s="297">
        <v>1</v>
      </c>
      <c r="AE3" s="297">
        <v>100</v>
      </c>
      <c r="AF3" s="298">
        <v>1</v>
      </c>
      <c r="AH3" s="9">
        <v>1</v>
      </c>
      <c r="AI3" s="270">
        <v>150</v>
      </c>
      <c r="AJ3" s="297">
        <v>100</v>
      </c>
      <c r="AK3" s="297">
        <v>0</v>
      </c>
      <c r="AL3" s="297">
        <v>1</v>
      </c>
      <c r="AM3" s="297">
        <v>100</v>
      </c>
      <c r="AN3" s="298">
        <v>1</v>
      </c>
    </row>
    <row r="4" spans="1:40">
      <c r="A4" s="9">
        <v>2</v>
      </c>
      <c r="B4" s="270">
        <v>13</v>
      </c>
      <c r="C4" s="297">
        <f>SQRT(B4/B3)*C3</f>
        <v>136.27702877384937</v>
      </c>
      <c r="D4" s="297">
        <f>C4-C3 +D$3</f>
        <v>36.277028773849366</v>
      </c>
      <c r="E4" s="297">
        <f>C4/C3</f>
        <v>1.3627702877384937</v>
      </c>
      <c r="F4" s="297">
        <f t="shared" ref="F4:F17" si="0">B4-B3+100</f>
        <v>106</v>
      </c>
      <c r="G4" s="297">
        <f>B4/B3</f>
        <v>1.8571428571428572</v>
      </c>
      <c r="H4" s="298">
        <f>D4-D3</f>
        <v>36.277028773849366</v>
      </c>
      <c r="I4" s="9">
        <v>2</v>
      </c>
      <c r="J4" s="270">
        <v>14</v>
      </c>
      <c r="K4" s="297">
        <f>SQRT(J4/J3)*K3</f>
        <v>167.33200530681512</v>
      </c>
      <c r="L4" s="297">
        <f>K4-K3 +L$3</f>
        <v>67.33200530681512</v>
      </c>
      <c r="M4" s="297">
        <f>K4/K3</f>
        <v>1.6733200530681511</v>
      </c>
      <c r="N4" s="297">
        <f>J4-J3+100</f>
        <v>109</v>
      </c>
      <c r="O4" s="298">
        <f>J4/J3</f>
        <v>2.8</v>
      </c>
      <c r="P4" s="298">
        <f t="shared" ref="P4:P17" si="1">L4-L3</f>
        <v>67.33200530681512</v>
      </c>
      <c r="Q4" s="9">
        <v>2</v>
      </c>
      <c r="R4" s="270">
        <f>R3*R$2</f>
        <v>8.1000000000000014</v>
      </c>
      <c r="S4" s="297">
        <f>SQRT(R4/R3)*S3</f>
        <v>127.27922061357857</v>
      </c>
      <c r="T4" s="297">
        <f>S4-S3 +T$3</f>
        <v>27.279220613578573</v>
      </c>
      <c r="U4" s="297">
        <f>S4/S3</f>
        <v>1.2727922061357857</v>
      </c>
      <c r="V4" s="297">
        <f>R4-R3</f>
        <v>3.1000000000000014</v>
      </c>
      <c r="W4" s="298">
        <f>R4/R3</f>
        <v>1.6200000000000003</v>
      </c>
      <c r="X4" s="298">
        <f t="shared" ref="X4:X17" si="2">T4-T3</f>
        <v>27.279220613578573</v>
      </c>
      <c r="Z4" s="9">
        <v>2</v>
      </c>
      <c r="AA4" s="270">
        <f>AA3*AA$2</f>
        <v>243.00000000000003</v>
      </c>
      <c r="AB4" s="297">
        <f>SQRT(AA4/AA3)*AB3</f>
        <v>127.27922061357854</v>
      </c>
      <c r="AC4" s="297">
        <f>AB4-AB3 +AC$3</f>
        <v>27.279220613578545</v>
      </c>
      <c r="AD4" s="297">
        <f>AB4/AB3</f>
        <v>1.2727922061357855</v>
      </c>
      <c r="AE4" s="297">
        <f>AA4-AA3</f>
        <v>93.000000000000028</v>
      </c>
      <c r="AF4" s="298">
        <f>AA4/AA3</f>
        <v>1.62</v>
      </c>
      <c r="AH4" s="9">
        <v>2</v>
      </c>
      <c r="AI4" s="270">
        <f>AI3*AI$2</f>
        <v>243.00000000000003</v>
      </c>
      <c r="AJ4" s="297">
        <f>SQRT(AI4/AI3)*AJ3</f>
        <v>127.27922061357854</v>
      </c>
      <c r="AK4" s="297">
        <f>AJ4-AJ3 +AK$3</f>
        <v>27.279220613578545</v>
      </c>
      <c r="AL4" s="297">
        <f>AJ4/AJ3</f>
        <v>1.2727922061357855</v>
      </c>
      <c r="AM4" s="297">
        <f>AI4-AI3</f>
        <v>93.000000000000028</v>
      </c>
      <c r="AN4" s="298">
        <f>AI4/AI3</f>
        <v>1.62</v>
      </c>
    </row>
    <row r="5" spans="1:40">
      <c r="A5" s="9">
        <v>3</v>
      </c>
      <c r="B5" s="270">
        <v>21</v>
      </c>
      <c r="C5" s="297">
        <f t="shared" ref="C5" si="3">SQRT(B5/B4)*C4</f>
        <v>173.20508075688772</v>
      </c>
      <c r="D5" s="297">
        <f t="shared" ref="D5:D17" si="4">C5-C4 +D$3</f>
        <v>36.928051983038358</v>
      </c>
      <c r="E5" s="297">
        <f t="shared" ref="E5:E17" si="5">C5/C4</f>
        <v>1.2709778186044851</v>
      </c>
      <c r="F5" s="297">
        <f t="shared" si="0"/>
        <v>108</v>
      </c>
      <c r="G5" s="297">
        <f t="shared" ref="G5:G17" si="6">B5/B4</f>
        <v>1.6153846153846154</v>
      </c>
      <c r="H5" s="298">
        <f t="shared" ref="H5:H17" si="7">D5-D4</f>
        <v>0.65102320918899181</v>
      </c>
      <c r="I5" s="9">
        <v>3</v>
      </c>
      <c r="J5" s="270">
        <v>26</v>
      </c>
      <c r="K5" s="297">
        <f t="shared" ref="K5" si="8">SQRT(J5/J4)*K4</f>
        <v>228.03508501982759</v>
      </c>
      <c r="L5" s="297">
        <f t="shared" ref="L5:L17" si="9">K5-K4 +L$3</f>
        <v>60.703079713012471</v>
      </c>
      <c r="M5" s="297">
        <f t="shared" ref="M5:M17" si="10">K5/K4</f>
        <v>1.3627702877384937</v>
      </c>
      <c r="N5" s="297">
        <f t="shared" ref="N5:N17" si="11">J5-J4+100</f>
        <v>112</v>
      </c>
      <c r="O5" s="298">
        <f t="shared" ref="O5:O17" si="12">J5/J4</f>
        <v>1.8571428571428572</v>
      </c>
      <c r="P5" s="298">
        <f t="shared" si="1"/>
        <v>-6.6289255938026486</v>
      </c>
      <c r="Q5" s="9">
        <v>3</v>
      </c>
      <c r="R5" s="270">
        <f t="shared" ref="R5:R17" si="13">R4*R$2</f>
        <v>13.122000000000003</v>
      </c>
      <c r="S5" s="297">
        <f t="shared" ref="S5" si="14">SQRT(R5/R4)*S4</f>
        <v>162.00000000000003</v>
      </c>
      <c r="T5" s="297">
        <f t="shared" ref="T5:T17" si="15">S5-S4 +T$3</f>
        <v>34.720779386421455</v>
      </c>
      <c r="U5" s="297">
        <f t="shared" ref="U5:U17" si="16">S5/S4</f>
        <v>1.2727922061357855</v>
      </c>
      <c r="V5" s="297">
        <f t="shared" ref="V5:V17" si="17">R5-R4</f>
        <v>5.022000000000002</v>
      </c>
      <c r="W5" s="298">
        <f t="shared" ref="W5:W17" si="18">R5/R4</f>
        <v>1.62</v>
      </c>
      <c r="X5" s="298">
        <f t="shared" si="2"/>
        <v>7.4415587728428818</v>
      </c>
      <c r="Z5" s="9">
        <v>3</v>
      </c>
      <c r="AA5" s="270">
        <f t="shared" ref="AA5:AA17" si="19">AA4*AA$2</f>
        <v>393.66000000000008</v>
      </c>
      <c r="AB5" s="297">
        <f t="shared" ref="AB5" si="20">SQRT(AA5/AA4)*AB4</f>
        <v>161.99999999999997</v>
      </c>
      <c r="AC5" s="297">
        <f t="shared" ref="AC5:AC17" si="21">AB5-AB4 +AC$3</f>
        <v>34.720779386421427</v>
      </c>
      <c r="AD5" s="297">
        <f t="shared" ref="AD5:AD17" si="22">AB5/AB4</f>
        <v>1.2727922061357855</v>
      </c>
      <c r="AE5" s="297">
        <f t="shared" ref="AE5:AE17" si="23">AA5-AA4</f>
        <v>150.66000000000005</v>
      </c>
      <c r="AF5" s="298">
        <f t="shared" ref="AF5:AF17" si="24">AA5/AA4</f>
        <v>1.62</v>
      </c>
      <c r="AH5" s="9">
        <v>3</v>
      </c>
      <c r="AI5" s="270">
        <f t="shared" ref="AI5:AI17" si="25">AI4*AI$2</f>
        <v>393.66000000000008</v>
      </c>
      <c r="AJ5" s="297">
        <f t="shared" ref="AJ5" si="26">SQRT(AI5/AI4)*AJ4</f>
        <v>161.99999999999997</v>
      </c>
      <c r="AK5" s="297">
        <f t="shared" ref="AK5:AK17" si="27">AJ5-AJ4 +AK$3</f>
        <v>34.720779386421427</v>
      </c>
      <c r="AL5" s="297">
        <f t="shared" ref="AL5:AL17" si="28">AJ5/AJ4</f>
        <v>1.2727922061357855</v>
      </c>
      <c r="AM5" s="297">
        <f t="shared" ref="AM5:AM17" si="29">AI5-AI4</f>
        <v>150.66000000000005</v>
      </c>
      <c r="AN5" s="298">
        <f t="shared" ref="AN5:AN17" si="30">AI5/AI4</f>
        <v>1.62</v>
      </c>
    </row>
    <row r="6" spans="1:40">
      <c r="A6" s="9">
        <v>4</v>
      </c>
      <c r="B6" s="270">
        <v>31</v>
      </c>
      <c r="C6" s="297">
        <f>SQRT(B6/B5)*C5</f>
        <v>210.44171232366048</v>
      </c>
      <c r="D6" s="297">
        <f t="shared" si="4"/>
        <v>37.236631566772758</v>
      </c>
      <c r="E6" s="297">
        <f t="shared" si="5"/>
        <v>1.2149857925879117</v>
      </c>
      <c r="F6" s="297">
        <f t="shared" si="0"/>
        <v>110</v>
      </c>
      <c r="G6" s="297">
        <f t="shared" si="6"/>
        <v>1.4761904761904763</v>
      </c>
      <c r="H6" s="298">
        <f t="shared" si="7"/>
        <v>0.30857958373439942</v>
      </c>
      <c r="I6" s="9">
        <v>4</v>
      </c>
      <c r="J6" s="270">
        <v>42</v>
      </c>
      <c r="K6" s="297">
        <f>SQRT(J6/J5)*K5</f>
        <v>289.82753492378879</v>
      </c>
      <c r="L6" s="297">
        <f t="shared" si="9"/>
        <v>61.792449903961199</v>
      </c>
      <c r="M6" s="297">
        <f t="shared" si="10"/>
        <v>1.2709778186044851</v>
      </c>
      <c r="N6" s="297">
        <f t="shared" si="11"/>
        <v>116</v>
      </c>
      <c r="O6" s="298">
        <f t="shared" si="12"/>
        <v>1.6153846153846154</v>
      </c>
      <c r="P6" s="298">
        <f t="shared" si="1"/>
        <v>1.0893701909487277</v>
      </c>
      <c r="Q6" s="9">
        <v>4</v>
      </c>
      <c r="R6" s="270">
        <f t="shared" si="13"/>
        <v>21.257640000000006</v>
      </c>
      <c r="S6" s="297">
        <f>SQRT(R6/R5)*S5</f>
        <v>206.19233739399729</v>
      </c>
      <c r="T6" s="297">
        <f t="shared" si="15"/>
        <v>44.192337393997263</v>
      </c>
      <c r="U6" s="297">
        <f t="shared" si="16"/>
        <v>1.2727922061357855</v>
      </c>
      <c r="V6" s="297">
        <f t="shared" si="17"/>
        <v>8.1356400000000022</v>
      </c>
      <c r="W6" s="298">
        <f t="shared" si="18"/>
        <v>1.62</v>
      </c>
      <c r="X6" s="298">
        <f t="shared" si="2"/>
        <v>9.4715580075758083</v>
      </c>
      <c r="Z6" s="9">
        <v>4</v>
      </c>
      <c r="AA6" s="270">
        <f t="shared" si="19"/>
        <v>637.72920000000022</v>
      </c>
      <c r="AB6" s="297">
        <f>SQRT(AA6/AA5)*AB5</f>
        <v>206.19233739399724</v>
      </c>
      <c r="AC6" s="297">
        <f t="shared" si="21"/>
        <v>44.192337393997263</v>
      </c>
      <c r="AD6" s="297">
        <f t="shared" si="22"/>
        <v>1.2727922061357857</v>
      </c>
      <c r="AE6" s="297">
        <f t="shared" si="23"/>
        <v>244.06920000000014</v>
      </c>
      <c r="AF6" s="298">
        <f t="shared" si="24"/>
        <v>1.6200000000000003</v>
      </c>
      <c r="AH6" s="9">
        <v>4</v>
      </c>
      <c r="AI6" s="270">
        <f t="shared" si="25"/>
        <v>637.72920000000022</v>
      </c>
      <c r="AJ6" s="297">
        <f>SQRT(AI6/AI5)*AJ5</f>
        <v>206.19233739399724</v>
      </c>
      <c r="AK6" s="297">
        <f t="shared" si="27"/>
        <v>44.192337393997263</v>
      </c>
      <c r="AL6" s="297">
        <f t="shared" si="28"/>
        <v>1.2727922061357857</v>
      </c>
      <c r="AM6" s="297">
        <f t="shared" si="29"/>
        <v>244.06920000000014</v>
      </c>
      <c r="AN6" s="298">
        <f t="shared" si="30"/>
        <v>1.6200000000000003</v>
      </c>
    </row>
    <row r="7" spans="1:40">
      <c r="A7" s="9">
        <v>5</v>
      </c>
      <c r="B7" s="270">
        <v>43</v>
      </c>
      <c r="C7" s="297">
        <f t="shared" ref="C7:C17" si="31">SQRT(B7/B6)*C6</f>
        <v>247.847879612821</v>
      </c>
      <c r="D7" s="297">
        <f t="shared" si="4"/>
        <v>37.406167289160521</v>
      </c>
      <c r="E7" s="297">
        <f t="shared" si="5"/>
        <v>1.1777507266792699</v>
      </c>
      <c r="F7" s="297">
        <f t="shared" si="0"/>
        <v>112</v>
      </c>
      <c r="G7" s="297">
        <f t="shared" si="6"/>
        <v>1.3870967741935485</v>
      </c>
      <c r="H7" s="298">
        <f t="shared" si="7"/>
        <v>0.1695357223877636</v>
      </c>
      <c r="I7" s="9">
        <v>5</v>
      </c>
      <c r="J7" s="270">
        <v>62</v>
      </c>
      <c r="K7" s="297">
        <f t="shared" ref="K7:K17" si="32">SQRT(J7/J6)*K6</f>
        <v>352.1363372331802</v>
      </c>
      <c r="L7" s="297">
        <f t="shared" si="9"/>
        <v>62.30880230939141</v>
      </c>
      <c r="M7" s="297">
        <f t="shared" si="10"/>
        <v>1.2149857925879117</v>
      </c>
      <c r="N7" s="297">
        <f t="shared" si="11"/>
        <v>120</v>
      </c>
      <c r="O7" s="298">
        <f t="shared" si="12"/>
        <v>1.4761904761904763</v>
      </c>
      <c r="P7" s="298">
        <f t="shared" si="1"/>
        <v>0.51635240543021155</v>
      </c>
      <c r="Q7" s="9">
        <v>5</v>
      </c>
      <c r="R7" s="270">
        <f t="shared" si="13"/>
        <v>34.43737680000001</v>
      </c>
      <c r="S7" s="297">
        <f t="shared" ref="S7:S17" si="33">SQRT(R7/R6)*S6</f>
        <v>262.44000000000005</v>
      </c>
      <c r="T7" s="297">
        <f t="shared" si="15"/>
        <v>56.247662606002763</v>
      </c>
      <c r="U7" s="297">
        <f t="shared" si="16"/>
        <v>1.2727922061357857</v>
      </c>
      <c r="V7" s="297">
        <f t="shared" si="17"/>
        <v>13.179736800000004</v>
      </c>
      <c r="W7" s="298">
        <f t="shared" si="18"/>
        <v>1.62</v>
      </c>
      <c r="X7" s="298">
        <f t="shared" si="2"/>
        <v>12.055325212005499</v>
      </c>
      <c r="Z7" s="9">
        <v>5</v>
      </c>
      <c r="AA7" s="270">
        <f t="shared" si="19"/>
        <v>1033.1213040000005</v>
      </c>
      <c r="AB7" s="297">
        <f t="shared" ref="AB7:AB17" si="34">SQRT(AA7/AA6)*AB6</f>
        <v>262.43999999999994</v>
      </c>
      <c r="AC7" s="297">
        <f t="shared" si="21"/>
        <v>56.247662606002706</v>
      </c>
      <c r="AD7" s="297">
        <f t="shared" si="22"/>
        <v>1.2727922061357855</v>
      </c>
      <c r="AE7" s="297">
        <f t="shared" si="23"/>
        <v>395.39210400000024</v>
      </c>
      <c r="AF7" s="298">
        <f t="shared" si="24"/>
        <v>1.62</v>
      </c>
      <c r="AH7" s="9">
        <v>5</v>
      </c>
      <c r="AI7" s="270">
        <f t="shared" si="25"/>
        <v>1033.1213040000005</v>
      </c>
      <c r="AJ7" s="297">
        <f t="shared" ref="AJ7:AJ17" si="35">SQRT(AI7/AI6)*AJ6</f>
        <v>262.43999999999994</v>
      </c>
      <c r="AK7" s="297">
        <f t="shared" si="27"/>
        <v>56.247662606002706</v>
      </c>
      <c r="AL7" s="297">
        <f t="shared" si="28"/>
        <v>1.2727922061357855</v>
      </c>
      <c r="AM7" s="297">
        <f t="shared" si="29"/>
        <v>395.39210400000024</v>
      </c>
      <c r="AN7" s="298">
        <f t="shared" si="30"/>
        <v>1.62</v>
      </c>
    </row>
    <row r="8" spans="1:40">
      <c r="A8" s="9">
        <v>6</v>
      </c>
      <c r="B8" s="270">
        <v>57</v>
      </c>
      <c r="C8" s="297">
        <f t="shared" si="31"/>
        <v>285.35691936340254</v>
      </c>
      <c r="D8" s="297">
        <f t="shared" si="4"/>
        <v>37.509039750581536</v>
      </c>
      <c r="E8" s="297">
        <f t="shared" si="5"/>
        <v>1.1513389576266571</v>
      </c>
      <c r="F8" s="297">
        <f t="shared" si="0"/>
        <v>114</v>
      </c>
      <c r="G8" s="297">
        <f t="shared" si="6"/>
        <v>1.3255813953488371</v>
      </c>
      <c r="H8" s="298">
        <f t="shared" si="7"/>
        <v>0.1028724614210148</v>
      </c>
      <c r="I8" s="9">
        <v>6</v>
      </c>
      <c r="J8" s="270">
        <v>86</v>
      </c>
      <c r="K8" s="297">
        <f t="shared" si="32"/>
        <v>414.72882706655446</v>
      </c>
      <c r="L8" s="297">
        <f t="shared" si="9"/>
        <v>62.592489833374259</v>
      </c>
      <c r="M8" s="297">
        <f t="shared" si="10"/>
        <v>1.1777507266792699</v>
      </c>
      <c r="N8" s="297">
        <f t="shared" si="11"/>
        <v>124</v>
      </c>
      <c r="O8" s="298">
        <f t="shared" si="12"/>
        <v>1.3870967741935485</v>
      </c>
      <c r="P8" s="298">
        <f t="shared" si="1"/>
        <v>0.28368752398284869</v>
      </c>
      <c r="Q8" s="9">
        <v>6</v>
      </c>
      <c r="R8" s="270">
        <f t="shared" si="13"/>
        <v>55.788550416000021</v>
      </c>
      <c r="S8" s="297">
        <f t="shared" si="33"/>
        <v>334.03158657827561</v>
      </c>
      <c r="T8" s="297">
        <f t="shared" si="15"/>
        <v>71.591586578275553</v>
      </c>
      <c r="U8" s="297">
        <f t="shared" si="16"/>
        <v>1.2727922061357855</v>
      </c>
      <c r="V8" s="297">
        <f t="shared" si="17"/>
        <v>21.351173616000011</v>
      </c>
      <c r="W8" s="298">
        <f t="shared" si="18"/>
        <v>1.62</v>
      </c>
      <c r="X8" s="298">
        <f t="shared" si="2"/>
        <v>15.34392397227279</v>
      </c>
      <c r="Z8" s="9">
        <v>6</v>
      </c>
      <c r="AA8" s="270">
        <f t="shared" si="19"/>
        <v>1673.6565124800009</v>
      </c>
      <c r="AB8" s="297">
        <f t="shared" si="34"/>
        <v>334.03158657827544</v>
      </c>
      <c r="AC8" s="297">
        <f t="shared" si="21"/>
        <v>71.591586578275496</v>
      </c>
      <c r="AD8" s="297">
        <f t="shared" si="22"/>
        <v>1.2727922061357855</v>
      </c>
      <c r="AE8" s="297">
        <f t="shared" si="23"/>
        <v>640.53520848000039</v>
      </c>
      <c r="AF8" s="298">
        <f t="shared" si="24"/>
        <v>1.62</v>
      </c>
      <c r="AH8" s="9">
        <v>6</v>
      </c>
      <c r="AI8" s="270">
        <f t="shared" si="25"/>
        <v>1673.6565124800009</v>
      </c>
      <c r="AJ8" s="297">
        <f t="shared" si="35"/>
        <v>334.03158657827544</v>
      </c>
      <c r="AK8" s="297">
        <f t="shared" si="27"/>
        <v>71.591586578275496</v>
      </c>
      <c r="AL8" s="297">
        <f t="shared" si="28"/>
        <v>1.2727922061357855</v>
      </c>
      <c r="AM8" s="297">
        <f t="shared" si="29"/>
        <v>640.53520848000039</v>
      </c>
      <c r="AN8" s="298">
        <f t="shared" si="30"/>
        <v>1.62</v>
      </c>
    </row>
    <row r="9" spans="1:40">
      <c r="A9" s="9">
        <v>7</v>
      </c>
      <c r="B9" s="270">
        <v>73</v>
      </c>
      <c r="C9" s="297">
        <f t="shared" si="31"/>
        <v>322.9329872987804</v>
      </c>
      <c r="D9" s="297">
        <f t="shared" si="4"/>
        <v>37.576067935377864</v>
      </c>
      <c r="E9" s="297">
        <f t="shared" si="5"/>
        <v>1.1316809419557992</v>
      </c>
      <c r="F9" s="297">
        <f t="shared" si="0"/>
        <v>116</v>
      </c>
      <c r="G9" s="297">
        <f t="shared" si="6"/>
        <v>1.2807017543859649</v>
      </c>
      <c r="H9" s="298">
        <f t="shared" si="7"/>
        <v>6.7028184796328105E-2</v>
      </c>
      <c r="I9" s="9">
        <v>7</v>
      </c>
      <c r="J9" s="270">
        <v>120</v>
      </c>
      <c r="K9" s="297">
        <f t="shared" si="32"/>
        <v>489.89794855663564</v>
      </c>
      <c r="L9" s="297">
        <f t="shared" si="9"/>
        <v>75.169121490081181</v>
      </c>
      <c r="M9" s="297">
        <f t="shared" si="10"/>
        <v>1.1812488464372366</v>
      </c>
      <c r="N9" s="297">
        <f t="shared" si="11"/>
        <v>134</v>
      </c>
      <c r="O9" s="298">
        <f t="shared" si="12"/>
        <v>1.3953488372093024</v>
      </c>
      <c r="P9" s="298">
        <f t="shared" si="1"/>
        <v>12.576631656706923</v>
      </c>
      <c r="Q9" s="9">
        <v>7</v>
      </c>
      <c r="R9" s="270">
        <f t="shared" si="13"/>
        <v>90.377451673920035</v>
      </c>
      <c r="S9" s="297">
        <f t="shared" si="33"/>
        <v>425.15280000000001</v>
      </c>
      <c r="T9" s="297">
        <f t="shared" si="15"/>
        <v>91.121213421724406</v>
      </c>
      <c r="U9" s="297">
        <f t="shared" si="16"/>
        <v>1.2727922061357855</v>
      </c>
      <c r="V9" s="297">
        <f t="shared" si="17"/>
        <v>34.588901257920014</v>
      </c>
      <c r="W9" s="298">
        <f t="shared" si="18"/>
        <v>1.62</v>
      </c>
      <c r="X9" s="298">
        <f t="shared" si="2"/>
        <v>19.529626843448852</v>
      </c>
      <c r="Z9" s="9">
        <v>7</v>
      </c>
      <c r="AA9" s="270">
        <f t="shared" si="19"/>
        <v>2711.3235502176017</v>
      </c>
      <c r="AB9" s="297">
        <f t="shared" si="34"/>
        <v>425.15279999999984</v>
      </c>
      <c r="AC9" s="297">
        <f t="shared" si="21"/>
        <v>91.121213421724406</v>
      </c>
      <c r="AD9" s="297">
        <f t="shared" si="22"/>
        <v>1.2727922061357855</v>
      </c>
      <c r="AE9" s="297">
        <f t="shared" si="23"/>
        <v>1037.6670377376008</v>
      </c>
      <c r="AF9" s="298">
        <f t="shared" si="24"/>
        <v>1.62</v>
      </c>
      <c r="AH9" s="9">
        <v>7</v>
      </c>
      <c r="AI9" s="270">
        <f t="shared" si="25"/>
        <v>2711.3235502176017</v>
      </c>
      <c r="AJ9" s="297">
        <f t="shared" si="35"/>
        <v>425.15279999999984</v>
      </c>
      <c r="AK9" s="297">
        <f t="shared" si="27"/>
        <v>91.121213421724406</v>
      </c>
      <c r="AL9" s="297">
        <f t="shared" si="28"/>
        <v>1.2727922061357855</v>
      </c>
      <c r="AM9" s="297">
        <f t="shared" si="29"/>
        <v>1037.6670377376008</v>
      </c>
      <c r="AN9" s="298">
        <f t="shared" si="30"/>
        <v>1.62</v>
      </c>
    </row>
    <row r="10" spans="1:40">
      <c r="A10" s="9">
        <v>8</v>
      </c>
      <c r="B10" s="270">
        <v>97</v>
      </c>
      <c r="C10" s="297">
        <f t="shared" si="31"/>
        <v>372.25183487986806</v>
      </c>
      <c r="D10" s="297">
        <f t="shared" si="4"/>
        <v>49.318847581087653</v>
      </c>
      <c r="E10" s="297">
        <f t="shared" si="5"/>
        <v>1.1527216156937767</v>
      </c>
      <c r="F10" s="297">
        <f t="shared" si="0"/>
        <v>124</v>
      </c>
      <c r="G10" s="297">
        <f t="shared" si="6"/>
        <v>1.3287671232876712</v>
      </c>
      <c r="H10" s="298">
        <f t="shared" si="7"/>
        <v>11.742779645709788</v>
      </c>
      <c r="I10" s="9">
        <v>8</v>
      </c>
      <c r="J10" s="270">
        <v>167</v>
      </c>
      <c r="K10" s="297">
        <f t="shared" si="32"/>
        <v>577.9273310719957</v>
      </c>
      <c r="L10" s="297">
        <f t="shared" si="9"/>
        <v>88.029382515360055</v>
      </c>
      <c r="M10" s="297">
        <f t="shared" si="10"/>
        <v>1.179689224612426</v>
      </c>
      <c r="N10" s="297">
        <f t="shared" si="11"/>
        <v>147</v>
      </c>
      <c r="O10" s="298">
        <f t="shared" si="12"/>
        <v>1.3916666666666666</v>
      </c>
      <c r="P10" s="298">
        <f t="shared" si="1"/>
        <v>12.860261025278874</v>
      </c>
      <c r="Q10" s="9">
        <v>8</v>
      </c>
      <c r="R10" s="270">
        <f t="shared" si="13"/>
        <v>146.41147171175047</v>
      </c>
      <c r="S10" s="297">
        <f t="shared" si="33"/>
        <v>541.1311702568064</v>
      </c>
      <c r="T10" s="297">
        <f t="shared" si="15"/>
        <v>115.97837025680639</v>
      </c>
      <c r="U10" s="297">
        <f t="shared" si="16"/>
        <v>1.2727922061357855</v>
      </c>
      <c r="V10" s="297">
        <f t="shared" si="17"/>
        <v>56.03402003783043</v>
      </c>
      <c r="W10" s="298">
        <f t="shared" si="18"/>
        <v>1.62</v>
      </c>
      <c r="X10" s="298">
        <f t="shared" si="2"/>
        <v>24.85715683508198</v>
      </c>
      <c r="Z10" s="9">
        <v>8</v>
      </c>
      <c r="AA10" s="270">
        <f t="shared" si="19"/>
        <v>4392.3441513525149</v>
      </c>
      <c r="AB10" s="297">
        <f t="shared" si="34"/>
        <v>541.13117025680617</v>
      </c>
      <c r="AC10" s="297">
        <f t="shared" si="21"/>
        <v>115.97837025680633</v>
      </c>
      <c r="AD10" s="297">
        <f t="shared" si="22"/>
        <v>1.2727922061357855</v>
      </c>
      <c r="AE10" s="297">
        <f t="shared" si="23"/>
        <v>1681.0206011349132</v>
      </c>
      <c r="AF10" s="298">
        <f t="shared" si="24"/>
        <v>1.62</v>
      </c>
      <c r="AH10" s="9">
        <v>8</v>
      </c>
      <c r="AI10" s="270">
        <f t="shared" si="25"/>
        <v>4392.3441513525149</v>
      </c>
      <c r="AJ10" s="297">
        <f t="shared" si="35"/>
        <v>541.13117025680617</v>
      </c>
      <c r="AK10" s="297">
        <f t="shared" si="27"/>
        <v>115.97837025680633</v>
      </c>
      <c r="AL10" s="297">
        <f t="shared" si="28"/>
        <v>1.2727922061357855</v>
      </c>
      <c r="AM10" s="297">
        <f t="shared" si="29"/>
        <v>1681.0206011349132</v>
      </c>
      <c r="AN10" s="298">
        <f t="shared" si="30"/>
        <v>1.62</v>
      </c>
    </row>
    <row r="11" spans="1:40">
      <c r="A11" s="9">
        <v>9</v>
      </c>
      <c r="B11" s="270">
        <v>132</v>
      </c>
      <c r="C11" s="297">
        <f t="shared" si="31"/>
        <v>434.24811867344755</v>
      </c>
      <c r="D11" s="297">
        <f t="shared" si="4"/>
        <v>61.996283793579494</v>
      </c>
      <c r="E11" s="297">
        <f t="shared" si="5"/>
        <v>1.1665439307064442</v>
      </c>
      <c r="F11" s="297">
        <f t="shared" si="0"/>
        <v>135</v>
      </c>
      <c r="G11" s="297">
        <f t="shared" si="6"/>
        <v>1.3608247422680413</v>
      </c>
      <c r="H11" s="298">
        <f t="shared" si="7"/>
        <v>12.677436212491841</v>
      </c>
      <c r="I11" s="9">
        <v>9</v>
      </c>
      <c r="J11" s="270">
        <v>232</v>
      </c>
      <c r="K11" s="297">
        <f t="shared" si="32"/>
        <v>681.17545463705619</v>
      </c>
      <c r="L11" s="297">
        <f t="shared" si="9"/>
        <v>103.2481235650605</v>
      </c>
      <c r="M11" s="297">
        <f t="shared" si="10"/>
        <v>1.1786524326052306</v>
      </c>
      <c r="N11" s="297">
        <f t="shared" si="11"/>
        <v>165</v>
      </c>
      <c r="O11" s="298">
        <f t="shared" si="12"/>
        <v>1.3892215568862276</v>
      </c>
      <c r="P11" s="298">
        <f t="shared" si="1"/>
        <v>15.218741049700441</v>
      </c>
      <c r="Q11" s="9">
        <v>9</v>
      </c>
      <c r="R11" s="270">
        <f t="shared" si="13"/>
        <v>237.18658417303578</v>
      </c>
      <c r="S11" s="297">
        <f t="shared" si="33"/>
        <v>688.74753599999997</v>
      </c>
      <c r="T11" s="297">
        <f t="shared" si="15"/>
        <v>147.61636574319357</v>
      </c>
      <c r="U11" s="297">
        <f t="shared" si="16"/>
        <v>1.2727922061357855</v>
      </c>
      <c r="V11" s="297">
        <f t="shared" si="17"/>
        <v>90.775112461285318</v>
      </c>
      <c r="W11" s="298">
        <f t="shared" si="18"/>
        <v>1.62</v>
      </c>
      <c r="X11" s="298">
        <f t="shared" si="2"/>
        <v>31.637995486387183</v>
      </c>
      <c r="Z11" s="9">
        <v>9</v>
      </c>
      <c r="AA11" s="270">
        <f t="shared" si="19"/>
        <v>7115.597525191075</v>
      </c>
      <c r="AB11" s="297">
        <f t="shared" si="34"/>
        <v>688.74753599999963</v>
      </c>
      <c r="AC11" s="297">
        <f t="shared" si="21"/>
        <v>147.61636574319346</v>
      </c>
      <c r="AD11" s="297">
        <f t="shared" si="22"/>
        <v>1.2727922061357855</v>
      </c>
      <c r="AE11" s="297">
        <f t="shared" si="23"/>
        <v>2723.25337383856</v>
      </c>
      <c r="AF11" s="298">
        <f t="shared" si="24"/>
        <v>1.62</v>
      </c>
      <c r="AH11" s="9">
        <v>9</v>
      </c>
      <c r="AI11" s="270">
        <f t="shared" si="25"/>
        <v>7115.597525191075</v>
      </c>
      <c r="AJ11" s="297">
        <f t="shared" si="35"/>
        <v>688.74753599999963</v>
      </c>
      <c r="AK11" s="297">
        <f t="shared" si="27"/>
        <v>147.61636574319346</v>
      </c>
      <c r="AL11" s="297">
        <f t="shared" si="28"/>
        <v>1.2727922061357855</v>
      </c>
      <c r="AM11" s="297">
        <f t="shared" si="29"/>
        <v>2723.25337383856</v>
      </c>
      <c r="AN11" s="298">
        <f t="shared" si="30"/>
        <v>1.62</v>
      </c>
    </row>
    <row r="12" spans="1:40">
      <c r="A12" s="9">
        <v>10</v>
      </c>
      <c r="B12" s="270">
        <v>182</v>
      </c>
      <c r="C12" s="297">
        <f t="shared" si="31"/>
        <v>509.90195135927854</v>
      </c>
      <c r="D12" s="297">
        <f t="shared" si="4"/>
        <v>75.653832685830992</v>
      </c>
      <c r="E12" s="297">
        <f t="shared" si="5"/>
        <v>1.1742179860604585</v>
      </c>
      <c r="F12" s="297">
        <f t="shared" si="0"/>
        <v>150</v>
      </c>
      <c r="G12" s="297">
        <f t="shared" si="6"/>
        <v>1.3787878787878789</v>
      </c>
      <c r="H12" s="298">
        <f t="shared" si="7"/>
        <v>13.657548892251498</v>
      </c>
      <c r="I12" s="9">
        <v>10</v>
      </c>
      <c r="J12" s="270">
        <v>320</v>
      </c>
      <c r="K12" s="297">
        <f t="shared" si="32"/>
        <v>800.00000000000023</v>
      </c>
      <c r="L12" s="297">
        <f t="shared" si="9"/>
        <v>118.82454536294404</v>
      </c>
      <c r="M12" s="297">
        <f t="shared" si="10"/>
        <v>1.174440439029407</v>
      </c>
      <c r="N12" s="297">
        <f t="shared" si="11"/>
        <v>188</v>
      </c>
      <c r="O12" s="298">
        <f t="shared" si="12"/>
        <v>1.3793103448275863</v>
      </c>
      <c r="P12" s="298">
        <f t="shared" si="1"/>
        <v>15.57642179788354</v>
      </c>
      <c r="Q12" s="9">
        <v>10</v>
      </c>
      <c r="R12" s="270">
        <f t="shared" si="13"/>
        <v>384.24226636031801</v>
      </c>
      <c r="S12" s="297">
        <f t="shared" si="33"/>
        <v>876.63249581602633</v>
      </c>
      <c r="T12" s="297">
        <f t="shared" si="15"/>
        <v>187.88495981602637</v>
      </c>
      <c r="U12" s="297">
        <f t="shared" si="16"/>
        <v>1.2727922061357855</v>
      </c>
      <c r="V12" s="297">
        <f t="shared" si="17"/>
        <v>147.05568218728223</v>
      </c>
      <c r="W12" s="298">
        <f t="shared" si="18"/>
        <v>1.62</v>
      </c>
      <c r="X12" s="298">
        <f t="shared" si="2"/>
        <v>40.268594072832798</v>
      </c>
      <c r="Z12" s="9">
        <v>10</v>
      </c>
      <c r="AA12" s="270">
        <f t="shared" si="19"/>
        <v>11527.267990809542</v>
      </c>
      <c r="AB12" s="297">
        <f t="shared" si="34"/>
        <v>876.63249581602588</v>
      </c>
      <c r="AC12" s="297">
        <f t="shared" si="21"/>
        <v>187.88495981602625</v>
      </c>
      <c r="AD12" s="297">
        <f t="shared" si="22"/>
        <v>1.2727922061357855</v>
      </c>
      <c r="AE12" s="297">
        <f t="shared" si="23"/>
        <v>4411.6704656184666</v>
      </c>
      <c r="AF12" s="298">
        <f t="shared" si="24"/>
        <v>1.62</v>
      </c>
      <c r="AH12" s="9">
        <v>10</v>
      </c>
      <c r="AI12" s="270">
        <f t="shared" si="25"/>
        <v>11527.267990809542</v>
      </c>
      <c r="AJ12" s="297">
        <f t="shared" si="35"/>
        <v>876.63249581602588</v>
      </c>
      <c r="AK12" s="297">
        <f t="shared" si="27"/>
        <v>187.88495981602625</v>
      </c>
      <c r="AL12" s="297">
        <f t="shared" si="28"/>
        <v>1.2727922061357855</v>
      </c>
      <c r="AM12" s="297">
        <f t="shared" si="29"/>
        <v>4411.6704656184666</v>
      </c>
      <c r="AN12" s="298">
        <f t="shared" si="30"/>
        <v>1.62</v>
      </c>
    </row>
    <row r="13" spans="1:40">
      <c r="A13" s="9">
        <v>11</v>
      </c>
      <c r="B13" s="270">
        <f t="shared" ref="B13:B17" si="36">B12+60</f>
        <v>242</v>
      </c>
      <c r="C13" s="297">
        <f t="shared" si="31"/>
        <v>587.97473220733377</v>
      </c>
      <c r="D13" s="297">
        <f t="shared" si="4"/>
        <v>78.072780848055231</v>
      </c>
      <c r="E13" s="297">
        <f t="shared" si="5"/>
        <v>1.1531133203941102</v>
      </c>
      <c r="F13" s="297">
        <f t="shared" si="0"/>
        <v>160</v>
      </c>
      <c r="G13" s="297">
        <f t="shared" si="6"/>
        <v>1.3296703296703296</v>
      </c>
      <c r="H13" s="298">
        <f t="shared" si="7"/>
        <v>2.4189481622242397</v>
      </c>
      <c r="I13" s="9">
        <v>11</v>
      </c>
      <c r="J13" s="270">
        <v>360</v>
      </c>
      <c r="K13" s="297">
        <f t="shared" si="32"/>
        <v>848.52813742385717</v>
      </c>
      <c r="L13" s="297">
        <f t="shared" si="9"/>
        <v>48.528137423856947</v>
      </c>
      <c r="M13" s="297">
        <f t="shared" si="10"/>
        <v>1.0606601717798212</v>
      </c>
      <c r="N13" s="297">
        <f t="shared" si="11"/>
        <v>140</v>
      </c>
      <c r="O13" s="298">
        <f t="shared" si="12"/>
        <v>1.125</v>
      </c>
      <c r="P13" s="298">
        <f t="shared" si="1"/>
        <v>-70.296407939087089</v>
      </c>
      <c r="Q13" s="9">
        <v>11</v>
      </c>
      <c r="R13" s="270">
        <f t="shared" si="13"/>
        <v>622.47247150371527</v>
      </c>
      <c r="S13" s="297">
        <f t="shared" si="33"/>
        <v>1115.7710083200002</v>
      </c>
      <c r="T13" s="297">
        <f t="shared" si="15"/>
        <v>239.13851250397386</v>
      </c>
      <c r="U13" s="297">
        <f t="shared" si="16"/>
        <v>1.2727922061357859</v>
      </c>
      <c r="V13" s="297">
        <f t="shared" si="17"/>
        <v>238.23020514339726</v>
      </c>
      <c r="W13" s="298">
        <f t="shared" si="18"/>
        <v>1.6200000000000003</v>
      </c>
      <c r="X13" s="298">
        <f t="shared" si="2"/>
        <v>51.25355268794749</v>
      </c>
      <c r="Z13" s="9">
        <v>11</v>
      </c>
      <c r="AA13" s="270">
        <f t="shared" si="19"/>
        <v>18674.174145111458</v>
      </c>
      <c r="AB13" s="297">
        <f t="shared" si="34"/>
        <v>1115.7710083199993</v>
      </c>
      <c r="AC13" s="297">
        <f t="shared" si="21"/>
        <v>239.1385125039734</v>
      </c>
      <c r="AD13" s="297">
        <f t="shared" si="22"/>
        <v>1.2727922061357855</v>
      </c>
      <c r="AE13" s="297">
        <f t="shared" si="23"/>
        <v>7146.9061543019161</v>
      </c>
      <c r="AF13" s="298">
        <f t="shared" si="24"/>
        <v>1.62</v>
      </c>
      <c r="AH13" s="9">
        <v>11</v>
      </c>
      <c r="AI13" s="270">
        <f t="shared" si="25"/>
        <v>18674.174145111458</v>
      </c>
      <c r="AJ13" s="297">
        <f t="shared" si="35"/>
        <v>1115.7710083199993</v>
      </c>
      <c r="AK13" s="297">
        <f t="shared" si="27"/>
        <v>239.1385125039734</v>
      </c>
      <c r="AL13" s="297">
        <f t="shared" si="28"/>
        <v>1.2727922061357855</v>
      </c>
      <c r="AM13" s="297">
        <f t="shared" si="29"/>
        <v>7146.9061543019161</v>
      </c>
      <c r="AN13" s="298">
        <f t="shared" si="30"/>
        <v>1.62</v>
      </c>
    </row>
    <row r="14" spans="1:40">
      <c r="A14" s="9">
        <v>12</v>
      </c>
      <c r="B14" s="270">
        <f t="shared" si="36"/>
        <v>302</v>
      </c>
      <c r="C14" s="297">
        <f t="shared" si="31"/>
        <v>656.83222471843726</v>
      </c>
      <c r="D14" s="297">
        <f t="shared" si="4"/>
        <v>68.857492511103487</v>
      </c>
      <c r="E14" s="297">
        <f t="shared" si="5"/>
        <v>1.1171096115858643</v>
      </c>
      <c r="F14" s="297">
        <f t="shared" si="0"/>
        <v>160</v>
      </c>
      <c r="G14" s="297">
        <f t="shared" si="6"/>
        <v>1.2479338842975207</v>
      </c>
      <c r="H14" s="298">
        <f t="shared" si="7"/>
        <v>-9.215288336951744</v>
      </c>
      <c r="I14" s="9">
        <v>12</v>
      </c>
      <c r="J14" s="270">
        <v>360</v>
      </c>
      <c r="K14" s="297">
        <f t="shared" si="32"/>
        <v>848.52813742385717</v>
      </c>
      <c r="L14" s="297">
        <f t="shared" si="9"/>
        <v>0</v>
      </c>
      <c r="M14" s="297">
        <f t="shared" si="10"/>
        <v>1</v>
      </c>
      <c r="N14" s="297">
        <f t="shared" si="11"/>
        <v>100</v>
      </c>
      <c r="O14" s="298">
        <f t="shared" si="12"/>
        <v>1</v>
      </c>
      <c r="P14" s="298">
        <f t="shared" si="1"/>
        <v>-48.528137423856947</v>
      </c>
      <c r="Q14" s="9">
        <v>12</v>
      </c>
      <c r="R14" s="270">
        <f t="shared" si="13"/>
        <v>1008.4054038360188</v>
      </c>
      <c r="S14" s="297">
        <f t="shared" si="33"/>
        <v>1420.144643221963</v>
      </c>
      <c r="T14" s="297">
        <f t="shared" si="15"/>
        <v>304.37363490196276</v>
      </c>
      <c r="U14" s="297">
        <f t="shared" si="16"/>
        <v>1.2727922061357855</v>
      </c>
      <c r="V14" s="297">
        <f t="shared" si="17"/>
        <v>385.93293233230349</v>
      </c>
      <c r="W14" s="298">
        <f t="shared" si="18"/>
        <v>1.62</v>
      </c>
      <c r="X14" s="298">
        <f t="shared" si="2"/>
        <v>65.235122397988903</v>
      </c>
      <c r="Z14" s="9">
        <v>12</v>
      </c>
      <c r="AA14" s="270">
        <f t="shared" si="19"/>
        <v>30252.162115080562</v>
      </c>
      <c r="AB14" s="297">
        <f t="shared" si="34"/>
        <v>1420.1446432219618</v>
      </c>
      <c r="AC14" s="297">
        <f t="shared" si="21"/>
        <v>304.37363490196253</v>
      </c>
      <c r="AD14" s="297">
        <f t="shared" si="22"/>
        <v>1.2727922061357855</v>
      </c>
      <c r="AE14" s="297">
        <f t="shared" si="23"/>
        <v>11577.987969969105</v>
      </c>
      <c r="AF14" s="298">
        <f t="shared" si="24"/>
        <v>1.62</v>
      </c>
      <c r="AH14" s="9">
        <v>12</v>
      </c>
      <c r="AI14" s="270">
        <f t="shared" si="25"/>
        <v>30252.162115080562</v>
      </c>
      <c r="AJ14" s="297">
        <f t="shared" si="35"/>
        <v>1420.1446432219618</v>
      </c>
      <c r="AK14" s="297">
        <f t="shared" si="27"/>
        <v>304.37363490196253</v>
      </c>
      <c r="AL14" s="297">
        <f t="shared" si="28"/>
        <v>1.2727922061357855</v>
      </c>
      <c r="AM14" s="297">
        <f t="shared" si="29"/>
        <v>11577.987969969105</v>
      </c>
      <c r="AN14" s="298">
        <f t="shared" si="30"/>
        <v>1.62</v>
      </c>
    </row>
    <row r="15" spans="1:40">
      <c r="A15" s="9">
        <v>13</v>
      </c>
      <c r="B15" s="270">
        <f t="shared" si="36"/>
        <v>362</v>
      </c>
      <c r="C15" s="297">
        <f t="shared" si="31"/>
        <v>719.1264542087556</v>
      </c>
      <c r="D15" s="297">
        <f t="shared" si="4"/>
        <v>62.294229490318344</v>
      </c>
      <c r="E15" s="297">
        <f t="shared" si="5"/>
        <v>1.0948403978154724</v>
      </c>
      <c r="F15" s="297">
        <f t="shared" si="0"/>
        <v>160</v>
      </c>
      <c r="G15" s="297">
        <f t="shared" si="6"/>
        <v>1.1986754966887416</v>
      </c>
      <c r="H15" s="298">
        <f t="shared" si="7"/>
        <v>-6.5632630207851435</v>
      </c>
      <c r="I15" s="9">
        <v>13</v>
      </c>
      <c r="J15" s="270">
        <v>360</v>
      </c>
      <c r="K15" s="297">
        <f t="shared" si="32"/>
        <v>848.52813742385717</v>
      </c>
      <c r="L15" s="297">
        <f t="shared" si="9"/>
        <v>0</v>
      </c>
      <c r="M15" s="297">
        <f t="shared" si="10"/>
        <v>1</v>
      </c>
      <c r="N15" s="297">
        <f t="shared" si="11"/>
        <v>100</v>
      </c>
      <c r="O15" s="298">
        <f t="shared" si="12"/>
        <v>1</v>
      </c>
      <c r="P15" s="298">
        <f t="shared" si="1"/>
        <v>0</v>
      </c>
      <c r="Q15" s="9">
        <v>13</v>
      </c>
      <c r="R15" s="270">
        <f t="shared" si="13"/>
        <v>1633.6167542143505</v>
      </c>
      <c r="S15" s="297">
        <f t="shared" si="33"/>
        <v>1807.5490334784001</v>
      </c>
      <c r="T15" s="297">
        <f t="shared" si="15"/>
        <v>387.40439025643718</v>
      </c>
      <c r="U15" s="297">
        <f t="shared" si="16"/>
        <v>1.2727922061357855</v>
      </c>
      <c r="V15" s="297">
        <f t="shared" si="17"/>
        <v>625.21135037833176</v>
      </c>
      <c r="W15" s="298">
        <f t="shared" si="18"/>
        <v>1.62</v>
      </c>
      <c r="X15" s="298">
        <f t="shared" si="2"/>
        <v>83.030755354474422</v>
      </c>
      <c r="Z15" s="9">
        <v>13</v>
      </c>
      <c r="AA15" s="270">
        <f t="shared" si="19"/>
        <v>49008.502626430512</v>
      </c>
      <c r="AB15" s="297">
        <f t="shared" si="34"/>
        <v>1807.5490334783988</v>
      </c>
      <c r="AC15" s="297">
        <f t="shared" si="21"/>
        <v>387.40439025643695</v>
      </c>
      <c r="AD15" s="297">
        <f t="shared" si="22"/>
        <v>1.2727922061357855</v>
      </c>
      <c r="AE15" s="297">
        <f t="shared" si="23"/>
        <v>18756.34051134995</v>
      </c>
      <c r="AF15" s="298">
        <f t="shared" si="24"/>
        <v>1.62</v>
      </c>
      <c r="AH15" s="9">
        <v>13</v>
      </c>
      <c r="AI15" s="270">
        <f t="shared" si="25"/>
        <v>49008.502626430512</v>
      </c>
      <c r="AJ15" s="297">
        <f t="shared" si="35"/>
        <v>1807.5490334783988</v>
      </c>
      <c r="AK15" s="297">
        <f t="shared" si="27"/>
        <v>387.40439025643695</v>
      </c>
      <c r="AL15" s="297">
        <f t="shared" si="28"/>
        <v>1.2727922061357855</v>
      </c>
      <c r="AM15" s="297">
        <f t="shared" si="29"/>
        <v>18756.34051134995</v>
      </c>
      <c r="AN15" s="298">
        <f t="shared" si="30"/>
        <v>1.62</v>
      </c>
    </row>
    <row r="16" spans="1:40">
      <c r="A16" s="9">
        <v>14</v>
      </c>
      <c r="B16" s="270">
        <f t="shared" si="36"/>
        <v>422</v>
      </c>
      <c r="C16" s="297">
        <f t="shared" si="31"/>
        <v>776.43875666863983</v>
      </c>
      <c r="D16" s="297">
        <f t="shared" si="4"/>
        <v>57.312302459884222</v>
      </c>
      <c r="E16" s="297">
        <f t="shared" si="5"/>
        <v>1.0796971132468547</v>
      </c>
      <c r="F16" s="297">
        <f t="shared" si="0"/>
        <v>160</v>
      </c>
      <c r="G16" s="297">
        <f t="shared" si="6"/>
        <v>1.1657458563535912</v>
      </c>
      <c r="H16" s="298">
        <f t="shared" si="7"/>
        <v>-4.9819270304341217</v>
      </c>
      <c r="I16" s="9">
        <v>14</v>
      </c>
      <c r="J16" s="270">
        <v>360</v>
      </c>
      <c r="K16" s="297">
        <f t="shared" si="32"/>
        <v>848.52813742385717</v>
      </c>
      <c r="L16" s="297">
        <f t="shared" si="9"/>
        <v>0</v>
      </c>
      <c r="M16" s="297">
        <f t="shared" si="10"/>
        <v>1</v>
      </c>
      <c r="N16" s="297">
        <f t="shared" si="11"/>
        <v>100</v>
      </c>
      <c r="O16" s="298">
        <f t="shared" si="12"/>
        <v>1</v>
      </c>
      <c r="P16" s="298">
        <f t="shared" si="1"/>
        <v>0</v>
      </c>
      <c r="Q16" s="9">
        <v>14</v>
      </c>
      <c r="R16" s="270">
        <f t="shared" si="13"/>
        <v>2646.459141827248</v>
      </c>
      <c r="S16" s="297">
        <f t="shared" si="33"/>
        <v>2300.6343220195795</v>
      </c>
      <c r="T16" s="297">
        <f t="shared" si="15"/>
        <v>493.08528854117935</v>
      </c>
      <c r="U16" s="297">
        <f t="shared" si="16"/>
        <v>1.2727922061357855</v>
      </c>
      <c r="V16" s="297">
        <f t="shared" si="17"/>
        <v>1012.8423876128975</v>
      </c>
      <c r="W16" s="298">
        <f t="shared" si="18"/>
        <v>1.62</v>
      </c>
      <c r="X16" s="298">
        <f t="shared" si="2"/>
        <v>105.68089828474217</v>
      </c>
      <c r="Z16" s="9">
        <v>14</v>
      </c>
      <c r="AA16" s="270">
        <f t="shared" si="19"/>
        <v>79393.774254817428</v>
      </c>
      <c r="AB16" s="297">
        <f t="shared" si="34"/>
        <v>2300.6343220195781</v>
      </c>
      <c r="AC16" s="297">
        <f t="shared" si="21"/>
        <v>493.08528854117935</v>
      </c>
      <c r="AD16" s="297">
        <f t="shared" si="22"/>
        <v>1.2727922061357855</v>
      </c>
      <c r="AE16" s="297">
        <f t="shared" si="23"/>
        <v>30385.271628386916</v>
      </c>
      <c r="AF16" s="298">
        <f t="shared" si="24"/>
        <v>1.6199999999999999</v>
      </c>
      <c r="AH16" s="9">
        <v>14</v>
      </c>
      <c r="AI16" s="270">
        <f t="shared" si="25"/>
        <v>79393.774254817428</v>
      </c>
      <c r="AJ16" s="297">
        <f t="shared" si="35"/>
        <v>2300.6343220195781</v>
      </c>
      <c r="AK16" s="297">
        <f t="shared" si="27"/>
        <v>493.08528854117935</v>
      </c>
      <c r="AL16" s="297">
        <f t="shared" si="28"/>
        <v>1.2727922061357855</v>
      </c>
      <c r="AM16" s="297">
        <f t="shared" si="29"/>
        <v>30385.271628386916</v>
      </c>
      <c r="AN16" s="298">
        <f t="shared" si="30"/>
        <v>1.6199999999999999</v>
      </c>
    </row>
    <row r="17" spans="1:40">
      <c r="A17" s="9">
        <v>15</v>
      </c>
      <c r="B17" s="270">
        <f t="shared" si="36"/>
        <v>482</v>
      </c>
      <c r="C17" s="297">
        <f t="shared" si="31"/>
        <v>829.80204179757777</v>
      </c>
      <c r="D17" s="297">
        <f t="shared" si="4"/>
        <v>53.363285128937946</v>
      </c>
      <c r="E17" s="297">
        <f t="shared" si="5"/>
        <v>1.0687282604978356</v>
      </c>
      <c r="F17" s="297">
        <f t="shared" si="0"/>
        <v>160</v>
      </c>
      <c r="G17" s="297">
        <f t="shared" si="6"/>
        <v>1.1421800947867298</v>
      </c>
      <c r="H17" s="298">
        <f t="shared" si="7"/>
        <v>-3.9490173309462762</v>
      </c>
      <c r="I17" s="9">
        <v>15</v>
      </c>
      <c r="J17" s="270">
        <v>360</v>
      </c>
      <c r="K17" s="297">
        <f t="shared" si="32"/>
        <v>848.52813742385717</v>
      </c>
      <c r="L17" s="297">
        <f t="shared" si="9"/>
        <v>0</v>
      </c>
      <c r="M17" s="297">
        <f t="shared" si="10"/>
        <v>1</v>
      </c>
      <c r="N17" s="297">
        <f t="shared" si="11"/>
        <v>100</v>
      </c>
      <c r="O17" s="298">
        <f t="shared" si="12"/>
        <v>1</v>
      </c>
      <c r="P17" s="298">
        <f t="shared" si="1"/>
        <v>0</v>
      </c>
      <c r="Q17" s="9">
        <v>15</v>
      </c>
      <c r="R17" s="270">
        <f t="shared" si="13"/>
        <v>4287.2638097601421</v>
      </c>
      <c r="S17" s="297">
        <f t="shared" si="33"/>
        <v>2928.2294342350078</v>
      </c>
      <c r="T17" s="297">
        <f t="shared" si="15"/>
        <v>627.59511221542834</v>
      </c>
      <c r="U17" s="297">
        <f t="shared" si="16"/>
        <v>1.2727922061357855</v>
      </c>
      <c r="V17" s="297">
        <f t="shared" si="17"/>
        <v>1640.8046679328941</v>
      </c>
      <c r="W17" s="298">
        <f t="shared" si="18"/>
        <v>1.62</v>
      </c>
      <c r="X17" s="298">
        <f t="shared" si="2"/>
        <v>134.50982367424899</v>
      </c>
      <c r="Z17" s="9">
        <v>15</v>
      </c>
      <c r="AA17" s="270">
        <f t="shared" si="19"/>
        <v>128617.91429280424</v>
      </c>
      <c r="AB17" s="297">
        <f t="shared" si="34"/>
        <v>2928.229434235006</v>
      </c>
      <c r="AC17" s="297">
        <f t="shared" si="21"/>
        <v>627.59511221542789</v>
      </c>
      <c r="AD17" s="297">
        <f t="shared" si="22"/>
        <v>1.2727922061357855</v>
      </c>
      <c r="AE17" s="297">
        <f t="shared" si="23"/>
        <v>49224.140037986814</v>
      </c>
      <c r="AF17" s="298">
        <f t="shared" si="24"/>
        <v>1.62</v>
      </c>
      <c r="AH17" s="9">
        <v>15</v>
      </c>
      <c r="AI17" s="270">
        <f t="shared" si="25"/>
        <v>128617.91429280424</v>
      </c>
      <c r="AJ17" s="297">
        <f t="shared" si="35"/>
        <v>2928.229434235006</v>
      </c>
      <c r="AK17" s="297">
        <f t="shared" si="27"/>
        <v>627.59511221542789</v>
      </c>
      <c r="AL17" s="297">
        <f t="shared" si="28"/>
        <v>1.2727922061357855</v>
      </c>
      <c r="AM17" s="297">
        <f t="shared" si="29"/>
        <v>49224.140037986814</v>
      </c>
      <c r="AN17" s="298">
        <f t="shared" si="30"/>
        <v>1.62</v>
      </c>
    </row>
    <row r="18" spans="1:40">
      <c r="A18" s="9"/>
      <c r="B18" s="301"/>
      <c r="C18" s="297"/>
      <c r="D18" s="297"/>
      <c r="E18" s="297"/>
      <c r="F18" s="297"/>
      <c r="G18" s="297"/>
      <c r="H18" s="298"/>
      <c r="I18" s="9"/>
      <c r="J18" s="10"/>
      <c r="K18" s="10"/>
      <c r="L18" s="10"/>
      <c r="M18" s="10"/>
      <c r="N18" s="10"/>
      <c r="O18" s="299"/>
      <c r="P18" s="10"/>
      <c r="Q18" s="9"/>
      <c r="R18" s="10"/>
      <c r="S18" s="10"/>
      <c r="T18" s="10"/>
      <c r="U18" s="10"/>
      <c r="V18" s="10"/>
      <c r="W18" s="299"/>
      <c r="X18" s="10"/>
    </row>
    <row r="19" spans="1:40">
      <c r="A19" s="9"/>
      <c r="B19" s="301"/>
      <c r="C19" s="297"/>
      <c r="D19" s="297"/>
      <c r="E19" s="297"/>
      <c r="F19" s="297"/>
      <c r="G19" s="297"/>
      <c r="H19" s="298"/>
      <c r="I19" s="9"/>
      <c r="J19" s="10"/>
      <c r="K19" s="10"/>
      <c r="L19" s="10"/>
      <c r="M19" s="10"/>
      <c r="N19" s="10"/>
      <c r="O19" s="299"/>
      <c r="P19" s="10"/>
      <c r="Q19" s="9"/>
      <c r="R19" s="10"/>
      <c r="S19" s="10"/>
      <c r="T19" s="10"/>
      <c r="U19" s="10"/>
      <c r="V19" s="10"/>
      <c r="W19" s="299"/>
      <c r="X19" s="10"/>
    </row>
    <row r="20" spans="1:40">
      <c r="A20" s="9"/>
      <c r="B20" s="301"/>
      <c r="C20" s="297"/>
      <c r="D20" s="297"/>
      <c r="E20" s="297"/>
      <c r="F20" s="297"/>
      <c r="G20" s="297"/>
      <c r="H20" s="298"/>
      <c r="I20" s="9"/>
      <c r="J20" s="10"/>
      <c r="K20" s="10"/>
      <c r="L20" s="10"/>
      <c r="M20" s="10"/>
      <c r="N20" s="10"/>
      <c r="O20" s="299"/>
      <c r="P20" s="10"/>
      <c r="Q20" s="9"/>
      <c r="R20" s="10"/>
      <c r="S20" s="10"/>
      <c r="T20" s="10"/>
      <c r="U20" s="10"/>
      <c r="V20" s="10"/>
      <c r="W20" s="299"/>
      <c r="X20" s="10"/>
    </row>
    <row r="21" spans="1:40">
      <c r="A21" s="9"/>
      <c r="B21" s="301"/>
      <c r="C21" s="297"/>
      <c r="D21" s="297"/>
      <c r="E21" s="297"/>
      <c r="F21" s="297"/>
      <c r="G21" s="297"/>
      <c r="H21" s="298"/>
      <c r="I21" s="9"/>
      <c r="J21" s="10"/>
      <c r="K21" s="10"/>
      <c r="L21" s="10"/>
      <c r="M21" s="10"/>
      <c r="N21" s="10"/>
      <c r="O21" s="299"/>
      <c r="P21" s="10"/>
      <c r="Q21" s="9"/>
      <c r="R21" s="10"/>
      <c r="S21" s="10"/>
      <c r="T21" s="10"/>
      <c r="U21" s="10"/>
      <c r="V21" s="10"/>
      <c r="W21" s="299"/>
      <c r="X21" s="10"/>
    </row>
    <row r="22" spans="1:40">
      <c r="A22" s="9"/>
      <c r="B22" s="10"/>
      <c r="C22" s="10"/>
      <c r="D22" s="10"/>
      <c r="E22" s="10"/>
      <c r="F22" s="10"/>
      <c r="G22" s="10"/>
      <c r="H22" s="299"/>
      <c r="I22" s="9"/>
      <c r="J22" s="10"/>
      <c r="K22" s="10"/>
      <c r="L22" s="10"/>
      <c r="M22" s="10"/>
      <c r="N22" s="10"/>
      <c r="O22" s="299"/>
      <c r="P22" s="10"/>
      <c r="Q22" s="9"/>
      <c r="R22" s="10"/>
      <c r="S22" s="10"/>
      <c r="T22" s="10"/>
      <c r="U22" s="10"/>
      <c r="V22" s="10"/>
      <c r="W22" s="299"/>
      <c r="X22" s="10"/>
    </row>
    <row r="23" spans="1:40">
      <c r="A23" s="9"/>
      <c r="B23" s="10"/>
      <c r="C23" s="10"/>
      <c r="D23" s="10"/>
      <c r="E23" s="10"/>
      <c r="F23" s="10"/>
      <c r="G23" s="10"/>
      <c r="H23" s="299"/>
      <c r="I23" s="9"/>
      <c r="J23" s="10"/>
      <c r="K23" s="10"/>
      <c r="L23" s="10"/>
      <c r="M23" s="10"/>
      <c r="N23" s="10"/>
      <c r="O23" s="299"/>
      <c r="P23" s="10"/>
      <c r="Q23" s="9"/>
      <c r="R23" s="10"/>
      <c r="S23" s="10"/>
      <c r="T23" s="10"/>
      <c r="U23" s="10"/>
      <c r="V23" s="10"/>
      <c r="W23" s="299"/>
      <c r="X23" s="10"/>
    </row>
    <row r="24" spans="1:40">
      <c r="A24" s="9"/>
      <c r="B24" s="10"/>
      <c r="C24" s="10"/>
      <c r="D24" s="10"/>
      <c r="E24" s="10"/>
      <c r="F24" s="10"/>
      <c r="G24" s="10"/>
      <c r="H24" s="299"/>
      <c r="I24" s="9"/>
      <c r="J24" s="10"/>
      <c r="K24" s="10"/>
      <c r="L24" s="10"/>
      <c r="M24" s="10"/>
      <c r="N24" s="10"/>
      <c r="O24" s="299"/>
      <c r="P24" s="10"/>
      <c r="Q24" s="9"/>
      <c r="R24" s="10"/>
      <c r="S24" s="10"/>
      <c r="T24" s="10"/>
      <c r="U24" s="10"/>
      <c r="V24" s="10"/>
      <c r="W24" s="299"/>
      <c r="X24" s="10"/>
    </row>
    <row r="25" spans="1:40">
      <c r="A25" s="9"/>
      <c r="B25" s="10"/>
      <c r="C25" s="10"/>
      <c r="D25" s="10"/>
      <c r="E25" s="10"/>
      <c r="F25" s="10"/>
      <c r="G25" s="10"/>
      <c r="H25" s="299"/>
      <c r="I25" s="9"/>
      <c r="J25" s="10"/>
      <c r="K25" s="10"/>
      <c r="L25" s="10"/>
      <c r="M25" s="10"/>
      <c r="N25" s="10"/>
      <c r="O25" s="299"/>
      <c r="P25" s="10"/>
      <c r="Q25" s="9"/>
      <c r="R25" s="10"/>
      <c r="S25" s="10"/>
      <c r="T25" s="10"/>
      <c r="U25" s="10"/>
      <c r="V25" s="10"/>
      <c r="W25" s="299"/>
      <c r="X25" s="10"/>
    </row>
    <row r="26" spans="1:40">
      <c r="A26" s="9"/>
      <c r="B26" s="10"/>
      <c r="C26" s="10"/>
      <c r="D26" s="10"/>
      <c r="E26" s="10"/>
      <c r="F26" s="10"/>
      <c r="G26" s="10"/>
      <c r="H26" s="299"/>
      <c r="I26" s="9"/>
      <c r="J26" s="10"/>
      <c r="K26" s="10"/>
      <c r="L26" s="10"/>
      <c r="M26" s="10"/>
      <c r="N26" s="10"/>
      <c r="O26" s="299"/>
      <c r="P26" s="10"/>
      <c r="Q26" s="9"/>
      <c r="R26" s="10"/>
      <c r="S26" s="10"/>
      <c r="T26" s="10"/>
      <c r="U26" s="10"/>
      <c r="V26" s="10"/>
      <c r="W26" s="299"/>
      <c r="X26" s="10"/>
    </row>
    <row r="27" spans="1:40">
      <c r="A27" s="9"/>
      <c r="B27" s="10"/>
      <c r="C27" s="10"/>
      <c r="D27" s="10"/>
      <c r="E27" s="10"/>
      <c r="F27" s="10"/>
      <c r="G27" s="10"/>
      <c r="H27" s="299"/>
      <c r="I27" s="9"/>
      <c r="J27" s="10"/>
      <c r="K27" s="10"/>
      <c r="L27" s="10"/>
      <c r="M27" s="10"/>
      <c r="N27" s="10"/>
      <c r="O27" s="299"/>
      <c r="P27" s="10"/>
      <c r="Q27" s="9"/>
      <c r="R27" s="10"/>
      <c r="S27" s="10"/>
      <c r="T27" s="10"/>
      <c r="U27" s="10"/>
      <c r="V27" s="10"/>
      <c r="W27" s="299"/>
      <c r="X27" s="10"/>
    </row>
    <row r="28" spans="1:40">
      <c r="A28" s="9"/>
      <c r="B28" s="10"/>
      <c r="C28" s="10"/>
      <c r="D28" s="10"/>
      <c r="E28" s="10"/>
      <c r="F28" s="10"/>
      <c r="G28" s="10"/>
      <c r="H28" s="299"/>
      <c r="I28" s="9"/>
      <c r="J28" s="10"/>
      <c r="K28" s="10"/>
      <c r="L28" s="10"/>
      <c r="M28" s="10"/>
      <c r="N28" s="10"/>
      <c r="O28" s="299"/>
      <c r="P28" s="10"/>
      <c r="Q28" s="9"/>
      <c r="R28" s="10"/>
      <c r="S28" s="10"/>
      <c r="T28" s="10"/>
      <c r="U28" s="10"/>
      <c r="V28" s="10"/>
      <c r="W28" s="299"/>
      <c r="X28" s="10"/>
    </row>
    <row r="29" spans="1:40">
      <c r="A29" s="9"/>
      <c r="B29" s="10"/>
      <c r="C29" s="10"/>
      <c r="D29" s="10"/>
      <c r="E29" s="10"/>
      <c r="F29" s="10"/>
      <c r="G29" s="10"/>
      <c r="H29" s="299"/>
      <c r="I29" s="9"/>
      <c r="J29" s="10"/>
      <c r="K29" s="10"/>
      <c r="L29" s="10"/>
      <c r="M29" s="10"/>
      <c r="N29" s="10"/>
      <c r="O29" s="299"/>
      <c r="P29" s="10"/>
      <c r="Q29" s="9"/>
      <c r="R29" s="10"/>
      <c r="S29" s="10"/>
      <c r="T29" s="10"/>
      <c r="U29" s="10"/>
      <c r="V29" s="10"/>
      <c r="W29" s="299"/>
      <c r="X29" s="10"/>
    </row>
    <row r="30" spans="1:40">
      <c r="A30" s="9"/>
      <c r="B30" s="10"/>
      <c r="C30" s="10"/>
      <c r="D30" s="10"/>
      <c r="E30" s="10"/>
      <c r="F30" s="10"/>
      <c r="G30" s="10"/>
      <c r="H30" s="299"/>
      <c r="I30" s="9"/>
      <c r="J30" s="10"/>
      <c r="K30" s="10"/>
      <c r="L30" s="10"/>
      <c r="M30" s="10"/>
      <c r="N30" s="10"/>
      <c r="O30" s="299"/>
      <c r="P30" s="10"/>
      <c r="Q30" s="9"/>
      <c r="R30" s="10"/>
      <c r="S30" s="10"/>
      <c r="T30" s="10"/>
      <c r="U30" s="10"/>
      <c r="V30" s="10"/>
      <c r="W30" s="299"/>
      <c r="X30" s="10"/>
    </row>
    <row r="31" spans="1:40">
      <c r="A31" s="9"/>
      <c r="B31" s="10"/>
      <c r="C31" s="10"/>
      <c r="D31" s="10"/>
      <c r="E31" s="10"/>
      <c r="F31" s="10"/>
      <c r="G31" s="10"/>
      <c r="H31" s="299"/>
      <c r="I31" s="9"/>
      <c r="J31" s="10"/>
      <c r="K31" s="10"/>
      <c r="L31" s="10"/>
      <c r="M31" s="10"/>
      <c r="N31" s="10"/>
      <c r="O31" s="299"/>
      <c r="P31" s="10"/>
      <c r="Q31" s="9"/>
      <c r="R31" s="10"/>
      <c r="S31" s="10"/>
      <c r="T31" s="10"/>
      <c r="U31" s="10"/>
      <c r="V31" s="10"/>
      <c r="W31" s="299"/>
      <c r="X31" s="10"/>
    </row>
    <row r="32" spans="1:40">
      <c r="A32" s="9"/>
      <c r="B32" s="10"/>
      <c r="C32" s="10"/>
      <c r="D32" s="10"/>
      <c r="E32" s="10"/>
      <c r="F32" s="10"/>
      <c r="G32" s="10"/>
      <c r="H32" s="299"/>
      <c r="I32" s="9"/>
      <c r="J32" s="10"/>
      <c r="K32" s="10"/>
      <c r="L32" s="10"/>
      <c r="M32" s="10"/>
      <c r="N32" s="10"/>
      <c r="O32" s="299"/>
      <c r="P32" s="10"/>
      <c r="Q32" s="9"/>
      <c r="R32" s="10"/>
      <c r="S32" s="10"/>
      <c r="T32" s="10"/>
      <c r="U32" s="10"/>
      <c r="V32" s="10"/>
      <c r="W32" s="299"/>
      <c r="X32" s="10"/>
    </row>
    <row r="33" spans="1:24" ht="15.75" thickBot="1">
      <c r="A33" s="275"/>
      <c r="B33" s="277"/>
      <c r="C33" s="277"/>
      <c r="D33" s="277"/>
      <c r="E33" s="277"/>
      <c r="F33" s="277"/>
      <c r="G33" s="277"/>
      <c r="H33" s="300"/>
      <c r="I33" s="275"/>
      <c r="J33" s="277"/>
      <c r="K33" s="277"/>
      <c r="L33" s="277"/>
      <c r="M33" s="277"/>
      <c r="N33" s="277"/>
      <c r="O33" s="300"/>
      <c r="P33" s="277"/>
      <c r="Q33" s="275"/>
      <c r="R33" s="277"/>
      <c r="S33" s="277"/>
      <c r="T33" s="277"/>
      <c r="U33" s="277"/>
      <c r="V33" s="277"/>
      <c r="W33" s="300"/>
      <c r="X33" s="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0"/>
  <sheetViews>
    <sheetView topLeftCell="C1" workbookViewId="0">
      <pane ySplit="1" topLeftCell="A2" activePane="bottomLeft" state="frozen"/>
      <selection activeCell="C1" sqref="C1"/>
      <selection pane="bottomLeft" activeCell="B67" sqref="B67"/>
    </sheetView>
  </sheetViews>
  <sheetFormatPr defaultRowHeight="15"/>
  <cols>
    <col min="1" max="1" width="10" bestFit="1" customWidth="1"/>
    <col min="3" max="3" width="9.140625" style="1"/>
    <col min="4" max="4" width="11.42578125" customWidth="1"/>
    <col min="5" max="5" width="10.7109375" customWidth="1"/>
    <col min="6" max="6" width="10.85546875" customWidth="1"/>
    <col min="7" max="7" width="7.28515625" customWidth="1"/>
    <col min="8" max="8" width="11.7109375" style="1" customWidth="1"/>
    <col min="9" max="9" width="12.28515625" customWidth="1"/>
    <col min="10" max="10" width="11.7109375" customWidth="1"/>
    <col min="11" max="11" width="12" customWidth="1"/>
    <col min="12" max="12" width="12.42578125" customWidth="1"/>
    <col min="13" max="14" width="11.42578125" customWidth="1"/>
    <col min="15" max="16" width="10.28515625" customWidth="1"/>
    <col min="17" max="17" width="9.28515625" customWidth="1"/>
    <col min="18" max="18" width="10.42578125" customWidth="1"/>
    <col min="19" max="19" width="10.140625" customWidth="1"/>
  </cols>
  <sheetData>
    <row r="1" spans="1:15">
      <c r="D1" t="s">
        <v>14</v>
      </c>
      <c r="H1" s="1" t="s">
        <v>13</v>
      </c>
      <c r="I1" t="s">
        <v>15</v>
      </c>
      <c r="J1" t="s">
        <v>16</v>
      </c>
      <c r="K1" t="s">
        <v>17</v>
      </c>
      <c r="L1" t="s">
        <v>18</v>
      </c>
      <c r="M1" t="s">
        <v>19</v>
      </c>
      <c r="O1" t="s">
        <v>20</v>
      </c>
    </row>
    <row r="2" spans="1:15" ht="15.75" thickBot="1">
      <c r="D2" t="s">
        <v>0</v>
      </c>
      <c r="E2" t="s">
        <v>1</v>
      </c>
      <c r="F2" t="s">
        <v>2</v>
      </c>
    </row>
    <row r="3" spans="1:15">
      <c r="D3" s="26">
        <f>SUM(H3:V3)</f>
        <v>52910</v>
      </c>
      <c r="E3" s="26">
        <f>AVERAGE(H3:V3)</f>
        <v>7558.5714285714284</v>
      </c>
      <c r="F3" s="26">
        <f>STDEV(H3:U3)</f>
        <v>4503.0450015200031</v>
      </c>
      <c r="G3" s="31">
        <v>60</v>
      </c>
      <c r="H3" s="43">
        <v>-1030</v>
      </c>
      <c r="I3" s="44">
        <v>11140</v>
      </c>
      <c r="J3" s="45">
        <v>12540</v>
      </c>
      <c r="K3" s="45">
        <v>4810</v>
      </c>
      <c r="L3" s="45">
        <v>8250</v>
      </c>
      <c r="M3" s="45">
        <v>8430</v>
      </c>
      <c r="N3" s="46"/>
      <c r="O3" s="43">
        <v>8770</v>
      </c>
    </row>
    <row r="4" spans="1:15">
      <c r="D4" s="27">
        <f t="shared" ref="D4:D32" si="0">SUM(H4:V4)</f>
        <v>78280</v>
      </c>
      <c r="E4" s="27">
        <f t="shared" ref="E4:E32" si="1">AVERAGE(H4:V4)</f>
        <v>11182.857142857143</v>
      </c>
      <c r="F4" s="27">
        <f t="shared" ref="F4:F32" si="2">STDEV(H4:U4)</f>
        <v>3459.6710551039096</v>
      </c>
      <c r="G4" s="32">
        <v>120</v>
      </c>
      <c r="H4" s="47">
        <v>8740</v>
      </c>
      <c r="I4" s="48">
        <v>15640</v>
      </c>
      <c r="J4" s="49">
        <v>16170</v>
      </c>
      <c r="K4" s="49">
        <v>6970</v>
      </c>
      <c r="L4" s="49">
        <v>10970</v>
      </c>
      <c r="M4" s="49">
        <v>9900</v>
      </c>
      <c r="N4" s="46"/>
      <c r="O4" s="47">
        <v>9890</v>
      </c>
    </row>
    <row r="5" spans="1:15">
      <c r="D5" s="27">
        <f t="shared" si="0"/>
        <v>86960</v>
      </c>
      <c r="E5" s="27">
        <f t="shared" si="1"/>
        <v>12422.857142857143</v>
      </c>
      <c r="F5" s="27">
        <f t="shared" si="2"/>
        <v>3276.5007466590259</v>
      </c>
      <c r="G5" s="32">
        <v>150</v>
      </c>
      <c r="H5" s="47">
        <v>15270</v>
      </c>
      <c r="I5" s="48">
        <v>18550</v>
      </c>
      <c r="J5" s="49">
        <v>9730</v>
      </c>
      <c r="K5" s="49">
        <v>10940</v>
      </c>
      <c r="L5" s="49">
        <v>10800</v>
      </c>
      <c r="M5" s="49">
        <v>11740</v>
      </c>
      <c r="N5" s="46"/>
      <c r="O5" s="47">
        <v>9930</v>
      </c>
    </row>
    <row r="6" spans="1:15">
      <c r="D6" s="27">
        <f t="shared" si="0"/>
        <v>82210</v>
      </c>
      <c r="E6" s="27">
        <f t="shared" si="1"/>
        <v>11744.285714285714</v>
      </c>
      <c r="F6" s="27">
        <f t="shared" si="2"/>
        <v>3910.1443159336941</v>
      </c>
      <c r="G6" s="32">
        <v>180</v>
      </c>
      <c r="H6" s="47">
        <v>12170</v>
      </c>
      <c r="I6" s="48">
        <v>14030</v>
      </c>
      <c r="J6" s="49">
        <v>12820</v>
      </c>
      <c r="K6" s="49">
        <v>8800</v>
      </c>
      <c r="L6" s="49">
        <v>17780</v>
      </c>
      <c r="M6" s="49">
        <v>11170</v>
      </c>
      <c r="N6" s="46"/>
      <c r="O6" s="47">
        <v>5440</v>
      </c>
    </row>
    <row r="7" spans="1:15">
      <c r="D7" s="34">
        <f t="shared" si="0"/>
        <v>111940</v>
      </c>
      <c r="E7" s="34">
        <f t="shared" si="1"/>
        <v>15991.428571428571</v>
      </c>
      <c r="F7" s="34">
        <f t="shared" si="2"/>
        <v>5831.6705113012804</v>
      </c>
      <c r="G7" s="35">
        <v>240</v>
      </c>
      <c r="H7" s="50">
        <v>26370</v>
      </c>
      <c r="I7" s="51">
        <v>13110</v>
      </c>
      <c r="J7" s="52">
        <v>16040</v>
      </c>
      <c r="K7" s="52">
        <v>16900</v>
      </c>
      <c r="L7" s="52">
        <v>19510</v>
      </c>
      <c r="M7" s="52">
        <v>11260</v>
      </c>
      <c r="N7" s="53"/>
      <c r="O7" s="50">
        <v>8750</v>
      </c>
    </row>
    <row r="8" spans="1:15">
      <c r="D8" s="34">
        <f t="shared" si="0"/>
        <v>91250</v>
      </c>
      <c r="E8" s="34">
        <f t="shared" si="1"/>
        <v>13035.714285714286</v>
      </c>
      <c r="F8" s="34">
        <f t="shared" si="2"/>
        <v>4006.1987683374596</v>
      </c>
      <c r="G8" s="35">
        <v>300</v>
      </c>
      <c r="H8" s="50">
        <v>19080</v>
      </c>
      <c r="I8" s="51">
        <v>11000</v>
      </c>
      <c r="J8" s="52">
        <v>10220</v>
      </c>
      <c r="K8" s="52">
        <v>18530</v>
      </c>
      <c r="L8" s="52">
        <v>11850</v>
      </c>
      <c r="M8" s="52">
        <v>9590</v>
      </c>
      <c r="N8" s="53"/>
      <c r="O8" s="50">
        <v>10980</v>
      </c>
    </row>
    <row r="9" spans="1:15">
      <c r="D9" s="27">
        <f t="shared" si="0"/>
        <v>69330</v>
      </c>
      <c r="E9" s="27">
        <f t="shared" si="1"/>
        <v>9904.2857142857138</v>
      </c>
      <c r="F9" s="27">
        <f t="shared" si="2"/>
        <v>4248.7247386435747</v>
      </c>
      <c r="G9" s="32">
        <v>450</v>
      </c>
      <c r="H9" s="47">
        <v>17490</v>
      </c>
      <c r="I9" s="48">
        <v>7080</v>
      </c>
      <c r="J9" s="49">
        <v>5890</v>
      </c>
      <c r="K9" s="49">
        <v>13480</v>
      </c>
      <c r="L9" s="49">
        <v>8270</v>
      </c>
      <c r="M9" s="49">
        <v>10510</v>
      </c>
      <c r="N9" s="46"/>
      <c r="O9" s="47">
        <v>6610</v>
      </c>
    </row>
    <row r="10" spans="1:15">
      <c r="D10" s="27">
        <f t="shared" si="0"/>
        <v>68590</v>
      </c>
      <c r="E10" s="27">
        <f t="shared" si="1"/>
        <v>9798.5714285714294</v>
      </c>
      <c r="F10" s="27">
        <f t="shared" si="2"/>
        <v>3154.322053793433</v>
      </c>
      <c r="G10" s="32">
        <v>600</v>
      </c>
      <c r="H10" s="47">
        <v>12420</v>
      </c>
      <c r="I10" s="48">
        <v>7790</v>
      </c>
      <c r="J10" s="49">
        <v>5470</v>
      </c>
      <c r="K10" s="49">
        <v>7560</v>
      </c>
      <c r="L10" s="49">
        <v>12850</v>
      </c>
      <c r="M10" s="49">
        <v>13650</v>
      </c>
      <c r="N10" s="46"/>
      <c r="O10" s="47">
        <v>8850</v>
      </c>
    </row>
    <row r="11" spans="1:15">
      <c r="D11" s="27">
        <f t="shared" si="0"/>
        <v>62610</v>
      </c>
      <c r="E11" s="27">
        <f t="shared" si="1"/>
        <v>8944.2857142857138</v>
      </c>
      <c r="F11" s="27">
        <f t="shared" si="2"/>
        <v>4664.5037504642705</v>
      </c>
      <c r="G11" s="32">
        <v>750</v>
      </c>
      <c r="H11" s="47">
        <v>11810</v>
      </c>
      <c r="I11" s="48">
        <v>3280</v>
      </c>
      <c r="J11" s="49">
        <v>6080</v>
      </c>
      <c r="K11" s="49">
        <v>6140</v>
      </c>
      <c r="L11" s="49">
        <v>7180</v>
      </c>
      <c r="M11" s="49">
        <v>17120</v>
      </c>
      <c r="N11" s="46"/>
      <c r="O11" s="47">
        <v>11000</v>
      </c>
    </row>
    <row r="12" spans="1:15" ht="15.75" thickBot="1">
      <c r="A12" s="1">
        <f>SUM(D3:D12)</f>
        <v>759300</v>
      </c>
      <c r="B12" s="1">
        <f>AVERAGE(D3:D12)</f>
        <v>75930</v>
      </c>
      <c r="C12" s="1">
        <f>STDEV(D3:D12)</f>
        <v>18048.474235298181</v>
      </c>
      <c r="D12" s="38">
        <f t="shared" si="0"/>
        <v>55220</v>
      </c>
      <c r="E12" s="38">
        <f t="shared" si="1"/>
        <v>7888.5714285714284</v>
      </c>
      <c r="F12" s="38">
        <f t="shared" si="2"/>
        <v>4833.5164168937044</v>
      </c>
      <c r="G12" s="33">
        <v>900</v>
      </c>
      <c r="H12" s="47">
        <v>7820</v>
      </c>
      <c r="I12" s="48">
        <v>2730</v>
      </c>
      <c r="J12" s="49">
        <v>3910</v>
      </c>
      <c r="K12" s="49">
        <v>6830</v>
      </c>
      <c r="L12" s="49">
        <v>7490</v>
      </c>
      <c r="M12" s="49">
        <v>17670</v>
      </c>
      <c r="N12" s="46"/>
      <c r="O12" s="47">
        <v>8770</v>
      </c>
    </row>
    <row r="13" spans="1:15">
      <c r="D13" s="39">
        <f t="shared" si="0"/>
        <v>87110</v>
      </c>
      <c r="E13" s="39">
        <f t="shared" si="1"/>
        <v>12444.285714285714</v>
      </c>
      <c r="F13" s="39">
        <f t="shared" si="2"/>
        <v>8174.9410948802506</v>
      </c>
      <c r="G13" s="31">
        <v>60</v>
      </c>
      <c r="H13" s="54">
        <v>12470</v>
      </c>
      <c r="I13" s="55">
        <v>16870</v>
      </c>
      <c r="J13" s="56">
        <v>22080</v>
      </c>
      <c r="K13" s="56">
        <v>-2730</v>
      </c>
      <c r="L13" s="56">
        <v>17360</v>
      </c>
      <c r="M13" s="56">
        <v>14190</v>
      </c>
      <c r="N13" s="57"/>
      <c r="O13" s="54">
        <v>6870</v>
      </c>
    </row>
    <row r="14" spans="1:15">
      <c r="D14" s="34">
        <f t="shared" si="0"/>
        <v>94840</v>
      </c>
      <c r="E14" s="34">
        <f t="shared" si="1"/>
        <v>13548.571428571429</v>
      </c>
      <c r="F14" s="34">
        <f t="shared" si="2"/>
        <v>4095.8044735697858</v>
      </c>
      <c r="G14" s="35">
        <v>120</v>
      </c>
      <c r="H14" s="50">
        <v>16490</v>
      </c>
      <c r="I14" s="51">
        <v>15560</v>
      </c>
      <c r="J14" s="52">
        <v>11590</v>
      </c>
      <c r="K14" s="52">
        <v>9040</v>
      </c>
      <c r="L14" s="52">
        <v>18760</v>
      </c>
      <c r="M14" s="52">
        <v>15560</v>
      </c>
      <c r="N14" s="53"/>
      <c r="O14" s="50">
        <v>7840</v>
      </c>
    </row>
    <row r="15" spans="1:15">
      <c r="D15" s="28">
        <f t="shared" si="0"/>
        <v>93190</v>
      </c>
      <c r="E15" s="28">
        <f t="shared" si="1"/>
        <v>13312.857142857143</v>
      </c>
      <c r="F15" s="28">
        <f t="shared" si="2"/>
        <v>6516.3990932766819</v>
      </c>
      <c r="G15" s="32">
        <v>150</v>
      </c>
      <c r="H15" s="54">
        <v>25560</v>
      </c>
      <c r="I15" s="55">
        <v>11800</v>
      </c>
      <c r="J15" s="56">
        <v>11280</v>
      </c>
      <c r="K15" s="56">
        <v>8250</v>
      </c>
      <c r="L15" s="56">
        <v>18230</v>
      </c>
      <c r="M15" s="56">
        <v>11480</v>
      </c>
      <c r="N15" s="57"/>
      <c r="O15" s="54">
        <v>6590</v>
      </c>
    </row>
    <row r="16" spans="1:15" ht="15.75" thickBot="1">
      <c r="D16" s="36">
        <f t="shared" si="0"/>
        <v>93190</v>
      </c>
      <c r="E16" s="28">
        <f t="shared" si="1"/>
        <v>13312.857142857143</v>
      </c>
      <c r="F16" s="28">
        <f t="shared" si="2"/>
        <v>5031.9171770002822</v>
      </c>
      <c r="G16" s="32">
        <v>180</v>
      </c>
      <c r="H16" s="54">
        <v>23800</v>
      </c>
      <c r="I16" s="55">
        <v>11640</v>
      </c>
      <c r="J16" s="56">
        <v>10460</v>
      </c>
      <c r="K16" s="56">
        <v>13770</v>
      </c>
      <c r="L16" s="56">
        <v>13570</v>
      </c>
      <c r="M16" s="56">
        <v>7920</v>
      </c>
      <c r="N16" s="57"/>
      <c r="O16" s="54">
        <v>12030</v>
      </c>
    </row>
    <row r="17" spans="1:15" ht="15.75" thickBot="1">
      <c r="D17" s="40">
        <f t="shared" si="0"/>
        <v>96700</v>
      </c>
      <c r="E17" s="34">
        <f t="shared" si="1"/>
        <v>13814.285714285714</v>
      </c>
      <c r="F17" s="34">
        <f t="shared" si="2"/>
        <v>6098.1769328842793</v>
      </c>
      <c r="G17" s="35">
        <v>240</v>
      </c>
      <c r="H17" s="50">
        <v>21910</v>
      </c>
      <c r="I17" s="51">
        <v>13470</v>
      </c>
      <c r="J17" s="52">
        <v>18020</v>
      </c>
      <c r="K17" s="52">
        <v>17100</v>
      </c>
      <c r="L17" s="52">
        <v>2970</v>
      </c>
      <c r="M17" s="52">
        <v>12540</v>
      </c>
      <c r="N17" s="53"/>
      <c r="O17" s="50">
        <v>10690</v>
      </c>
    </row>
    <row r="18" spans="1:15">
      <c r="D18" s="37">
        <f t="shared" si="0"/>
        <v>82750</v>
      </c>
      <c r="E18" s="28">
        <f t="shared" si="1"/>
        <v>11821.428571428571</v>
      </c>
      <c r="F18" s="28">
        <f t="shared" si="2"/>
        <v>3832.6902152031917</v>
      </c>
      <c r="G18" s="32">
        <v>300</v>
      </c>
      <c r="H18" s="54">
        <v>16480</v>
      </c>
      <c r="I18" s="55">
        <v>11750</v>
      </c>
      <c r="J18" s="56">
        <v>13110</v>
      </c>
      <c r="K18" s="56">
        <v>12890</v>
      </c>
      <c r="L18" s="56">
        <v>6320</v>
      </c>
      <c r="M18" s="56">
        <v>7080</v>
      </c>
      <c r="N18" s="57"/>
      <c r="O18" s="54">
        <v>15120</v>
      </c>
    </row>
    <row r="19" spans="1:15">
      <c r="D19" s="28">
        <f t="shared" si="0"/>
        <v>67250</v>
      </c>
      <c r="E19" s="28">
        <f t="shared" si="1"/>
        <v>9607.1428571428569</v>
      </c>
      <c r="F19" s="28">
        <f t="shared" si="2"/>
        <v>4208.3912773002858</v>
      </c>
      <c r="G19" s="32">
        <v>450</v>
      </c>
      <c r="H19" s="54">
        <v>13690</v>
      </c>
      <c r="I19" s="55">
        <v>10090</v>
      </c>
      <c r="J19" s="56">
        <v>3730</v>
      </c>
      <c r="K19" s="56">
        <v>8020</v>
      </c>
      <c r="L19" s="56">
        <v>6170</v>
      </c>
      <c r="M19" s="56">
        <v>15970</v>
      </c>
      <c r="N19" s="57"/>
      <c r="O19" s="54">
        <v>9580</v>
      </c>
    </row>
    <row r="20" spans="1:15">
      <c r="D20" s="28">
        <f t="shared" si="0"/>
        <v>53010</v>
      </c>
      <c r="E20" s="28">
        <f t="shared" si="1"/>
        <v>7572.8571428571431</v>
      </c>
      <c r="F20" s="28">
        <f t="shared" si="2"/>
        <v>5301.8006824276672</v>
      </c>
      <c r="G20" s="32">
        <v>600</v>
      </c>
      <c r="H20" s="54">
        <v>6520</v>
      </c>
      <c r="I20" s="55">
        <v>4230</v>
      </c>
      <c r="J20" s="56">
        <v>1170</v>
      </c>
      <c r="K20" s="56">
        <v>5870</v>
      </c>
      <c r="L20" s="56">
        <v>7670</v>
      </c>
      <c r="M20" s="56">
        <v>17990</v>
      </c>
      <c r="N20" s="57"/>
      <c r="O20" s="54">
        <v>9560</v>
      </c>
    </row>
    <row r="21" spans="1:15">
      <c r="D21" s="28">
        <f t="shared" si="0"/>
        <v>44990</v>
      </c>
      <c r="E21" s="28">
        <f t="shared" si="1"/>
        <v>6427.1428571428569</v>
      </c>
      <c r="F21" s="28">
        <f t="shared" si="2"/>
        <v>6526.9740673753622</v>
      </c>
      <c r="G21" s="32">
        <v>750</v>
      </c>
      <c r="H21" s="54">
        <v>7880</v>
      </c>
      <c r="I21" s="55">
        <v>-130</v>
      </c>
      <c r="J21" s="56">
        <v>50</v>
      </c>
      <c r="K21" s="56">
        <v>2690</v>
      </c>
      <c r="L21" s="56">
        <v>4260</v>
      </c>
      <c r="M21" s="56">
        <v>14980</v>
      </c>
      <c r="N21" s="57"/>
      <c r="O21" s="54">
        <v>15260</v>
      </c>
    </row>
    <row r="22" spans="1:15" ht="15.75" thickBot="1">
      <c r="A22" s="1">
        <f>SUM(D13:D22)</f>
        <v>742950</v>
      </c>
      <c r="B22" s="1">
        <f>AVERAGE(D13:D22)</f>
        <v>74295</v>
      </c>
      <c r="C22" s="1">
        <f>STDEV(D13:D22)</f>
        <v>24047.271154956441</v>
      </c>
      <c r="D22" s="42">
        <f t="shared" si="0"/>
        <v>29920</v>
      </c>
      <c r="E22" s="42">
        <f t="shared" si="1"/>
        <v>4274.2857142857147</v>
      </c>
      <c r="F22" s="42">
        <f t="shared" si="2"/>
        <v>8213.9695177237681</v>
      </c>
      <c r="G22" s="33">
        <v>900</v>
      </c>
      <c r="H22" s="54">
        <v>1470</v>
      </c>
      <c r="I22" s="55">
        <v>-5190</v>
      </c>
      <c r="J22" s="56">
        <v>1820</v>
      </c>
      <c r="K22" s="56">
        <v>2860</v>
      </c>
      <c r="L22" s="56">
        <v>-1990</v>
      </c>
      <c r="M22" s="56">
        <v>13330</v>
      </c>
      <c r="N22" s="57"/>
      <c r="O22" s="54">
        <v>17620</v>
      </c>
    </row>
    <row r="23" spans="1:15">
      <c r="D23" s="41">
        <f t="shared" si="0"/>
        <v>90800</v>
      </c>
      <c r="E23" s="41">
        <f t="shared" si="1"/>
        <v>12971.428571428571</v>
      </c>
      <c r="F23" s="41">
        <f t="shared" si="2"/>
        <v>4631.8946036203806</v>
      </c>
      <c r="G23" s="31">
        <v>60</v>
      </c>
      <c r="H23" s="58">
        <v>14820</v>
      </c>
      <c r="I23" s="59">
        <v>19270</v>
      </c>
      <c r="J23" s="60">
        <v>13080</v>
      </c>
      <c r="K23" s="60">
        <v>7230</v>
      </c>
      <c r="L23" s="60">
        <v>17900</v>
      </c>
      <c r="M23" s="60">
        <v>9830</v>
      </c>
      <c r="N23" s="61"/>
      <c r="O23" s="58">
        <v>8670</v>
      </c>
    </row>
    <row r="24" spans="1:15">
      <c r="D24" s="34">
        <f t="shared" si="0"/>
        <v>95850</v>
      </c>
      <c r="E24" s="34">
        <f t="shared" si="1"/>
        <v>13692.857142857143</v>
      </c>
      <c r="F24" s="34">
        <f t="shared" si="2"/>
        <v>6969.2532222750015</v>
      </c>
      <c r="G24" s="35">
        <v>120</v>
      </c>
      <c r="H24" s="50">
        <v>26680</v>
      </c>
      <c r="I24" s="51">
        <v>13480</v>
      </c>
      <c r="J24" s="52">
        <v>10220</v>
      </c>
      <c r="K24" s="52">
        <v>10960</v>
      </c>
      <c r="L24" s="52">
        <v>18900</v>
      </c>
      <c r="M24" s="52">
        <v>5970</v>
      </c>
      <c r="N24" s="53"/>
      <c r="O24" s="50">
        <v>9640</v>
      </c>
    </row>
    <row r="25" spans="1:15">
      <c r="D25" s="29">
        <f t="shared" si="0"/>
        <v>88680</v>
      </c>
      <c r="E25" s="29">
        <f t="shared" si="1"/>
        <v>12668.571428571429</v>
      </c>
      <c r="F25" s="29">
        <f t="shared" si="2"/>
        <v>3246.0921560723241</v>
      </c>
      <c r="G25" s="32">
        <v>150</v>
      </c>
      <c r="H25" s="58">
        <v>19190</v>
      </c>
      <c r="I25" s="59">
        <v>11470</v>
      </c>
      <c r="J25" s="60">
        <v>13360</v>
      </c>
      <c r="K25" s="60">
        <v>13140</v>
      </c>
      <c r="L25" s="60">
        <v>11300</v>
      </c>
      <c r="M25" s="60">
        <v>8770</v>
      </c>
      <c r="N25" s="61"/>
      <c r="O25" s="58">
        <v>11450</v>
      </c>
    </row>
    <row r="26" spans="1:15">
      <c r="D26" s="34">
        <f t="shared" si="0"/>
        <v>95080</v>
      </c>
      <c r="E26" s="34">
        <f t="shared" si="1"/>
        <v>13582.857142857143</v>
      </c>
      <c r="F26" s="34">
        <f t="shared" si="2"/>
        <v>3137.7099626198437</v>
      </c>
      <c r="G26" s="35">
        <v>180</v>
      </c>
      <c r="H26" s="50">
        <v>13440</v>
      </c>
      <c r="I26" s="51">
        <v>13100</v>
      </c>
      <c r="J26" s="52">
        <v>16210</v>
      </c>
      <c r="K26" s="52">
        <v>18980</v>
      </c>
      <c r="L26" s="52">
        <v>11200</v>
      </c>
      <c r="M26" s="52">
        <v>9570</v>
      </c>
      <c r="N26" s="53"/>
      <c r="O26" s="50">
        <v>12580</v>
      </c>
    </row>
    <row r="27" spans="1:15">
      <c r="D27" s="29">
        <f t="shared" si="0"/>
        <v>66710</v>
      </c>
      <c r="E27" s="29">
        <f t="shared" si="1"/>
        <v>9530</v>
      </c>
      <c r="F27" s="29">
        <f t="shared" si="2"/>
        <v>4312.8296975419744</v>
      </c>
      <c r="G27" s="32">
        <v>240</v>
      </c>
      <c r="H27" s="58">
        <v>9850</v>
      </c>
      <c r="I27" s="59">
        <v>9790</v>
      </c>
      <c r="J27" s="60">
        <v>2970</v>
      </c>
      <c r="K27" s="60">
        <v>9970</v>
      </c>
      <c r="L27" s="60">
        <v>5640</v>
      </c>
      <c r="M27" s="60">
        <v>12170</v>
      </c>
      <c r="N27" s="61"/>
      <c r="O27" s="58">
        <v>16320</v>
      </c>
    </row>
    <row r="28" spans="1:15">
      <c r="D28" s="29">
        <f t="shared" si="0"/>
        <v>66010</v>
      </c>
      <c r="E28" s="29">
        <f t="shared" si="1"/>
        <v>9430</v>
      </c>
      <c r="F28" s="29">
        <f t="shared" si="2"/>
        <v>5939.1497708005309</v>
      </c>
      <c r="G28" s="32">
        <v>300</v>
      </c>
      <c r="H28" s="58">
        <v>10110</v>
      </c>
      <c r="I28" s="59">
        <v>14630</v>
      </c>
      <c r="J28" s="60">
        <v>1380</v>
      </c>
      <c r="K28" s="60">
        <v>10570</v>
      </c>
      <c r="L28" s="60">
        <v>1080</v>
      </c>
      <c r="M28" s="60">
        <v>15590</v>
      </c>
      <c r="N28" s="61"/>
      <c r="O28" s="58">
        <v>12650</v>
      </c>
    </row>
    <row r="29" spans="1:15">
      <c r="D29" s="29">
        <f t="shared" si="0"/>
        <v>56130</v>
      </c>
      <c r="E29" s="29">
        <f t="shared" si="1"/>
        <v>8018.5714285714284</v>
      </c>
      <c r="F29" s="29">
        <f t="shared" si="2"/>
        <v>5014.7862319725009</v>
      </c>
      <c r="G29" s="32">
        <v>450</v>
      </c>
      <c r="H29" s="58">
        <v>5050</v>
      </c>
      <c r="I29" s="59">
        <v>1430</v>
      </c>
      <c r="J29" s="60">
        <v>4510</v>
      </c>
      <c r="K29" s="60">
        <v>8540</v>
      </c>
      <c r="L29" s="60">
        <v>12450</v>
      </c>
      <c r="M29" s="60">
        <v>16170</v>
      </c>
      <c r="N29" s="61"/>
      <c r="O29" s="58">
        <v>7980</v>
      </c>
    </row>
    <row r="30" spans="1:15">
      <c r="D30" s="29">
        <f t="shared" si="0"/>
        <v>59520</v>
      </c>
      <c r="E30" s="29">
        <f t="shared" si="1"/>
        <v>8502.8571428571431</v>
      </c>
      <c r="F30" s="29">
        <f t="shared" si="2"/>
        <v>7931.1678717275818</v>
      </c>
      <c r="G30" s="32">
        <v>600</v>
      </c>
      <c r="H30" s="58">
        <v>4920</v>
      </c>
      <c r="I30" s="59">
        <v>-1760</v>
      </c>
      <c r="J30" s="60">
        <v>8730</v>
      </c>
      <c r="K30" s="60">
        <v>4040</v>
      </c>
      <c r="L30" s="60">
        <v>5360</v>
      </c>
      <c r="M30" s="60">
        <v>20560</v>
      </c>
      <c r="N30" s="61"/>
      <c r="O30" s="58">
        <v>17670</v>
      </c>
    </row>
    <row r="31" spans="1:15">
      <c r="D31" s="29">
        <f t="shared" si="0"/>
        <v>39790</v>
      </c>
      <c r="E31" s="29">
        <f t="shared" si="1"/>
        <v>5684.2857142857147</v>
      </c>
      <c r="F31" s="29">
        <f t="shared" si="2"/>
        <v>7818.827399601676</v>
      </c>
      <c r="G31" s="32">
        <v>750</v>
      </c>
      <c r="H31" s="58">
        <v>4490</v>
      </c>
      <c r="I31" s="59">
        <v>-1990</v>
      </c>
      <c r="J31" s="60">
        <v>6120</v>
      </c>
      <c r="K31" s="60">
        <v>1990</v>
      </c>
      <c r="L31" s="60">
        <v>-2950</v>
      </c>
      <c r="M31" s="60">
        <v>17200</v>
      </c>
      <c r="N31" s="61"/>
      <c r="O31" s="58">
        <v>14930</v>
      </c>
    </row>
    <row r="32" spans="1:15" ht="15.75" thickBot="1">
      <c r="A32" s="1">
        <f>SUM(D23:D32)</f>
        <v>698778</v>
      </c>
      <c r="B32" s="1">
        <f>AVERAGE(D23:D32)</f>
        <v>69877.8</v>
      </c>
      <c r="C32" s="1">
        <f>STDEV(D23:D32)</f>
        <v>21622.572659144884</v>
      </c>
      <c r="D32" s="30">
        <f t="shared" si="0"/>
        <v>40208</v>
      </c>
      <c r="E32" s="30">
        <f t="shared" si="1"/>
        <v>5744</v>
      </c>
      <c r="F32" s="30">
        <f t="shared" si="2"/>
        <v>9091.2792645846421</v>
      </c>
      <c r="G32" s="33">
        <v>900</v>
      </c>
      <c r="H32" s="62">
        <v>15480</v>
      </c>
      <c r="I32" s="63">
        <f>-2-4250</f>
        <v>-4252</v>
      </c>
      <c r="J32" s="64">
        <v>2700</v>
      </c>
      <c r="K32" s="64">
        <v>-860</v>
      </c>
      <c r="L32" s="64">
        <v>-2470</v>
      </c>
      <c r="M32" s="64">
        <v>11920</v>
      </c>
      <c r="N32" s="61"/>
      <c r="O32" s="62">
        <v>17690</v>
      </c>
    </row>
    <row r="33" spans="1:19">
      <c r="C33" s="1" t="s">
        <v>0</v>
      </c>
      <c r="D33" s="1">
        <f>SUM(D3:D32)</f>
        <v>2201028</v>
      </c>
      <c r="E33" s="1" t="s">
        <v>21</v>
      </c>
      <c r="F33" s="1" t="s">
        <v>21</v>
      </c>
      <c r="G33" s="1" t="s">
        <v>21</v>
      </c>
      <c r="H33" s="1">
        <f t="shared" ref="H33:M33" si="3">SUM(H3:H32)</f>
        <v>400440</v>
      </c>
      <c r="I33" s="1">
        <f t="shared" si="3"/>
        <v>269608</v>
      </c>
      <c r="J33" s="1">
        <f t="shared" si="3"/>
        <v>271460</v>
      </c>
      <c r="K33" s="1">
        <f t="shared" si="3"/>
        <v>263280</v>
      </c>
      <c r="L33" s="1">
        <f t="shared" si="3"/>
        <v>286680</v>
      </c>
      <c r="M33" s="1">
        <f t="shared" si="3"/>
        <v>379830</v>
      </c>
      <c r="O33" s="1">
        <f>SUM(O3:O32)</f>
        <v>329730</v>
      </c>
      <c r="P33" s="1"/>
      <c r="Q33" s="1"/>
      <c r="R33" s="1"/>
      <c r="S33" s="1"/>
    </row>
    <row r="34" spans="1:19">
      <c r="C34" s="1" t="s">
        <v>1</v>
      </c>
      <c r="D34" s="1">
        <f>AVERAGE(D3:D32)</f>
        <v>73367.600000000006</v>
      </c>
      <c r="E34" s="1"/>
      <c r="F34" s="1"/>
      <c r="G34" s="1"/>
      <c r="H34" s="1">
        <f t="shared" ref="H34:O34" si="4">AVERAGE(H3:H32)</f>
        <v>13348</v>
      </c>
      <c r="I34" s="1">
        <f t="shared" si="4"/>
        <v>8986.9333333333325</v>
      </c>
      <c r="J34" s="1">
        <f t="shared" si="4"/>
        <v>9048.6666666666661</v>
      </c>
      <c r="K34" s="1">
        <f t="shared" si="4"/>
        <v>8776</v>
      </c>
      <c r="L34" s="1">
        <f t="shared" si="4"/>
        <v>9556</v>
      </c>
      <c r="M34" s="1">
        <f t="shared" si="4"/>
        <v>12661</v>
      </c>
      <c r="N34" s="1"/>
      <c r="O34" s="1">
        <f t="shared" si="4"/>
        <v>10991</v>
      </c>
      <c r="P34" s="1"/>
      <c r="Q34" s="1"/>
      <c r="R34" s="1"/>
      <c r="S34" s="1"/>
    </row>
    <row r="35" spans="1:19">
      <c r="C35" s="1" t="s">
        <v>2</v>
      </c>
      <c r="D35" s="1">
        <f>STDEV(D3:D32)</f>
        <v>20794.591116358893</v>
      </c>
      <c r="E35" s="1"/>
      <c r="F35" s="1"/>
      <c r="G35" s="1"/>
      <c r="H35" s="1">
        <f t="shared" ref="H35:O35" si="5">STDEV(H3:H32)</f>
        <v>7230.0590926187197</v>
      </c>
      <c r="I35" s="1">
        <f t="shared" si="5"/>
        <v>6871.9123019038507</v>
      </c>
      <c r="J35" s="1">
        <f t="shared" si="5"/>
        <v>5700.8684960447381</v>
      </c>
      <c r="K35" s="1">
        <f t="shared" si="5"/>
        <v>5383.4257776483064</v>
      </c>
      <c r="L35" s="1">
        <f t="shared" si="5"/>
        <v>6548.7654008875652</v>
      </c>
      <c r="M35" s="1">
        <f t="shared" si="5"/>
        <v>3637.324092203517</v>
      </c>
      <c r="N35" s="1"/>
      <c r="O35" s="1">
        <f t="shared" si="5"/>
        <v>3511.9896610483274</v>
      </c>
      <c r="P35" s="1"/>
      <c r="Q35" s="1"/>
      <c r="R35" s="1"/>
      <c r="S35" s="1"/>
    </row>
    <row r="36" spans="1:19">
      <c r="R36" s="1"/>
      <c r="S36" s="1"/>
    </row>
    <row r="37" spans="1:19" ht="15.75" thickBot="1">
      <c r="H37" s="1">
        <f>SUM(H38:H67)</f>
        <v>427690</v>
      </c>
      <c r="I37" s="1">
        <f>SUM(I38:I67)</f>
        <v>167700</v>
      </c>
      <c r="J37" s="1">
        <f>SUM(J38:J67)</f>
        <v>305230</v>
      </c>
      <c r="K37" s="1">
        <f>SUM(K38:K67)</f>
        <v>229120</v>
      </c>
      <c r="L37" s="1">
        <f>SUM(L38:L67)</f>
        <v>231730</v>
      </c>
    </row>
    <row r="38" spans="1:19">
      <c r="D38" s="26">
        <f>SUM(H38:V38)</f>
        <v>45390</v>
      </c>
      <c r="E38" s="26">
        <f>AVERAGE(H38:V38)</f>
        <v>7565</v>
      </c>
      <c r="F38" s="26">
        <f>STDEV(H38:U38)</f>
        <v>5654.4911353719535</v>
      </c>
      <c r="G38" s="31">
        <v>60</v>
      </c>
      <c r="H38" s="45">
        <v>-3050</v>
      </c>
      <c r="I38" s="45">
        <v>8130</v>
      </c>
      <c r="J38" s="45">
        <v>10340</v>
      </c>
      <c r="K38" s="45">
        <v>7510</v>
      </c>
      <c r="L38" s="45">
        <v>13710</v>
      </c>
      <c r="O38" s="50">
        <v>8750</v>
      </c>
    </row>
    <row r="39" spans="1:19">
      <c r="D39" s="27">
        <f t="shared" ref="D39:D67" si="6">SUM(H39:V39)</f>
        <v>81440</v>
      </c>
      <c r="E39" s="27">
        <f t="shared" ref="E39:E67" si="7">AVERAGE(H39:V39)</f>
        <v>13573.333333333334</v>
      </c>
      <c r="F39" s="27">
        <f t="shared" ref="F39:F67" si="8">STDEV(H39:U39)</f>
        <v>4190.4017309402034</v>
      </c>
      <c r="G39" s="32">
        <v>120</v>
      </c>
      <c r="H39" s="49">
        <v>16670</v>
      </c>
      <c r="I39" s="49">
        <v>16920</v>
      </c>
      <c r="J39" s="49">
        <v>17350</v>
      </c>
      <c r="K39" s="49">
        <v>6850</v>
      </c>
      <c r="L39" s="49">
        <v>12670</v>
      </c>
      <c r="O39" s="50">
        <v>10980</v>
      </c>
    </row>
    <row r="40" spans="1:19">
      <c r="D40" s="27">
        <f t="shared" si="6"/>
        <v>68480</v>
      </c>
      <c r="E40" s="27">
        <f t="shared" si="7"/>
        <v>11413.333333333334</v>
      </c>
      <c r="F40" s="27">
        <f t="shared" si="8"/>
        <v>4482.6272058544728</v>
      </c>
      <c r="G40" s="32">
        <v>150</v>
      </c>
      <c r="H40" s="49">
        <v>15130</v>
      </c>
      <c r="I40" s="49">
        <v>16020</v>
      </c>
      <c r="J40" s="49">
        <v>10530</v>
      </c>
      <c r="K40" s="49">
        <v>5730</v>
      </c>
      <c r="L40" s="49">
        <v>14460</v>
      </c>
      <c r="O40" s="47">
        <v>6610</v>
      </c>
    </row>
    <row r="41" spans="1:19">
      <c r="D41" s="27">
        <f t="shared" si="6"/>
        <v>59870</v>
      </c>
      <c r="E41" s="27">
        <f t="shared" si="7"/>
        <v>9978.3333333333339</v>
      </c>
      <c r="F41" s="27">
        <f t="shared" si="8"/>
        <v>4510.5450520604136</v>
      </c>
      <c r="G41" s="32">
        <v>180</v>
      </c>
      <c r="H41" s="49">
        <v>8200</v>
      </c>
      <c r="I41" s="49">
        <v>12310</v>
      </c>
      <c r="J41" s="49">
        <v>12890</v>
      </c>
      <c r="K41" s="49">
        <v>2460</v>
      </c>
      <c r="L41" s="49">
        <v>15160</v>
      </c>
      <c r="O41" s="47">
        <v>8850</v>
      </c>
    </row>
    <row r="42" spans="1:19">
      <c r="D42" s="34">
        <f t="shared" si="6"/>
        <v>89610</v>
      </c>
      <c r="E42" s="34">
        <f t="shared" si="7"/>
        <v>14935</v>
      </c>
      <c r="F42" s="34">
        <f t="shared" si="8"/>
        <v>6956.4265251636207</v>
      </c>
      <c r="G42" s="35">
        <v>240</v>
      </c>
      <c r="H42" s="52">
        <v>25130</v>
      </c>
      <c r="I42" s="52">
        <v>8020</v>
      </c>
      <c r="J42" s="52">
        <v>17870</v>
      </c>
      <c r="K42" s="52">
        <v>8160</v>
      </c>
      <c r="L42" s="52">
        <v>19430</v>
      </c>
      <c r="O42" s="47">
        <v>11000</v>
      </c>
    </row>
    <row r="43" spans="1:19">
      <c r="D43" s="34">
        <f t="shared" si="6"/>
        <v>72300</v>
      </c>
      <c r="E43" s="34">
        <f t="shared" si="7"/>
        <v>12050</v>
      </c>
      <c r="F43" s="34">
        <f t="shared" si="8"/>
        <v>3906.9015856558249</v>
      </c>
      <c r="G43" s="35">
        <v>300</v>
      </c>
      <c r="H43" s="52">
        <v>18710</v>
      </c>
      <c r="I43" s="52">
        <v>8360</v>
      </c>
      <c r="J43" s="52">
        <v>13340</v>
      </c>
      <c r="K43" s="52">
        <v>9910</v>
      </c>
      <c r="L43" s="52">
        <v>13210</v>
      </c>
      <c r="O43" s="47">
        <v>8770</v>
      </c>
    </row>
    <row r="44" spans="1:19">
      <c r="D44" s="27">
        <f t="shared" si="6"/>
        <v>46650</v>
      </c>
      <c r="E44" s="27">
        <f t="shared" si="7"/>
        <v>7775</v>
      </c>
      <c r="F44" s="27">
        <f t="shared" si="8"/>
        <v>6554.4389538693549</v>
      </c>
      <c r="G44" s="32">
        <v>450</v>
      </c>
      <c r="H44" s="49">
        <v>19810</v>
      </c>
      <c r="I44" s="49">
        <v>1640</v>
      </c>
      <c r="J44" s="49">
        <v>10000</v>
      </c>
      <c r="K44" s="49">
        <v>3670</v>
      </c>
      <c r="L44" s="49">
        <v>4660</v>
      </c>
      <c r="O44" s="54">
        <v>6870</v>
      </c>
    </row>
    <row r="45" spans="1:19">
      <c r="D45" s="27">
        <f t="shared" si="6"/>
        <v>43530</v>
      </c>
      <c r="E45" s="27">
        <f t="shared" si="7"/>
        <v>7255</v>
      </c>
      <c r="F45" s="27">
        <f t="shared" si="8"/>
        <v>4812.8692066167769</v>
      </c>
      <c r="G45" s="32">
        <v>600</v>
      </c>
      <c r="H45" s="49">
        <v>16020</v>
      </c>
      <c r="I45" s="49">
        <v>1550</v>
      </c>
      <c r="J45" s="49">
        <v>6760</v>
      </c>
      <c r="K45" s="49">
        <v>5010</v>
      </c>
      <c r="L45" s="49">
        <v>6350</v>
      </c>
      <c r="O45" s="50">
        <v>7840</v>
      </c>
    </row>
    <row r="46" spans="1:19">
      <c r="D46" s="27">
        <f t="shared" si="6"/>
        <v>36110</v>
      </c>
      <c r="E46" s="27">
        <f t="shared" si="7"/>
        <v>6018.333333333333</v>
      </c>
      <c r="F46" s="27">
        <f t="shared" si="8"/>
        <v>5284.2877161133711</v>
      </c>
      <c r="G46" s="32">
        <v>750</v>
      </c>
      <c r="H46" s="49">
        <v>14480</v>
      </c>
      <c r="I46" s="49">
        <v>-1610</v>
      </c>
      <c r="J46" s="49">
        <v>7330</v>
      </c>
      <c r="K46" s="49">
        <v>6090</v>
      </c>
      <c r="L46" s="49">
        <v>3230</v>
      </c>
      <c r="O46" s="54">
        <v>6590</v>
      </c>
    </row>
    <row r="47" spans="1:19" ht="15.75" thickBot="1">
      <c r="A47" s="1">
        <f>SUM(D38:D47)</f>
        <v>572450</v>
      </c>
      <c r="B47" s="1">
        <f>AVERAGE(D38:D47)</f>
        <v>57245</v>
      </c>
      <c r="C47" s="1">
        <f>STDEV(D38:D47)</f>
        <v>20204.71685852918</v>
      </c>
      <c r="D47" s="38">
        <f t="shared" si="6"/>
        <v>29070</v>
      </c>
      <c r="E47" s="38">
        <f t="shared" si="7"/>
        <v>4845</v>
      </c>
      <c r="F47" s="38">
        <f t="shared" si="8"/>
        <v>5102.3435791800612</v>
      </c>
      <c r="G47" s="33">
        <v>900</v>
      </c>
      <c r="H47" s="49">
        <v>10030</v>
      </c>
      <c r="I47" s="49">
        <v>-300</v>
      </c>
      <c r="J47" s="49">
        <v>3970</v>
      </c>
      <c r="K47" s="49">
        <v>3130</v>
      </c>
      <c r="L47" s="49">
        <v>210</v>
      </c>
      <c r="O47" s="54">
        <v>12030</v>
      </c>
    </row>
    <row r="48" spans="1:19">
      <c r="D48" s="39">
        <f t="shared" si="6"/>
        <v>76670</v>
      </c>
      <c r="E48" s="39">
        <f t="shared" si="7"/>
        <v>12778.333333333334</v>
      </c>
      <c r="F48" s="39">
        <f t="shared" si="8"/>
        <v>8206.4691961078279</v>
      </c>
      <c r="G48" s="31">
        <v>60</v>
      </c>
      <c r="H48" s="56">
        <v>7250</v>
      </c>
      <c r="I48" s="56">
        <v>16920</v>
      </c>
      <c r="J48" s="56">
        <v>15800</v>
      </c>
      <c r="K48" s="56">
        <v>1270</v>
      </c>
      <c r="L48" s="56">
        <v>24740</v>
      </c>
      <c r="O48" s="50">
        <v>10690</v>
      </c>
    </row>
    <row r="49" spans="1:15">
      <c r="D49" s="34">
        <f t="shared" si="6"/>
        <v>78470</v>
      </c>
      <c r="E49" s="34">
        <f t="shared" si="7"/>
        <v>13078.333333333334</v>
      </c>
      <c r="F49" s="34">
        <f t="shared" si="8"/>
        <v>5325.0743343794438</v>
      </c>
      <c r="G49" s="35">
        <v>120</v>
      </c>
      <c r="H49" s="52">
        <v>16880</v>
      </c>
      <c r="I49" s="52">
        <v>12090</v>
      </c>
      <c r="J49" s="52">
        <v>9320</v>
      </c>
      <c r="K49" s="52">
        <v>5200</v>
      </c>
      <c r="L49" s="52">
        <v>19860</v>
      </c>
      <c r="O49" s="54">
        <v>15120</v>
      </c>
    </row>
    <row r="50" spans="1:15">
      <c r="D50" s="28">
        <f t="shared" si="6"/>
        <v>70970</v>
      </c>
      <c r="E50" s="28">
        <f t="shared" si="7"/>
        <v>11828.333333333334</v>
      </c>
      <c r="F50" s="28">
        <f t="shared" si="8"/>
        <v>7392.7218713182137</v>
      </c>
      <c r="G50" s="32">
        <v>150</v>
      </c>
      <c r="H50" s="56">
        <v>25100</v>
      </c>
      <c r="I50" s="56">
        <v>8130</v>
      </c>
      <c r="J50" s="56">
        <v>9320</v>
      </c>
      <c r="K50" s="56">
        <v>3920</v>
      </c>
      <c r="L50" s="56">
        <v>14920</v>
      </c>
      <c r="O50" s="54">
        <v>9580</v>
      </c>
    </row>
    <row r="51" spans="1:15" ht="15.75" thickBot="1">
      <c r="D51" s="36">
        <f t="shared" si="6"/>
        <v>83900</v>
      </c>
      <c r="E51" s="28">
        <f t="shared" si="7"/>
        <v>13983.333333333334</v>
      </c>
      <c r="F51" s="28">
        <f t="shared" si="8"/>
        <v>5972.8106170099391</v>
      </c>
      <c r="G51" s="32">
        <v>180</v>
      </c>
      <c r="H51" s="56">
        <v>23000</v>
      </c>
      <c r="I51" s="56">
        <v>7630</v>
      </c>
      <c r="J51" s="56">
        <v>14250</v>
      </c>
      <c r="K51" s="56">
        <v>10490</v>
      </c>
      <c r="L51" s="56">
        <v>18970</v>
      </c>
      <c r="O51" s="54">
        <v>9560</v>
      </c>
    </row>
    <row r="52" spans="1:15" ht="15.75" thickBot="1">
      <c r="D52" s="40">
        <f t="shared" si="6"/>
        <v>85530</v>
      </c>
      <c r="E52" s="34">
        <f t="shared" si="7"/>
        <v>14255</v>
      </c>
      <c r="F52" s="34">
        <f t="shared" si="8"/>
        <v>8018.1138679866599</v>
      </c>
      <c r="G52" s="35">
        <v>240</v>
      </c>
      <c r="H52" s="52">
        <v>26200</v>
      </c>
      <c r="I52" s="52">
        <v>12220</v>
      </c>
      <c r="J52" s="52">
        <v>19370</v>
      </c>
      <c r="K52" s="52">
        <v>9320</v>
      </c>
      <c r="L52" s="52">
        <v>3160</v>
      </c>
      <c r="O52" s="54">
        <v>15260</v>
      </c>
    </row>
    <row r="53" spans="1:15">
      <c r="D53" s="37">
        <f t="shared" si="6"/>
        <v>79590</v>
      </c>
      <c r="E53" s="28">
        <f t="shared" si="7"/>
        <v>13265</v>
      </c>
      <c r="F53" s="28">
        <f t="shared" si="8"/>
        <v>6253.0304653024041</v>
      </c>
      <c r="G53" s="32">
        <v>300</v>
      </c>
      <c r="H53" s="56">
        <v>20250</v>
      </c>
      <c r="I53" s="56">
        <v>9030</v>
      </c>
      <c r="J53" s="56">
        <v>16950</v>
      </c>
      <c r="K53" s="56">
        <v>12230</v>
      </c>
      <c r="L53" s="56">
        <v>3510</v>
      </c>
      <c r="O53" s="54">
        <v>17620</v>
      </c>
    </row>
    <row r="54" spans="1:15">
      <c r="D54" s="28">
        <f t="shared" si="6"/>
        <v>38850</v>
      </c>
      <c r="E54" s="28">
        <f t="shared" si="7"/>
        <v>6475</v>
      </c>
      <c r="F54" s="28">
        <f t="shared" si="8"/>
        <v>5625.1888857175272</v>
      </c>
      <c r="G54" s="32">
        <v>450</v>
      </c>
      <c r="H54" s="56">
        <v>16600</v>
      </c>
      <c r="I54" s="56">
        <v>1740</v>
      </c>
      <c r="J54" s="56">
        <v>5250</v>
      </c>
      <c r="K54" s="56">
        <v>5130</v>
      </c>
      <c r="L54" s="56">
        <v>1460</v>
      </c>
      <c r="O54" s="58">
        <v>8670</v>
      </c>
    </row>
    <row r="55" spans="1:15">
      <c r="D55" s="28">
        <f t="shared" si="6"/>
        <v>25920</v>
      </c>
      <c r="E55" s="28">
        <f t="shared" si="7"/>
        <v>4320</v>
      </c>
      <c r="F55" s="28">
        <f t="shared" si="8"/>
        <v>3914.7209351370116</v>
      </c>
      <c r="G55" s="32">
        <v>600</v>
      </c>
      <c r="H55" s="56">
        <v>8290</v>
      </c>
      <c r="I55" s="56">
        <v>770</v>
      </c>
      <c r="J55" s="56">
        <v>3230</v>
      </c>
      <c r="K55" s="56">
        <v>3990</v>
      </c>
      <c r="L55" s="56">
        <v>0</v>
      </c>
      <c r="O55" s="50">
        <v>9640</v>
      </c>
    </row>
    <row r="56" spans="1:15">
      <c r="D56" s="28">
        <f t="shared" si="6"/>
        <v>25320</v>
      </c>
      <c r="E56" s="28">
        <f t="shared" si="7"/>
        <v>4220</v>
      </c>
      <c r="F56" s="28">
        <f t="shared" si="8"/>
        <v>6063.5567120296646</v>
      </c>
      <c r="G56" s="32">
        <v>750</v>
      </c>
      <c r="H56" s="56">
        <v>7270</v>
      </c>
      <c r="I56" s="56">
        <v>-3310</v>
      </c>
      <c r="J56" s="56">
        <v>1490</v>
      </c>
      <c r="K56" s="56">
        <v>9600</v>
      </c>
      <c r="L56" s="56">
        <v>-1180</v>
      </c>
      <c r="O56" s="58">
        <v>11450</v>
      </c>
    </row>
    <row r="57" spans="1:15" ht="15.75" thickBot="1">
      <c r="A57" s="1">
        <f>SUM(D48:D57)</f>
        <v>579320</v>
      </c>
      <c r="B57" s="1">
        <f>AVERAGE(D48:D57)</f>
        <v>57932</v>
      </c>
      <c r="C57" s="1">
        <f>STDEV(D48:D57)</f>
        <v>28326.753667396013</v>
      </c>
      <c r="D57" s="42">
        <f t="shared" si="6"/>
        <v>14100</v>
      </c>
      <c r="E57" s="42">
        <f t="shared" si="7"/>
        <v>2350</v>
      </c>
      <c r="F57" s="42">
        <f t="shared" si="8"/>
        <v>9018.3235692671842</v>
      </c>
      <c r="G57" s="33">
        <v>900</v>
      </c>
      <c r="H57" s="56">
        <v>2080</v>
      </c>
      <c r="I57" s="56">
        <v>-8340</v>
      </c>
      <c r="J57" s="56">
        <v>3250</v>
      </c>
      <c r="K57" s="56">
        <v>11930</v>
      </c>
      <c r="L57" s="56">
        <v>-7400</v>
      </c>
      <c r="O57" s="50">
        <v>12580</v>
      </c>
    </row>
    <row r="58" spans="1:15">
      <c r="D58" s="41">
        <f t="shared" si="6"/>
        <v>86320</v>
      </c>
      <c r="E58" s="41">
        <f t="shared" si="7"/>
        <v>14386.666666666666</v>
      </c>
      <c r="F58" s="41">
        <f t="shared" si="8"/>
        <v>4350.3455801426453</v>
      </c>
      <c r="G58" s="31">
        <v>60</v>
      </c>
      <c r="H58" s="60">
        <v>19250</v>
      </c>
      <c r="I58" s="60">
        <v>15460</v>
      </c>
      <c r="J58" s="60">
        <v>9260</v>
      </c>
      <c r="K58" s="60">
        <v>8770</v>
      </c>
      <c r="L58" s="60">
        <v>17260</v>
      </c>
      <c r="O58" s="58">
        <v>16320</v>
      </c>
    </row>
    <row r="59" spans="1:15">
      <c r="D59" s="34">
        <f t="shared" si="6"/>
        <v>92130</v>
      </c>
      <c r="E59" s="34">
        <f t="shared" si="7"/>
        <v>15355</v>
      </c>
      <c r="F59" s="34">
        <f t="shared" si="8"/>
        <v>5582.382108025211</v>
      </c>
      <c r="G59" s="35">
        <v>120</v>
      </c>
      <c r="H59" s="52">
        <v>23260</v>
      </c>
      <c r="I59" s="52">
        <v>12240</v>
      </c>
      <c r="J59" s="52">
        <v>13370</v>
      </c>
      <c r="K59" s="52">
        <v>9290</v>
      </c>
      <c r="L59" s="52">
        <v>21320</v>
      </c>
      <c r="O59" s="58">
        <v>12650</v>
      </c>
    </row>
    <row r="60" spans="1:15">
      <c r="D60" s="29">
        <f t="shared" si="6"/>
        <v>72950</v>
      </c>
      <c r="E60" s="29">
        <f t="shared" si="7"/>
        <v>12158.333333333334</v>
      </c>
      <c r="F60" s="29">
        <f t="shared" si="8"/>
        <v>4286.2543866022088</v>
      </c>
      <c r="G60" s="32">
        <v>150</v>
      </c>
      <c r="H60" s="60">
        <v>18410</v>
      </c>
      <c r="I60" s="60">
        <v>8190</v>
      </c>
      <c r="J60" s="60">
        <v>14920</v>
      </c>
      <c r="K60" s="60">
        <v>9320</v>
      </c>
      <c r="L60" s="60">
        <v>14130</v>
      </c>
      <c r="O60" s="58">
        <v>7980</v>
      </c>
    </row>
    <row r="61" spans="1:15">
      <c r="D61" s="34">
        <f t="shared" si="6"/>
        <v>82860</v>
      </c>
      <c r="E61" s="34">
        <f t="shared" si="7"/>
        <v>13810</v>
      </c>
      <c r="F61" s="34">
        <f t="shared" si="8"/>
        <v>3955.3508061864754</v>
      </c>
      <c r="G61" s="35">
        <v>180</v>
      </c>
      <c r="H61" s="52">
        <v>15780</v>
      </c>
      <c r="I61" s="52">
        <v>9720</v>
      </c>
      <c r="J61" s="52">
        <v>18490</v>
      </c>
      <c r="K61" s="52">
        <v>10920</v>
      </c>
      <c r="L61" s="52">
        <v>10280</v>
      </c>
      <c r="O61" s="58">
        <v>17670</v>
      </c>
    </row>
    <row r="62" spans="1:15">
      <c r="D62" s="29">
        <f t="shared" si="6"/>
        <v>56510</v>
      </c>
      <c r="E62" s="29">
        <f t="shared" si="7"/>
        <v>9418.3333333333339</v>
      </c>
      <c r="F62" s="29">
        <f t="shared" si="8"/>
        <v>5577.7142869339104</v>
      </c>
      <c r="G62" s="32">
        <v>240</v>
      </c>
      <c r="H62" s="60">
        <v>13970</v>
      </c>
      <c r="I62" s="60">
        <v>4190</v>
      </c>
      <c r="J62" s="60">
        <v>7210</v>
      </c>
      <c r="K62" s="60">
        <v>13970</v>
      </c>
      <c r="L62" s="60">
        <v>2240</v>
      </c>
      <c r="O62" s="58">
        <v>14930</v>
      </c>
    </row>
    <row r="63" spans="1:15" ht="15.75" thickBot="1">
      <c r="D63" s="29">
        <f t="shared" si="6"/>
        <v>50950</v>
      </c>
      <c r="E63" s="29">
        <f t="shared" si="7"/>
        <v>8491.6666666666661</v>
      </c>
      <c r="F63" s="29">
        <f t="shared" si="8"/>
        <v>7514.6401555009052</v>
      </c>
      <c r="G63" s="32">
        <v>300</v>
      </c>
      <c r="H63" s="60">
        <v>13750</v>
      </c>
      <c r="I63" s="60">
        <v>9400</v>
      </c>
      <c r="J63" s="60">
        <v>5360</v>
      </c>
      <c r="K63" s="60">
        <v>8880</v>
      </c>
      <c r="L63" s="60">
        <v>-4130</v>
      </c>
      <c r="O63" s="62">
        <v>17690</v>
      </c>
    </row>
    <row r="64" spans="1:15">
      <c r="D64" s="29">
        <f t="shared" si="6"/>
        <v>327162.98966104834</v>
      </c>
      <c r="E64" s="29">
        <f t="shared" si="7"/>
        <v>54527.164943508054</v>
      </c>
      <c r="F64" s="29">
        <f t="shared" si="8"/>
        <v>125299.55314684346</v>
      </c>
      <c r="G64" s="32">
        <v>450</v>
      </c>
      <c r="H64" s="60">
        <v>6020</v>
      </c>
      <c r="I64" s="60">
        <v>-2510</v>
      </c>
      <c r="J64" s="60">
        <v>6510</v>
      </c>
      <c r="K64" s="60">
        <v>2010</v>
      </c>
      <c r="L64" s="60">
        <v>4930</v>
      </c>
      <c r="O64" s="1">
        <f>SUM(O34:O63)</f>
        <v>310202.98966104834</v>
      </c>
    </row>
    <row r="65" spans="1:15">
      <c r="D65" s="29">
        <f t="shared" si="6"/>
        <v>29378.678202180297</v>
      </c>
      <c r="E65" s="29">
        <f t="shared" si="7"/>
        <v>4896.4463670300493</v>
      </c>
      <c r="F65" s="29">
        <f t="shared" si="8"/>
        <v>6708.6599042767739</v>
      </c>
      <c r="G65" s="32">
        <v>600</v>
      </c>
      <c r="H65" s="60">
        <v>3150</v>
      </c>
      <c r="I65" s="60">
        <v>-4670</v>
      </c>
      <c r="J65" s="60">
        <v>9160</v>
      </c>
      <c r="K65" s="60">
        <v>11400</v>
      </c>
      <c r="L65" s="60">
        <v>-740</v>
      </c>
      <c r="O65" s="1">
        <f t="shared" ref="O65" si="9">AVERAGE(O34:O63)</f>
        <v>11078.678202180297</v>
      </c>
    </row>
    <row r="66" spans="1:15">
      <c r="D66" s="29">
        <f t="shared" si="6"/>
        <v>11678.389844951413</v>
      </c>
      <c r="E66" s="29">
        <f t="shared" si="7"/>
        <v>1946.3983074919022</v>
      </c>
      <c r="F66" s="29">
        <f t="shared" si="8"/>
        <v>6632.7821102082462</v>
      </c>
      <c r="G66" s="32">
        <v>750</v>
      </c>
      <c r="H66" s="60">
        <v>3170</v>
      </c>
      <c r="I66" s="60">
        <v>-4860</v>
      </c>
      <c r="J66" s="60">
        <v>7380</v>
      </c>
      <c r="K66" s="60">
        <v>9440</v>
      </c>
      <c r="L66" s="60">
        <v>-7180</v>
      </c>
      <c r="O66" s="1">
        <f t="shared" ref="O66" si="10">STDEV(O34:O63)</f>
        <v>3728.3898449514118</v>
      </c>
    </row>
    <row r="67" spans="1:15" ht="15.75" thickBot="1">
      <c r="A67" s="1">
        <f>SUM(D58:D67)</f>
        <v>830410.05770818016</v>
      </c>
      <c r="B67" s="1">
        <f>AVERAGE(D58:D67)</f>
        <v>83041.00577081801</v>
      </c>
      <c r="C67" s="1">
        <f>STDEV(D58:D67)</f>
        <v>90315.429856785107</v>
      </c>
      <c r="D67" s="30">
        <f t="shared" si="6"/>
        <v>20470</v>
      </c>
      <c r="E67" s="30">
        <f t="shared" si="7"/>
        <v>4094</v>
      </c>
      <c r="F67" s="30">
        <f t="shared" si="8"/>
        <v>11395.028740639489</v>
      </c>
      <c r="G67" s="33">
        <v>900</v>
      </c>
      <c r="H67" s="64">
        <v>16880</v>
      </c>
      <c r="I67" s="64">
        <v>-7380</v>
      </c>
      <c r="J67" s="64">
        <v>4960</v>
      </c>
      <c r="K67" s="64">
        <v>13520</v>
      </c>
      <c r="L67" s="64">
        <v>-7510</v>
      </c>
    </row>
    <row r="68" spans="1:15">
      <c r="C68" s="1" t="s">
        <v>0</v>
      </c>
      <c r="D68" s="1">
        <f>SUM(D38:D67)</f>
        <v>1982180.05770818</v>
      </c>
      <c r="H68" s="1">
        <f t="shared" ref="H68:M68" si="11">SUM(H38:H67)</f>
        <v>427690</v>
      </c>
      <c r="I68" s="1">
        <f t="shared" si="11"/>
        <v>167700</v>
      </c>
      <c r="J68" s="1">
        <f t="shared" si="11"/>
        <v>305230</v>
      </c>
      <c r="K68" s="1">
        <f t="shared" si="11"/>
        <v>229120</v>
      </c>
      <c r="L68" s="1">
        <f t="shared" si="11"/>
        <v>231730</v>
      </c>
      <c r="M68" s="1">
        <f t="shared" si="11"/>
        <v>0</v>
      </c>
    </row>
    <row r="69" spans="1:15">
      <c r="C69" s="1" t="s">
        <v>1</v>
      </c>
      <c r="D69" s="1">
        <f>AVERAGE(D38:D67)</f>
        <v>66072.668590272675</v>
      </c>
      <c r="H69" s="1">
        <f t="shared" ref="H69:M69" si="12">AVERAGE(H38:H67)</f>
        <v>14256.333333333334</v>
      </c>
      <c r="I69" s="1">
        <f t="shared" si="12"/>
        <v>5590</v>
      </c>
      <c r="J69" s="1">
        <f t="shared" si="12"/>
        <v>10174.333333333334</v>
      </c>
      <c r="K69" s="1">
        <f t="shared" si="12"/>
        <v>7637.333333333333</v>
      </c>
      <c r="L69" s="1">
        <f t="shared" si="12"/>
        <v>7724.333333333333</v>
      </c>
      <c r="M69" s="1" t="e">
        <f t="shared" si="12"/>
        <v>#DIV/0!</v>
      </c>
    </row>
    <row r="70" spans="1:15">
      <c r="C70" s="1" t="s">
        <v>2</v>
      </c>
      <c r="D70" s="1">
        <f>STDEV(D38:D67)</f>
        <v>55282.608940579143</v>
      </c>
      <c r="H70" s="1">
        <f t="shared" ref="H70:M70" si="13">STDEV(H38:H67)</f>
        <v>7534.6438871221471</v>
      </c>
      <c r="I70" s="1">
        <f t="shared" si="13"/>
        <v>7426.3361737479427</v>
      </c>
      <c r="J70" s="1">
        <f t="shared" si="13"/>
        <v>5074.2770392701623</v>
      </c>
      <c r="K70" s="1">
        <f t="shared" si="13"/>
        <v>3518.6732740047642</v>
      </c>
      <c r="L70" s="1">
        <f t="shared" si="13"/>
        <v>9292.5694020520532</v>
      </c>
      <c r="M70" s="1" t="e">
        <f t="shared" si="13"/>
        <v>#DIV/0!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Q27"/>
  <sheetViews>
    <sheetView workbookViewId="0">
      <selection activeCell="F19" sqref="F19"/>
    </sheetView>
  </sheetViews>
  <sheetFormatPr defaultRowHeight="15"/>
  <cols>
    <col min="1" max="1" width="11.28515625" customWidth="1"/>
    <col min="2" max="3" width="12.85546875" customWidth="1"/>
    <col min="4" max="4" width="11.7109375" customWidth="1"/>
    <col min="5" max="5" width="11.5703125" customWidth="1"/>
  </cols>
  <sheetData>
    <row r="1" spans="1:17">
      <c r="A1" t="s">
        <v>185</v>
      </c>
      <c r="B1">
        <f>SUM(B3,B10,B18,B25)</f>
        <v>-2856</v>
      </c>
      <c r="E1">
        <f>SUM(E3,E10,E18,E25)</f>
        <v>-11654</v>
      </c>
    </row>
    <row r="2" spans="1:17">
      <c r="D2" t="s">
        <v>65</v>
      </c>
      <c r="K2">
        <f>SUM(K3:K10)</f>
        <v>6065</v>
      </c>
    </row>
    <row r="3" spans="1:17">
      <c r="A3" s="197">
        <v>43713</v>
      </c>
      <c r="B3" s="302">
        <f>SUM(B4:B9)</f>
        <v>78</v>
      </c>
      <c r="D3" s="197">
        <v>43741</v>
      </c>
      <c r="E3" s="302">
        <f>SUM(E4:E9)</f>
        <v>-7306</v>
      </c>
      <c r="I3">
        <v>1</v>
      </c>
      <c r="J3">
        <v>260</v>
      </c>
      <c r="K3">
        <f>I3*J3</f>
        <v>260</v>
      </c>
      <c r="M3">
        <v>31</v>
      </c>
      <c r="N3">
        <v>8911</v>
      </c>
      <c r="O3">
        <v>4456</v>
      </c>
      <c r="P3">
        <f>N3+O3</f>
        <v>13367</v>
      </c>
      <c r="Q3">
        <f>P3*P8</f>
        <v>8130.0657534246566</v>
      </c>
    </row>
    <row r="4" spans="1:17">
      <c r="B4">
        <v>-1117</v>
      </c>
      <c r="E4">
        <v>42</v>
      </c>
      <c r="I4">
        <v>4</v>
      </c>
      <c r="J4">
        <v>650</v>
      </c>
      <c r="K4">
        <f t="shared" ref="K4:K10" si="0">I4*J4</f>
        <v>2600</v>
      </c>
      <c r="M4">
        <v>28</v>
      </c>
    </row>
    <row r="5" spans="1:17">
      <c r="B5">
        <v>-18</v>
      </c>
      <c r="E5">
        <v>-4118</v>
      </c>
      <c r="I5">
        <v>2</v>
      </c>
      <c r="J5">
        <v>460</v>
      </c>
      <c r="K5">
        <f t="shared" si="0"/>
        <v>920</v>
      </c>
      <c r="M5">
        <v>31</v>
      </c>
    </row>
    <row r="6" spans="1:17">
      <c r="B6">
        <v>-37</v>
      </c>
      <c r="E6">
        <v>-610</v>
      </c>
      <c r="I6">
        <v>2</v>
      </c>
      <c r="J6">
        <v>206</v>
      </c>
      <c r="K6">
        <f t="shared" si="0"/>
        <v>412</v>
      </c>
      <c r="M6">
        <v>30</v>
      </c>
    </row>
    <row r="7" spans="1:17">
      <c r="B7">
        <v>-31</v>
      </c>
      <c r="E7">
        <v>-335</v>
      </c>
      <c r="I7">
        <v>3</v>
      </c>
      <c r="J7">
        <v>260</v>
      </c>
      <c r="K7">
        <f t="shared" si="0"/>
        <v>780</v>
      </c>
      <c r="M7">
        <v>23</v>
      </c>
    </row>
    <row r="8" spans="1:17">
      <c r="B8">
        <v>1281</v>
      </c>
      <c r="E8">
        <v>-2285</v>
      </c>
      <c r="I8">
        <v>2</v>
      </c>
      <c r="J8">
        <v>197</v>
      </c>
      <c r="K8">
        <f t="shared" si="0"/>
        <v>394</v>
      </c>
      <c r="M8">
        <f>SUM(M3:M7)</f>
        <v>143</v>
      </c>
      <c r="N8">
        <v>365</v>
      </c>
      <c r="O8">
        <f>M8/N8</f>
        <v>0.39178082191780822</v>
      </c>
      <c r="P8">
        <f>1-O8</f>
        <v>0.60821917808219172</v>
      </c>
    </row>
    <row r="9" spans="1:17">
      <c r="I9">
        <v>1</v>
      </c>
      <c r="J9">
        <v>197</v>
      </c>
      <c r="K9">
        <f t="shared" si="0"/>
        <v>197</v>
      </c>
    </row>
    <row r="10" spans="1:17">
      <c r="A10" s="197">
        <v>43720</v>
      </c>
      <c r="B10" s="302">
        <f>SUM(B11:B16)</f>
        <v>76</v>
      </c>
      <c r="D10" s="197">
        <v>43748</v>
      </c>
      <c r="E10" s="302">
        <f>SUM(E11:E16)</f>
        <v>-2205</v>
      </c>
      <c r="I10">
        <v>2</v>
      </c>
      <c r="J10">
        <v>251</v>
      </c>
      <c r="K10">
        <f t="shared" si="0"/>
        <v>502</v>
      </c>
    </row>
    <row r="11" spans="1:17">
      <c r="B11">
        <v>-665</v>
      </c>
      <c r="E11">
        <v>-1405</v>
      </c>
    </row>
    <row r="12" spans="1:17">
      <c r="B12">
        <v>-48</v>
      </c>
      <c r="E12">
        <v>-365</v>
      </c>
    </row>
    <row r="13" spans="1:17">
      <c r="B13">
        <v>-852</v>
      </c>
      <c r="E13">
        <v>-835</v>
      </c>
    </row>
    <row r="14" spans="1:17">
      <c r="B14">
        <v>6</v>
      </c>
      <c r="E14">
        <v>400</v>
      </c>
    </row>
    <row r="15" spans="1:17">
      <c r="B15">
        <v>683</v>
      </c>
      <c r="E15">
        <v>0</v>
      </c>
    </row>
    <row r="16" spans="1:17">
      <c r="B16">
        <v>952</v>
      </c>
    </row>
    <row r="18" spans="1:5">
      <c r="A18" s="197">
        <v>43727</v>
      </c>
      <c r="B18" s="302">
        <f>SUM(B19:B24)</f>
        <v>-1990</v>
      </c>
      <c r="D18" s="197" t="s">
        <v>214</v>
      </c>
      <c r="E18" s="302">
        <f>SUM(E19:E24)</f>
        <v>-2143</v>
      </c>
    </row>
    <row r="19" spans="1:5">
      <c r="B19">
        <v>44</v>
      </c>
      <c r="E19">
        <v>-1416</v>
      </c>
    </row>
    <row r="20" spans="1:5">
      <c r="B20">
        <v>-677</v>
      </c>
      <c r="E20">
        <v>-4730</v>
      </c>
    </row>
    <row r="21" spans="1:5">
      <c r="B21">
        <v>-198</v>
      </c>
      <c r="E21">
        <v>-135</v>
      </c>
    </row>
    <row r="22" spans="1:5">
      <c r="B22">
        <v>-1283</v>
      </c>
      <c r="E22">
        <v>-132</v>
      </c>
    </row>
    <row r="23" spans="1:5">
      <c r="B23">
        <v>124</v>
      </c>
      <c r="E23">
        <v>1770</v>
      </c>
    </row>
    <row r="24" spans="1:5">
      <c r="E24">
        <v>2500</v>
      </c>
    </row>
    <row r="25" spans="1:5">
      <c r="A25" s="197">
        <v>43734</v>
      </c>
      <c r="B25" s="302">
        <f>SUM(B26:B31)</f>
        <v>-1020</v>
      </c>
    </row>
    <row r="26" spans="1:5">
      <c r="B26">
        <v>-234</v>
      </c>
    </row>
    <row r="27" spans="1:5">
      <c r="B27">
        <v>-786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2:K24"/>
  <sheetViews>
    <sheetView workbookViewId="0">
      <selection activeCell="G24" sqref="G24"/>
    </sheetView>
  </sheetViews>
  <sheetFormatPr defaultRowHeight="15"/>
  <cols>
    <col min="1" max="1" width="21.28515625" customWidth="1"/>
    <col min="2" max="2" width="12.140625" customWidth="1"/>
    <col min="3" max="3" width="12" customWidth="1"/>
    <col min="4" max="4" width="11.28515625" customWidth="1"/>
    <col min="5" max="6" width="10.28515625" customWidth="1"/>
    <col min="7" max="7" width="13.28515625" customWidth="1"/>
    <col min="8" max="8" width="15.5703125" customWidth="1"/>
    <col min="9" max="9" width="12.7109375" customWidth="1"/>
    <col min="10" max="10" width="13.28515625" customWidth="1"/>
  </cols>
  <sheetData>
    <row r="2" spans="1:11">
      <c r="A2" t="s">
        <v>186</v>
      </c>
      <c r="B2" t="s">
        <v>196</v>
      </c>
      <c r="J2" t="s">
        <v>198</v>
      </c>
    </row>
    <row r="4" spans="1:11">
      <c r="B4" t="s">
        <v>187</v>
      </c>
      <c r="C4" t="s">
        <v>188</v>
      </c>
      <c r="D4" t="s">
        <v>189</v>
      </c>
      <c r="E4" t="s">
        <v>190</v>
      </c>
      <c r="G4" t="s">
        <v>195</v>
      </c>
      <c r="H4" s="237" t="s">
        <v>194</v>
      </c>
      <c r="I4" t="s">
        <v>195</v>
      </c>
      <c r="J4" t="s">
        <v>199</v>
      </c>
      <c r="K4" t="s">
        <v>200</v>
      </c>
    </row>
    <row r="5" spans="1:11">
      <c r="B5" t="s">
        <v>187</v>
      </c>
      <c r="C5" t="s">
        <v>188</v>
      </c>
      <c r="D5" t="s">
        <v>191</v>
      </c>
      <c r="E5" t="s">
        <v>192</v>
      </c>
      <c r="J5" t="s">
        <v>201</v>
      </c>
      <c r="K5" t="s">
        <v>193</v>
      </c>
    </row>
    <row r="6" spans="1:11">
      <c r="B6" t="s">
        <v>187</v>
      </c>
      <c r="C6" t="s">
        <v>193</v>
      </c>
      <c r="D6" t="s">
        <v>189</v>
      </c>
      <c r="E6" t="s">
        <v>190</v>
      </c>
      <c r="H6" s="303" t="s">
        <v>197</v>
      </c>
    </row>
    <row r="7" spans="1:11">
      <c r="B7" t="s">
        <v>187</v>
      </c>
      <c r="C7" t="s">
        <v>193</v>
      </c>
      <c r="D7" t="s">
        <v>191</v>
      </c>
      <c r="E7" t="s">
        <v>190</v>
      </c>
      <c r="H7" s="303" t="s">
        <v>197</v>
      </c>
    </row>
    <row r="9" spans="1:11">
      <c r="B9" t="s">
        <v>57</v>
      </c>
      <c r="C9" t="s">
        <v>188</v>
      </c>
      <c r="D9" t="s">
        <v>189</v>
      </c>
      <c r="E9" t="s">
        <v>196</v>
      </c>
    </row>
    <row r="10" spans="1:11">
      <c r="B10" t="s">
        <v>57</v>
      </c>
      <c r="C10" t="s">
        <v>188</v>
      </c>
      <c r="D10" t="s">
        <v>191</v>
      </c>
      <c r="E10" t="s">
        <v>196</v>
      </c>
    </row>
    <row r="11" spans="1:11">
      <c r="B11" t="s">
        <v>57</v>
      </c>
      <c r="C11" t="s">
        <v>193</v>
      </c>
      <c r="D11" t="s">
        <v>189</v>
      </c>
      <c r="E11" t="s">
        <v>190</v>
      </c>
      <c r="H11" s="303" t="s">
        <v>197</v>
      </c>
    </row>
    <row r="12" spans="1:11">
      <c r="B12" t="s">
        <v>57</v>
      </c>
      <c r="C12" t="s">
        <v>193</v>
      </c>
      <c r="D12" t="s">
        <v>191</v>
      </c>
      <c r="E12" t="s">
        <v>190</v>
      </c>
      <c r="H12" s="303" t="s">
        <v>197</v>
      </c>
    </row>
    <row r="15" spans="1:11">
      <c r="B15" t="s">
        <v>202</v>
      </c>
    </row>
    <row r="17" spans="2:9">
      <c r="B17" t="s">
        <v>203</v>
      </c>
      <c r="C17" t="s">
        <v>188</v>
      </c>
      <c r="D17" t="s">
        <v>189</v>
      </c>
      <c r="E17" t="s">
        <v>205</v>
      </c>
      <c r="G17" t="s">
        <v>204</v>
      </c>
    </row>
    <row r="18" spans="2:9" s="303" customFormat="1">
      <c r="B18" s="303" t="s">
        <v>203</v>
      </c>
      <c r="C18" s="303" t="s">
        <v>193</v>
      </c>
      <c r="D18" s="303" t="s">
        <v>189</v>
      </c>
      <c r="E18" s="303" t="s">
        <v>205</v>
      </c>
      <c r="G18" s="303" t="s">
        <v>206</v>
      </c>
      <c r="H18" s="303" t="s">
        <v>207</v>
      </c>
      <c r="I18" s="303" t="s">
        <v>208</v>
      </c>
    </row>
    <row r="19" spans="2:9" s="303" customFormat="1">
      <c r="B19" s="303" t="s">
        <v>203</v>
      </c>
      <c r="C19" s="303" t="s">
        <v>188</v>
      </c>
      <c r="D19" s="303" t="s">
        <v>191</v>
      </c>
      <c r="E19" s="303" t="s">
        <v>205</v>
      </c>
      <c r="F19" s="303" t="s">
        <v>192</v>
      </c>
      <c r="G19" s="303" t="s">
        <v>206</v>
      </c>
    </row>
    <row r="20" spans="2:9" s="303" customFormat="1">
      <c r="B20" s="303" t="s">
        <v>203</v>
      </c>
      <c r="C20" s="303" t="s">
        <v>193</v>
      </c>
      <c r="D20" s="303" t="s">
        <v>191</v>
      </c>
      <c r="E20" s="303" t="s">
        <v>205</v>
      </c>
      <c r="G20" s="303" t="s">
        <v>206</v>
      </c>
    </row>
    <row r="21" spans="2:9">
      <c r="B21" t="s">
        <v>57</v>
      </c>
      <c r="C21" t="s">
        <v>193</v>
      </c>
      <c r="D21" t="s">
        <v>200</v>
      </c>
      <c r="E21" t="s">
        <v>205</v>
      </c>
      <c r="G21" t="s">
        <v>204</v>
      </c>
    </row>
    <row r="23" spans="2:9">
      <c r="B23" s="303" t="s">
        <v>187</v>
      </c>
      <c r="C23" s="303" t="s">
        <v>209</v>
      </c>
      <c r="D23" s="303" t="s">
        <v>209</v>
      </c>
      <c r="G23" s="303" t="s">
        <v>210</v>
      </c>
    </row>
    <row r="24" spans="2:9">
      <c r="B24" s="303" t="s">
        <v>57</v>
      </c>
      <c r="C24" s="303" t="s">
        <v>211</v>
      </c>
      <c r="D24" s="303" t="s">
        <v>189</v>
      </c>
      <c r="E24" s="303" t="s">
        <v>205</v>
      </c>
      <c r="G24" s="303" t="s">
        <v>210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B2:C20"/>
  <sheetViews>
    <sheetView workbookViewId="0">
      <selection activeCell="C4" sqref="C4"/>
    </sheetView>
  </sheetViews>
  <sheetFormatPr defaultRowHeight="15"/>
  <cols>
    <col min="3" max="3" width="12.140625" customWidth="1"/>
  </cols>
  <sheetData>
    <row r="2" spans="2:3">
      <c r="B2" t="s">
        <v>212</v>
      </c>
      <c r="C2" s="197">
        <v>43753</v>
      </c>
    </row>
    <row r="3" spans="2:3">
      <c r="C3" s="197"/>
    </row>
    <row r="4" spans="2:3">
      <c r="B4" t="s">
        <v>213</v>
      </c>
      <c r="C4">
        <v>12331</v>
      </c>
    </row>
    <row r="5" spans="2:3">
      <c r="B5" t="s">
        <v>185</v>
      </c>
      <c r="C5" s="196">
        <f>SUM(C6:C20)</f>
        <v>-9025</v>
      </c>
    </row>
    <row r="6" spans="2:3">
      <c r="C6" s="196">
        <v>2282</v>
      </c>
    </row>
    <row r="7" spans="2:3">
      <c r="C7" s="196">
        <v>-4118</v>
      </c>
    </row>
    <row r="8" spans="2:3">
      <c r="C8" s="196">
        <v>-2061</v>
      </c>
    </row>
    <row r="9" spans="2:3">
      <c r="C9" s="196">
        <v>-346</v>
      </c>
    </row>
    <row r="10" spans="2:3">
      <c r="C10" s="196">
        <v>-2285</v>
      </c>
    </row>
    <row r="11" spans="2:3">
      <c r="C11" s="196">
        <v>-1405</v>
      </c>
    </row>
    <row r="12" spans="2:3">
      <c r="C12" s="196">
        <v>-365</v>
      </c>
    </row>
    <row r="13" spans="2:3">
      <c r="C13" s="196">
        <v>-835</v>
      </c>
    </row>
    <row r="14" spans="2:3">
      <c r="C14" s="196">
        <v>400</v>
      </c>
    </row>
    <row r="15" spans="2:3">
      <c r="C15" s="196">
        <v>-1540</v>
      </c>
    </row>
    <row r="16" spans="2:3">
      <c r="C16" s="196">
        <v>-135</v>
      </c>
    </row>
    <row r="17" spans="3:3">
      <c r="C17" s="196">
        <v>-352</v>
      </c>
    </row>
    <row r="18" spans="3:3">
      <c r="C18" s="196">
        <v>2755</v>
      </c>
    </row>
    <row r="19" spans="3:3">
      <c r="C19" s="196">
        <v>-234</v>
      </c>
    </row>
    <row r="20" spans="3:3">
      <c r="C20" s="196">
        <v>-786</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dimension ref="B1:L15"/>
  <sheetViews>
    <sheetView workbookViewId="0">
      <selection activeCell="L1" sqref="L1"/>
    </sheetView>
  </sheetViews>
  <sheetFormatPr defaultRowHeight="15"/>
  <cols>
    <col min="11" max="11" width="9.140625" style="196"/>
    <col min="12" max="12" width="8" customWidth="1"/>
  </cols>
  <sheetData>
    <row r="1" spans="2:12">
      <c r="C1">
        <v>140</v>
      </c>
      <c r="D1">
        <v>188</v>
      </c>
      <c r="E1">
        <v>224</v>
      </c>
      <c r="F1">
        <v>260</v>
      </c>
      <c r="L1">
        <f>SUM(L2:L5)</f>
        <v>1.0800000000000036</v>
      </c>
    </row>
    <row r="2" spans="2:12">
      <c r="C2">
        <f>SUM(C3:C15)</f>
        <v>-141</v>
      </c>
      <c r="D2">
        <f>SUM(D3:D15)</f>
        <v>445</v>
      </c>
      <c r="E2">
        <f>SUM(E3:E15)</f>
        <v>1490</v>
      </c>
      <c r="F2">
        <f>SUM(F3:F15)</f>
        <v>1639</v>
      </c>
      <c r="H2" t="s">
        <v>215</v>
      </c>
      <c r="I2">
        <v>63500</v>
      </c>
      <c r="J2">
        <v>6</v>
      </c>
      <c r="K2" s="196">
        <v>0.93</v>
      </c>
      <c r="L2">
        <f>J2*K2</f>
        <v>5.58</v>
      </c>
    </row>
    <row r="3" spans="2:12">
      <c r="B3">
        <v>5</v>
      </c>
      <c r="C3">
        <v>-228</v>
      </c>
      <c r="D3">
        <v>-488</v>
      </c>
      <c r="E3">
        <v>-432</v>
      </c>
      <c r="F3">
        <v>-404</v>
      </c>
      <c r="H3" t="s">
        <v>215</v>
      </c>
      <c r="I3">
        <v>64000</v>
      </c>
      <c r="J3">
        <v>20</v>
      </c>
      <c r="K3" s="196">
        <v>0.64</v>
      </c>
      <c r="L3">
        <f t="shared" ref="L3:L5" si="0">J3*K3</f>
        <v>12.8</v>
      </c>
    </row>
    <row r="4" spans="2:12">
      <c r="B4">
        <v>10</v>
      </c>
      <c r="C4">
        <v>-605</v>
      </c>
      <c r="D4">
        <v>-474</v>
      </c>
      <c r="E4">
        <v>-255</v>
      </c>
      <c r="F4">
        <v>41</v>
      </c>
      <c r="H4" t="s">
        <v>216</v>
      </c>
      <c r="I4">
        <v>64500</v>
      </c>
      <c r="J4">
        <v>10</v>
      </c>
      <c r="K4" s="196">
        <v>-0.79</v>
      </c>
      <c r="L4">
        <f t="shared" si="0"/>
        <v>-7.9</v>
      </c>
    </row>
    <row r="5" spans="2:12">
      <c r="B5">
        <v>14</v>
      </c>
      <c r="C5">
        <v>-570</v>
      </c>
      <c r="D5">
        <v>-256</v>
      </c>
      <c r="E5">
        <v>173</v>
      </c>
      <c r="F5">
        <v>155</v>
      </c>
      <c r="H5" t="s">
        <v>216</v>
      </c>
      <c r="I5">
        <v>65000</v>
      </c>
      <c r="J5">
        <v>10</v>
      </c>
      <c r="K5" s="196">
        <v>-0.94</v>
      </c>
      <c r="L5">
        <f t="shared" si="0"/>
        <v>-9.3999999999999986</v>
      </c>
    </row>
    <row r="6" spans="2:12">
      <c r="B6">
        <v>26</v>
      </c>
      <c r="C6">
        <v>-6</v>
      </c>
      <c r="D6">
        <v>170</v>
      </c>
      <c r="E6">
        <v>347</v>
      </c>
      <c r="F6">
        <v>364</v>
      </c>
    </row>
    <row r="7" spans="2:12">
      <c r="B7">
        <v>45</v>
      </c>
      <c r="C7">
        <v>185</v>
      </c>
      <c r="D7">
        <v>192</v>
      </c>
      <c r="E7">
        <v>433</v>
      </c>
      <c r="F7">
        <v>294</v>
      </c>
    </row>
    <row r="8" spans="2:12">
      <c r="B8">
        <v>65</v>
      </c>
      <c r="C8">
        <v>193</v>
      </c>
      <c r="D8">
        <v>320</v>
      </c>
      <c r="E8">
        <v>257</v>
      </c>
      <c r="F8">
        <v>151</v>
      </c>
    </row>
    <row r="9" spans="2:12">
      <c r="B9">
        <v>95</v>
      </c>
      <c r="C9">
        <v>95</v>
      </c>
      <c r="D9">
        <v>125</v>
      </c>
      <c r="E9">
        <v>145</v>
      </c>
      <c r="F9">
        <v>144</v>
      </c>
    </row>
    <row r="10" spans="2:12">
      <c r="B10">
        <v>140</v>
      </c>
      <c r="C10">
        <v>114</v>
      </c>
      <c r="D10">
        <v>150</v>
      </c>
      <c r="E10">
        <v>150</v>
      </c>
      <c r="F10">
        <v>145</v>
      </c>
    </row>
    <row r="11" spans="2:12">
      <c r="B11">
        <v>188</v>
      </c>
      <c r="C11">
        <v>134</v>
      </c>
      <c r="D11">
        <v>140</v>
      </c>
      <c r="E11">
        <v>131</v>
      </c>
      <c r="F11">
        <v>198</v>
      </c>
    </row>
    <row r="12" spans="2:12">
      <c r="B12">
        <v>260</v>
      </c>
      <c r="C12">
        <v>130</v>
      </c>
      <c r="D12">
        <v>140</v>
      </c>
      <c r="E12">
        <v>140</v>
      </c>
      <c r="F12">
        <v>111</v>
      </c>
    </row>
    <row r="13" spans="2:12">
      <c r="B13">
        <v>340</v>
      </c>
      <c r="C13">
        <v>129</v>
      </c>
      <c r="D13">
        <v>129</v>
      </c>
      <c r="E13">
        <v>110</v>
      </c>
      <c r="F13">
        <v>146</v>
      </c>
    </row>
    <row r="14" spans="2:12">
      <c r="B14">
        <v>420</v>
      </c>
      <c r="C14">
        <v>138</v>
      </c>
      <c r="D14">
        <v>157</v>
      </c>
      <c r="E14">
        <v>157</v>
      </c>
      <c r="F14">
        <v>157</v>
      </c>
    </row>
    <row r="15" spans="2:12">
      <c r="B15">
        <v>550</v>
      </c>
      <c r="C15">
        <v>150</v>
      </c>
      <c r="D15">
        <v>140</v>
      </c>
      <c r="E15">
        <v>134</v>
      </c>
      <c r="F15">
        <v>137</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D8"/>
  <sheetViews>
    <sheetView zoomScale="65" zoomScaleNormal="65" workbookViewId="0">
      <selection activeCell="C4" sqref="C4"/>
    </sheetView>
  </sheetViews>
  <sheetFormatPr defaultRowHeight="15"/>
  <cols>
    <col min="1" max="1" width="12.28515625" customWidth="1"/>
    <col min="2" max="2" width="13.5703125" customWidth="1"/>
    <col min="3" max="3" width="10.140625" bestFit="1" customWidth="1"/>
    <col min="4" max="4" width="13.85546875" customWidth="1"/>
  </cols>
  <sheetData>
    <row r="1" spans="1:4">
      <c r="A1" s="197">
        <v>43796</v>
      </c>
      <c r="B1" t="s">
        <v>217</v>
      </c>
      <c r="C1" s="197">
        <v>43811</v>
      </c>
    </row>
    <row r="2" spans="1:4">
      <c r="B2">
        <v>500</v>
      </c>
      <c r="C2">
        <v>1</v>
      </c>
      <c r="D2">
        <f>B2*C2</f>
        <v>500</v>
      </c>
    </row>
    <row r="3" spans="1:4">
      <c r="B3">
        <v>485</v>
      </c>
      <c r="C3">
        <v>2</v>
      </c>
      <c r="D3">
        <f>B3*C3</f>
        <v>970</v>
      </c>
    </row>
    <row r="4" spans="1:4">
      <c r="B4">
        <v>550</v>
      </c>
      <c r="C4">
        <v>1</v>
      </c>
      <c r="D4">
        <f t="shared" ref="D4:D6" si="0">B4*C4</f>
        <v>550</v>
      </c>
    </row>
    <row r="5" spans="1:4">
      <c r="B5">
        <v>520</v>
      </c>
      <c r="C5">
        <v>2</v>
      </c>
      <c r="D5">
        <f t="shared" si="0"/>
        <v>1040</v>
      </c>
    </row>
    <row r="6" spans="1:4">
      <c r="B6">
        <v>500</v>
      </c>
      <c r="C6">
        <v>10</v>
      </c>
      <c r="D6">
        <f t="shared" si="0"/>
        <v>5000</v>
      </c>
    </row>
    <row r="7" spans="1:4">
      <c r="B7">
        <v>650</v>
      </c>
      <c r="C7">
        <v>-2</v>
      </c>
      <c r="D7">
        <f>B7*C7</f>
        <v>-1300</v>
      </c>
    </row>
    <row r="8" spans="1:4">
      <c r="B8">
        <v>650</v>
      </c>
      <c r="C8">
        <v>-14</v>
      </c>
      <c r="D8">
        <f>B8*C8</f>
        <v>-9100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B2:G17"/>
  <sheetViews>
    <sheetView topLeftCell="A5" workbookViewId="0">
      <selection activeCell="C9" sqref="C9"/>
    </sheetView>
  </sheetViews>
  <sheetFormatPr defaultRowHeight="15"/>
  <cols>
    <col min="2" max="2" width="10.85546875" customWidth="1"/>
    <col min="3" max="3" width="9.140625" customWidth="1"/>
    <col min="4" max="5" width="9" customWidth="1"/>
    <col min="6" max="6" width="7" customWidth="1"/>
    <col min="7" max="7" width="8.140625" customWidth="1"/>
  </cols>
  <sheetData>
    <row r="2" spans="2:7">
      <c r="C2" t="s">
        <v>227</v>
      </c>
      <c r="D2" t="s">
        <v>218</v>
      </c>
      <c r="E2" t="s">
        <v>219</v>
      </c>
      <c r="F2" t="s">
        <v>220</v>
      </c>
      <c r="G2" t="s">
        <v>224</v>
      </c>
    </row>
    <row r="3" spans="2:7">
      <c r="B3" t="s">
        <v>221</v>
      </c>
      <c r="C3" t="s">
        <v>228</v>
      </c>
      <c r="D3" t="s">
        <v>222</v>
      </c>
      <c r="E3" t="s">
        <v>223</v>
      </c>
      <c r="F3">
        <v>2</v>
      </c>
      <c r="G3" t="s">
        <v>225</v>
      </c>
    </row>
    <row r="4" spans="2:7">
      <c r="B4" t="s">
        <v>226</v>
      </c>
      <c r="C4" t="s">
        <v>229</v>
      </c>
      <c r="D4" t="s">
        <v>230</v>
      </c>
      <c r="E4" t="s">
        <v>231</v>
      </c>
      <c r="F4">
        <v>1</v>
      </c>
      <c r="G4" t="s">
        <v>232</v>
      </c>
    </row>
    <row r="5" spans="2:7">
      <c r="B5" t="s">
        <v>233</v>
      </c>
      <c r="C5" t="s">
        <v>228</v>
      </c>
      <c r="D5" t="s">
        <v>230</v>
      </c>
      <c r="E5" t="s">
        <v>223</v>
      </c>
      <c r="F5">
        <v>2</v>
      </c>
      <c r="G5" t="s">
        <v>225</v>
      </c>
    </row>
    <row r="7" spans="2:7">
      <c r="C7" t="s">
        <v>221</v>
      </c>
      <c r="D7" t="s">
        <v>237</v>
      </c>
      <c r="E7" t="s">
        <v>226</v>
      </c>
    </row>
    <row r="8" spans="2:7">
      <c r="C8">
        <f>SUM(C9:C17)</f>
        <v>16</v>
      </c>
      <c r="D8">
        <f t="shared" ref="D8" si="0">SUM(D9:D17)</f>
        <v>16</v>
      </c>
      <c r="E8">
        <f>SUM(E9:E17)</f>
        <v>16</v>
      </c>
    </row>
    <row r="9" spans="2:7">
      <c r="B9" t="s">
        <v>227</v>
      </c>
      <c r="C9">
        <v>2</v>
      </c>
      <c r="D9">
        <v>2</v>
      </c>
      <c r="E9">
        <v>3</v>
      </c>
    </row>
    <row r="10" spans="2:7">
      <c r="B10" t="s">
        <v>218</v>
      </c>
      <c r="C10">
        <v>1</v>
      </c>
      <c r="D10">
        <v>0</v>
      </c>
      <c r="E10">
        <v>0</v>
      </c>
    </row>
    <row r="11" spans="2:7">
      <c r="B11" t="s">
        <v>235</v>
      </c>
      <c r="C11">
        <v>3</v>
      </c>
      <c r="D11">
        <v>3</v>
      </c>
      <c r="E11">
        <v>3</v>
      </c>
    </row>
    <row r="12" spans="2:7">
      <c r="B12" t="s">
        <v>234</v>
      </c>
      <c r="C12">
        <v>3</v>
      </c>
      <c r="D12">
        <v>3</v>
      </c>
      <c r="E12">
        <v>3</v>
      </c>
    </row>
    <row r="13" spans="2:7">
      <c r="B13" t="s">
        <v>224</v>
      </c>
      <c r="C13">
        <v>1</v>
      </c>
      <c r="D13">
        <v>1</v>
      </c>
      <c r="E13">
        <v>2</v>
      </c>
    </row>
    <row r="14" spans="2:7">
      <c r="B14" t="s">
        <v>239</v>
      </c>
      <c r="C14">
        <v>1</v>
      </c>
      <c r="D14">
        <v>1</v>
      </c>
      <c r="E14">
        <v>0</v>
      </c>
    </row>
    <row r="15" spans="2:7">
      <c r="B15" t="s">
        <v>236</v>
      </c>
      <c r="C15">
        <v>1</v>
      </c>
      <c r="D15">
        <v>2</v>
      </c>
      <c r="E15">
        <v>3</v>
      </c>
    </row>
    <row r="16" spans="2:7">
      <c r="B16" t="s">
        <v>220</v>
      </c>
      <c r="C16">
        <v>2</v>
      </c>
      <c r="D16">
        <v>2</v>
      </c>
      <c r="E16">
        <v>1</v>
      </c>
    </row>
    <row r="17" spans="2:5">
      <c r="B17" t="s">
        <v>238</v>
      </c>
      <c r="C17">
        <v>2</v>
      </c>
      <c r="D17">
        <v>2</v>
      </c>
      <c r="E17">
        <v>1</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R114"/>
  <sheetViews>
    <sheetView workbookViewId="0">
      <selection activeCell="K13" sqref="K13"/>
    </sheetView>
  </sheetViews>
  <sheetFormatPr defaultRowHeight="15"/>
  <cols>
    <col min="1" max="1" width="14.140625" customWidth="1"/>
    <col min="2" max="2" width="19.140625" customWidth="1"/>
    <col min="3" max="3" width="45.42578125" customWidth="1"/>
    <col min="4" max="4" width="11.85546875" customWidth="1"/>
    <col min="5" max="5" width="7.42578125" customWidth="1"/>
    <col min="6" max="6" width="10.85546875" style="196" customWidth="1"/>
    <col min="7" max="7" width="10" style="196" customWidth="1"/>
    <col min="8" max="8" width="9.140625" customWidth="1"/>
    <col min="9" max="9" width="9.42578125" customWidth="1"/>
    <col min="10" max="10" width="12.140625" customWidth="1"/>
    <col min="11" max="11" width="11.28515625" style="216" customWidth="1"/>
    <col min="12" max="12" width="9.140625" customWidth="1"/>
    <col min="13" max="13" width="10.85546875" style="196" customWidth="1"/>
    <col min="14" max="14" width="10.5703125" customWidth="1"/>
    <col min="15" max="15" width="14.5703125" customWidth="1"/>
    <col min="17" max="17" width="11.140625" style="235" customWidth="1"/>
  </cols>
  <sheetData>
    <row r="1" spans="1:17">
      <c r="A1">
        <v>200</v>
      </c>
      <c r="B1">
        <v>0.15</v>
      </c>
      <c r="C1" s="196">
        <v>130</v>
      </c>
      <c r="D1">
        <v>62.85</v>
      </c>
      <c r="E1">
        <v>100</v>
      </c>
      <c r="F1" s="196">
        <v>2</v>
      </c>
      <c r="G1" s="196">
        <f>E1/F1</f>
        <v>50</v>
      </c>
    </row>
    <row r="2" spans="1:17">
      <c r="A2">
        <v>500</v>
      </c>
      <c r="B2">
        <v>0.3</v>
      </c>
      <c r="G2" s="196" t="s">
        <v>243</v>
      </c>
      <c r="H2" t="s">
        <v>242</v>
      </c>
      <c r="I2" t="s">
        <v>341</v>
      </c>
      <c r="J2" t="s">
        <v>253</v>
      </c>
      <c r="K2" s="216" t="s">
        <v>343</v>
      </c>
      <c r="M2" s="196" t="s">
        <v>259</v>
      </c>
      <c r="N2" t="s">
        <v>260</v>
      </c>
    </row>
    <row r="3" spans="1:17">
      <c r="B3" t="s">
        <v>257</v>
      </c>
      <c r="C3" t="s">
        <v>248</v>
      </c>
      <c r="D3" t="s">
        <v>240</v>
      </c>
      <c r="E3">
        <v>4800</v>
      </c>
      <c r="F3" s="196">
        <v>59600</v>
      </c>
      <c r="G3" s="196">
        <f>F3/$C$1</f>
        <v>458.46153846153845</v>
      </c>
      <c r="H3" s="196">
        <f>IF(G3&gt;$A$1, G3-$A$1, 0 )</f>
        <v>258.46153846153845</v>
      </c>
      <c r="I3" s="196">
        <f>H3*$B$1</f>
        <v>38.769230769230766</v>
      </c>
      <c r="J3" s="196">
        <f>I3*$C$1</f>
        <v>5040</v>
      </c>
      <c r="K3" s="293">
        <f>E3+F3+J3</f>
        <v>69440</v>
      </c>
      <c r="M3" s="196">
        <f>F3/$D$1</f>
        <v>948.2895783611774</v>
      </c>
      <c r="N3">
        <v>999</v>
      </c>
      <c r="O3" s="196">
        <f>M3-N3</f>
        <v>-50.710421638822595</v>
      </c>
      <c r="P3" s="305">
        <f>N3*$D$1</f>
        <v>62787.15</v>
      </c>
      <c r="Q3" s="235">
        <f>M3/N3</f>
        <v>0.94923881717835579</v>
      </c>
    </row>
    <row r="4" spans="1:17">
      <c r="B4" t="s">
        <v>257</v>
      </c>
      <c r="C4" t="s">
        <v>244</v>
      </c>
      <c r="D4" t="s">
        <v>240</v>
      </c>
      <c r="E4">
        <v>4927</v>
      </c>
      <c r="F4" s="196">
        <v>71000</v>
      </c>
      <c r="G4" s="196">
        <f t="shared" ref="G4:G17" si="0">F4/$C$1</f>
        <v>546.15384615384619</v>
      </c>
      <c r="H4" s="196">
        <f>IF(G4&gt;$A$1, G4-$A$1, 0 )</f>
        <v>346.15384615384619</v>
      </c>
      <c r="I4" s="196">
        <f t="shared" ref="I4:I22" si="1">H4*$B$1</f>
        <v>51.923076923076927</v>
      </c>
      <c r="J4" s="196">
        <f t="shared" ref="J4:J17" si="2">I4*$C$1</f>
        <v>6750.0000000000009</v>
      </c>
      <c r="K4" s="293">
        <f t="shared" ref="K4:K17" si="3">E4+F4+J4</f>
        <v>82677</v>
      </c>
      <c r="M4" s="196">
        <f t="shared" ref="M4:M19" si="4">F4/$D$1</f>
        <v>1129.6738265712013</v>
      </c>
      <c r="N4">
        <v>999</v>
      </c>
      <c r="O4" s="196">
        <f t="shared" ref="O4:O21" si="5">M4-N4</f>
        <v>130.67382657120129</v>
      </c>
      <c r="P4" s="305">
        <f t="shared" ref="P4:P18" si="6">N4*$D$1</f>
        <v>62787.15</v>
      </c>
      <c r="Q4" s="235">
        <f t="shared" ref="Q4:Q21" si="7">M4/N4</f>
        <v>1.1308046312024036</v>
      </c>
    </row>
    <row r="5" spans="1:17">
      <c r="B5" t="s">
        <v>257</v>
      </c>
      <c r="C5" t="s">
        <v>245</v>
      </c>
      <c r="D5" t="s">
        <v>240</v>
      </c>
      <c r="E5">
        <v>4907</v>
      </c>
      <c r="F5" s="196">
        <v>63483</v>
      </c>
      <c r="G5" s="196">
        <f t="shared" si="0"/>
        <v>488.33076923076925</v>
      </c>
      <c r="H5" s="196">
        <f t="shared" ref="H5:H44" si="8">IF(G5&gt;$A$1, G5-$A$1, 0 )</f>
        <v>288.33076923076925</v>
      </c>
      <c r="I5" s="196">
        <f t="shared" si="1"/>
        <v>43.249615384615389</v>
      </c>
      <c r="J5" s="196">
        <f t="shared" si="2"/>
        <v>5622.4500000000007</v>
      </c>
      <c r="K5" s="293">
        <f t="shared" si="3"/>
        <v>74012.45</v>
      </c>
      <c r="M5" s="196">
        <f t="shared" si="4"/>
        <v>1010.071599045346</v>
      </c>
      <c r="N5">
        <v>999</v>
      </c>
      <c r="O5" s="196">
        <f t="shared" si="5"/>
        <v>11.071599045346034</v>
      </c>
      <c r="P5" s="305">
        <f t="shared" si="6"/>
        <v>62787.15</v>
      </c>
      <c r="Q5" s="235">
        <f t="shared" si="7"/>
        <v>1.0110826817270731</v>
      </c>
    </row>
    <row r="6" spans="1:17">
      <c r="B6" t="s">
        <v>257</v>
      </c>
      <c r="C6" t="s">
        <v>245</v>
      </c>
      <c r="D6" t="s">
        <v>306</v>
      </c>
      <c r="E6">
        <v>0</v>
      </c>
      <c r="F6" s="196">
        <v>53448</v>
      </c>
      <c r="G6" s="196">
        <f t="shared" ref="G6" si="9">F6/$C$1</f>
        <v>411.13846153846151</v>
      </c>
      <c r="H6" s="196">
        <f t="shared" ref="H6" si="10">IF(G6&gt;$A$1, G6-$A$1, 0 )</f>
        <v>211.13846153846151</v>
      </c>
      <c r="I6" s="196">
        <f t="shared" ref="I6" si="11">H6*$B$1</f>
        <v>31.670769230769224</v>
      </c>
      <c r="J6" s="196">
        <f t="shared" ref="J6" si="12">I6*$C$1</f>
        <v>4117.1999999999989</v>
      </c>
      <c r="K6" s="293">
        <f t="shared" ref="K6" si="13">E6+F6+J6</f>
        <v>57565.2</v>
      </c>
      <c r="M6" s="196">
        <f t="shared" ref="M6" si="14">F6/$D$1</f>
        <v>850.40572792362764</v>
      </c>
      <c r="N6">
        <v>999</v>
      </c>
      <c r="O6" s="196">
        <f t="shared" ref="O6" si="15">M6-N6</f>
        <v>-148.59427207637236</v>
      </c>
      <c r="P6" s="305">
        <f t="shared" ref="P6" si="16">N6*$D$1</f>
        <v>62787.15</v>
      </c>
      <c r="Q6" s="235">
        <f t="shared" ref="Q6" si="17">M6/N6</f>
        <v>0.85125698490853619</v>
      </c>
    </row>
    <row r="7" spans="1:17">
      <c r="B7" t="s">
        <v>257</v>
      </c>
      <c r="C7" t="s">
        <v>246</v>
      </c>
      <c r="D7" t="s">
        <v>240</v>
      </c>
      <c r="E7">
        <v>4927</v>
      </c>
      <c r="F7" s="196">
        <v>61527</v>
      </c>
      <c r="G7" s="196">
        <f t="shared" si="0"/>
        <v>473.28461538461539</v>
      </c>
      <c r="H7" s="196">
        <f t="shared" si="8"/>
        <v>273.28461538461539</v>
      </c>
      <c r="I7" s="196">
        <f t="shared" si="1"/>
        <v>40.992692307692309</v>
      </c>
      <c r="J7" s="196">
        <f t="shared" si="2"/>
        <v>5329.05</v>
      </c>
      <c r="K7" s="293">
        <f t="shared" si="3"/>
        <v>71783.05</v>
      </c>
      <c r="M7" s="196">
        <f t="shared" si="4"/>
        <v>978.94988066825772</v>
      </c>
      <c r="N7">
        <v>899</v>
      </c>
      <c r="O7" s="196">
        <f t="shared" si="5"/>
        <v>79.94988066825772</v>
      </c>
      <c r="P7" s="305">
        <f t="shared" si="6"/>
        <v>56502.15</v>
      </c>
      <c r="Q7" s="235">
        <f t="shared" si="7"/>
        <v>1.0889320140914991</v>
      </c>
    </row>
    <row r="8" spans="1:17">
      <c r="B8" t="s">
        <v>257</v>
      </c>
      <c r="C8" t="s">
        <v>247</v>
      </c>
      <c r="D8" t="s">
        <v>240</v>
      </c>
      <c r="E8">
        <v>4927</v>
      </c>
      <c r="F8" s="196">
        <v>47799</v>
      </c>
      <c r="G8" s="196">
        <f>F8/$C$1</f>
        <v>367.68461538461537</v>
      </c>
      <c r="H8" s="196">
        <f t="shared" si="8"/>
        <v>167.68461538461537</v>
      </c>
      <c r="I8" s="196">
        <f t="shared" si="1"/>
        <v>25.152692307692305</v>
      </c>
      <c r="J8" s="196">
        <f>I8*$C$1</f>
        <v>3269.85</v>
      </c>
      <c r="K8" s="293">
        <f>E8+F8+J8</f>
        <v>55995.85</v>
      </c>
      <c r="L8" t="s">
        <v>251</v>
      </c>
      <c r="M8" s="196">
        <f t="shared" si="4"/>
        <v>760.52505966587114</v>
      </c>
      <c r="O8" s="196">
        <f t="shared" si="5"/>
        <v>760.52505966587114</v>
      </c>
      <c r="P8" s="305">
        <f t="shared" si="6"/>
        <v>0</v>
      </c>
      <c r="Q8" s="235" t="e">
        <f t="shared" si="7"/>
        <v>#DIV/0!</v>
      </c>
    </row>
    <row r="9" spans="1:17">
      <c r="B9" t="s">
        <v>257</v>
      </c>
      <c r="C9" t="s">
        <v>247</v>
      </c>
      <c r="D9" t="s">
        <v>240</v>
      </c>
      <c r="E9">
        <v>4892</v>
      </c>
      <c r="F9" s="196">
        <v>49827</v>
      </c>
      <c r="G9" s="196">
        <f>F9/$C$1</f>
        <v>383.28461538461539</v>
      </c>
      <c r="H9" s="196">
        <f t="shared" si="8"/>
        <v>183.28461538461539</v>
      </c>
      <c r="I9" s="196">
        <f t="shared" si="1"/>
        <v>27.492692307692309</v>
      </c>
      <c r="J9" s="196">
        <f>I9*$C$1</f>
        <v>3574.05</v>
      </c>
      <c r="K9" s="293">
        <f>E9+F9+J9</f>
        <v>58293.05</v>
      </c>
      <c r="L9" t="s">
        <v>250</v>
      </c>
      <c r="M9" s="196">
        <f t="shared" si="4"/>
        <v>792.79236276849645</v>
      </c>
      <c r="O9" s="196">
        <f t="shared" si="5"/>
        <v>792.79236276849645</v>
      </c>
      <c r="P9" s="305">
        <f t="shared" si="6"/>
        <v>0</v>
      </c>
      <c r="Q9" s="235" t="e">
        <f t="shared" si="7"/>
        <v>#DIV/0!</v>
      </c>
    </row>
    <row r="10" spans="1:17">
      <c r="B10" t="s">
        <v>257</v>
      </c>
      <c r="C10" t="s">
        <v>247</v>
      </c>
      <c r="D10" t="s">
        <v>240</v>
      </c>
      <c r="E10">
        <v>4907</v>
      </c>
      <c r="F10" s="196">
        <v>49983</v>
      </c>
      <c r="G10" s="196">
        <f>F10/$C$1</f>
        <v>384.48461538461538</v>
      </c>
      <c r="H10" s="196">
        <f t="shared" si="8"/>
        <v>184.48461538461538</v>
      </c>
      <c r="I10" s="196">
        <f t="shared" si="1"/>
        <v>27.672692307692305</v>
      </c>
      <c r="J10" s="196">
        <f>I10*$C$1</f>
        <v>3597.45</v>
      </c>
      <c r="K10" s="293">
        <f>E10+F10+J10</f>
        <v>58487.45</v>
      </c>
      <c r="L10" t="s">
        <v>250</v>
      </c>
      <c r="M10" s="196">
        <f t="shared" si="4"/>
        <v>795.27446300715985</v>
      </c>
      <c r="O10" s="196">
        <f t="shared" si="5"/>
        <v>795.27446300715985</v>
      </c>
      <c r="P10" s="305">
        <f t="shared" si="6"/>
        <v>0</v>
      </c>
      <c r="Q10" s="235" t="e">
        <f t="shared" si="7"/>
        <v>#DIV/0!</v>
      </c>
    </row>
    <row r="11" spans="1:17">
      <c r="B11" t="s">
        <v>257</v>
      </c>
      <c r="C11" t="s">
        <v>247</v>
      </c>
      <c r="D11" t="s">
        <v>240</v>
      </c>
      <c r="E11">
        <v>4927</v>
      </c>
      <c r="F11" s="196">
        <v>50430</v>
      </c>
      <c r="G11" s="196">
        <f>F11/$C$1</f>
        <v>387.92307692307691</v>
      </c>
      <c r="H11" s="196">
        <f t="shared" si="8"/>
        <v>187.92307692307691</v>
      </c>
      <c r="I11" s="196">
        <f t="shared" si="1"/>
        <v>28.188461538461535</v>
      </c>
      <c r="J11" s="196">
        <f>I11*$C$1</f>
        <v>3664.4999999999995</v>
      </c>
      <c r="K11" s="293">
        <f>E11+F11+J11</f>
        <v>59021.5</v>
      </c>
      <c r="L11" t="s">
        <v>250</v>
      </c>
      <c r="M11" s="196">
        <f t="shared" si="4"/>
        <v>802.38663484486869</v>
      </c>
      <c r="O11" s="196">
        <f t="shared" si="5"/>
        <v>802.38663484486869</v>
      </c>
      <c r="P11" s="305">
        <f t="shared" si="6"/>
        <v>0</v>
      </c>
      <c r="Q11" s="235" t="e">
        <f t="shared" si="7"/>
        <v>#DIV/0!</v>
      </c>
    </row>
    <row r="12" spans="1:17" s="302" customFormat="1">
      <c r="B12" s="302" t="s">
        <v>257</v>
      </c>
      <c r="C12" s="302" t="s">
        <v>249</v>
      </c>
      <c r="D12" s="302" t="s">
        <v>240</v>
      </c>
      <c r="E12" s="302">
        <v>4800</v>
      </c>
      <c r="F12" s="196">
        <v>66000</v>
      </c>
      <c r="G12" s="307">
        <f t="shared" si="0"/>
        <v>507.69230769230768</v>
      </c>
      <c r="H12" s="196">
        <f t="shared" si="8"/>
        <v>307.69230769230768</v>
      </c>
      <c r="I12" s="307">
        <f t="shared" si="1"/>
        <v>46.153846153846153</v>
      </c>
      <c r="J12" s="307">
        <f t="shared" si="2"/>
        <v>6000</v>
      </c>
      <c r="K12" s="293">
        <f t="shared" si="3"/>
        <v>76800</v>
      </c>
      <c r="L12" s="302" t="s">
        <v>252</v>
      </c>
      <c r="M12" s="307">
        <f t="shared" si="4"/>
        <v>1050.1193317422435</v>
      </c>
      <c r="N12" s="302">
        <v>899</v>
      </c>
      <c r="O12" s="307">
        <f t="shared" si="5"/>
        <v>151.1193317422435</v>
      </c>
      <c r="P12" s="302">
        <f t="shared" si="6"/>
        <v>56502.15</v>
      </c>
      <c r="Q12" s="308">
        <f t="shared" si="7"/>
        <v>1.168097143206055</v>
      </c>
    </row>
    <row r="13" spans="1:17">
      <c r="B13" t="s">
        <v>257</v>
      </c>
      <c r="C13" t="s">
        <v>249</v>
      </c>
      <c r="D13" t="s">
        <v>240</v>
      </c>
      <c r="E13">
        <v>4892</v>
      </c>
      <c r="F13" s="196">
        <v>125000</v>
      </c>
      <c r="G13" s="196">
        <f t="shared" ref="G13:G16" si="18">F13/$C$1</f>
        <v>961.53846153846155</v>
      </c>
      <c r="H13" s="196">
        <f t="shared" si="8"/>
        <v>761.53846153846155</v>
      </c>
      <c r="I13" s="196">
        <f t="shared" si="1"/>
        <v>114.23076923076923</v>
      </c>
      <c r="J13" s="196">
        <f t="shared" ref="J13:J16" si="19">I13*$C$1</f>
        <v>14850</v>
      </c>
      <c r="K13" s="293">
        <f t="shared" ref="K13:K16" si="20">E13+F13+J13</f>
        <v>144742</v>
      </c>
      <c r="L13" t="s">
        <v>252</v>
      </c>
      <c r="M13" s="196">
        <f t="shared" si="4"/>
        <v>1988.8623707239458</v>
      </c>
      <c r="N13">
        <v>899</v>
      </c>
      <c r="O13" s="196">
        <f t="shared" si="5"/>
        <v>1089.8623707239458</v>
      </c>
      <c r="P13" s="305">
        <f t="shared" si="6"/>
        <v>56502.15</v>
      </c>
      <c r="Q13" s="235">
        <f t="shared" si="7"/>
        <v>2.2123051954660129</v>
      </c>
    </row>
    <row r="14" spans="1:17">
      <c r="A14" s="237" t="s">
        <v>258</v>
      </c>
      <c r="B14" s="237" t="s">
        <v>257</v>
      </c>
      <c r="C14" s="237" t="s">
        <v>249</v>
      </c>
      <c r="D14" s="237" t="s">
        <v>240</v>
      </c>
      <c r="E14" s="237">
        <v>4927</v>
      </c>
      <c r="F14" s="304">
        <v>56500</v>
      </c>
      <c r="G14" s="304">
        <f t="shared" si="18"/>
        <v>434.61538461538464</v>
      </c>
      <c r="H14" s="196">
        <f t="shared" si="8"/>
        <v>234.61538461538464</v>
      </c>
      <c r="I14" s="196">
        <f t="shared" si="1"/>
        <v>35.192307692307693</v>
      </c>
      <c r="J14" s="304">
        <f t="shared" si="19"/>
        <v>4575</v>
      </c>
      <c r="K14" s="293">
        <f t="shared" si="20"/>
        <v>66002</v>
      </c>
      <c r="L14" s="237" t="s">
        <v>252</v>
      </c>
      <c r="M14" s="196">
        <f t="shared" ref="M14:M16" si="21">F14/$D$1</f>
        <v>898.9657915672235</v>
      </c>
      <c r="N14">
        <v>899</v>
      </c>
      <c r="O14" s="196">
        <f t="shared" si="5"/>
        <v>-3.4208432776495101E-2</v>
      </c>
      <c r="P14" s="305">
        <f t="shared" si="6"/>
        <v>56502.15</v>
      </c>
      <c r="Q14" s="235">
        <f t="shared" si="7"/>
        <v>0.9999619483506379</v>
      </c>
    </row>
    <row r="15" spans="1:17" s="305" customFormat="1">
      <c r="B15" s="305" t="s">
        <v>257</v>
      </c>
      <c r="C15" s="305" t="s">
        <v>261</v>
      </c>
      <c r="D15" s="305" t="s">
        <v>240</v>
      </c>
      <c r="E15" s="305">
        <v>4907</v>
      </c>
      <c r="F15" s="306">
        <v>55965</v>
      </c>
      <c r="G15" s="306">
        <f t="shared" ref="G15" si="22">F15/$C$1</f>
        <v>430.5</v>
      </c>
      <c r="H15" s="196">
        <f t="shared" si="8"/>
        <v>230.5</v>
      </c>
      <c r="I15" s="196">
        <f t="shared" si="1"/>
        <v>34.574999999999996</v>
      </c>
      <c r="J15" s="306">
        <f t="shared" ref="J15" si="23">I15*$C$1</f>
        <v>4494.7499999999991</v>
      </c>
      <c r="K15" s="293">
        <f t="shared" ref="K15" si="24">E15+F15+J15</f>
        <v>65366.75</v>
      </c>
      <c r="M15" s="306">
        <f t="shared" ref="M15" si="25">F15/$D$1</f>
        <v>890.45346062052499</v>
      </c>
      <c r="N15" s="305">
        <v>899</v>
      </c>
      <c r="O15" s="306">
        <f t="shared" ref="O15" si="26">M15-N15</f>
        <v>-8.5465393794750071</v>
      </c>
      <c r="P15" s="305">
        <f t="shared" ref="P15" si="27">N15*$D$1</f>
        <v>56502.15</v>
      </c>
      <c r="Q15" s="235">
        <f t="shared" si="7"/>
        <v>0.99049328211404342</v>
      </c>
    </row>
    <row r="16" spans="1:17" s="305" customFormat="1">
      <c r="B16" s="305" t="s">
        <v>257</v>
      </c>
      <c r="C16" s="305" t="s">
        <v>261</v>
      </c>
      <c r="D16" s="305" t="s">
        <v>240</v>
      </c>
      <c r="E16" s="305">
        <v>4907</v>
      </c>
      <c r="F16" s="306">
        <v>58522</v>
      </c>
      <c r="G16" s="306">
        <f t="shared" si="18"/>
        <v>450.16923076923075</v>
      </c>
      <c r="H16" s="196">
        <f t="shared" si="8"/>
        <v>250.16923076923075</v>
      </c>
      <c r="I16" s="196">
        <f t="shared" si="1"/>
        <v>37.52538461538461</v>
      </c>
      <c r="J16" s="306">
        <f t="shared" si="19"/>
        <v>4878.2999999999993</v>
      </c>
      <c r="K16" s="293">
        <f t="shared" si="20"/>
        <v>68307.3</v>
      </c>
      <c r="M16" s="306">
        <f t="shared" si="21"/>
        <v>931.1376292760541</v>
      </c>
      <c r="N16" s="305">
        <v>899</v>
      </c>
      <c r="O16" s="306">
        <f t="shared" si="5"/>
        <v>32.137629276054099</v>
      </c>
      <c r="P16" s="305">
        <f t="shared" si="6"/>
        <v>56502.15</v>
      </c>
      <c r="Q16" s="235">
        <f t="shared" si="7"/>
        <v>1.0357481971924962</v>
      </c>
    </row>
    <row r="17" spans="1:18">
      <c r="B17" t="s">
        <v>256</v>
      </c>
      <c r="C17" t="s">
        <v>254</v>
      </c>
      <c r="D17" t="s">
        <v>240</v>
      </c>
      <c r="E17">
        <v>2820</v>
      </c>
      <c r="F17" s="196">
        <v>44182</v>
      </c>
      <c r="G17" s="196">
        <f t="shared" si="0"/>
        <v>339.86153846153849</v>
      </c>
      <c r="H17" s="196">
        <f t="shared" si="8"/>
        <v>139.86153846153849</v>
      </c>
      <c r="I17" s="196">
        <f t="shared" si="1"/>
        <v>20.979230769230771</v>
      </c>
      <c r="J17" s="196">
        <f t="shared" si="2"/>
        <v>2727.3</v>
      </c>
      <c r="K17" s="293">
        <f t="shared" si="3"/>
        <v>49729.3</v>
      </c>
      <c r="M17" s="196">
        <f t="shared" si="4"/>
        <v>702.97533810660298</v>
      </c>
      <c r="O17" s="196">
        <f t="shared" si="5"/>
        <v>702.97533810660298</v>
      </c>
      <c r="P17" s="305">
        <f t="shared" si="6"/>
        <v>0</v>
      </c>
      <c r="Q17" s="235" t="e">
        <f t="shared" si="7"/>
        <v>#DIV/0!</v>
      </c>
    </row>
    <row r="18" spans="1:18">
      <c r="B18" t="s">
        <v>256</v>
      </c>
      <c r="C18" t="s">
        <v>255</v>
      </c>
      <c r="D18" t="s">
        <v>240</v>
      </c>
      <c r="E18">
        <v>2820</v>
      </c>
      <c r="F18" s="196">
        <v>47308</v>
      </c>
      <c r="G18" s="196">
        <f t="shared" ref="G18:G19" si="28">F18/$C$1</f>
        <v>363.90769230769229</v>
      </c>
      <c r="H18" s="196">
        <f t="shared" si="8"/>
        <v>163.90769230769229</v>
      </c>
      <c r="I18" s="196">
        <f t="shared" si="1"/>
        <v>24.586153846153842</v>
      </c>
      <c r="J18" s="196">
        <f t="shared" ref="J18:J19" si="29">I18*$C$1</f>
        <v>3196.1999999999994</v>
      </c>
      <c r="K18" s="293">
        <f t="shared" ref="K18:K19" si="30">E18+F18+J18</f>
        <v>53324.2</v>
      </c>
      <c r="M18" s="196">
        <f t="shared" si="4"/>
        <v>752.71280827366741</v>
      </c>
      <c r="O18" s="196">
        <f t="shared" si="5"/>
        <v>752.71280827366741</v>
      </c>
      <c r="P18" s="305">
        <f t="shared" si="6"/>
        <v>0</v>
      </c>
      <c r="Q18" s="235" t="e">
        <f t="shared" si="7"/>
        <v>#DIV/0!</v>
      </c>
    </row>
    <row r="19" spans="1:18" s="302" customFormat="1">
      <c r="B19" s="302" t="s">
        <v>263</v>
      </c>
      <c r="C19" s="302" t="s">
        <v>249</v>
      </c>
      <c r="D19" s="302" t="s">
        <v>264</v>
      </c>
      <c r="E19" s="302">
        <v>6270</v>
      </c>
      <c r="F19" s="307">
        <v>34771</v>
      </c>
      <c r="G19" s="307">
        <f t="shared" si="28"/>
        <v>267.46923076923076</v>
      </c>
      <c r="H19" s="196">
        <f t="shared" si="8"/>
        <v>67.469230769230762</v>
      </c>
      <c r="I19" s="307">
        <f t="shared" si="1"/>
        <v>10.120384615384614</v>
      </c>
      <c r="J19" s="307">
        <f t="shared" si="29"/>
        <v>1315.6499999999999</v>
      </c>
      <c r="K19" s="293">
        <f t="shared" si="30"/>
        <v>42356.65</v>
      </c>
      <c r="M19" s="307">
        <f t="shared" si="4"/>
        <v>553.23786793953855</v>
      </c>
      <c r="N19" s="302">
        <v>899</v>
      </c>
      <c r="O19" s="307">
        <f t="shared" si="5"/>
        <v>-345.76213206046145</v>
      </c>
      <c r="Q19" s="308">
        <f t="shared" si="7"/>
        <v>0.61539251161238995</v>
      </c>
    </row>
    <row r="20" spans="1:18">
      <c r="B20" t="s">
        <v>263</v>
      </c>
      <c r="C20" t="s">
        <v>249</v>
      </c>
      <c r="D20" t="s">
        <v>264</v>
      </c>
      <c r="E20">
        <v>6270</v>
      </c>
      <c r="F20" s="196">
        <v>28275</v>
      </c>
      <c r="G20" s="196">
        <f t="shared" ref="G20" si="31">F20/$C$1</f>
        <v>217.5</v>
      </c>
      <c r="H20" s="196">
        <f t="shared" si="8"/>
        <v>17.5</v>
      </c>
      <c r="I20" s="196">
        <f t="shared" si="1"/>
        <v>2.625</v>
      </c>
      <c r="J20" s="196">
        <f t="shared" ref="J20" si="32">I20*$C$1</f>
        <v>341.25</v>
      </c>
      <c r="K20" s="293">
        <f t="shared" ref="K20" si="33">E20+F20+J20</f>
        <v>34886.25</v>
      </c>
      <c r="M20" s="196">
        <f t="shared" ref="M20" si="34">F20/$D$1</f>
        <v>449.88066825775655</v>
      </c>
      <c r="N20">
        <v>899</v>
      </c>
      <c r="O20" s="196">
        <f t="shared" si="5"/>
        <v>-449.11933174224345</v>
      </c>
      <c r="Q20" s="235">
        <f t="shared" si="7"/>
        <v>0.50042343521441224</v>
      </c>
    </row>
    <row r="21" spans="1:18">
      <c r="B21" t="s">
        <v>263</v>
      </c>
      <c r="C21" t="s">
        <v>249</v>
      </c>
      <c r="D21" t="s">
        <v>264</v>
      </c>
      <c r="E21">
        <v>6270</v>
      </c>
      <c r="F21" s="196">
        <v>22600</v>
      </c>
      <c r="G21" s="196">
        <f t="shared" ref="G21" si="35">F21/$C$1</f>
        <v>173.84615384615384</v>
      </c>
      <c r="H21" s="196">
        <f t="shared" si="8"/>
        <v>0</v>
      </c>
      <c r="I21" s="196">
        <f t="shared" si="1"/>
        <v>0</v>
      </c>
      <c r="J21" s="196">
        <f t="shared" ref="J21" si="36">I21*$C$1</f>
        <v>0</v>
      </c>
      <c r="K21" s="293">
        <f t="shared" ref="K21" si="37">E21+F21+J21</f>
        <v>28870</v>
      </c>
      <c r="M21" s="196">
        <f t="shared" ref="M21" si="38">F21/$D$1</f>
        <v>359.58631662688941</v>
      </c>
      <c r="N21">
        <v>899</v>
      </c>
      <c r="O21" s="196">
        <f t="shared" si="5"/>
        <v>-539.41368337311064</v>
      </c>
      <c r="Q21" s="235">
        <f t="shared" si="7"/>
        <v>0.39998477934025517</v>
      </c>
    </row>
    <row r="22" spans="1:18" s="302" customFormat="1">
      <c r="B22" s="302" t="s">
        <v>263</v>
      </c>
      <c r="C22" s="302" t="s">
        <v>265</v>
      </c>
      <c r="D22" s="302" t="s">
        <v>264</v>
      </c>
      <c r="E22" s="302">
        <v>6270</v>
      </c>
      <c r="F22" s="307">
        <v>37583</v>
      </c>
      <c r="G22" s="307">
        <f t="shared" ref="G22" si="39">F22/$C$1</f>
        <v>289.10000000000002</v>
      </c>
      <c r="H22" s="196">
        <f t="shared" si="8"/>
        <v>89.100000000000023</v>
      </c>
      <c r="I22" s="307">
        <f t="shared" si="1"/>
        <v>13.365000000000004</v>
      </c>
      <c r="J22" s="307">
        <f t="shared" ref="J22" si="40">I22*$C$1</f>
        <v>1737.4500000000005</v>
      </c>
      <c r="K22" s="293">
        <f t="shared" ref="K22" si="41">E22+F22+J22</f>
        <v>45590.45</v>
      </c>
      <c r="M22" s="307">
        <f t="shared" ref="M22" si="42">F22/$D$1</f>
        <v>597.97931583134448</v>
      </c>
      <c r="N22" s="302">
        <v>999</v>
      </c>
      <c r="O22" s="307">
        <f t="shared" ref="O22" si="43">M22-N22</f>
        <v>-401.02068416865552</v>
      </c>
      <c r="Q22" s="308">
        <f t="shared" ref="Q22" si="44">M22/N22</f>
        <v>0.59857789372506953</v>
      </c>
    </row>
    <row r="23" spans="1:18" s="302" customFormat="1">
      <c r="B23" s="302" t="s">
        <v>263</v>
      </c>
      <c r="C23" s="302" t="s">
        <v>265</v>
      </c>
      <c r="D23" s="302" t="s">
        <v>264</v>
      </c>
      <c r="E23" s="302">
        <v>3100</v>
      </c>
      <c r="F23" s="307">
        <v>94000</v>
      </c>
      <c r="G23" s="307">
        <f t="shared" ref="G23" si="45">F23/$C$1</f>
        <v>723.07692307692309</v>
      </c>
      <c r="H23" s="196">
        <f t="shared" si="8"/>
        <v>523.07692307692309</v>
      </c>
      <c r="I23" s="307">
        <f t="shared" ref="I23" si="46">H23*$B$1</f>
        <v>78.461538461538467</v>
      </c>
      <c r="J23" s="307">
        <f t="shared" ref="J23" si="47">I23*$C$1</f>
        <v>10200</v>
      </c>
      <c r="K23" s="293">
        <f t="shared" ref="K23" si="48">E23+F23+J23</f>
        <v>107300</v>
      </c>
      <c r="M23" s="307">
        <f>F23/$D$1</f>
        <v>1495.6245027844072</v>
      </c>
      <c r="N23" s="302">
        <v>999</v>
      </c>
      <c r="O23" s="307">
        <f t="shared" ref="O23" si="49">M23-N23</f>
        <v>496.62450278440724</v>
      </c>
      <c r="Q23" s="308">
        <f t="shared" ref="Q23" si="50">M23/N23</f>
        <v>1.4971216244088161</v>
      </c>
    </row>
    <row r="24" spans="1:18" s="305" customFormat="1">
      <c r="B24" s="305" t="s">
        <v>256</v>
      </c>
      <c r="C24" s="305" t="s">
        <v>307</v>
      </c>
      <c r="D24" s="305" t="s">
        <v>240</v>
      </c>
      <c r="E24" s="305">
        <v>2820</v>
      </c>
      <c r="F24" s="306">
        <v>80754</v>
      </c>
      <c r="G24" s="306">
        <f t="shared" ref="G24:G41" si="51">F24/$C$1</f>
        <v>621.18461538461543</v>
      </c>
      <c r="H24" s="196">
        <f t="shared" si="8"/>
        <v>421.18461538461543</v>
      </c>
      <c r="I24" s="306">
        <f t="shared" ref="I24:I41" si="52">H24*$B$1</f>
        <v>63.177692307692311</v>
      </c>
      <c r="J24" s="306">
        <f t="shared" ref="J24:J41" si="53">I24*$C$1</f>
        <v>8213.1</v>
      </c>
      <c r="K24" s="293">
        <f t="shared" ref="K24:K41" si="54">E24+F24+J24</f>
        <v>91787.1</v>
      </c>
      <c r="M24" s="306">
        <f t="shared" ref="M24:M41" si="55">F24/$D$1</f>
        <v>1284.8687350835321</v>
      </c>
      <c r="N24" s="305">
        <v>899</v>
      </c>
      <c r="O24" s="306">
        <f t="shared" ref="O24" si="56">M24-N24</f>
        <v>385.8687350835321</v>
      </c>
      <c r="Q24" s="309">
        <f t="shared" ref="Q24" si="57">M24/N24</f>
        <v>1.4292199500372993</v>
      </c>
    </row>
    <row r="25" spans="1:18" s="315" customFormat="1">
      <c r="B25" s="315" t="s">
        <v>256</v>
      </c>
      <c r="C25" s="315" t="s">
        <v>266</v>
      </c>
      <c r="D25" s="315" t="s">
        <v>240</v>
      </c>
      <c r="E25" s="315">
        <v>2820</v>
      </c>
      <c r="F25" s="316">
        <v>88000</v>
      </c>
      <c r="G25" s="316">
        <f t="shared" ref="G25" si="58">F25/$C$1</f>
        <v>676.92307692307691</v>
      </c>
      <c r="H25" s="316">
        <f t="shared" ref="H25" si="59">IF(G25&gt;$A$1, G25-$A$1, 0 )</f>
        <v>476.92307692307691</v>
      </c>
      <c r="I25" s="316">
        <f t="shared" ref="I25" si="60">H25*$B$1</f>
        <v>71.538461538461533</v>
      </c>
      <c r="J25" s="316">
        <f t="shared" ref="J25" si="61">I25*$C$1</f>
        <v>9300</v>
      </c>
      <c r="K25" s="316">
        <f t="shared" ref="K25" si="62">E25+F25+J25</f>
        <v>100120</v>
      </c>
      <c r="M25" s="316">
        <f t="shared" ref="M25" si="63">F25/$D$1</f>
        <v>1400.1591089896579</v>
      </c>
      <c r="N25" s="315">
        <v>899</v>
      </c>
      <c r="O25" s="316">
        <f t="shared" ref="O25" si="64">M25-N25</f>
        <v>501.15910898965785</v>
      </c>
      <c r="Q25" s="317">
        <f t="shared" ref="Q25" si="65">M25/N25</f>
        <v>1.5574628576080733</v>
      </c>
    </row>
    <row r="26" spans="1:18" s="315" customFormat="1">
      <c r="B26" s="315" t="s">
        <v>284</v>
      </c>
      <c r="C26" s="315" t="s">
        <v>266</v>
      </c>
      <c r="D26" s="315" t="s">
        <v>240</v>
      </c>
      <c r="E26" s="315">
        <v>4500</v>
      </c>
      <c r="F26" s="316">
        <v>116000</v>
      </c>
      <c r="G26" s="316">
        <f t="shared" ref="G26" si="66">F26/$C$1</f>
        <v>892.30769230769226</v>
      </c>
      <c r="H26" s="316">
        <f t="shared" ref="H26" si="67">IF(G26&gt;$A$1, G26-$A$1, 0 )</f>
        <v>692.30769230769226</v>
      </c>
      <c r="I26" s="316">
        <f t="shared" ref="I26" si="68">H26*$B$1</f>
        <v>103.84615384615384</v>
      </c>
      <c r="J26" s="316">
        <f t="shared" ref="J26" si="69">I26*$C$1</f>
        <v>13500</v>
      </c>
      <c r="K26" s="316">
        <f t="shared" ref="K26" si="70">E26+F26+J26</f>
        <v>134000</v>
      </c>
      <c r="M26" s="316">
        <f t="shared" ref="M26" si="71">F26/$D$1</f>
        <v>1845.6642800318218</v>
      </c>
      <c r="N26" s="315">
        <v>899</v>
      </c>
      <c r="O26" s="316">
        <f t="shared" ref="O26" si="72">M26-N26</f>
        <v>946.66428003182182</v>
      </c>
      <c r="Q26" s="317">
        <f t="shared" ref="Q26" si="73">M26/N26</f>
        <v>2.0530192213924603</v>
      </c>
      <c r="R26" s="316">
        <f>K26-F26-E26</f>
        <v>13500</v>
      </c>
    </row>
    <row r="27" spans="1:18" s="315" customFormat="1">
      <c r="B27" s="315" t="s">
        <v>284</v>
      </c>
      <c r="C27" s="315" t="s">
        <v>324</v>
      </c>
      <c r="D27" s="315" t="s">
        <v>240</v>
      </c>
      <c r="E27" s="315">
        <v>3100</v>
      </c>
      <c r="F27" s="316">
        <v>124000</v>
      </c>
      <c r="G27" s="316">
        <f t="shared" ref="G27" si="74">F27/$C$1</f>
        <v>953.84615384615381</v>
      </c>
      <c r="H27" s="316">
        <f t="shared" ref="H27" si="75">IF(G27&gt;$A$1, G27-$A$1, 0 )</f>
        <v>753.84615384615381</v>
      </c>
      <c r="I27" s="316">
        <f t="shared" ref="I27" si="76">H27*$B$1</f>
        <v>113.07692307692307</v>
      </c>
      <c r="J27" s="316">
        <f t="shared" ref="J27" si="77">I27*$C$1</f>
        <v>14699.999999999998</v>
      </c>
      <c r="K27" s="316">
        <f t="shared" ref="K27" si="78">E27+F27+J27</f>
        <v>141800</v>
      </c>
      <c r="M27" s="316">
        <f t="shared" ref="M27" si="79">F27/$D$1</f>
        <v>1972.9514717581542</v>
      </c>
      <c r="N27" s="315">
        <v>899</v>
      </c>
      <c r="O27" s="316">
        <f t="shared" ref="O27" si="80">M27-N27</f>
        <v>1073.9514717581542</v>
      </c>
      <c r="Q27" s="317">
        <f t="shared" ref="Q27" si="81">M27/N27</f>
        <v>2.1946067539022849</v>
      </c>
      <c r="R27" s="316">
        <f>K27-F27-E27</f>
        <v>14700</v>
      </c>
    </row>
    <row r="28" spans="1:18" s="330" customFormat="1">
      <c r="B28" s="330" t="s">
        <v>284</v>
      </c>
      <c r="C28" s="330" t="s">
        <v>342</v>
      </c>
      <c r="D28" s="330" t="s">
        <v>240</v>
      </c>
      <c r="E28" s="330">
        <v>3100</v>
      </c>
      <c r="F28" s="318">
        <v>57900</v>
      </c>
      <c r="G28" s="318">
        <f t="shared" ref="G28" si="82">F28/$C$1</f>
        <v>445.38461538461536</v>
      </c>
      <c r="H28" s="318">
        <f t="shared" ref="H28" si="83">IF(G28&gt;$A$1, G28-$A$1, 0 )</f>
        <v>245.38461538461536</v>
      </c>
      <c r="I28" s="318">
        <f t="shared" ref="I28" si="84">H28*$B$1</f>
        <v>36.807692307692299</v>
      </c>
      <c r="J28" s="318">
        <f t="shared" ref="J28" si="85">I28*$C$1</f>
        <v>4784.9999999999991</v>
      </c>
      <c r="K28" s="318">
        <f t="shared" ref="K28" si="86">E28+F28+J28</f>
        <v>65785</v>
      </c>
      <c r="M28" s="318">
        <f t="shared" ref="M28" si="87">F28/$D$1</f>
        <v>921.2410501193317</v>
      </c>
      <c r="N28" s="330">
        <v>899</v>
      </c>
      <c r="O28" s="318">
        <f t="shared" ref="O28" si="88">M28-N28</f>
        <v>22.241050119331703</v>
      </c>
      <c r="Q28" s="331">
        <f t="shared" ref="Q28" si="89">M28/N28</f>
        <v>1.0247397665398572</v>
      </c>
      <c r="R28" s="318">
        <f t="shared" ref="R28:R29" si="90">K28-F28-E28</f>
        <v>4785</v>
      </c>
    </row>
    <row r="29" spans="1:18" s="305" customFormat="1">
      <c r="B29" s="315" t="s">
        <v>284</v>
      </c>
      <c r="C29" s="305" t="s">
        <v>359</v>
      </c>
      <c r="D29" s="305" t="s">
        <v>293</v>
      </c>
      <c r="E29" s="305">
        <v>3100</v>
      </c>
      <c r="F29" s="306">
        <v>95121</v>
      </c>
      <c r="G29" s="306">
        <f t="shared" ref="G29" si="91">F29/$C$1</f>
        <v>731.7</v>
      </c>
      <c r="H29" s="196">
        <f t="shared" ref="H29" si="92">IF(G29&gt;$A$1, G29-$A$1, 0 )</f>
        <v>531.70000000000005</v>
      </c>
      <c r="I29" s="306">
        <f t="shared" ref="I29" si="93">H29*$B$1</f>
        <v>79.75500000000001</v>
      </c>
      <c r="J29" s="306">
        <f t="shared" ref="J29" si="94">I29*$C$1</f>
        <v>10368.150000000001</v>
      </c>
      <c r="K29" s="293">
        <f t="shared" ref="K29" si="95">E29+F29+J29</f>
        <v>108589.15</v>
      </c>
      <c r="M29" s="306">
        <f t="shared" ref="M29" si="96">F29/$D$1</f>
        <v>1513.4606205250595</v>
      </c>
      <c r="N29" s="305">
        <v>899</v>
      </c>
      <c r="O29" s="306">
        <f t="shared" ref="O29" si="97">M29-N29</f>
        <v>614.46062052505954</v>
      </c>
      <c r="Q29" s="309">
        <f t="shared" ref="Q29" si="98">M29/N29</f>
        <v>1.6834934599833811</v>
      </c>
      <c r="R29" s="316">
        <f t="shared" si="90"/>
        <v>10368.149999999994</v>
      </c>
    </row>
    <row r="30" spans="1:18" s="305" customFormat="1">
      <c r="A30"/>
      <c r="B30" s="315" t="s">
        <v>284</v>
      </c>
      <c r="C30" s="305" t="s">
        <v>399</v>
      </c>
      <c r="D30" s="305" t="s">
        <v>293</v>
      </c>
      <c r="E30" s="305">
        <v>3100</v>
      </c>
      <c r="F30" s="306">
        <v>70700</v>
      </c>
      <c r="G30" s="306">
        <f t="shared" ref="G30" si="99">F30/$C$1</f>
        <v>543.84615384615381</v>
      </c>
      <c r="H30" s="196">
        <f t="shared" ref="H30" si="100">IF(G30&gt;$A$1, G30-$A$1, 0 )</f>
        <v>343.84615384615381</v>
      </c>
      <c r="I30" s="306">
        <f t="shared" ref="I30" si="101">H30*$B$1</f>
        <v>51.576923076923073</v>
      </c>
      <c r="J30" s="306">
        <f t="shared" ref="J30" si="102">I30*$C$1</f>
        <v>6704.9999999999991</v>
      </c>
      <c r="K30" s="293">
        <f t="shared" ref="K30" si="103">E30+F30+J30</f>
        <v>80505</v>
      </c>
      <c r="M30" s="306">
        <f t="shared" ref="M30" si="104">F30/$D$1</f>
        <v>1124.9005568814637</v>
      </c>
      <c r="N30" s="305">
        <v>899</v>
      </c>
      <c r="O30" s="306">
        <f t="shared" ref="O30" si="105">M30-N30</f>
        <v>225.90055688146367</v>
      </c>
      <c r="Q30" s="309">
        <f t="shared" ref="Q30" si="106">M30/N30</f>
        <v>1.2512798185555769</v>
      </c>
      <c r="R30" s="316">
        <f t="shared" ref="R30:R88" si="107">K30-F30</f>
        <v>9805</v>
      </c>
    </row>
    <row r="31" spans="1:18" s="305" customFormat="1">
      <c r="A31"/>
      <c r="B31" s="305" t="s">
        <v>257</v>
      </c>
      <c r="C31" s="305" t="s">
        <v>325</v>
      </c>
      <c r="D31" s="305" t="s">
        <v>326</v>
      </c>
      <c r="E31" s="305">
        <v>5647</v>
      </c>
      <c r="F31" s="306">
        <v>48327</v>
      </c>
      <c r="G31" s="306">
        <f t="shared" ref="G31:G36" si="108">F31/$C$1</f>
        <v>371.74615384615385</v>
      </c>
      <c r="H31" s="196">
        <f t="shared" ref="H31:H36" si="109">IF(G31&gt;$A$1, G31-$A$1, 0 )</f>
        <v>171.74615384615385</v>
      </c>
      <c r="I31" s="306">
        <f t="shared" ref="I31:I36" si="110">H31*$B$1</f>
        <v>25.761923076923075</v>
      </c>
      <c r="J31" s="306">
        <f t="shared" ref="J31:J36" si="111">I31*$C$1</f>
        <v>3349.0499999999997</v>
      </c>
      <c r="K31" s="293">
        <f t="shared" ref="K31:K36" si="112">E31+F31+J31</f>
        <v>57323.05</v>
      </c>
      <c r="M31" s="306">
        <f t="shared" ref="M31:M36" si="113">F31/$D$1</f>
        <v>768.92601431980904</v>
      </c>
      <c r="N31" s="305">
        <v>899</v>
      </c>
      <c r="O31" s="306">
        <f t="shared" ref="O31:O36" si="114">M31-N31</f>
        <v>-130.07398568019096</v>
      </c>
      <c r="Q31" s="309">
        <f t="shared" ref="Q31:Q36" si="115">M31/N31</f>
        <v>0.8553125854502881</v>
      </c>
      <c r="R31" s="316">
        <f t="shared" si="107"/>
        <v>8996.0500000000029</v>
      </c>
    </row>
    <row r="32" spans="1:18">
      <c r="A32" s="237" t="s">
        <v>258</v>
      </c>
      <c r="B32" s="237" t="s">
        <v>327</v>
      </c>
      <c r="C32" s="237" t="s">
        <v>334</v>
      </c>
      <c r="D32" s="237" t="s">
        <v>240</v>
      </c>
      <c r="E32" s="237">
        <v>3400</v>
      </c>
      <c r="F32" s="304">
        <v>17900</v>
      </c>
      <c r="G32" s="304">
        <f t="shared" si="108"/>
        <v>137.69230769230768</v>
      </c>
      <c r="H32" s="196">
        <f t="shared" si="109"/>
        <v>0</v>
      </c>
      <c r="I32" s="196">
        <f t="shared" si="110"/>
        <v>0</v>
      </c>
      <c r="J32" s="304">
        <f t="shared" si="111"/>
        <v>0</v>
      </c>
      <c r="K32" s="293">
        <f t="shared" si="112"/>
        <v>21300</v>
      </c>
      <c r="L32" s="237" t="s">
        <v>252</v>
      </c>
      <c r="M32" s="196">
        <f t="shared" si="113"/>
        <v>284.80509148766907</v>
      </c>
      <c r="N32">
        <v>899</v>
      </c>
      <c r="O32" s="196">
        <f t="shared" si="114"/>
        <v>-614.19490851233093</v>
      </c>
      <c r="P32" s="305">
        <f t="shared" ref="P32" si="116">N32*$D$1</f>
        <v>56502.15</v>
      </c>
      <c r="Q32" s="235">
        <f t="shared" si="115"/>
        <v>0.31680210399073311</v>
      </c>
      <c r="R32" s="316">
        <f t="shared" si="107"/>
        <v>3400</v>
      </c>
    </row>
    <row r="33" spans="1:18">
      <c r="A33" s="237" t="s">
        <v>258</v>
      </c>
      <c r="B33" s="237" t="s">
        <v>327</v>
      </c>
      <c r="C33" s="237" t="s">
        <v>333</v>
      </c>
      <c r="D33" s="237" t="s">
        <v>240</v>
      </c>
      <c r="E33" s="237">
        <v>3400</v>
      </c>
      <c r="F33" s="304">
        <v>13000</v>
      </c>
      <c r="G33" s="304">
        <f t="shared" ref="G33:G35" si="117">F33/$C$1</f>
        <v>100</v>
      </c>
      <c r="H33" s="196">
        <f t="shared" ref="H33:H35" si="118">IF(G33&gt;$A$1, G33-$A$1, 0 )</f>
        <v>0</v>
      </c>
      <c r="I33" s="196">
        <f t="shared" ref="I33:I35" si="119">H33*$B$1</f>
        <v>0</v>
      </c>
      <c r="J33" s="304">
        <f t="shared" ref="J33:J35" si="120">I33*$C$1</f>
        <v>0</v>
      </c>
      <c r="K33" s="293">
        <f t="shared" ref="K33:K35" si="121">E33+F33+J33</f>
        <v>16400</v>
      </c>
      <c r="L33" s="237" t="s">
        <v>252</v>
      </c>
      <c r="M33" s="196">
        <f t="shared" ref="M33:M35" si="122">F33/$D$1</f>
        <v>206.84168655529038</v>
      </c>
      <c r="N33">
        <v>899</v>
      </c>
      <c r="O33" s="196">
        <f t="shared" ref="O33:O35" si="123">M33-N33</f>
        <v>-692.15831344470962</v>
      </c>
      <c r="P33" s="305">
        <f t="shared" ref="P33:P35" si="124">N33*$D$1</f>
        <v>56502.15</v>
      </c>
      <c r="Q33" s="235">
        <f t="shared" ref="Q33:Q35" si="125">M33/N33</f>
        <v>0.23007974032846537</v>
      </c>
      <c r="R33" s="316">
        <f t="shared" si="107"/>
        <v>3400</v>
      </c>
    </row>
    <row r="34" spans="1:18">
      <c r="A34" s="237" t="s">
        <v>258</v>
      </c>
      <c r="B34" s="237" t="s">
        <v>327</v>
      </c>
      <c r="C34" s="305" t="s">
        <v>332</v>
      </c>
      <c r="D34" s="237" t="s">
        <v>240</v>
      </c>
      <c r="E34" s="237">
        <v>3500</v>
      </c>
      <c r="F34" s="304">
        <v>21900</v>
      </c>
      <c r="G34" s="304">
        <f t="shared" ref="G34" si="126">F34/$C$1</f>
        <v>168.46153846153845</v>
      </c>
      <c r="H34" s="196">
        <f t="shared" ref="H34" si="127">IF(G34&gt;$A$1, G34-$A$1, 0 )</f>
        <v>0</v>
      </c>
      <c r="I34" s="196">
        <f t="shared" ref="I34" si="128">H34*$B$1</f>
        <v>0</v>
      </c>
      <c r="J34" s="304">
        <f t="shared" ref="J34" si="129">I34*$C$1</f>
        <v>0</v>
      </c>
      <c r="K34" s="293">
        <f t="shared" ref="K34" si="130">E34+F34+J34</f>
        <v>25400</v>
      </c>
      <c r="L34" s="237" t="s">
        <v>252</v>
      </c>
      <c r="M34" s="196">
        <f t="shared" ref="M34" si="131">F34/$D$1</f>
        <v>348.44868735083531</v>
      </c>
      <c r="N34">
        <v>899</v>
      </c>
      <c r="O34" s="196">
        <f t="shared" ref="O34" si="132">M34-N34</f>
        <v>-550.55131264916463</v>
      </c>
      <c r="P34" s="305">
        <f t="shared" ref="P34" si="133">N34*$D$1</f>
        <v>56502.15</v>
      </c>
      <c r="Q34" s="235">
        <f t="shared" ref="Q34" si="134">M34/N34</f>
        <v>0.38759587024564551</v>
      </c>
      <c r="R34" s="316">
        <f t="shared" si="107"/>
        <v>3500</v>
      </c>
    </row>
    <row r="35" spans="1:18">
      <c r="A35" s="237" t="s">
        <v>258</v>
      </c>
      <c r="B35" s="237" t="s">
        <v>327</v>
      </c>
      <c r="C35" s="305" t="s">
        <v>328</v>
      </c>
      <c r="D35" s="237" t="s">
        <v>240</v>
      </c>
      <c r="E35" s="237">
        <v>3500</v>
      </c>
      <c r="F35" s="304">
        <v>25900</v>
      </c>
      <c r="G35" s="304">
        <f t="shared" si="117"/>
        <v>199.23076923076923</v>
      </c>
      <c r="H35" s="196">
        <f t="shared" si="118"/>
        <v>0</v>
      </c>
      <c r="I35" s="196">
        <f t="shared" si="119"/>
        <v>0</v>
      </c>
      <c r="J35" s="304">
        <f t="shared" si="120"/>
        <v>0</v>
      </c>
      <c r="K35" s="293">
        <f t="shared" si="121"/>
        <v>29400</v>
      </c>
      <c r="L35" s="237" t="s">
        <v>252</v>
      </c>
      <c r="M35" s="196">
        <f t="shared" si="122"/>
        <v>412.09228321400155</v>
      </c>
      <c r="N35">
        <v>899</v>
      </c>
      <c r="O35" s="196">
        <f t="shared" si="123"/>
        <v>-486.90771678599845</v>
      </c>
      <c r="P35" s="305">
        <f t="shared" si="124"/>
        <v>56502.15</v>
      </c>
      <c r="Q35" s="235">
        <f t="shared" si="125"/>
        <v>0.45838963650055792</v>
      </c>
      <c r="R35" s="316">
        <f t="shared" si="107"/>
        <v>3500</v>
      </c>
    </row>
    <row r="36" spans="1:18">
      <c r="A36" s="237" t="s">
        <v>258</v>
      </c>
      <c r="B36" s="237" t="s">
        <v>327</v>
      </c>
      <c r="C36" s="305" t="s">
        <v>331</v>
      </c>
      <c r="D36" s="237" t="s">
        <v>240</v>
      </c>
      <c r="E36" s="237">
        <v>3500</v>
      </c>
      <c r="F36" s="304">
        <v>31400</v>
      </c>
      <c r="G36" s="304">
        <f t="shared" si="108"/>
        <v>241.53846153846155</v>
      </c>
      <c r="H36" s="196">
        <f t="shared" si="109"/>
        <v>41.538461538461547</v>
      </c>
      <c r="I36" s="196">
        <f t="shared" si="110"/>
        <v>6.2307692307692317</v>
      </c>
      <c r="J36" s="304">
        <f t="shared" si="111"/>
        <v>810.00000000000011</v>
      </c>
      <c r="K36" s="293">
        <f t="shared" si="112"/>
        <v>35710</v>
      </c>
      <c r="L36" s="237" t="s">
        <v>252</v>
      </c>
      <c r="M36" s="196">
        <f t="shared" si="113"/>
        <v>499.6022275258552</v>
      </c>
      <c r="N36">
        <v>899</v>
      </c>
      <c r="O36" s="196">
        <f t="shared" si="114"/>
        <v>-399.3977724741448</v>
      </c>
      <c r="P36" s="305">
        <f t="shared" ref="P36" si="135">N36*$D$1</f>
        <v>56502.15</v>
      </c>
      <c r="Q36" s="235">
        <f t="shared" si="115"/>
        <v>0.55573106510106252</v>
      </c>
      <c r="R36" s="316">
        <f t="shared" si="107"/>
        <v>4310</v>
      </c>
    </row>
    <row r="37" spans="1:18">
      <c r="A37" s="237" t="s">
        <v>258</v>
      </c>
      <c r="B37" s="237" t="s">
        <v>327</v>
      </c>
      <c r="C37" s="305" t="s">
        <v>330</v>
      </c>
      <c r="D37" s="237" t="s">
        <v>240</v>
      </c>
      <c r="E37" s="237">
        <v>3500</v>
      </c>
      <c r="F37" s="304">
        <v>29100</v>
      </c>
      <c r="G37" s="304">
        <f t="shared" ref="G37:G38" si="136">F37/$C$1</f>
        <v>223.84615384615384</v>
      </c>
      <c r="H37" s="196">
        <f t="shared" ref="H37:H38" si="137">IF(G37&gt;$A$1, G37-$A$1, 0 )</f>
        <v>23.84615384615384</v>
      </c>
      <c r="I37" s="196">
        <f t="shared" ref="I37:I38" si="138">H37*$B$1</f>
        <v>3.5769230769230758</v>
      </c>
      <c r="J37" s="304">
        <f t="shared" ref="J37:J38" si="139">I37*$C$1</f>
        <v>464.99999999999983</v>
      </c>
      <c r="K37" s="293">
        <f t="shared" ref="K37:K38" si="140">E37+F37+J37</f>
        <v>33065</v>
      </c>
      <c r="L37" s="237" t="s">
        <v>252</v>
      </c>
      <c r="M37" s="196">
        <f t="shared" ref="M37:M38" si="141">F37/$D$1</f>
        <v>463.0071599045346</v>
      </c>
      <c r="N37">
        <v>899</v>
      </c>
      <c r="O37" s="196">
        <f t="shared" ref="O37:O38" si="142">M37-N37</f>
        <v>-435.9928400954654</v>
      </c>
      <c r="P37" s="305">
        <f t="shared" ref="P37:P38" si="143">N37*$D$1</f>
        <v>56502.15</v>
      </c>
      <c r="Q37" s="235">
        <f t="shared" ref="Q37:Q38" si="144">M37/N37</f>
        <v>0.5150246495044879</v>
      </c>
      <c r="R37" s="316">
        <f t="shared" si="107"/>
        <v>3965</v>
      </c>
    </row>
    <row r="38" spans="1:18">
      <c r="A38" s="237" t="s">
        <v>258</v>
      </c>
      <c r="B38" s="237" t="s">
        <v>327</v>
      </c>
      <c r="C38" s="305" t="s">
        <v>329</v>
      </c>
      <c r="D38" s="237" t="s">
        <v>240</v>
      </c>
      <c r="E38" s="237">
        <v>3500</v>
      </c>
      <c r="F38" s="304">
        <v>32800</v>
      </c>
      <c r="G38" s="304">
        <f t="shared" si="136"/>
        <v>252.30769230769232</v>
      </c>
      <c r="H38" s="196">
        <f t="shared" si="137"/>
        <v>52.307692307692321</v>
      </c>
      <c r="I38" s="196">
        <f t="shared" si="138"/>
        <v>7.8461538461538476</v>
      </c>
      <c r="J38" s="304">
        <f t="shared" si="139"/>
        <v>1020.0000000000002</v>
      </c>
      <c r="K38" s="293">
        <f t="shared" si="140"/>
        <v>37320</v>
      </c>
      <c r="L38" s="237" t="s">
        <v>252</v>
      </c>
      <c r="M38" s="196">
        <f t="shared" si="141"/>
        <v>521.87748607796334</v>
      </c>
      <c r="N38">
        <v>899</v>
      </c>
      <c r="O38" s="196">
        <f t="shared" si="142"/>
        <v>-377.12251392203666</v>
      </c>
      <c r="P38" s="305">
        <f t="shared" si="143"/>
        <v>56502.15</v>
      </c>
      <c r="Q38" s="235">
        <f t="shared" si="144"/>
        <v>0.58050888329028183</v>
      </c>
      <c r="R38" s="316">
        <f t="shared" si="107"/>
        <v>4520</v>
      </c>
    </row>
    <row r="39" spans="1:18">
      <c r="A39" s="237" t="s">
        <v>258</v>
      </c>
      <c r="B39" s="237" t="s">
        <v>327</v>
      </c>
      <c r="C39" s="305" t="s">
        <v>325</v>
      </c>
      <c r="D39" s="237" t="s">
        <v>240</v>
      </c>
      <c r="E39" s="237">
        <v>3500</v>
      </c>
      <c r="F39" s="304">
        <v>62000</v>
      </c>
      <c r="G39" s="304">
        <f t="shared" ref="G39" si="145">F39/$C$1</f>
        <v>476.92307692307691</v>
      </c>
      <c r="H39" s="196">
        <f t="shared" ref="H39" si="146">IF(G39&gt;$A$1, G39-$A$1, 0 )</f>
        <v>276.92307692307691</v>
      </c>
      <c r="I39" s="196">
        <f t="shared" ref="I39" si="147">H39*$B$1</f>
        <v>41.538461538461533</v>
      </c>
      <c r="J39" s="304">
        <f t="shared" ref="J39" si="148">I39*$C$1</f>
        <v>5399.9999999999991</v>
      </c>
      <c r="K39" s="293">
        <f t="shared" ref="K39:K40" si="149">E39+F39+J39</f>
        <v>70900</v>
      </c>
      <c r="L39" s="237" t="s">
        <v>252</v>
      </c>
      <c r="M39" s="196">
        <f t="shared" ref="M39" si="150">F39/$D$1</f>
        <v>986.47573587907709</v>
      </c>
      <c r="N39">
        <v>899</v>
      </c>
      <c r="O39" s="196">
        <f t="shared" ref="O39" si="151">M39-N39</f>
        <v>87.475735879077092</v>
      </c>
      <c r="P39" s="305">
        <f t="shared" ref="P39" si="152">N39*$D$1</f>
        <v>56502.15</v>
      </c>
      <c r="Q39" s="235">
        <f t="shared" ref="Q39" si="153">M39/N39</f>
        <v>1.0973033769511424</v>
      </c>
      <c r="R39" s="316">
        <f t="shared" si="107"/>
        <v>8900</v>
      </c>
    </row>
    <row r="40" spans="1:18">
      <c r="A40" s="237" t="s">
        <v>258</v>
      </c>
      <c r="B40" s="237" t="s">
        <v>327</v>
      </c>
      <c r="C40" s="305" t="s">
        <v>337</v>
      </c>
      <c r="D40" s="237" t="s">
        <v>240</v>
      </c>
      <c r="E40" s="237">
        <v>3500</v>
      </c>
      <c r="F40" s="304">
        <v>44600</v>
      </c>
      <c r="G40" s="304">
        <f t="shared" ref="G40" si="154">F40/$C$1</f>
        <v>343.07692307692309</v>
      </c>
      <c r="H40" s="196">
        <f t="shared" ref="H40" si="155">IF(G40&gt;$A$1, G40-$A$1, 0 )</f>
        <v>143.07692307692309</v>
      </c>
      <c r="I40" s="196">
        <f t="shared" ref="I40" si="156">H40*$B$1</f>
        <v>21.461538461538463</v>
      </c>
      <c r="J40" s="304">
        <f t="shared" ref="J40" si="157">I40*$C$1</f>
        <v>2790.0000000000005</v>
      </c>
      <c r="K40" s="293">
        <f t="shared" si="149"/>
        <v>50890</v>
      </c>
      <c r="L40" s="237" t="s">
        <v>252</v>
      </c>
      <c r="M40" s="196">
        <f t="shared" ref="M40" si="158">F40/$D$1</f>
        <v>709.62609387430393</v>
      </c>
      <c r="N40">
        <v>899</v>
      </c>
      <c r="O40" s="196">
        <f t="shared" ref="O40" si="159">M40-N40</f>
        <v>-189.37390612569607</v>
      </c>
      <c r="P40" s="305">
        <f t="shared" ref="P40" si="160">N40*$D$1</f>
        <v>56502.15</v>
      </c>
      <c r="Q40" s="235">
        <f t="shared" ref="Q40" si="161">M40/N40</f>
        <v>0.78935049374227362</v>
      </c>
      <c r="R40" s="316">
        <f t="shared" si="107"/>
        <v>6290</v>
      </c>
    </row>
    <row r="41" spans="1:18" s="305" customFormat="1">
      <c r="B41" s="305" t="s">
        <v>267</v>
      </c>
      <c r="C41" s="305" t="s">
        <v>268</v>
      </c>
      <c r="D41" s="305" t="s">
        <v>240</v>
      </c>
      <c r="E41" s="305">
        <v>3100</v>
      </c>
      <c r="F41" s="306">
        <v>19727</v>
      </c>
      <c r="G41" s="306">
        <f t="shared" si="51"/>
        <v>151.74615384615385</v>
      </c>
      <c r="H41" s="196">
        <f t="shared" si="8"/>
        <v>0</v>
      </c>
      <c r="I41" s="306">
        <f t="shared" si="52"/>
        <v>0</v>
      </c>
      <c r="J41" s="306">
        <f t="shared" si="53"/>
        <v>0</v>
      </c>
      <c r="K41" s="293">
        <f t="shared" si="54"/>
        <v>22827</v>
      </c>
      <c r="M41" s="306">
        <f t="shared" si="55"/>
        <v>313.87430389817024</v>
      </c>
      <c r="O41" s="306"/>
      <c r="Q41" s="309"/>
      <c r="R41" s="316">
        <f t="shared" si="107"/>
        <v>3100</v>
      </c>
    </row>
    <row r="42" spans="1:18" s="305" customFormat="1">
      <c r="B42" s="305" t="s">
        <v>256</v>
      </c>
      <c r="C42" s="305" t="s">
        <v>268</v>
      </c>
      <c r="D42" s="305" t="s">
        <v>240</v>
      </c>
      <c r="E42" s="305">
        <v>2780</v>
      </c>
      <c r="F42" s="306">
        <v>19806</v>
      </c>
      <c r="G42" s="306">
        <f t="shared" ref="G42" si="162">F42/$C$1</f>
        <v>152.35384615384615</v>
      </c>
      <c r="H42" s="196">
        <f t="shared" si="8"/>
        <v>0</v>
      </c>
      <c r="I42" s="306">
        <f t="shared" ref="I42" si="163">H42*$B$1</f>
        <v>0</v>
      </c>
      <c r="J42" s="306">
        <f t="shared" ref="J42" si="164">I42*$C$1</f>
        <v>0</v>
      </c>
      <c r="K42" s="293">
        <f t="shared" ref="K42" si="165">E42+F42+J42</f>
        <v>22586</v>
      </c>
      <c r="M42" s="306"/>
      <c r="O42" s="306"/>
      <c r="Q42" s="309"/>
      <c r="R42" s="316">
        <f t="shared" si="107"/>
        <v>2780</v>
      </c>
    </row>
    <row r="43" spans="1:18" s="305" customFormat="1">
      <c r="B43" s="305" t="s">
        <v>256</v>
      </c>
      <c r="C43" s="305" t="s">
        <v>269</v>
      </c>
      <c r="D43" s="305" t="s">
        <v>240</v>
      </c>
      <c r="E43" s="305">
        <v>2780</v>
      </c>
      <c r="F43" s="306">
        <v>13850</v>
      </c>
      <c r="G43" s="306">
        <f t="shared" ref="G43:G46" si="166">F43/$C$1</f>
        <v>106.53846153846153</v>
      </c>
      <c r="H43" s="196">
        <f t="shared" si="8"/>
        <v>0</v>
      </c>
      <c r="I43" s="306">
        <f t="shared" ref="I43:I46" si="167">H43*$B$1</f>
        <v>0</v>
      </c>
      <c r="J43" s="306">
        <f t="shared" ref="J43:J46" si="168">I43*$C$1</f>
        <v>0</v>
      </c>
      <c r="K43" s="293">
        <f t="shared" ref="K43:K46" si="169">E43+F43+J43</f>
        <v>16630</v>
      </c>
      <c r="M43" s="306"/>
      <c r="O43" s="306"/>
      <c r="Q43" s="309"/>
      <c r="R43" s="316">
        <f t="shared" si="107"/>
        <v>2780</v>
      </c>
    </row>
    <row r="44" spans="1:18" s="305" customFormat="1">
      <c r="B44" s="305" t="s">
        <v>257</v>
      </c>
      <c r="C44" s="305" t="s">
        <v>286</v>
      </c>
      <c r="D44" s="305" t="s">
        <v>240</v>
      </c>
      <c r="E44" s="305">
        <v>7785</v>
      </c>
      <c r="F44" s="306">
        <v>82000</v>
      </c>
      <c r="G44" s="306">
        <f t="shared" si="166"/>
        <v>630.76923076923072</v>
      </c>
      <c r="H44" s="196">
        <f t="shared" si="8"/>
        <v>430.76923076923072</v>
      </c>
      <c r="I44" s="306">
        <f t="shared" si="167"/>
        <v>64.615384615384599</v>
      </c>
      <c r="J44" s="306">
        <f t="shared" si="168"/>
        <v>8399.9999999999982</v>
      </c>
      <c r="K44" s="293">
        <f t="shared" si="169"/>
        <v>98185</v>
      </c>
      <c r="M44" s="306">
        <f t="shared" ref="M44:M46" si="170">F44/$D$1</f>
        <v>1304.6937151949085</v>
      </c>
      <c r="N44" s="305">
        <v>899</v>
      </c>
      <c r="O44" s="306">
        <f t="shared" ref="O44" si="171">M44-N44</f>
        <v>405.69371519490846</v>
      </c>
      <c r="Q44" s="309">
        <f t="shared" ref="Q44" si="172">M44/N44</f>
        <v>1.4512722082257046</v>
      </c>
      <c r="R44" s="316">
        <f t="shared" si="107"/>
        <v>16185</v>
      </c>
    </row>
    <row r="45" spans="1:18" s="305" customFormat="1">
      <c r="B45" s="305" t="s">
        <v>267</v>
      </c>
      <c r="C45" s="305" t="s">
        <v>289</v>
      </c>
      <c r="D45" s="305" t="s">
        <v>240</v>
      </c>
      <c r="E45" s="305">
        <v>3100</v>
      </c>
      <c r="F45" s="306">
        <v>19812</v>
      </c>
      <c r="G45" s="306">
        <f t="shared" si="166"/>
        <v>152.4</v>
      </c>
      <c r="H45" s="196">
        <f t="shared" ref="H45:H46" si="173">IF(G45&gt;$A$1, G45-$A$1, 0 )</f>
        <v>0</v>
      </c>
      <c r="I45" s="306">
        <f t="shared" si="167"/>
        <v>0</v>
      </c>
      <c r="J45" s="306">
        <f t="shared" si="168"/>
        <v>0</v>
      </c>
      <c r="K45" s="293">
        <f t="shared" si="169"/>
        <v>22912</v>
      </c>
      <c r="M45" s="306">
        <f t="shared" si="170"/>
        <v>315.2267303102625</v>
      </c>
      <c r="O45" s="306"/>
      <c r="Q45" s="309"/>
      <c r="R45" s="316">
        <f t="shared" si="107"/>
        <v>3100</v>
      </c>
    </row>
    <row r="46" spans="1:18" s="305" customFormat="1">
      <c r="A46" s="305">
        <f>40*$C$1</f>
        <v>5200</v>
      </c>
      <c r="B46" s="305" t="s">
        <v>256</v>
      </c>
      <c r="C46" s="305" t="s">
        <v>289</v>
      </c>
      <c r="D46" s="305" t="s">
        <v>240</v>
      </c>
      <c r="E46" s="305">
        <v>2800</v>
      </c>
      <c r="F46" s="306">
        <v>18951</v>
      </c>
      <c r="G46" s="306">
        <f t="shared" si="166"/>
        <v>145.77692307692308</v>
      </c>
      <c r="H46" s="196">
        <f t="shared" si="173"/>
        <v>0</v>
      </c>
      <c r="I46" s="306">
        <f t="shared" si="167"/>
        <v>0</v>
      </c>
      <c r="J46" s="306">
        <f t="shared" si="168"/>
        <v>0</v>
      </c>
      <c r="K46" s="293">
        <f t="shared" si="169"/>
        <v>21751</v>
      </c>
      <c r="M46" s="306">
        <f t="shared" si="170"/>
        <v>301.52744630071601</v>
      </c>
      <c r="N46" s="305">
        <v>899</v>
      </c>
      <c r="O46" s="306">
        <f t="shared" ref="O46" si="174">M46-N46</f>
        <v>-597.47255369928394</v>
      </c>
      <c r="Q46" s="309">
        <f t="shared" ref="Q46" si="175">M46/N46</f>
        <v>0.33540316607421133</v>
      </c>
      <c r="R46" s="316">
        <f t="shared" si="107"/>
        <v>2800</v>
      </c>
    </row>
    <row r="47" spans="1:18" s="305" customFormat="1">
      <c r="B47" s="305" t="s">
        <v>267</v>
      </c>
      <c r="C47" s="305" t="s">
        <v>290</v>
      </c>
      <c r="D47" s="305" t="s">
        <v>240</v>
      </c>
      <c r="E47" s="305">
        <v>3100</v>
      </c>
      <c r="F47" s="306">
        <v>23125</v>
      </c>
      <c r="G47" s="306">
        <f t="shared" ref="G47" si="176">F47/$C$1</f>
        <v>177.88461538461539</v>
      </c>
      <c r="H47" s="196">
        <f t="shared" ref="H47" si="177">IF(G47&gt;$A$1, G47-$A$1, 0 )</f>
        <v>0</v>
      </c>
      <c r="I47" s="306">
        <f t="shared" ref="I47" si="178">H47*$B$1</f>
        <v>0</v>
      </c>
      <c r="J47" s="306">
        <f t="shared" ref="J47" si="179">I47*$C$1</f>
        <v>0</v>
      </c>
      <c r="K47" s="293">
        <f t="shared" ref="K47" si="180">E47+F47+J47</f>
        <v>26225</v>
      </c>
      <c r="M47" s="306">
        <f t="shared" ref="M47" si="181">F47/$D$1</f>
        <v>367.93953858392996</v>
      </c>
      <c r="O47" s="306"/>
      <c r="Q47" s="309"/>
      <c r="R47" s="316">
        <f t="shared" si="107"/>
        <v>3100</v>
      </c>
    </row>
    <row r="48" spans="1:18" s="305" customFormat="1">
      <c r="B48" s="305" t="s">
        <v>294</v>
      </c>
      <c r="C48" s="305" t="s">
        <v>292</v>
      </c>
      <c r="D48" s="305" t="s">
        <v>293</v>
      </c>
      <c r="E48" s="305">
        <v>0</v>
      </c>
      <c r="F48" s="306">
        <v>30210</v>
      </c>
      <c r="G48" s="306">
        <f t="shared" ref="G48" si="182">F48/$C$1</f>
        <v>232.38461538461539</v>
      </c>
      <c r="H48" s="196">
        <f t="shared" ref="H48" si="183">IF(G48&gt;$A$1, G48-$A$1, 0 )</f>
        <v>32.384615384615387</v>
      </c>
      <c r="I48" s="306">
        <f t="shared" ref="I48" si="184">H48*$B$1</f>
        <v>4.8576923076923082</v>
      </c>
      <c r="J48" s="306">
        <f t="shared" ref="J48" si="185">I48*$C$1</f>
        <v>631.50000000000011</v>
      </c>
      <c r="K48" s="293">
        <f t="shared" ref="K48" si="186">E48+F48+J48</f>
        <v>30841.5</v>
      </c>
      <c r="M48" s="306">
        <f t="shared" ref="M48" si="187">F48/$D$1</f>
        <v>480.66825775656321</v>
      </c>
      <c r="O48" s="306"/>
      <c r="Q48" s="309"/>
      <c r="R48" s="316">
        <f t="shared" si="107"/>
        <v>631.5</v>
      </c>
    </row>
    <row r="49" spans="1:18" s="305" customFormat="1">
      <c r="B49" s="305" t="s">
        <v>267</v>
      </c>
      <c r="C49" s="305" t="s">
        <v>290</v>
      </c>
      <c r="D49" s="305" t="s">
        <v>240</v>
      </c>
      <c r="E49" s="305">
        <v>3100</v>
      </c>
      <c r="F49" s="306">
        <v>22987</v>
      </c>
      <c r="G49" s="306">
        <f t="shared" ref="G49:G51" si="188">F49/$C$1</f>
        <v>176.82307692307691</v>
      </c>
      <c r="H49" s="196">
        <f t="shared" ref="H49:H51" si="189">IF(G49&gt;$A$1, G49-$A$1, 0 )</f>
        <v>0</v>
      </c>
      <c r="I49" s="306">
        <f t="shared" ref="I49:I51" si="190">H49*$B$1</f>
        <v>0</v>
      </c>
      <c r="J49" s="306">
        <f t="shared" ref="J49:J51" si="191">I49*$C$1</f>
        <v>0</v>
      </c>
      <c r="K49" s="293">
        <f t="shared" ref="K49:K51" si="192">E49+F49+J49</f>
        <v>26087</v>
      </c>
      <c r="M49" s="306">
        <f t="shared" ref="M49:M51" si="193">F49/$D$1</f>
        <v>365.74383452665074</v>
      </c>
      <c r="O49" s="306"/>
      <c r="Q49" s="309"/>
      <c r="R49" s="316">
        <f t="shared" si="107"/>
        <v>3100</v>
      </c>
    </row>
    <row r="50" spans="1:18" s="305" customFormat="1">
      <c r="A50" s="305">
        <f>40*$C$1</f>
        <v>5200</v>
      </c>
      <c r="B50" s="305" t="s">
        <v>256</v>
      </c>
      <c r="C50" s="305" t="s">
        <v>291</v>
      </c>
      <c r="D50" s="305" t="s">
        <v>240</v>
      </c>
      <c r="E50" s="305">
        <v>2800</v>
      </c>
      <c r="F50" s="306">
        <v>10346</v>
      </c>
      <c r="G50" s="306">
        <f t="shared" si="188"/>
        <v>79.58461538461539</v>
      </c>
      <c r="H50" s="196">
        <f t="shared" si="189"/>
        <v>0</v>
      </c>
      <c r="I50" s="306">
        <f t="shared" si="190"/>
        <v>0</v>
      </c>
      <c r="J50" s="306">
        <f t="shared" si="191"/>
        <v>0</v>
      </c>
      <c r="K50" s="293">
        <f t="shared" si="192"/>
        <v>13146</v>
      </c>
      <c r="M50" s="306">
        <f t="shared" si="193"/>
        <v>164.61416070007954</v>
      </c>
      <c r="N50" s="305">
        <v>899</v>
      </c>
      <c r="O50" s="306">
        <f t="shared" ref="O50" si="194">M50-N50</f>
        <v>-734.38583929992046</v>
      </c>
      <c r="Q50" s="309">
        <f t="shared" ref="Q50" si="195">M50/N50</f>
        <v>0.18310807641833096</v>
      </c>
      <c r="R50" s="316">
        <f t="shared" si="107"/>
        <v>2800</v>
      </c>
    </row>
    <row r="51" spans="1:18" s="305" customFormat="1">
      <c r="B51" s="305" t="s">
        <v>267</v>
      </c>
      <c r="C51" s="305" t="s">
        <v>295</v>
      </c>
      <c r="D51" s="305" t="s">
        <v>240</v>
      </c>
      <c r="E51" s="305">
        <v>3100</v>
      </c>
      <c r="F51" s="306">
        <v>46293</v>
      </c>
      <c r="G51" s="306">
        <f t="shared" si="188"/>
        <v>356.1</v>
      </c>
      <c r="H51" s="196">
        <f t="shared" si="189"/>
        <v>156.10000000000002</v>
      </c>
      <c r="I51" s="306">
        <f t="shared" si="190"/>
        <v>23.415000000000003</v>
      </c>
      <c r="J51" s="306">
        <f t="shared" si="191"/>
        <v>3043.9500000000003</v>
      </c>
      <c r="K51" s="293">
        <f t="shared" si="192"/>
        <v>52436.95</v>
      </c>
      <c r="M51" s="306">
        <f t="shared" si="193"/>
        <v>736.56324582338902</v>
      </c>
      <c r="O51" s="306"/>
      <c r="Q51" s="309"/>
      <c r="R51" s="316">
        <f t="shared" si="107"/>
        <v>6143.9499999999971</v>
      </c>
    </row>
    <row r="52" spans="1:18" s="305" customFormat="1">
      <c r="B52" s="305" t="s">
        <v>267</v>
      </c>
      <c r="C52" s="305" t="s">
        <v>296</v>
      </c>
      <c r="D52" s="305" t="s">
        <v>240</v>
      </c>
      <c r="E52" s="305">
        <v>3100</v>
      </c>
      <c r="F52" s="306">
        <v>46571</v>
      </c>
      <c r="G52" s="306">
        <f t="shared" ref="G52" si="196">F52/$C$1</f>
        <v>358.23846153846154</v>
      </c>
      <c r="H52" s="196">
        <f t="shared" ref="H52" si="197">IF(G52&gt;$A$1, G52-$A$1, 0 )</f>
        <v>158.23846153846154</v>
      </c>
      <c r="I52" s="306">
        <f t="shared" ref="I52" si="198">H52*$B$1</f>
        <v>23.735769230769229</v>
      </c>
      <c r="J52" s="306">
        <f t="shared" ref="J52" si="199">I52*$C$1</f>
        <v>3085.6499999999996</v>
      </c>
      <c r="K52" s="293">
        <f t="shared" ref="K52" si="200">E52+F52+J52</f>
        <v>52756.65</v>
      </c>
      <c r="M52" s="306">
        <f t="shared" ref="M52" si="201">F52/$D$1</f>
        <v>740.98647573587903</v>
      </c>
      <c r="O52" s="306"/>
      <c r="Q52" s="309"/>
      <c r="R52" s="316">
        <f t="shared" si="107"/>
        <v>6185.6500000000015</v>
      </c>
    </row>
    <row r="53" spans="1:18" s="305" customFormat="1">
      <c r="B53" s="305" t="s">
        <v>267</v>
      </c>
      <c r="C53" s="305" t="s">
        <v>297</v>
      </c>
      <c r="D53" s="305" t="s">
        <v>240</v>
      </c>
      <c r="E53" s="305">
        <v>3100</v>
      </c>
      <c r="F53" s="306">
        <v>52965</v>
      </c>
      <c r="G53" s="306">
        <f t="shared" ref="G53:G54" si="202">F53/$C$1</f>
        <v>407.42307692307691</v>
      </c>
      <c r="H53" s="196">
        <f t="shared" ref="H53:H54" si="203">IF(G53&gt;$A$1, G53-$A$1, 0 )</f>
        <v>207.42307692307691</v>
      </c>
      <c r="I53" s="306">
        <f t="shared" ref="I53:I54" si="204">H53*$B$1</f>
        <v>31.113461538461536</v>
      </c>
      <c r="J53" s="306">
        <f t="shared" ref="J53:J54" si="205">I53*$C$1</f>
        <v>4044.7499999999995</v>
      </c>
      <c r="K53" s="293">
        <f t="shared" ref="K53:K54" si="206">E53+F53+J53</f>
        <v>60109.75</v>
      </c>
      <c r="M53" s="306">
        <f t="shared" ref="M53:M54" si="207">F53/$D$1</f>
        <v>842.7207637231503</v>
      </c>
      <c r="O53" s="306"/>
      <c r="Q53" s="309"/>
      <c r="R53" s="316">
        <f t="shared" si="107"/>
        <v>7144.75</v>
      </c>
    </row>
    <row r="54" spans="1:18" s="305" customFormat="1">
      <c r="A54" s="305">
        <f>40*$C$1</f>
        <v>5200</v>
      </c>
      <c r="B54" s="305" t="s">
        <v>256</v>
      </c>
      <c r="C54" s="305" t="s">
        <v>298</v>
      </c>
      <c r="D54" s="305" t="s">
        <v>240</v>
      </c>
      <c r="E54" s="305">
        <v>2800</v>
      </c>
      <c r="F54" s="306">
        <v>43000</v>
      </c>
      <c r="G54" s="306">
        <f t="shared" si="202"/>
        <v>330.76923076923077</v>
      </c>
      <c r="H54" s="196">
        <f t="shared" si="203"/>
        <v>130.76923076923077</v>
      </c>
      <c r="I54" s="306">
        <f t="shared" si="204"/>
        <v>19.615384615384617</v>
      </c>
      <c r="J54" s="306">
        <f t="shared" si="205"/>
        <v>2550</v>
      </c>
      <c r="K54" s="293">
        <f t="shared" si="206"/>
        <v>48350</v>
      </c>
      <c r="M54" s="306">
        <f t="shared" si="207"/>
        <v>684.16865552903732</v>
      </c>
      <c r="N54" s="305">
        <v>899</v>
      </c>
      <c r="O54" s="306">
        <f t="shared" ref="O54" si="208">M54-N54</f>
        <v>-214.83134447096268</v>
      </c>
      <c r="Q54" s="309">
        <f t="shared" ref="Q54" si="209">M54/N54</f>
        <v>0.76103298724030843</v>
      </c>
      <c r="R54" s="316">
        <f t="shared" si="107"/>
        <v>5350</v>
      </c>
    </row>
    <row r="55" spans="1:18" s="305" customFormat="1">
      <c r="A55" s="305">
        <f>40*$C$1</f>
        <v>5200</v>
      </c>
      <c r="B55" s="305" t="s">
        <v>256</v>
      </c>
      <c r="C55" s="305" t="s">
        <v>298</v>
      </c>
      <c r="D55" s="305" t="s">
        <v>240</v>
      </c>
      <c r="E55" s="305">
        <v>2800</v>
      </c>
      <c r="F55" s="306">
        <v>43358</v>
      </c>
      <c r="G55" s="306">
        <f t="shared" ref="G55" si="210">F55/$C$1</f>
        <v>333.52307692307693</v>
      </c>
      <c r="H55" s="196">
        <f t="shared" ref="H55" si="211">IF(G55&gt;$A$1, G55-$A$1, 0 )</f>
        <v>133.52307692307693</v>
      </c>
      <c r="I55" s="306">
        <f t="shared" ref="I55" si="212">H55*$B$1</f>
        <v>20.028461538461539</v>
      </c>
      <c r="J55" s="306">
        <f t="shared" ref="J55" si="213">I55*$C$1</f>
        <v>2603.6999999999998</v>
      </c>
      <c r="K55" s="293">
        <f t="shared" ref="K55" si="214">E55+F55+J55</f>
        <v>48761.7</v>
      </c>
      <c r="M55" s="306">
        <f t="shared" ref="M55" si="215">F55/$D$1</f>
        <v>689.86475735879071</v>
      </c>
      <c r="N55" s="305">
        <v>899</v>
      </c>
      <c r="O55" s="306">
        <f t="shared" ref="O55" si="216">M55-N55</f>
        <v>-209.13524264120929</v>
      </c>
      <c r="Q55" s="309">
        <f t="shared" ref="Q55" si="217">M55/N55</f>
        <v>0.76736902932012319</v>
      </c>
      <c r="R55" s="316">
        <f t="shared" si="107"/>
        <v>5403.6999999999971</v>
      </c>
    </row>
    <row r="56" spans="1:18" s="305" customFormat="1">
      <c r="A56" s="305">
        <f>40*$C$1</f>
        <v>5200</v>
      </c>
      <c r="B56" s="305" t="s">
        <v>256</v>
      </c>
      <c r="C56" s="305" t="s">
        <v>299</v>
      </c>
      <c r="D56" s="305" t="s">
        <v>240</v>
      </c>
      <c r="E56" s="305">
        <v>2800</v>
      </c>
      <c r="F56" s="306">
        <v>45682</v>
      </c>
      <c r="G56" s="306">
        <f t="shared" ref="G56" si="218">F56/$C$1</f>
        <v>351.4</v>
      </c>
      <c r="H56" s="196">
        <f t="shared" ref="H56" si="219">IF(G56&gt;$A$1, G56-$A$1, 0 )</f>
        <v>151.39999999999998</v>
      </c>
      <c r="I56" s="306">
        <f t="shared" ref="I56" si="220">H56*$B$1</f>
        <v>22.709999999999997</v>
      </c>
      <c r="J56" s="306">
        <f t="shared" ref="J56" si="221">I56*$C$1</f>
        <v>2952.2999999999997</v>
      </c>
      <c r="K56" s="293">
        <f t="shared" ref="K56" si="222">E56+F56+J56</f>
        <v>51434.3</v>
      </c>
      <c r="M56" s="306">
        <f t="shared" ref="M56" si="223">F56/$D$1</f>
        <v>726.84168655529038</v>
      </c>
      <c r="N56" s="305">
        <v>899</v>
      </c>
      <c r="O56" s="306">
        <f t="shared" ref="O56" si="224">M56-N56</f>
        <v>-172.15831344470962</v>
      </c>
      <c r="Q56" s="309">
        <f t="shared" ref="Q56" si="225">M56/N56</f>
        <v>0.80850020751422735</v>
      </c>
      <c r="R56" s="316">
        <f t="shared" si="107"/>
        <v>5752.3000000000029</v>
      </c>
    </row>
    <row r="57" spans="1:18" s="327" customFormat="1">
      <c r="A57" s="327">
        <f t="shared" ref="A57:A67" si="226">40*$C$1</f>
        <v>5200</v>
      </c>
      <c r="B57" s="305" t="s">
        <v>267</v>
      </c>
      <c r="C57" s="327" t="s">
        <v>390</v>
      </c>
      <c r="D57" s="327" t="s">
        <v>240</v>
      </c>
      <c r="E57" s="327">
        <v>3100</v>
      </c>
      <c r="F57" s="328">
        <v>36951</v>
      </c>
      <c r="G57" s="328">
        <f t="shared" ref="G57" si="227">F57/$C$1</f>
        <v>284.23846153846154</v>
      </c>
      <c r="H57" s="328">
        <f t="shared" ref="H57" si="228">IF(G57&gt;$A$1, G57-$A$1, 0 )</f>
        <v>84.238461538461536</v>
      </c>
      <c r="I57" s="328">
        <f t="shared" ref="I57" si="229">H57*$B$1</f>
        <v>12.635769230769229</v>
      </c>
      <c r="J57" s="328">
        <f t="shared" ref="J57" si="230">I57*$C$1</f>
        <v>1642.6499999999999</v>
      </c>
      <c r="K57" s="328">
        <f t="shared" ref="K57" si="231">E57+F57+J57</f>
        <v>41693.65</v>
      </c>
      <c r="M57" s="328">
        <f t="shared" ref="M57" si="232">F57/$D$1</f>
        <v>587.92362768496423</v>
      </c>
      <c r="N57" s="327">
        <v>899</v>
      </c>
      <c r="O57" s="328">
        <f t="shared" ref="O57" si="233">M57-N57</f>
        <v>-311.07637231503577</v>
      </c>
      <c r="Q57" s="329">
        <f t="shared" ref="Q57" si="234">M57/N57</f>
        <v>0.65397511422131727</v>
      </c>
      <c r="R57" s="328">
        <f>K57-F57</f>
        <v>4742.6500000000015</v>
      </c>
    </row>
    <row r="58" spans="1:18" s="305" customFormat="1">
      <c r="B58" s="305" t="s">
        <v>267</v>
      </c>
      <c r="C58" s="305" t="s">
        <v>300</v>
      </c>
      <c r="D58" s="305" t="s">
        <v>240</v>
      </c>
      <c r="E58" s="305">
        <v>3100</v>
      </c>
      <c r="F58" s="306">
        <v>21649</v>
      </c>
      <c r="G58" s="306">
        <f t="shared" ref="G58:G64" si="235">F58/$C$1</f>
        <v>166.53076923076924</v>
      </c>
      <c r="H58" s="196">
        <f t="shared" ref="H58:H64" si="236">IF(G58&gt;$A$1, G58-$A$1, 0 )</f>
        <v>0</v>
      </c>
      <c r="I58" s="306">
        <f t="shared" ref="I58:I64" si="237">H58*$B$1</f>
        <v>0</v>
      </c>
      <c r="J58" s="306">
        <f t="shared" ref="J58:J64" si="238">I58*$C$1</f>
        <v>0</v>
      </c>
      <c r="K58" s="293">
        <f t="shared" ref="K58:K64" si="239">E58+F58+J58</f>
        <v>24749</v>
      </c>
      <c r="M58" s="306">
        <f t="shared" ref="M58:M64" si="240">F58/$D$1</f>
        <v>344.45505171042163</v>
      </c>
      <c r="O58" s="306"/>
      <c r="Q58" s="309"/>
      <c r="R58" s="316">
        <f t="shared" si="107"/>
        <v>3100</v>
      </c>
    </row>
    <row r="59" spans="1:18" s="237" customFormat="1">
      <c r="B59" s="237" t="s">
        <v>267</v>
      </c>
      <c r="C59" s="237" t="s">
        <v>301</v>
      </c>
      <c r="D59" s="237" t="s">
        <v>240</v>
      </c>
      <c r="E59" s="237">
        <v>3100</v>
      </c>
      <c r="F59" s="304">
        <v>25393</v>
      </c>
      <c r="G59" s="304">
        <f t="shared" si="235"/>
        <v>195.33076923076922</v>
      </c>
      <c r="H59" s="304">
        <f t="shared" si="236"/>
        <v>0</v>
      </c>
      <c r="I59" s="304">
        <f t="shared" si="237"/>
        <v>0</v>
      </c>
      <c r="J59" s="304">
        <f t="shared" si="238"/>
        <v>0</v>
      </c>
      <c r="K59" s="304">
        <f t="shared" si="239"/>
        <v>28493</v>
      </c>
      <c r="M59" s="304">
        <f t="shared" si="240"/>
        <v>404.02545743834526</v>
      </c>
      <c r="O59" s="304"/>
      <c r="Q59" s="314"/>
      <c r="R59" s="316">
        <f t="shared" si="107"/>
        <v>3100</v>
      </c>
    </row>
    <row r="60" spans="1:18" s="305" customFormat="1">
      <c r="B60" s="305" t="s">
        <v>267</v>
      </c>
      <c r="C60" s="305" t="s">
        <v>302</v>
      </c>
      <c r="D60" s="305" t="s">
        <v>240</v>
      </c>
      <c r="E60" s="305">
        <v>3100</v>
      </c>
      <c r="F60" s="306">
        <v>23555</v>
      </c>
      <c r="G60" s="306">
        <f t="shared" si="235"/>
        <v>181.19230769230768</v>
      </c>
      <c r="H60" s="196">
        <f t="shared" si="236"/>
        <v>0</v>
      </c>
      <c r="I60" s="306">
        <f t="shared" si="237"/>
        <v>0</v>
      </c>
      <c r="J60" s="306">
        <f t="shared" si="238"/>
        <v>0</v>
      </c>
      <c r="K60" s="293">
        <f t="shared" si="239"/>
        <v>26655</v>
      </c>
      <c r="M60" s="306">
        <f t="shared" si="240"/>
        <v>374.78122513922034</v>
      </c>
      <c r="O60" s="306"/>
      <c r="Q60" s="309"/>
      <c r="R60" s="316">
        <f t="shared" si="107"/>
        <v>3100</v>
      </c>
    </row>
    <row r="61" spans="1:18" s="305" customFormat="1">
      <c r="A61" s="305">
        <f t="shared" si="226"/>
        <v>5200</v>
      </c>
      <c r="B61" s="305" t="s">
        <v>256</v>
      </c>
      <c r="C61" s="305" t="s">
        <v>300</v>
      </c>
      <c r="D61" s="305" t="s">
        <v>240</v>
      </c>
      <c r="E61" s="305">
        <v>2800</v>
      </c>
      <c r="F61" s="306">
        <v>21670</v>
      </c>
      <c r="G61" s="306">
        <f t="shared" si="235"/>
        <v>166.69230769230768</v>
      </c>
      <c r="H61" s="196">
        <f t="shared" si="236"/>
        <v>0</v>
      </c>
      <c r="I61" s="306">
        <f t="shared" si="237"/>
        <v>0</v>
      </c>
      <c r="J61" s="306">
        <f t="shared" si="238"/>
        <v>0</v>
      </c>
      <c r="K61" s="293">
        <f t="shared" si="239"/>
        <v>24470</v>
      </c>
      <c r="M61" s="306">
        <f t="shared" si="240"/>
        <v>344.78918058870323</v>
      </c>
      <c r="N61" s="305">
        <v>899</v>
      </c>
      <c r="O61" s="306">
        <f t="shared" ref="O61:O64" si="241">M61-N61</f>
        <v>-554.21081941129682</v>
      </c>
      <c r="Q61" s="309">
        <f t="shared" ref="Q61:Q64" si="242">M61/N61</f>
        <v>0.38352522868598804</v>
      </c>
      <c r="R61" s="316">
        <f t="shared" si="107"/>
        <v>2800</v>
      </c>
    </row>
    <row r="62" spans="1:18" s="237" customFormat="1">
      <c r="A62" s="237">
        <f t="shared" si="226"/>
        <v>5200</v>
      </c>
      <c r="B62" s="237" t="s">
        <v>256</v>
      </c>
      <c r="C62" s="237" t="s">
        <v>301</v>
      </c>
      <c r="D62" s="237" t="s">
        <v>240</v>
      </c>
      <c r="E62" s="237">
        <v>2800</v>
      </c>
      <c r="F62" s="304">
        <v>26530</v>
      </c>
      <c r="G62" s="304">
        <f t="shared" si="235"/>
        <v>204.07692307692307</v>
      </c>
      <c r="H62" s="304">
        <f t="shared" si="236"/>
        <v>4.076923076923066</v>
      </c>
      <c r="I62" s="304">
        <f t="shared" si="237"/>
        <v>0.61153846153845992</v>
      </c>
      <c r="J62" s="304">
        <f t="shared" si="238"/>
        <v>79.499999999999787</v>
      </c>
      <c r="K62" s="304">
        <f t="shared" si="239"/>
        <v>29409.5</v>
      </c>
      <c r="M62" s="304">
        <f t="shared" si="240"/>
        <v>422.11614956245029</v>
      </c>
      <c r="N62" s="237">
        <v>899</v>
      </c>
      <c r="O62" s="304">
        <f t="shared" si="241"/>
        <v>-476.88385043754971</v>
      </c>
      <c r="Q62" s="314">
        <f t="shared" si="242"/>
        <v>0.46953965468570669</v>
      </c>
      <c r="R62" s="316">
        <f t="shared" si="107"/>
        <v>2879.5</v>
      </c>
    </row>
    <row r="63" spans="1:18" s="305" customFormat="1">
      <c r="A63" s="305">
        <f t="shared" si="226"/>
        <v>5200</v>
      </c>
      <c r="B63" s="305" t="s">
        <v>256</v>
      </c>
      <c r="C63" s="305" t="s">
        <v>317</v>
      </c>
      <c r="D63" s="305" t="s">
        <v>240</v>
      </c>
      <c r="E63" s="305">
        <v>2800</v>
      </c>
      <c r="F63" s="306">
        <v>24907</v>
      </c>
      <c r="G63" s="306">
        <f t="shared" ref="G63" si="243">F63/$C$1</f>
        <v>191.59230769230768</v>
      </c>
      <c r="H63" s="196">
        <f t="shared" ref="H63" si="244">IF(G63&gt;$A$1, G63-$A$1, 0 )</f>
        <v>0</v>
      </c>
      <c r="I63" s="306">
        <f t="shared" ref="I63" si="245">H63*$B$1</f>
        <v>0</v>
      </c>
      <c r="J63" s="306">
        <f t="shared" ref="J63" si="246">I63*$C$1</f>
        <v>0</v>
      </c>
      <c r="K63" s="293">
        <f t="shared" ref="K63" si="247">E63+F63+J63</f>
        <v>27707</v>
      </c>
      <c r="M63" s="306">
        <f t="shared" ref="M63" si="248">F63/$D$1</f>
        <v>396.29276054097056</v>
      </c>
      <c r="N63" s="305">
        <v>899</v>
      </c>
      <c r="O63" s="306">
        <f t="shared" ref="O63" si="249">M63-N63</f>
        <v>-502.70723945902944</v>
      </c>
      <c r="Q63" s="309">
        <f t="shared" ref="Q63" si="250">M63/N63</f>
        <v>0.44081508402777592</v>
      </c>
      <c r="R63" s="316">
        <f t="shared" si="107"/>
        <v>2800</v>
      </c>
    </row>
    <row r="64" spans="1:18" s="305" customFormat="1">
      <c r="A64" s="305">
        <f t="shared" si="226"/>
        <v>5200</v>
      </c>
      <c r="B64" s="305" t="s">
        <v>256</v>
      </c>
      <c r="C64" s="305" t="s">
        <v>302</v>
      </c>
      <c r="D64" s="305" t="s">
        <v>240</v>
      </c>
      <c r="E64" s="305">
        <v>2800</v>
      </c>
      <c r="F64" s="306">
        <v>22929.82</v>
      </c>
      <c r="G64" s="306">
        <f t="shared" si="235"/>
        <v>176.38323076923078</v>
      </c>
      <c r="H64" s="196">
        <f t="shared" si="236"/>
        <v>0</v>
      </c>
      <c r="I64" s="306">
        <f t="shared" si="237"/>
        <v>0</v>
      </c>
      <c r="J64" s="306">
        <f t="shared" si="238"/>
        <v>0</v>
      </c>
      <c r="K64" s="293">
        <f t="shared" si="239"/>
        <v>25729.82</v>
      </c>
      <c r="M64" s="306">
        <f t="shared" si="240"/>
        <v>364.83404932378676</v>
      </c>
      <c r="N64" s="305">
        <v>899</v>
      </c>
      <c r="O64" s="306">
        <f t="shared" si="241"/>
        <v>-534.16595067621324</v>
      </c>
      <c r="Q64" s="309">
        <f t="shared" si="242"/>
        <v>0.40582207933680398</v>
      </c>
      <c r="R64" s="316">
        <f t="shared" si="107"/>
        <v>2800</v>
      </c>
    </row>
    <row r="65" spans="1:18" s="305" customFormat="1">
      <c r="A65" s="305">
        <f t="shared" si="226"/>
        <v>5200</v>
      </c>
      <c r="B65" s="305" t="s">
        <v>256</v>
      </c>
      <c r="C65" s="305" t="s">
        <v>311</v>
      </c>
      <c r="D65" s="305" t="s">
        <v>240</v>
      </c>
      <c r="E65" s="305">
        <v>2800</v>
      </c>
      <c r="F65" s="306">
        <v>11995</v>
      </c>
      <c r="G65" s="306">
        <f t="shared" ref="G65" si="251">F65/$C$1</f>
        <v>92.269230769230774</v>
      </c>
      <c r="H65" s="196">
        <f t="shared" ref="H65" si="252">IF(G65&gt;$A$1, G65-$A$1, 0 )</f>
        <v>0</v>
      </c>
      <c r="I65" s="306">
        <f t="shared" ref="I65" si="253">H65*$B$1</f>
        <v>0</v>
      </c>
      <c r="J65" s="306">
        <f t="shared" ref="J65" si="254">I65*$C$1</f>
        <v>0</v>
      </c>
      <c r="K65" s="293">
        <f t="shared" ref="K65" si="255">E65+F65+J65</f>
        <v>14795</v>
      </c>
      <c r="M65" s="306">
        <f t="shared" ref="M65" si="256">F65/$D$1</f>
        <v>190.85123309466985</v>
      </c>
      <c r="N65" s="305">
        <v>899</v>
      </c>
      <c r="O65" s="306">
        <f t="shared" ref="O65" si="257">M65-N65</f>
        <v>-708.14876690533015</v>
      </c>
      <c r="Q65" s="309">
        <f t="shared" ref="Q65" si="258">M65/N65</f>
        <v>0.21229280655691862</v>
      </c>
      <c r="R65" s="316">
        <f t="shared" si="107"/>
        <v>2800</v>
      </c>
    </row>
    <row r="66" spans="1:18" s="305" customFormat="1">
      <c r="A66" s="305">
        <f t="shared" si="226"/>
        <v>5200</v>
      </c>
      <c r="B66" s="305" t="s">
        <v>256</v>
      </c>
      <c r="C66" s="305" t="s">
        <v>312</v>
      </c>
      <c r="D66" s="305" t="s">
        <v>240</v>
      </c>
      <c r="E66" s="305">
        <v>2800</v>
      </c>
      <c r="F66" s="306">
        <v>14244.86</v>
      </c>
      <c r="G66" s="306">
        <f t="shared" ref="G66:G67" si="259">F66/$C$1</f>
        <v>109.57584615384616</v>
      </c>
      <c r="H66" s="196">
        <f t="shared" ref="H66:H67" si="260">IF(G66&gt;$A$1, G66-$A$1, 0 )</f>
        <v>0</v>
      </c>
      <c r="I66" s="306">
        <f t="shared" ref="I66:I67" si="261">H66*$B$1</f>
        <v>0</v>
      </c>
      <c r="J66" s="306">
        <f t="shared" ref="J66:J67" si="262">I66*$C$1</f>
        <v>0</v>
      </c>
      <c r="K66" s="293">
        <f t="shared" ref="K66:K67" si="263">E66+F66+J66</f>
        <v>17044.86</v>
      </c>
      <c r="M66" s="306">
        <f t="shared" ref="M66:M67" si="264">F66/$D$1</f>
        <v>226.64852824184567</v>
      </c>
      <c r="N66" s="305">
        <v>899</v>
      </c>
      <c r="O66" s="306">
        <f t="shared" ref="O66:O67" si="265">M66-N66</f>
        <v>-672.35147175815428</v>
      </c>
      <c r="Q66" s="309">
        <f t="shared" ref="Q66:Q67" si="266">M66/N66</f>
        <v>0.25211182229348794</v>
      </c>
      <c r="R66" s="316">
        <f t="shared" si="107"/>
        <v>2800</v>
      </c>
    </row>
    <row r="67" spans="1:18" s="327" customFormat="1">
      <c r="A67" s="327">
        <f t="shared" si="226"/>
        <v>5200</v>
      </c>
      <c r="B67" s="327" t="s">
        <v>256</v>
      </c>
      <c r="C67" s="327" t="s">
        <v>390</v>
      </c>
      <c r="D67" s="327" t="s">
        <v>240</v>
      </c>
      <c r="E67" s="327">
        <v>3500</v>
      </c>
      <c r="F67" s="328">
        <v>38000</v>
      </c>
      <c r="G67" s="328">
        <f t="shared" si="259"/>
        <v>292.30769230769232</v>
      </c>
      <c r="H67" s="328">
        <f t="shared" si="260"/>
        <v>92.307692307692321</v>
      </c>
      <c r="I67" s="328">
        <f t="shared" si="261"/>
        <v>13.846153846153848</v>
      </c>
      <c r="J67" s="328">
        <f t="shared" si="262"/>
        <v>1800.0000000000002</v>
      </c>
      <c r="K67" s="328">
        <f t="shared" si="263"/>
        <v>43300</v>
      </c>
      <c r="M67" s="328">
        <f t="shared" si="264"/>
        <v>604.61416070007954</v>
      </c>
      <c r="N67" s="327">
        <v>899</v>
      </c>
      <c r="O67" s="328">
        <f t="shared" si="265"/>
        <v>-294.38583929992046</v>
      </c>
      <c r="Q67" s="329">
        <f t="shared" si="266"/>
        <v>0.67254077942166801</v>
      </c>
      <c r="R67" s="328">
        <f t="shared" ref="R67" si="267">K67-F67</f>
        <v>5300</v>
      </c>
    </row>
    <row r="68" spans="1:18" s="305" customFormat="1">
      <c r="B68" s="305" t="s">
        <v>267</v>
      </c>
      <c r="C68" s="305" t="s">
        <v>303</v>
      </c>
      <c r="D68" s="305" t="s">
        <v>240</v>
      </c>
      <c r="E68" s="305">
        <v>3100</v>
      </c>
      <c r="F68" s="306">
        <v>17906</v>
      </c>
      <c r="G68" s="306">
        <f t="shared" ref="G68:G73" si="268">F68/$C$1</f>
        <v>137.73846153846154</v>
      </c>
      <c r="H68" s="196">
        <f t="shared" ref="H68:H73" si="269">IF(G68&gt;$A$1, G68-$A$1, 0 )</f>
        <v>0</v>
      </c>
      <c r="I68" s="306">
        <f t="shared" ref="I68:I73" si="270">H68*$B$1</f>
        <v>0</v>
      </c>
      <c r="J68" s="306">
        <f t="shared" ref="J68:J73" si="271">I68*$C$1</f>
        <v>0</v>
      </c>
      <c r="K68" s="293">
        <f t="shared" ref="K68:K73" si="272">E68+F68+J68</f>
        <v>21006</v>
      </c>
      <c r="M68" s="306">
        <f t="shared" ref="M68:M73" si="273">F68/$D$1</f>
        <v>284.90055688146379</v>
      </c>
      <c r="O68" s="306"/>
      <c r="Q68" s="309"/>
      <c r="R68" s="316">
        <f t="shared" si="107"/>
        <v>3100</v>
      </c>
    </row>
    <row r="69" spans="1:18" s="305" customFormat="1">
      <c r="B69" s="305" t="s">
        <v>267</v>
      </c>
      <c r="C69" s="305" t="s">
        <v>304</v>
      </c>
      <c r="D69" s="305" t="s">
        <v>240</v>
      </c>
      <c r="E69" s="305">
        <v>3100</v>
      </c>
      <c r="F69" s="306">
        <v>19746</v>
      </c>
      <c r="G69" s="306">
        <f t="shared" si="268"/>
        <v>151.8923076923077</v>
      </c>
      <c r="H69" s="196">
        <f t="shared" si="269"/>
        <v>0</v>
      </c>
      <c r="I69" s="306">
        <f t="shared" si="270"/>
        <v>0</v>
      </c>
      <c r="J69" s="306">
        <f t="shared" si="271"/>
        <v>0</v>
      </c>
      <c r="K69" s="293">
        <f t="shared" si="272"/>
        <v>22846</v>
      </c>
      <c r="M69" s="306">
        <f t="shared" si="273"/>
        <v>314.17661097852027</v>
      </c>
      <c r="O69" s="306"/>
      <c r="Q69" s="309"/>
      <c r="R69" s="316">
        <f t="shared" si="107"/>
        <v>3100</v>
      </c>
    </row>
    <row r="70" spans="1:18" s="305" customFormat="1">
      <c r="B70" s="305" t="s">
        <v>267</v>
      </c>
      <c r="C70" s="305" t="s">
        <v>305</v>
      </c>
      <c r="D70" s="305" t="s">
        <v>240</v>
      </c>
      <c r="E70" s="305">
        <v>3100</v>
      </c>
      <c r="F70" s="306">
        <v>22538</v>
      </c>
      <c r="G70" s="306">
        <f t="shared" si="268"/>
        <v>173.36923076923077</v>
      </c>
      <c r="H70" s="196">
        <f t="shared" si="269"/>
        <v>0</v>
      </c>
      <c r="I70" s="306">
        <f t="shared" si="270"/>
        <v>0</v>
      </c>
      <c r="J70" s="306">
        <f t="shared" si="271"/>
        <v>0</v>
      </c>
      <c r="K70" s="293">
        <f t="shared" si="272"/>
        <v>25638</v>
      </c>
      <c r="M70" s="306">
        <f t="shared" si="273"/>
        <v>358.59984089101033</v>
      </c>
      <c r="O70" s="306"/>
      <c r="Q70" s="309"/>
      <c r="R70" s="316">
        <f t="shared" si="107"/>
        <v>3100</v>
      </c>
    </row>
    <row r="71" spans="1:18" s="305" customFormat="1">
      <c r="A71" s="305">
        <f>40*$C$1</f>
        <v>5200</v>
      </c>
      <c r="B71" s="305" t="s">
        <v>256</v>
      </c>
      <c r="C71" s="305" t="s">
        <v>303</v>
      </c>
      <c r="D71" s="305" t="s">
        <v>240</v>
      </c>
      <c r="E71" s="305">
        <v>2800</v>
      </c>
      <c r="F71" s="306">
        <v>18068</v>
      </c>
      <c r="G71" s="306">
        <f t="shared" si="268"/>
        <v>138.98461538461538</v>
      </c>
      <c r="H71" s="196">
        <f t="shared" si="269"/>
        <v>0</v>
      </c>
      <c r="I71" s="306">
        <f t="shared" si="270"/>
        <v>0</v>
      </c>
      <c r="J71" s="306">
        <f t="shared" si="271"/>
        <v>0</v>
      </c>
      <c r="K71" s="293">
        <f t="shared" si="272"/>
        <v>20868</v>
      </c>
      <c r="M71" s="306">
        <f t="shared" si="273"/>
        <v>287.47812251392202</v>
      </c>
      <c r="N71" s="305">
        <v>899</v>
      </c>
      <c r="O71" s="306">
        <f t="shared" ref="O71:O73" si="274">M71-N71</f>
        <v>-611.52187748607798</v>
      </c>
      <c r="Q71" s="309">
        <f t="shared" ref="Q71:Q73" si="275">M71/N71</f>
        <v>0.31977544217343939</v>
      </c>
      <c r="R71" s="316">
        <f t="shared" si="107"/>
        <v>2800</v>
      </c>
    </row>
    <row r="72" spans="1:18" s="305" customFormat="1">
      <c r="A72" s="305">
        <f>40*$C$1</f>
        <v>5200</v>
      </c>
      <c r="B72" s="305" t="s">
        <v>256</v>
      </c>
      <c r="C72" s="305" t="s">
        <v>304</v>
      </c>
      <c r="D72" s="305" t="s">
        <v>240</v>
      </c>
      <c r="E72" s="305">
        <v>2800</v>
      </c>
      <c r="F72" s="306">
        <v>19955</v>
      </c>
      <c r="G72" s="306">
        <f t="shared" si="268"/>
        <v>153.5</v>
      </c>
      <c r="H72" s="196">
        <f t="shared" si="269"/>
        <v>0</v>
      </c>
      <c r="I72" s="306">
        <f t="shared" si="270"/>
        <v>0</v>
      </c>
      <c r="J72" s="306">
        <f t="shared" si="271"/>
        <v>0</v>
      </c>
      <c r="K72" s="293">
        <f t="shared" si="272"/>
        <v>22755</v>
      </c>
      <c r="M72" s="306">
        <f t="shared" si="273"/>
        <v>317.50198886237069</v>
      </c>
      <c r="N72" s="305">
        <v>899</v>
      </c>
      <c r="O72" s="306">
        <f t="shared" si="274"/>
        <v>-581.49801113762931</v>
      </c>
      <c r="Q72" s="309">
        <f t="shared" si="275"/>
        <v>0.35317240140419431</v>
      </c>
      <c r="R72" s="316">
        <f t="shared" si="107"/>
        <v>2800</v>
      </c>
    </row>
    <row r="73" spans="1:18" s="305" customFormat="1">
      <c r="A73" s="305">
        <f>40*$C$1</f>
        <v>5200</v>
      </c>
      <c r="B73" s="305" t="s">
        <v>256</v>
      </c>
      <c r="C73" s="305" t="s">
        <v>305</v>
      </c>
      <c r="D73" s="305" t="s">
        <v>240</v>
      </c>
      <c r="E73" s="305">
        <v>2800</v>
      </c>
      <c r="F73" s="306">
        <v>22756</v>
      </c>
      <c r="G73" s="306">
        <f t="shared" si="268"/>
        <v>175.04615384615386</v>
      </c>
      <c r="H73" s="196">
        <f t="shared" si="269"/>
        <v>0</v>
      </c>
      <c r="I73" s="306">
        <f t="shared" si="270"/>
        <v>0</v>
      </c>
      <c r="J73" s="306">
        <f t="shared" si="271"/>
        <v>0</v>
      </c>
      <c r="K73" s="293">
        <f t="shared" si="272"/>
        <v>25556</v>
      </c>
      <c r="M73" s="306">
        <f t="shared" si="273"/>
        <v>362.06841686555288</v>
      </c>
      <c r="N73" s="305">
        <v>899</v>
      </c>
      <c r="O73" s="306">
        <f t="shared" si="274"/>
        <v>-536.93158313444712</v>
      </c>
      <c r="Q73" s="309">
        <f t="shared" si="275"/>
        <v>0.40274573622419674</v>
      </c>
      <c r="R73" s="316">
        <f t="shared" si="107"/>
        <v>2800</v>
      </c>
    </row>
    <row r="74" spans="1:18" s="305" customFormat="1">
      <c r="B74" s="305" t="s">
        <v>267</v>
      </c>
      <c r="C74" s="305" t="s">
        <v>314</v>
      </c>
      <c r="D74" s="305" t="s">
        <v>240</v>
      </c>
      <c r="E74" s="305">
        <v>3100</v>
      </c>
      <c r="F74" s="306">
        <v>26533</v>
      </c>
      <c r="G74" s="306">
        <f t="shared" ref="G74:G76" si="276">F74/$C$1</f>
        <v>204.1</v>
      </c>
      <c r="H74" s="196">
        <f t="shared" ref="H74:H76" si="277">IF(G74&gt;$A$1, G74-$A$1, 0 )</f>
        <v>4.0999999999999943</v>
      </c>
      <c r="I74" s="306">
        <f t="shared" ref="I74:I76" si="278">H74*$B$1</f>
        <v>0.6149999999999991</v>
      </c>
      <c r="J74" s="306">
        <f t="shared" ref="J74:J76" si="279">I74*$C$1</f>
        <v>79.949999999999889</v>
      </c>
      <c r="K74" s="293">
        <f t="shared" ref="K74:K76" si="280">E74+F74+J74</f>
        <v>29712.95</v>
      </c>
      <c r="M74" s="306">
        <f t="shared" ref="M74:M76" si="281">F74/$D$1</f>
        <v>422.16388225934764</v>
      </c>
      <c r="O74" s="306"/>
      <c r="Q74" s="309"/>
      <c r="R74" s="316">
        <f t="shared" si="107"/>
        <v>3179.9500000000007</v>
      </c>
    </row>
    <row r="75" spans="1:18" s="305" customFormat="1">
      <c r="A75" s="305">
        <f>40*$C$1</f>
        <v>5200</v>
      </c>
      <c r="B75" s="305" t="s">
        <v>256</v>
      </c>
      <c r="C75" s="305" t="s">
        <v>314</v>
      </c>
      <c r="D75" s="305" t="s">
        <v>240</v>
      </c>
      <c r="E75" s="305">
        <v>3700</v>
      </c>
      <c r="F75" s="306">
        <v>33110</v>
      </c>
      <c r="G75" s="306">
        <f t="shared" si="276"/>
        <v>254.69230769230768</v>
      </c>
      <c r="H75" s="196">
        <f t="shared" si="277"/>
        <v>54.692307692307679</v>
      </c>
      <c r="I75" s="306">
        <f t="shared" si="278"/>
        <v>8.2038461538461522</v>
      </c>
      <c r="J75" s="306">
        <f t="shared" si="279"/>
        <v>1066.4999999999998</v>
      </c>
      <c r="K75" s="293">
        <f t="shared" si="280"/>
        <v>37876.5</v>
      </c>
      <c r="M75" s="306">
        <f t="shared" si="281"/>
        <v>526.80986475735881</v>
      </c>
      <c r="N75" s="305">
        <v>899</v>
      </c>
      <c r="O75" s="306">
        <f t="shared" ref="O75" si="282">M75-N75</f>
        <v>-372.19013524264119</v>
      </c>
      <c r="Q75" s="309">
        <f t="shared" ref="Q75" si="283">M75/N75</f>
        <v>0.5859954001750376</v>
      </c>
      <c r="R75" s="316">
        <f t="shared" si="107"/>
        <v>4766.5</v>
      </c>
    </row>
    <row r="76" spans="1:18" s="305" customFormat="1">
      <c r="B76" s="305" t="s">
        <v>315</v>
      </c>
      <c r="C76" s="305" t="s">
        <v>316</v>
      </c>
      <c r="D76" s="305" t="s">
        <v>240</v>
      </c>
      <c r="E76" s="305">
        <v>4950</v>
      </c>
      <c r="F76" s="306">
        <v>35043</v>
      </c>
      <c r="G76" s="306">
        <f t="shared" si="276"/>
        <v>269.56153846153848</v>
      </c>
      <c r="H76" s="196">
        <f t="shared" si="277"/>
        <v>69.561538461538476</v>
      </c>
      <c r="I76" s="306">
        <f t="shared" si="278"/>
        <v>10.434230769230771</v>
      </c>
      <c r="J76" s="306">
        <f t="shared" si="279"/>
        <v>1356.4500000000003</v>
      </c>
      <c r="K76" s="293">
        <f t="shared" si="280"/>
        <v>41349.449999999997</v>
      </c>
      <c r="M76" s="306">
        <f t="shared" si="281"/>
        <v>557.56563245823384</v>
      </c>
      <c r="O76" s="306"/>
      <c r="Q76" s="309"/>
      <c r="R76" s="316">
        <f t="shared" si="107"/>
        <v>6306.4499999999971</v>
      </c>
    </row>
    <row r="77" spans="1:18" s="305" customFormat="1">
      <c r="B77" s="305" t="s">
        <v>267</v>
      </c>
      <c r="C77" s="305" t="s">
        <v>320</v>
      </c>
      <c r="D77" s="305" t="s">
        <v>240</v>
      </c>
      <c r="E77" s="305">
        <v>3100</v>
      </c>
      <c r="F77" s="306">
        <v>10530</v>
      </c>
      <c r="G77" s="306">
        <f t="shared" ref="G77:G79" si="284">F77/$C$1</f>
        <v>81</v>
      </c>
      <c r="H77" s="196">
        <f t="shared" ref="H77:H79" si="285">IF(G77&gt;$A$1, G77-$A$1, 0 )</f>
        <v>0</v>
      </c>
      <c r="I77" s="306">
        <f t="shared" ref="I77:I79" si="286">H77*$B$1</f>
        <v>0</v>
      </c>
      <c r="J77" s="306">
        <f t="shared" ref="J77:J79" si="287">I77*$C$1</f>
        <v>0</v>
      </c>
      <c r="K77" s="293">
        <f t="shared" ref="K77:K79" si="288">E77+F77+J77</f>
        <v>13630</v>
      </c>
      <c r="M77" s="306">
        <f t="shared" ref="M77:M79" si="289">F77/$D$1</f>
        <v>167.54176610978519</v>
      </c>
      <c r="O77" s="306"/>
      <c r="Q77" s="309"/>
      <c r="R77" s="316">
        <f t="shared" si="107"/>
        <v>3100</v>
      </c>
    </row>
    <row r="78" spans="1:18" s="305" customFormat="1">
      <c r="A78" s="305">
        <f>40*$C$1</f>
        <v>5200</v>
      </c>
      <c r="B78" s="305" t="s">
        <v>256</v>
      </c>
      <c r="C78" s="305" t="s">
        <v>320</v>
      </c>
      <c r="D78" s="305" t="s">
        <v>240</v>
      </c>
      <c r="E78" s="305">
        <v>2800</v>
      </c>
      <c r="F78" s="306">
        <v>10590</v>
      </c>
      <c r="G78" s="306">
        <f t="shared" si="284"/>
        <v>81.461538461538467</v>
      </c>
      <c r="H78" s="196">
        <f t="shared" si="285"/>
        <v>0</v>
      </c>
      <c r="I78" s="306">
        <f t="shared" si="286"/>
        <v>0</v>
      </c>
      <c r="J78" s="306">
        <f t="shared" si="287"/>
        <v>0</v>
      </c>
      <c r="K78" s="293">
        <f t="shared" si="288"/>
        <v>13390</v>
      </c>
      <c r="M78" s="306">
        <f t="shared" si="289"/>
        <v>168.4964200477327</v>
      </c>
      <c r="N78" s="305">
        <v>899</v>
      </c>
      <c r="O78" s="306">
        <f t="shared" ref="O78" si="290">M78-N78</f>
        <v>-730.50357995226727</v>
      </c>
      <c r="Q78" s="309">
        <f t="shared" ref="Q78" si="291">M78/N78</f>
        <v>0.18742649615988063</v>
      </c>
      <c r="R78" s="316">
        <f t="shared" si="107"/>
        <v>2800</v>
      </c>
    </row>
    <row r="79" spans="1:18" s="237" customFormat="1">
      <c r="B79" s="237" t="s">
        <v>267</v>
      </c>
      <c r="C79" s="237" t="s">
        <v>403</v>
      </c>
      <c r="D79" s="237" t="s">
        <v>240</v>
      </c>
      <c r="E79" s="237">
        <v>3100</v>
      </c>
      <c r="F79" s="304">
        <v>146379</v>
      </c>
      <c r="G79" s="304">
        <f t="shared" si="284"/>
        <v>1125.9923076923078</v>
      </c>
      <c r="H79" s="304">
        <f t="shared" si="285"/>
        <v>925.9923076923078</v>
      </c>
      <c r="I79" s="304">
        <f t="shared" si="286"/>
        <v>138.89884615384616</v>
      </c>
      <c r="J79" s="304">
        <f t="shared" si="287"/>
        <v>18056.850000000002</v>
      </c>
      <c r="K79" s="304">
        <f t="shared" si="288"/>
        <v>167535.85</v>
      </c>
      <c r="M79" s="304">
        <f t="shared" si="289"/>
        <v>2329.0214797136036</v>
      </c>
      <c r="O79" s="304"/>
      <c r="Q79" s="314"/>
      <c r="R79" s="316">
        <f t="shared" ref="R79" si="292">K79-F79</f>
        <v>21156.850000000006</v>
      </c>
    </row>
    <row r="80" spans="1:18" s="237" customFormat="1">
      <c r="B80" s="237" t="s">
        <v>267</v>
      </c>
      <c r="C80" s="237" t="s">
        <v>404</v>
      </c>
      <c r="D80" s="237" t="s">
        <v>240</v>
      </c>
      <c r="E80" s="237">
        <v>3100</v>
      </c>
      <c r="F80" s="304">
        <v>139057</v>
      </c>
      <c r="G80" s="304">
        <f t="shared" ref="G80" si="293">F80/$C$1</f>
        <v>1069.6692307692308</v>
      </c>
      <c r="H80" s="304">
        <f t="shared" ref="H80" si="294">IF(G80&gt;$A$1, G80-$A$1, 0 )</f>
        <v>869.66923076923081</v>
      </c>
      <c r="I80" s="304">
        <f t="shared" ref="I80" si="295">H80*$B$1</f>
        <v>130.45038461538462</v>
      </c>
      <c r="J80" s="304">
        <f t="shared" ref="J80" si="296">I80*$C$1</f>
        <v>16958.55</v>
      </c>
      <c r="K80" s="304">
        <f t="shared" ref="K80" si="297">E80+F80+J80</f>
        <v>159115.54999999999</v>
      </c>
      <c r="M80" s="304">
        <f t="shared" ref="M80" si="298">F80/$D$1</f>
        <v>2212.5218774860778</v>
      </c>
      <c r="O80" s="304"/>
      <c r="Q80" s="314"/>
      <c r="R80" s="316">
        <f t="shared" si="107"/>
        <v>20058.549999999988</v>
      </c>
    </row>
    <row r="81" spans="1:18" s="237" customFormat="1">
      <c r="B81" s="237" t="s">
        <v>267</v>
      </c>
      <c r="C81" s="237" t="s">
        <v>322</v>
      </c>
      <c r="D81" s="237" t="s">
        <v>240</v>
      </c>
      <c r="E81" s="237">
        <v>3100</v>
      </c>
      <c r="F81" s="304">
        <v>138984</v>
      </c>
      <c r="G81" s="304">
        <f t="shared" ref="G81" si="299">F81/$C$1</f>
        <v>1069.1076923076923</v>
      </c>
      <c r="H81" s="304">
        <f t="shared" ref="H81" si="300">IF(G81&gt;$A$1, G81-$A$1, 0 )</f>
        <v>869.10769230769233</v>
      </c>
      <c r="I81" s="304">
        <f t="shared" ref="I81" si="301">H81*$B$1</f>
        <v>130.36615384615385</v>
      </c>
      <c r="J81" s="304">
        <f t="shared" ref="J81" si="302">I81*$C$1</f>
        <v>16947.600000000002</v>
      </c>
      <c r="K81" s="304">
        <f t="shared" ref="K81" si="303">E81+F81+J81</f>
        <v>159031.6</v>
      </c>
      <c r="M81" s="304">
        <f t="shared" ref="M81" si="304">F81/$D$1</f>
        <v>2211.3603818615752</v>
      </c>
      <c r="O81" s="304"/>
      <c r="Q81" s="314"/>
      <c r="R81" s="316">
        <f t="shared" si="107"/>
        <v>20047.600000000006</v>
      </c>
    </row>
    <row r="82" spans="1:18" s="237" customFormat="1">
      <c r="B82" s="237" t="s">
        <v>267</v>
      </c>
      <c r="C82" s="237" t="s">
        <v>323</v>
      </c>
      <c r="D82" s="237" t="s">
        <v>240</v>
      </c>
      <c r="E82" s="237">
        <v>3100</v>
      </c>
      <c r="F82" s="304">
        <v>59927</v>
      </c>
      <c r="G82" s="304">
        <f t="shared" ref="G82:G85" si="305">F82/$C$1</f>
        <v>460.97692307692307</v>
      </c>
      <c r="H82" s="304">
        <f t="shared" ref="H82:H85" si="306">IF(G82&gt;$A$1, G82-$A$1, 0 )</f>
        <v>260.97692307692307</v>
      </c>
      <c r="I82" s="304">
        <f t="shared" ref="I82:I85" si="307">H82*$B$1</f>
        <v>39.146538461538462</v>
      </c>
      <c r="J82" s="304">
        <f t="shared" ref="J82:J85" si="308">I82*$C$1</f>
        <v>5089.05</v>
      </c>
      <c r="K82" s="304">
        <f t="shared" ref="K82:K85" si="309">E82+F82+J82</f>
        <v>68116.05</v>
      </c>
      <c r="M82" s="304">
        <f t="shared" ref="M82:M85" si="310">F82/$D$1</f>
        <v>953.49244232299122</v>
      </c>
      <c r="O82" s="304"/>
      <c r="Q82" s="314"/>
      <c r="R82" s="316">
        <f t="shared" si="107"/>
        <v>8189.0500000000029</v>
      </c>
    </row>
    <row r="83" spans="1:18" s="237" customFormat="1">
      <c r="A83" s="237">
        <f t="shared" ref="A83:A88" si="311">40*$C$1</f>
        <v>5200</v>
      </c>
      <c r="B83" s="237" t="s">
        <v>256</v>
      </c>
      <c r="C83" s="237" t="s">
        <v>321</v>
      </c>
      <c r="D83" s="237" t="s">
        <v>240</v>
      </c>
      <c r="E83" s="237">
        <v>2800</v>
      </c>
      <c r="F83" s="304">
        <v>99947</v>
      </c>
      <c r="G83" s="304">
        <f t="shared" si="305"/>
        <v>768.82307692307688</v>
      </c>
      <c r="H83" s="304">
        <f t="shared" si="306"/>
        <v>568.82307692307688</v>
      </c>
      <c r="I83" s="304">
        <f t="shared" si="307"/>
        <v>85.32346153846153</v>
      </c>
      <c r="J83" s="304">
        <f t="shared" si="308"/>
        <v>11092.05</v>
      </c>
      <c r="K83" s="304">
        <f t="shared" si="309"/>
        <v>113839.05</v>
      </c>
      <c r="M83" s="304">
        <f t="shared" si="310"/>
        <v>1590.2466189339698</v>
      </c>
      <c r="N83" s="237">
        <v>899</v>
      </c>
      <c r="O83" s="304">
        <f t="shared" ref="O83:O85" si="312">M83-N83</f>
        <v>691.24661893396978</v>
      </c>
      <c r="Q83" s="314">
        <f t="shared" ref="Q83:Q85" si="313">M83/N83</f>
        <v>1.768906138969933</v>
      </c>
      <c r="R83" s="316">
        <f t="shared" si="107"/>
        <v>13892.050000000003</v>
      </c>
    </row>
    <row r="84" spans="1:18" s="237" customFormat="1">
      <c r="A84" s="237">
        <f t="shared" si="311"/>
        <v>5200</v>
      </c>
      <c r="B84" s="237" t="s">
        <v>256</v>
      </c>
      <c r="C84" s="237" t="s">
        <v>322</v>
      </c>
      <c r="D84" s="237" t="s">
        <v>240</v>
      </c>
      <c r="E84" s="237">
        <v>2800</v>
      </c>
      <c r="F84" s="304">
        <v>105596</v>
      </c>
      <c r="G84" s="304">
        <f t="shared" si="305"/>
        <v>812.27692307692303</v>
      </c>
      <c r="H84" s="304">
        <f t="shared" si="306"/>
        <v>612.27692307692303</v>
      </c>
      <c r="I84" s="304">
        <f t="shared" si="307"/>
        <v>91.841538461538448</v>
      </c>
      <c r="J84" s="304">
        <f t="shared" si="308"/>
        <v>11939.399999999998</v>
      </c>
      <c r="K84" s="304">
        <f t="shared" si="309"/>
        <v>120335.4</v>
      </c>
      <c r="M84" s="304">
        <f t="shared" si="310"/>
        <v>1680.1272871917263</v>
      </c>
      <c r="N84" s="237">
        <v>899</v>
      </c>
      <c r="O84" s="304">
        <f t="shared" si="312"/>
        <v>781.12728719172628</v>
      </c>
      <c r="Q84" s="314">
        <f t="shared" si="313"/>
        <v>1.868884635363433</v>
      </c>
      <c r="R84" s="316">
        <f t="shared" si="107"/>
        <v>14739.399999999994</v>
      </c>
    </row>
    <row r="85" spans="1:18" s="305" customFormat="1">
      <c r="A85" s="305">
        <f t="shared" si="311"/>
        <v>5200</v>
      </c>
      <c r="B85" s="305" t="s">
        <v>256</v>
      </c>
      <c r="C85" s="305" t="s">
        <v>323</v>
      </c>
      <c r="D85" s="305" t="s">
        <v>240</v>
      </c>
      <c r="E85" s="305">
        <v>2800</v>
      </c>
      <c r="F85" s="306">
        <v>60757</v>
      </c>
      <c r="G85" s="306">
        <f t="shared" si="305"/>
        <v>467.36153846153849</v>
      </c>
      <c r="H85" s="196">
        <f t="shared" si="306"/>
        <v>267.36153846153849</v>
      </c>
      <c r="I85" s="306">
        <f t="shared" si="307"/>
        <v>40.104230769230774</v>
      </c>
      <c r="J85" s="306">
        <f t="shared" si="308"/>
        <v>5213.5500000000011</v>
      </c>
      <c r="K85" s="293">
        <f t="shared" si="309"/>
        <v>68770.55</v>
      </c>
      <c r="M85" s="306">
        <f t="shared" si="310"/>
        <v>966.6984884645982</v>
      </c>
      <c r="N85" s="305">
        <v>899</v>
      </c>
      <c r="O85" s="306">
        <f t="shared" si="312"/>
        <v>67.698488464598199</v>
      </c>
      <c r="Q85" s="309">
        <f t="shared" si="313"/>
        <v>1.0753042140874285</v>
      </c>
      <c r="R85" s="316">
        <f t="shared" si="107"/>
        <v>8013.5500000000029</v>
      </c>
    </row>
    <row r="86" spans="1:18" s="305" customFormat="1">
      <c r="A86" s="305">
        <f t="shared" si="311"/>
        <v>5200</v>
      </c>
      <c r="B86" s="305" t="s">
        <v>338</v>
      </c>
      <c r="C86" s="305" t="s">
        <v>339</v>
      </c>
      <c r="D86" s="305" t="s">
        <v>340</v>
      </c>
      <c r="E86" s="305">
        <v>3548</v>
      </c>
      <c r="F86" s="306">
        <v>28630</v>
      </c>
      <c r="G86" s="306">
        <f t="shared" ref="G86" si="314">F86/$C$1</f>
        <v>220.23076923076923</v>
      </c>
      <c r="H86" s="196">
        <f t="shared" ref="H86" si="315">IF(G86&gt;$A$1, G86-$A$1, 0 )</f>
        <v>20.230769230769226</v>
      </c>
      <c r="I86" s="306">
        <f t="shared" ref="I86" si="316">H86*$B$1</f>
        <v>3.034615384615384</v>
      </c>
      <c r="J86" s="306">
        <f t="shared" ref="J86" si="317">I86*$C$1</f>
        <v>394.49999999999994</v>
      </c>
      <c r="K86" s="293">
        <f t="shared" ref="K86" si="318">E86+F86+J86</f>
        <v>32572.5</v>
      </c>
      <c r="M86" s="306">
        <f t="shared" ref="M86" si="319">F86/$D$1</f>
        <v>455.52903739061259</v>
      </c>
      <c r="N86" s="305">
        <v>899</v>
      </c>
      <c r="O86" s="306">
        <f t="shared" ref="O86" si="320">M86-N86</f>
        <v>-443.47096260938741</v>
      </c>
      <c r="Q86" s="309">
        <f t="shared" ref="Q86" si="321">M86/N86</f>
        <v>0.50670638196953566</v>
      </c>
      <c r="R86" s="316">
        <f t="shared" si="107"/>
        <v>3942.5</v>
      </c>
    </row>
    <row r="87" spans="1:18" s="305" customFormat="1">
      <c r="A87" s="305">
        <f t="shared" si="311"/>
        <v>5200</v>
      </c>
      <c r="B87" s="305" t="s">
        <v>338</v>
      </c>
      <c r="C87" s="305" t="s">
        <v>339</v>
      </c>
      <c r="D87" s="305" t="s">
        <v>340</v>
      </c>
      <c r="E87" s="305">
        <v>7000</v>
      </c>
      <c r="F87" s="306">
        <v>25000</v>
      </c>
      <c r="G87" s="306">
        <f t="shared" ref="G87:G88" si="322">F87/$C$1</f>
        <v>192.30769230769232</v>
      </c>
      <c r="H87" s="196">
        <f t="shared" ref="H87:H88" si="323">IF(G87&gt;$A$1, G87-$A$1, 0 )</f>
        <v>0</v>
      </c>
      <c r="I87" s="306">
        <f t="shared" ref="I87:I88" si="324">H87*$B$1</f>
        <v>0</v>
      </c>
      <c r="J87" s="306">
        <f t="shared" ref="J87:J88" si="325">I87*$C$1</f>
        <v>0</v>
      </c>
      <c r="K87" s="293">
        <f t="shared" ref="K87:K88" si="326">E87+F87+J87</f>
        <v>32000</v>
      </c>
      <c r="M87" s="306">
        <f t="shared" ref="M87:M88" si="327">F87/$D$1</f>
        <v>397.77247414478916</v>
      </c>
      <c r="N87" s="305">
        <v>899</v>
      </c>
      <c r="O87" s="306">
        <f t="shared" ref="O87:O88" si="328">M87-N87</f>
        <v>-501.22752585521084</v>
      </c>
      <c r="Q87" s="309">
        <f t="shared" ref="Q87:Q88" si="329">M87/N87</f>
        <v>0.44246103909320261</v>
      </c>
      <c r="R87" s="316">
        <f t="shared" si="107"/>
        <v>7000</v>
      </c>
    </row>
    <row r="88" spans="1:18" s="305" customFormat="1">
      <c r="A88" s="305">
        <f t="shared" si="311"/>
        <v>5200</v>
      </c>
      <c r="B88" s="305" t="s">
        <v>338</v>
      </c>
      <c r="C88" s="305" t="s">
        <v>339</v>
      </c>
      <c r="D88" s="305" t="s">
        <v>340</v>
      </c>
      <c r="E88" s="305">
        <v>0</v>
      </c>
      <c r="F88" s="306">
        <v>32242</v>
      </c>
      <c r="G88" s="306">
        <f t="shared" si="322"/>
        <v>248.01538461538462</v>
      </c>
      <c r="H88" s="196">
        <f t="shared" si="323"/>
        <v>48.015384615384619</v>
      </c>
      <c r="I88" s="306">
        <f t="shared" si="324"/>
        <v>7.2023076923076923</v>
      </c>
      <c r="J88" s="306">
        <f t="shared" si="325"/>
        <v>936.3</v>
      </c>
      <c r="K88" s="293">
        <f t="shared" si="326"/>
        <v>33178.300000000003</v>
      </c>
      <c r="M88" s="306">
        <f t="shared" si="327"/>
        <v>512.99920445505165</v>
      </c>
      <c r="N88" s="305">
        <v>899</v>
      </c>
      <c r="O88" s="306">
        <f t="shared" si="328"/>
        <v>-386.00079554494835</v>
      </c>
      <c r="Q88" s="309">
        <f t="shared" si="329"/>
        <v>0.57063315289772154</v>
      </c>
      <c r="R88" s="316">
        <f t="shared" si="107"/>
        <v>936.30000000000291</v>
      </c>
    </row>
    <row r="89" spans="1:18" s="305" customFormat="1">
      <c r="F89" s="306"/>
      <c r="G89" s="306"/>
      <c r="H89" s="196"/>
      <c r="I89" s="306"/>
      <c r="J89" s="306"/>
      <c r="K89" s="293"/>
      <c r="M89" s="306"/>
      <c r="O89" s="306"/>
      <c r="Q89" s="309"/>
    </row>
    <row r="90" spans="1:18">
      <c r="C90" t="s">
        <v>262</v>
      </c>
      <c r="I90">
        <v>200</v>
      </c>
      <c r="L90">
        <v>500</v>
      </c>
    </row>
    <row r="91" spans="1:18">
      <c r="F91" s="196">
        <v>200</v>
      </c>
      <c r="G91" s="196" t="s">
        <v>243</v>
      </c>
      <c r="H91" t="s">
        <v>242</v>
      </c>
      <c r="I91" t="s">
        <v>241</v>
      </c>
      <c r="J91" t="s">
        <v>253</v>
      </c>
      <c r="K91" s="216">
        <v>500</v>
      </c>
      <c r="L91" t="s">
        <v>242</v>
      </c>
      <c r="M91" t="s">
        <v>241</v>
      </c>
      <c r="N91" t="s">
        <v>253</v>
      </c>
      <c r="O91" t="s">
        <v>21</v>
      </c>
    </row>
    <row r="92" spans="1:18">
      <c r="B92" t="s">
        <v>257</v>
      </c>
      <c r="C92" t="s">
        <v>248</v>
      </c>
      <c r="D92" t="s">
        <v>240</v>
      </c>
      <c r="E92">
        <v>0</v>
      </c>
      <c r="F92" s="261">
        <v>10000</v>
      </c>
      <c r="G92" s="196">
        <f>F92/$C$1</f>
        <v>76.92307692307692</v>
      </c>
      <c r="H92" s="196">
        <f>IF(G92&gt;$A$1, G92-$A$1, 0 )</f>
        <v>0</v>
      </c>
      <c r="I92" s="196">
        <f>H92*$B$1</f>
        <v>0</v>
      </c>
      <c r="J92">
        <f>I92*$C$1</f>
        <v>0</v>
      </c>
      <c r="K92" s="293">
        <f>E92+F92+J92</f>
        <v>10000</v>
      </c>
      <c r="L92" s="196">
        <f>IF($G92&gt;$A$2, $G92-$A$2, 0)</f>
        <v>0</v>
      </c>
      <c r="M92" s="196">
        <f>L92*$B$2</f>
        <v>0</v>
      </c>
      <c r="N92">
        <f>M92*$C$1</f>
        <v>0</v>
      </c>
      <c r="O92" s="293">
        <f>F92+N92</f>
        <v>10000</v>
      </c>
    </row>
    <row r="93" spans="1:18">
      <c r="F93" s="261">
        <v>20000</v>
      </c>
      <c r="G93" s="196">
        <f t="shared" ref="G93:G107" si="330">F93/$C$1</f>
        <v>153.84615384615384</v>
      </c>
      <c r="H93" s="196">
        <f t="shared" ref="H93:H107" si="331">G93-$A$1</f>
        <v>-46.15384615384616</v>
      </c>
      <c r="I93" s="196">
        <f t="shared" ref="I93:I107" si="332">H93*$B$1</f>
        <v>-6.9230769230769242</v>
      </c>
      <c r="J93">
        <f t="shared" ref="J93:J107" si="333">I93*$C$1</f>
        <v>-900.00000000000011</v>
      </c>
      <c r="K93" s="293">
        <f t="shared" ref="K93:K107" si="334">E93+F93+J93</f>
        <v>19100</v>
      </c>
      <c r="L93" s="196">
        <f t="shared" ref="L93:L107" si="335">IF($G93&gt;$A$2, $G93-$A$2, 0)</f>
        <v>0</v>
      </c>
      <c r="M93" s="196">
        <f t="shared" ref="M93:M107" si="336">L93*$B$2</f>
        <v>0</v>
      </c>
      <c r="N93">
        <f t="shared" ref="N93:N107" si="337">M93*$C$1</f>
        <v>0</v>
      </c>
      <c r="O93" s="293">
        <f t="shared" ref="O93:O107" si="338">F93+N93</f>
        <v>20000</v>
      </c>
    </row>
    <row r="94" spans="1:18">
      <c r="F94" s="261">
        <v>30000</v>
      </c>
      <c r="G94" s="196">
        <f t="shared" si="330"/>
        <v>230.76923076923077</v>
      </c>
      <c r="H94" s="196">
        <f t="shared" si="331"/>
        <v>30.769230769230774</v>
      </c>
      <c r="I94" s="196">
        <f t="shared" si="332"/>
        <v>4.6153846153846159</v>
      </c>
      <c r="J94">
        <f t="shared" si="333"/>
        <v>600.00000000000011</v>
      </c>
      <c r="K94" s="293">
        <f t="shared" si="334"/>
        <v>30600</v>
      </c>
      <c r="L94" s="196">
        <f t="shared" si="335"/>
        <v>0</v>
      </c>
      <c r="M94" s="196">
        <f t="shared" si="336"/>
        <v>0</v>
      </c>
      <c r="N94">
        <f t="shared" si="337"/>
        <v>0</v>
      </c>
      <c r="O94" s="293">
        <f t="shared" si="338"/>
        <v>30000</v>
      </c>
    </row>
    <row r="95" spans="1:18">
      <c r="F95" s="261">
        <v>40000</v>
      </c>
      <c r="G95" s="196">
        <f t="shared" si="330"/>
        <v>307.69230769230768</v>
      </c>
      <c r="H95" s="196">
        <f t="shared" si="331"/>
        <v>107.69230769230768</v>
      </c>
      <c r="I95" s="196">
        <f t="shared" si="332"/>
        <v>16.15384615384615</v>
      </c>
      <c r="J95">
        <f t="shared" si="333"/>
        <v>2099.9999999999995</v>
      </c>
      <c r="K95" s="293">
        <f t="shared" si="334"/>
        <v>42100</v>
      </c>
      <c r="L95" s="196">
        <f t="shared" si="335"/>
        <v>0</v>
      </c>
      <c r="M95" s="196">
        <f t="shared" si="336"/>
        <v>0</v>
      </c>
      <c r="N95">
        <f t="shared" si="337"/>
        <v>0</v>
      </c>
      <c r="O95" s="293">
        <f t="shared" si="338"/>
        <v>40000</v>
      </c>
    </row>
    <row r="96" spans="1:18">
      <c r="B96">
        <v>74</v>
      </c>
      <c r="C96">
        <v>899</v>
      </c>
      <c r="D96">
        <f>B96*C96</f>
        <v>66526</v>
      </c>
      <c r="F96" s="261">
        <v>50000</v>
      </c>
      <c r="G96" s="196">
        <f t="shared" si="330"/>
        <v>384.61538461538464</v>
      </c>
      <c r="H96" s="196">
        <f t="shared" si="331"/>
        <v>184.61538461538464</v>
      </c>
      <c r="I96" s="196">
        <f t="shared" si="332"/>
        <v>27.692307692307697</v>
      </c>
      <c r="J96">
        <f t="shared" si="333"/>
        <v>3600.0000000000005</v>
      </c>
      <c r="K96" s="293">
        <f t="shared" si="334"/>
        <v>53600</v>
      </c>
      <c r="L96" s="196">
        <f t="shared" si="335"/>
        <v>0</v>
      </c>
      <c r="M96" s="196">
        <f t="shared" si="336"/>
        <v>0</v>
      </c>
      <c r="N96">
        <f t="shared" si="337"/>
        <v>0</v>
      </c>
      <c r="O96" s="293">
        <f t="shared" si="338"/>
        <v>50000</v>
      </c>
    </row>
    <row r="97" spans="6:15">
      <c r="F97" s="261">
        <v>60000</v>
      </c>
      <c r="G97" s="196">
        <f t="shared" si="330"/>
        <v>461.53846153846155</v>
      </c>
      <c r="H97" s="196">
        <f t="shared" si="331"/>
        <v>261.53846153846155</v>
      </c>
      <c r="I97" s="196">
        <f t="shared" si="332"/>
        <v>39.230769230769234</v>
      </c>
      <c r="J97">
        <f t="shared" si="333"/>
        <v>5100</v>
      </c>
      <c r="K97" s="293">
        <f t="shared" si="334"/>
        <v>65100</v>
      </c>
      <c r="L97" s="196">
        <f t="shared" si="335"/>
        <v>0</v>
      </c>
      <c r="M97" s="196">
        <f t="shared" si="336"/>
        <v>0</v>
      </c>
      <c r="N97">
        <f t="shared" si="337"/>
        <v>0</v>
      </c>
      <c r="O97" s="293">
        <f t="shared" si="338"/>
        <v>60000</v>
      </c>
    </row>
    <row r="98" spans="6:15">
      <c r="F98" s="261">
        <v>70000</v>
      </c>
      <c r="G98" s="196">
        <f t="shared" si="330"/>
        <v>538.46153846153845</v>
      </c>
      <c r="H98" s="196">
        <f t="shared" si="331"/>
        <v>338.46153846153845</v>
      </c>
      <c r="I98" s="196">
        <f t="shared" si="332"/>
        <v>50.769230769230766</v>
      </c>
      <c r="J98">
        <f t="shared" si="333"/>
        <v>6600</v>
      </c>
      <c r="K98" s="293">
        <f t="shared" si="334"/>
        <v>76600</v>
      </c>
      <c r="L98" s="196">
        <f t="shared" si="335"/>
        <v>38.461538461538453</v>
      </c>
      <c r="M98" s="196">
        <f t="shared" si="336"/>
        <v>11.538461538461535</v>
      </c>
      <c r="N98">
        <f t="shared" si="337"/>
        <v>1499.9999999999995</v>
      </c>
      <c r="O98" s="293">
        <f t="shared" si="338"/>
        <v>71500</v>
      </c>
    </row>
    <row r="99" spans="6:15">
      <c r="F99" s="261">
        <v>80000</v>
      </c>
      <c r="G99" s="196">
        <f t="shared" si="330"/>
        <v>615.38461538461536</v>
      </c>
      <c r="H99" s="196">
        <f t="shared" si="331"/>
        <v>415.38461538461536</v>
      </c>
      <c r="I99" s="196">
        <f t="shared" si="332"/>
        <v>62.307692307692299</v>
      </c>
      <c r="J99">
        <f t="shared" si="333"/>
        <v>8099.9999999999991</v>
      </c>
      <c r="K99" s="293">
        <f t="shared" si="334"/>
        <v>88100</v>
      </c>
      <c r="L99" s="196">
        <f t="shared" si="335"/>
        <v>115.38461538461536</v>
      </c>
      <c r="M99" s="196">
        <f t="shared" si="336"/>
        <v>34.615384615384606</v>
      </c>
      <c r="N99">
        <f t="shared" si="337"/>
        <v>4499.9999999999991</v>
      </c>
      <c r="O99" s="293">
        <f t="shared" si="338"/>
        <v>84500</v>
      </c>
    </row>
    <row r="100" spans="6:15">
      <c r="F100" s="261">
        <v>90000</v>
      </c>
      <c r="G100" s="196">
        <f t="shared" si="330"/>
        <v>692.30769230769226</v>
      </c>
      <c r="H100" s="196">
        <f t="shared" si="331"/>
        <v>492.30769230769226</v>
      </c>
      <c r="I100" s="196">
        <f t="shared" si="332"/>
        <v>73.84615384615384</v>
      </c>
      <c r="J100">
        <f t="shared" si="333"/>
        <v>9600</v>
      </c>
      <c r="K100" s="293">
        <f t="shared" si="334"/>
        <v>99600</v>
      </c>
      <c r="L100" s="196">
        <f t="shared" si="335"/>
        <v>192.30769230769226</v>
      </c>
      <c r="M100" s="196">
        <f t="shared" si="336"/>
        <v>57.692307692307679</v>
      </c>
      <c r="N100">
        <f t="shared" si="337"/>
        <v>7499.9999999999982</v>
      </c>
      <c r="O100" s="293">
        <f t="shared" si="338"/>
        <v>97500</v>
      </c>
    </row>
    <row r="101" spans="6:15">
      <c r="F101" s="261">
        <v>100000</v>
      </c>
      <c r="G101" s="196">
        <f t="shared" si="330"/>
        <v>769.23076923076928</v>
      </c>
      <c r="H101" s="196">
        <f t="shared" si="331"/>
        <v>569.23076923076928</v>
      </c>
      <c r="I101" s="196">
        <f t="shared" si="332"/>
        <v>85.384615384615387</v>
      </c>
      <c r="J101">
        <f t="shared" si="333"/>
        <v>11100</v>
      </c>
      <c r="K101" s="293">
        <f t="shared" si="334"/>
        <v>111100</v>
      </c>
      <c r="L101" s="196">
        <f t="shared" si="335"/>
        <v>269.23076923076928</v>
      </c>
      <c r="M101" s="196">
        <f t="shared" si="336"/>
        <v>80.769230769230788</v>
      </c>
      <c r="N101">
        <f t="shared" si="337"/>
        <v>10500.000000000002</v>
      </c>
      <c r="O101" s="293">
        <f t="shared" si="338"/>
        <v>110500</v>
      </c>
    </row>
    <row r="102" spans="6:15">
      <c r="F102" s="261">
        <v>110000</v>
      </c>
      <c r="G102" s="196">
        <f t="shared" si="330"/>
        <v>846.15384615384619</v>
      </c>
      <c r="H102" s="196">
        <f t="shared" si="331"/>
        <v>646.15384615384619</v>
      </c>
      <c r="I102" s="196">
        <f t="shared" si="332"/>
        <v>96.92307692307692</v>
      </c>
      <c r="J102">
        <f t="shared" si="333"/>
        <v>12600</v>
      </c>
      <c r="K102" s="293">
        <f t="shared" si="334"/>
        <v>122600</v>
      </c>
      <c r="L102" s="196">
        <f t="shared" si="335"/>
        <v>346.15384615384619</v>
      </c>
      <c r="M102" s="196">
        <f t="shared" si="336"/>
        <v>103.84615384615385</v>
      </c>
      <c r="N102">
        <f t="shared" si="337"/>
        <v>13500.000000000002</v>
      </c>
      <c r="O102" s="293">
        <f t="shared" si="338"/>
        <v>123500</v>
      </c>
    </row>
    <row r="103" spans="6:15">
      <c r="F103" s="261">
        <v>120000</v>
      </c>
      <c r="G103" s="196">
        <f t="shared" si="330"/>
        <v>923.07692307692309</v>
      </c>
      <c r="H103" s="196">
        <f t="shared" si="331"/>
        <v>723.07692307692309</v>
      </c>
      <c r="I103" s="196">
        <f t="shared" si="332"/>
        <v>108.46153846153847</v>
      </c>
      <c r="J103">
        <f t="shared" si="333"/>
        <v>14100</v>
      </c>
      <c r="K103" s="293">
        <f t="shared" si="334"/>
        <v>134100</v>
      </c>
      <c r="L103" s="196">
        <f t="shared" si="335"/>
        <v>423.07692307692309</v>
      </c>
      <c r="M103" s="196">
        <f t="shared" si="336"/>
        <v>126.92307692307692</v>
      </c>
      <c r="N103">
        <f t="shared" si="337"/>
        <v>16500</v>
      </c>
      <c r="O103" s="293">
        <f t="shared" si="338"/>
        <v>136500</v>
      </c>
    </row>
    <row r="104" spans="6:15">
      <c r="F104" s="261">
        <v>130000</v>
      </c>
      <c r="G104" s="196">
        <f t="shared" si="330"/>
        <v>1000</v>
      </c>
      <c r="H104" s="196">
        <f t="shared" si="331"/>
        <v>800</v>
      </c>
      <c r="I104" s="196">
        <f t="shared" si="332"/>
        <v>120</v>
      </c>
      <c r="J104">
        <f t="shared" si="333"/>
        <v>15600</v>
      </c>
      <c r="K104" s="293">
        <f t="shared" si="334"/>
        <v>145600</v>
      </c>
      <c r="L104" s="196">
        <f t="shared" si="335"/>
        <v>500</v>
      </c>
      <c r="M104" s="196">
        <f t="shared" si="336"/>
        <v>150</v>
      </c>
      <c r="N104">
        <f t="shared" si="337"/>
        <v>19500</v>
      </c>
      <c r="O104" s="293">
        <f t="shared" si="338"/>
        <v>149500</v>
      </c>
    </row>
    <row r="105" spans="6:15">
      <c r="F105" s="261">
        <v>140000</v>
      </c>
      <c r="G105" s="196">
        <f t="shared" si="330"/>
        <v>1076.9230769230769</v>
      </c>
      <c r="H105" s="196">
        <f t="shared" si="331"/>
        <v>876.92307692307691</v>
      </c>
      <c r="I105" s="196">
        <f t="shared" si="332"/>
        <v>131.53846153846152</v>
      </c>
      <c r="J105">
        <f t="shared" si="333"/>
        <v>17099.999999999996</v>
      </c>
      <c r="K105" s="293">
        <f t="shared" si="334"/>
        <v>157100</v>
      </c>
      <c r="L105" s="196">
        <f t="shared" si="335"/>
        <v>576.92307692307691</v>
      </c>
      <c r="M105" s="196">
        <f t="shared" si="336"/>
        <v>173.07692307692307</v>
      </c>
      <c r="N105">
        <f t="shared" si="337"/>
        <v>22500</v>
      </c>
      <c r="O105" s="293">
        <f t="shared" si="338"/>
        <v>162500</v>
      </c>
    </row>
    <row r="106" spans="6:15">
      <c r="F106" s="261">
        <v>150000</v>
      </c>
      <c r="G106" s="196">
        <f t="shared" si="330"/>
        <v>1153.8461538461538</v>
      </c>
      <c r="H106" s="196">
        <f t="shared" si="331"/>
        <v>953.84615384615381</v>
      </c>
      <c r="I106" s="196">
        <f t="shared" si="332"/>
        <v>143.07692307692307</v>
      </c>
      <c r="J106">
        <f t="shared" si="333"/>
        <v>18600</v>
      </c>
      <c r="K106" s="293">
        <f t="shared" si="334"/>
        <v>168600</v>
      </c>
      <c r="L106" s="196">
        <f t="shared" si="335"/>
        <v>653.84615384615381</v>
      </c>
      <c r="M106" s="196">
        <f t="shared" si="336"/>
        <v>196.15384615384613</v>
      </c>
      <c r="N106">
        <f t="shared" si="337"/>
        <v>25499.999999999996</v>
      </c>
      <c r="O106" s="293">
        <f t="shared" si="338"/>
        <v>175500</v>
      </c>
    </row>
    <row r="107" spans="6:15">
      <c r="F107" s="261">
        <v>160000</v>
      </c>
      <c r="G107" s="196">
        <f t="shared" si="330"/>
        <v>1230.7692307692307</v>
      </c>
      <c r="H107" s="196">
        <f t="shared" si="331"/>
        <v>1030.7692307692307</v>
      </c>
      <c r="I107" s="196">
        <f t="shared" si="332"/>
        <v>154.61538461538461</v>
      </c>
      <c r="J107">
        <f t="shared" si="333"/>
        <v>20100</v>
      </c>
      <c r="K107" s="216">
        <f t="shared" si="334"/>
        <v>180100</v>
      </c>
      <c r="L107" s="196">
        <f t="shared" si="335"/>
        <v>730.76923076923072</v>
      </c>
      <c r="M107" s="196">
        <f t="shared" si="336"/>
        <v>219.2307692307692</v>
      </c>
      <c r="N107">
        <f t="shared" si="337"/>
        <v>28499.999999999996</v>
      </c>
      <c r="O107" s="293">
        <f t="shared" si="338"/>
        <v>188500</v>
      </c>
    </row>
    <row r="108" spans="6:15">
      <c r="F108" s="261">
        <v>170000</v>
      </c>
      <c r="G108" s="196">
        <f>F108/$C$1</f>
        <v>1307.6923076923076</v>
      </c>
      <c r="H108" s="196">
        <f>G108-$A$1</f>
        <v>1107.6923076923076</v>
      </c>
      <c r="I108" s="196">
        <f>H108*$B$1</f>
        <v>166.15384615384613</v>
      </c>
      <c r="J108">
        <f>I108*$C$1</f>
        <v>21599.999999999996</v>
      </c>
      <c r="K108" s="293">
        <f>E108+F108+J108</f>
        <v>191600</v>
      </c>
      <c r="L108" s="196">
        <f>IF(G108&gt;500,$G108-$A$2,0)</f>
        <v>807.69230769230762</v>
      </c>
      <c r="M108" s="196">
        <f>L108*$B$2</f>
        <v>242.30769230769226</v>
      </c>
      <c r="N108">
        <f>M108*$C$1</f>
        <v>31499.999999999993</v>
      </c>
      <c r="O108" s="293">
        <f>F108+N108</f>
        <v>201500</v>
      </c>
    </row>
    <row r="109" spans="6:15">
      <c r="F109" s="261">
        <v>180000</v>
      </c>
      <c r="G109" s="196">
        <f>F109/$C$1</f>
        <v>1384.6153846153845</v>
      </c>
      <c r="H109" s="196">
        <f>G109-$A$1</f>
        <v>1184.6153846153845</v>
      </c>
      <c r="I109" s="196">
        <f>H109*$B$1</f>
        <v>177.69230769230768</v>
      </c>
      <c r="J109">
        <f>I109*$C$1</f>
        <v>23100</v>
      </c>
      <c r="K109" s="216">
        <f>E109+F109+J109</f>
        <v>203100</v>
      </c>
      <c r="L109" s="196">
        <f>IF(G109&gt;500,$G109-$A$2,0)</f>
        <v>884.61538461538453</v>
      </c>
      <c r="M109" s="196">
        <f>L109*$B$2</f>
        <v>265.38461538461536</v>
      </c>
      <c r="N109">
        <f>M109*$C$1</f>
        <v>34500</v>
      </c>
      <c r="O109" s="293">
        <f>F109+N109</f>
        <v>214500</v>
      </c>
    </row>
    <row r="110" spans="6:15">
      <c r="F110" s="261"/>
    </row>
    <row r="111" spans="6:15">
      <c r="F111" s="261"/>
    </row>
    <row r="112" spans="6:15">
      <c r="F112" s="261"/>
    </row>
    <row r="113" spans="6:6">
      <c r="F113" s="261"/>
    </row>
    <row r="114" spans="6:6">
      <c r="F114" s="261"/>
    </row>
  </sheetData>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dimension ref="C1:P22"/>
  <sheetViews>
    <sheetView tabSelected="1" workbookViewId="0">
      <selection activeCell="P32" sqref="P32"/>
    </sheetView>
  </sheetViews>
  <sheetFormatPr defaultRowHeight="15"/>
  <cols>
    <col min="5" max="5" width="6.85546875" customWidth="1"/>
    <col min="6" max="6" width="9.7109375" customWidth="1"/>
  </cols>
  <sheetData>
    <row r="1" spans="3:16">
      <c r="C1" t="s">
        <v>213</v>
      </c>
      <c r="D1">
        <v>188</v>
      </c>
      <c r="F1">
        <v>260</v>
      </c>
      <c r="H1" t="s">
        <v>285</v>
      </c>
      <c r="K1" t="s">
        <v>213</v>
      </c>
      <c r="L1">
        <v>188</v>
      </c>
      <c r="N1">
        <v>260</v>
      </c>
      <c r="P1" t="s">
        <v>285</v>
      </c>
    </row>
    <row r="2" spans="3:16" s="312" customFormat="1">
      <c r="C2" s="312" t="s">
        <v>1</v>
      </c>
      <c r="D2" s="313">
        <f>AVERAGE(D10:D22)</f>
        <v>2872.9230769230771</v>
      </c>
      <c r="E2" s="313"/>
      <c r="F2" s="313">
        <f>AVERAGE(F10:F22)</f>
        <v>2323.1538461538462</v>
      </c>
      <c r="K2" s="312" t="s">
        <v>1</v>
      </c>
      <c r="L2" s="313">
        <f>AVERAGE(L11:L22)</f>
        <v>243.08333333333334</v>
      </c>
      <c r="M2" s="313"/>
      <c r="N2" s="313">
        <f>AVERAGE(N11:N22)</f>
        <v>116.41666666666667</v>
      </c>
    </row>
    <row r="3" spans="3:16" s="312" customFormat="1">
      <c r="C3" s="312" t="s">
        <v>288</v>
      </c>
      <c r="D3" s="313">
        <f>AVERAGE(D10:D15)</f>
        <v>4566.666666666667</v>
      </c>
      <c r="E3" s="313"/>
      <c r="F3" s="313">
        <f>AVERAGE(F10:F15)</f>
        <v>3753</v>
      </c>
      <c r="K3" s="312" t="s">
        <v>288</v>
      </c>
      <c r="L3" s="313">
        <f>AVERAGE(L10:L15)</f>
        <v>-21.333333333333332</v>
      </c>
      <c r="M3" s="313"/>
      <c r="N3" s="313">
        <f>AVERAGE(N10:N15)</f>
        <v>377.33333333333331</v>
      </c>
    </row>
    <row r="4" spans="3:16" s="310" customFormat="1">
      <c r="C4" s="310" t="s">
        <v>2</v>
      </c>
      <c r="D4" s="311">
        <f>STDEV(D10:D22)</f>
        <v>2356.5394989807428</v>
      </c>
      <c r="E4" s="311"/>
      <c r="F4" s="311">
        <f>STDEV(F10:F22)</f>
        <v>1717.3111175203444</v>
      </c>
      <c r="K4" s="310" t="s">
        <v>2</v>
      </c>
      <c r="L4" s="311">
        <f>STDEV(L11:L22)</f>
        <v>274.4523334448686</v>
      </c>
      <c r="M4" s="311"/>
      <c r="N4" s="311">
        <f>STDEV(N11:N22)</f>
        <v>296.07046407395944</v>
      </c>
    </row>
    <row r="5" spans="3:16" s="310" customFormat="1">
      <c r="C5" s="310" t="s">
        <v>287</v>
      </c>
      <c r="D5" s="311">
        <f>STDEV(D10:D15)</f>
        <v>2395.6758267066657</v>
      </c>
      <c r="E5" s="311"/>
      <c r="F5" s="311">
        <f>STDEV(F10:F15)</f>
        <v>1504.0057180742367</v>
      </c>
      <c r="K5" s="310" t="s">
        <v>287</v>
      </c>
      <c r="L5" s="311">
        <f>STDEV(L10:L15)</f>
        <v>894.41347634450733</v>
      </c>
      <c r="M5" s="311"/>
      <c r="N5" s="311">
        <f>STDEV(N10:N15)</f>
        <v>279.74893505903947</v>
      </c>
    </row>
    <row r="6" spans="3:16" s="302" customFormat="1">
      <c r="D6" s="302">
        <f>SUM(D10:D22)</f>
        <v>37348</v>
      </c>
      <c r="F6" s="302">
        <f>SUM(F10:F22)</f>
        <v>30201</v>
      </c>
      <c r="L6" s="302">
        <f>SUM(L11:L22)</f>
        <v>2917</v>
      </c>
      <c r="N6" s="302">
        <f>SUM(N11:N22)</f>
        <v>1397</v>
      </c>
    </row>
    <row r="7" spans="3:16" s="302" customFormat="1">
      <c r="C7" s="302">
        <v>65</v>
      </c>
      <c r="D7" s="302">
        <f>SUM(D10:D15)</f>
        <v>27400</v>
      </c>
      <c r="F7" s="302">
        <f>SUM(F10:F15)</f>
        <v>22518</v>
      </c>
      <c r="H7" s="302">
        <f>SUM(H10:H15)</f>
        <v>33175</v>
      </c>
      <c r="J7" s="302">
        <f>SUM(J10:J15)</f>
        <v>0</v>
      </c>
      <c r="K7" s="302">
        <v>65</v>
      </c>
      <c r="L7" s="302">
        <f>SUM(L10:L15)</f>
        <v>-128</v>
      </c>
      <c r="N7" s="302">
        <f>SUM(N10:N15)</f>
        <v>2264</v>
      </c>
      <c r="P7" s="302">
        <f>SUM(P10:P15)</f>
        <v>33175</v>
      </c>
    </row>
    <row r="8" spans="3:16" s="302" customFormat="1">
      <c r="C8" s="302">
        <v>140</v>
      </c>
      <c r="D8" s="302">
        <f>SUM(D10:D17)</f>
        <v>31984</v>
      </c>
      <c r="F8" s="302">
        <f>SUM(F10:F17)</f>
        <v>24841</v>
      </c>
      <c r="H8" s="302">
        <f>SUM(H10:H17)</f>
        <v>39568</v>
      </c>
      <c r="J8" s="302">
        <f>SUM(J10:J17)</f>
        <v>0</v>
      </c>
      <c r="K8" s="302">
        <v>140</v>
      </c>
      <c r="L8" s="302">
        <f>SUM(L10:L17)</f>
        <v>880</v>
      </c>
      <c r="N8" s="302">
        <f>SUM(N10:N17)</f>
        <v>2321</v>
      </c>
      <c r="P8" s="302">
        <f>SUM(P10:P17)</f>
        <v>39568</v>
      </c>
    </row>
    <row r="9" spans="3:16" s="302" customFormat="1">
      <c r="C9" s="302">
        <v>340</v>
      </c>
      <c r="D9" s="302">
        <f>SUM(D10:D20)</f>
        <v>34772</v>
      </c>
      <c r="F9" s="302">
        <f>SUM(F10:F20)</f>
        <v>28790</v>
      </c>
      <c r="H9" s="302">
        <f>SUM(H10:H20)</f>
        <v>39568</v>
      </c>
      <c r="J9" s="302">
        <f>SUM(J10:J20)</f>
        <v>0</v>
      </c>
      <c r="K9" s="302">
        <v>340</v>
      </c>
      <c r="L9" s="302">
        <f>SUM(L10:L20)</f>
        <v>1335</v>
      </c>
      <c r="N9" s="302">
        <f>SUM(N10:N20)</f>
        <v>1987</v>
      </c>
      <c r="P9" s="302">
        <f>SUM(P10:P20)</f>
        <v>39568</v>
      </c>
    </row>
    <row r="10" spans="3:16">
      <c r="C10">
        <v>5</v>
      </c>
      <c r="D10">
        <v>3283</v>
      </c>
      <c r="F10">
        <v>5992</v>
      </c>
      <c r="H10">
        <v>7440</v>
      </c>
      <c r="K10">
        <v>5</v>
      </c>
      <c r="L10">
        <v>-1755</v>
      </c>
      <c r="N10">
        <v>479</v>
      </c>
      <c r="P10">
        <v>7440</v>
      </c>
    </row>
    <row r="11" spans="3:16">
      <c r="C11">
        <v>10</v>
      </c>
      <c r="D11">
        <v>9247</v>
      </c>
      <c r="F11">
        <v>1742</v>
      </c>
      <c r="H11">
        <v>9060</v>
      </c>
      <c r="K11">
        <v>10</v>
      </c>
      <c r="L11">
        <v>233</v>
      </c>
      <c r="N11">
        <v>-13</v>
      </c>
      <c r="P11">
        <v>9060</v>
      </c>
    </row>
    <row r="12" spans="3:16">
      <c r="C12">
        <v>15</v>
      </c>
      <c r="D12">
        <v>3661</v>
      </c>
      <c r="F12">
        <v>4104</v>
      </c>
      <c r="H12">
        <v>3804</v>
      </c>
      <c r="K12">
        <v>15</v>
      </c>
      <c r="L12">
        <v>385</v>
      </c>
      <c r="N12">
        <v>158</v>
      </c>
      <c r="P12">
        <v>3804</v>
      </c>
    </row>
    <row r="13" spans="3:16">
      <c r="C13">
        <v>26</v>
      </c>
      <c r="D13">
        <v>4116</v>
      </c>
      <c r="F13">
        <v>4694</v>
      </c>
      <c r="H13">
        <v>4140</v>
      </c>
      <c r="K13">
        <v>26</v>
      </c>
      <c r="L13">
        <v>-121</v>
      </c>
      <c r="N13">
        <v>789</v>
      </c>
      <c r="P13">
        <v>4140</v>
      </c>
    </row>
    <row r="14" spans="3:16">
      <c r="C14">
        <v>45</v>
      </c>
      <c r="D14">
        <v>4556</v>
      </c>
      <c r="F14">
        <v>3204</v>
      </c>
      <c r="H14">
        <v>5048</v>
      </c>
      <c r="K14">
        <v>45</v>
      </c>
      <c r="L14">
        <v>382</v>
      </c>
      <c r="N14">
        <v>482</v>
      </c>
      <c r="P14">
        <v>5048</v>
      </c>
    </row>
    <row r="15" spans="3:16">
      <c r="C15">
        <v>65</v>
      </c>
      <c r="D15">
        <v>2537</v>
      </c>
      <c r="F15">
        <v>2782</v>
      </c>
      <c r="H15">
        <v>3683</v>
      </c>
      <c r="K15">
        <v>65</v>
      </c>
      <c r="L15">
        <v>748</v>
      </c>
      <c r="N15">
        <v>369</v>
      </c>
      <c r="P15">
        <v>3683</v>
      </c>
    </row>
    <row r="16" spans="3:16">
      <c r="C16">
        <v>95</v>
      </c>
      <c r="D16">
        <v>3639</v>
      </c>
      <c r="F16">
        <v>967</v>
      </c>
      <c r="H16">
        <v>5372</v>
      </c>
      <c r="K16">
        <v>95</v>
      </c>
      <c r="L16">
        <v>546</v>
      </c>
      <c r="N16">
        <v>-131</v>
      </c>
      <c r="P16">
        <v>5372</v>
      </c>
    </row>
    <row r="17" spans="3:16">
      <c r="C17">
        <v>140</v>
      </c>
      <c r="D17">
        <v>945</v>
      </c>
      <c r="F17">
        <v>1356</v>
      </c>
      <c r="H17">
        <v>1021</v>
      </c>
      <c r="K17">
        <v>140</v>
      </c>
      <c r="L17">
        <v>462</v>
      </c>
      <c r="N17">
        <v>188</v>
      </c>
      <c r="P17">
        <v>1021</v>
      </c>
    </row>
    <row r="18" spans="3:16">
      <c r="C18">
        <v>188</v>
      </c>
      <c r="D18">
        <v>1061</v>
      </c>
      <c r="F18">
        <v>1732</v>
      </c>
      <c r="K18">
        <v>188</v>
      </c>
      <c r="L18">
        <v>123</v>
      </c>
      <c r="N18">
        <v>-188</v>
      </c>
    </row>
    <row r="19" spans="3:16">
      <c r="C19">
        <v>260</v>
      </c>
      <c r="D19">
        <v>852</v>
      </c>
      <c r="F19">
        <v>1377</v>
      </c>
      <c r="K19">
        <v>260</v>
      </c>
      <c r="L19">
        <v>83</v>
      </c>
      <c r="N19">
        <v>-128</v>
      </c>
    </row>
    <row r="20" spans="3:16">
      <c r="C20">
        <v>340</v>
      </c>
      <c r="D20">
        <v>875</v>
      </c>
      <c r="F20">
        <v>840</v>
      </c>
      <c r="K20">
        <v>340</v>
      </c>
      <c r="L20">
        <v>249</v>
      </c>
      <c r="N20">
        <v>-18</v>
      </c>
    </row>
    <row r="21" spans="3:16">
      <c r="C21">
        <v>420</v>
      </c>
      <c r="D21">
        <v>1436</v>
      </c>
      <c r="F21">
        <v>281</v>
      </c>
      <c r="K21">
        <v>420</v>
      </c>
      <c r="L21">
        <v>-134</v>
      </c>
      <c r="N21">
        <v>-53</v>
      </c>
    </row>
    <row r="22" spans="3:16">
      <c r="C22">
        <v>550</v>
      </c>
      <c r="D22">
        <v>1140</v>
      </c>
      <c r="F22">
        <v>1130</v>
      </c>
      <c r="K22">
        <v>550</v>
      </c>
      <c r="L22">
        <v>-39</v>
      </c>
      <c r="N22">
        <v>-58</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dimension ref="B2:J5"/>
  <sheetViews>
    <sheetView workbookViewId="0">
      <selection activeCell="H4" sqref="H4"/>
    </sheetView>
  </sheetViews>
  <sheetFormatPr defaultRowHeight="15"/>
  <cols>
    <col min="3" max="3" width="17.42578125" customWidth="1"/>
    <col min="4" max="4" width="9.85546875" customWidth="1"/>
  </cols>
  <sheetData>
    <row r="2" spans="2:10">
      <c r="B2" t="s">
        <v>278</v>
      </c>
      <c r="C2" t="s">
        <v>270</v>
      </c>
      <c r="D2" t="s">
        <v>279</v>
      </c>
      <c r="E2">
        <v>46.2</v>
      </c>
      <c r="F2">
        <v>40.4</v>
      </c>
      <c r="G2">
        <v>22.5</v>
      </c>
    </row>
    <row r="3" spans="2:10">
      <c r="B3" t="s">
        <v>277</v>
      </c>
      <c r="C3" t="s">
        <v>276</v>
      </c>
      <c r="D3" t="s">
        <v>280</v>
      </c>
      <c r="E3">
        <v>60</v>
      </c>
      <c r="F3">
        <v>48.9</v>
      </c>
      <c r="G3">
        <v>26.7</v>
      </c>
      <c r="H3">
        <v>18.899999999999999</v>
      </c>
    </row>
    <row r="4" spans="2:10">
      <c r="B4" t="s">
        <v>282</v>
      </c>
      <c r="C4" t="s">
        <v>271</v>
      </c>
      <c r="D4" t="s">
        <v>280</v>
      </c>
      <c r="E4">
        <v>53</v>
      </c>
      <c r="F4">
        <v>44</v>
      </c>
      <c r="G4">
        <v>28</v>
      </c>
      <c r="H4">
        <v>13</v>
      </c>
      <c r="I4" t="s">
        <v>273</v>
      </c>
      <c r="J4" t="s">
        <v>274</v>
      </c>
    </row>
    <row r="5" spans="2:10">
      <c r="B5" t="s">
        <v>283</v>
      </c>
      <c r="C5" t="s">
        <v>272</v>
      </c>
      <c r="D5" t="s">
        <v>281</v>
      </c>
      <c r="E5">
        <v>69.5</v>
      </c>
      <c r="F5">
        <v>48</v>
      </c>
      <c r="G5">
        <v>27.5</v>
      </c>
      <c r="H5">
        <v>24</v>
      </c>
      <c r="I5" t="s">
        <v>273</v>
      </c>
      <c r="J5" t="s">
        <v>275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
  <sheetViews>
    <sheetView workbookViewId="0">
      <selection activeCell="I30" sqref="I30"/>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S76"/>
  <sheetViews>
    <sheetView workbookViewId="0">
      <pane ySplit="1" topLeftCell="A14" activePane="bottomLeft" state="frozen"/>
      <selection pane="bottomLeft" activeCell="N9" sqref="N9"/>
    </sheetView>
  </sheetViews>
  <sheetFormatPr defaultRowHeight="15"/>
  <cols>
    <col min="2" max="2" width="15.85546875" customWidth="1"/>
    <col min="3" max="3" width="12.140625" customWidth="1"/>
    <col min="4" max="4" width="11" customWidth="1"/>
    <col min="5" max="5" width="5.42578125" customWidth="1"/>
    <col min="6" max="7" width="11.85546875" customWidth="1"/>
    <col min="8" max="8" width="10.7109375" customWidth="1"/>
    <col min="9" max="9" width="10.85546875" customWidth="1"/>
    <col min="10" max="11" width="11.28515625" customWidth="1"/>
    <col min="12" max="12" width="13.5703125" customWidth="1"/>
    <col min="13" max="13" width="11" customWidth="1"/>
    <col min="14" max="14" width="10.85546875" customWidth="1"/>
  </cols>
  <sheetData>
    <row r="1" spans="1:19" s="74" customFormat="1">
      <c r="A1" s="73"/>
      <c r="B1" s="74" t="s">
        <v>14</v>
      </c>
      <c r="F1" s="73" t="s">
        <v>13</v>
      </c>
      <c r="G1" s="74" t="s">
        <v>15</v>
      </c>
      <c r="H1" s="74" t="s">
        <v>16</v>
      </c>
      <c r="I1" s="74" t="s">
        <v>17</v>
      </c>
      <c r="J1" s="74" t="s">
        <v>18</v>
      </c>
      <c r="K1" s="74" t="s">
        <v>19</v>
      </c>
      <c r="L1" s="74" t="s">
        <v>22</v>
      </c>
      <c r="M1" s="74" t="s">
        <v>23</v>
      </c>
      <c r="N1" s="74" t="s">
        <v>24</v>
      </c>
    </row>
    <row r="2" spans="1:19" ht="15.75" thickBot="1">
      <c r="A2" s="1"/>
      <c r="B2" t="s">
        <v>0</v>
      </c>
      <c r="C2" t="s">
        <v>1</v>
      </c>
      <c r="D2" t="s">
        <v>2</v>
      </c>
      <c r="F2" s="1"/>
    </row>
    <row r="3" spans="1:19" ht="15.75" thickBot="1">
      <c r="A3" s="1"/>
      <c r="B3" s="26">
        <f>SUM(F3:K3)</f>
        <v>44140</v>
      </c>
      <c r="C3" s="26">
        <f>AVERAGE(F3:T3)</f>
        <v>7558.5714285714284</v>
      </c>
      <c r="D3" s="26">
        <f t="shared" ref="D3:D12" si="0">STDEV(F3:S3)</f>
        <v>4503.0450015200031</v>
      </c>
      <c r="E3" s="31">
        <v>60</v>
      </c>
      <c r="F3" s="43">
        <v>-1030</v>
      </c>
      <c r="G3" s="44">
        <v>11140</v>
      </c>
      <c r="H3" s="45">
        <v>12540</v>
      </c>
      <c r="I3" s="45">
        <v>4810</v>
      </c>
      <c r="J3" s="45">
        <v>8250</v>
      </c>
      <c r="K3" s="45">
        <v>8430</v>
      </c>
      <c r="L3" s="46"/>
      <c r="S3" s="43">
        <v>8770</v>
      </c>
    </row>
    <row r="4" spans="1:19" ht="15.75" thickBot="1">
      <c r="A4" s="1"/>
      <c r="B4" s="26">
        <f t="shared" ref="B4:B12" si="1">SUM(F4:K4)</f>
        <v>68390</v>
      </c>
      <c r="C4" s="27">
        <f t="shared" ref="C4:C34" si="2">AVERAGE(F4:T4)</f>
        <v>11182.857142857143</v>
      </c>
      <c r="D4" s="27">
        <f t="shared" si="0"/>
        <v>3459.6710551039096</v>
      </c>
      <c r="E4" s="32">
        <v>120</v>
      </c>
      <c r="F4" s="47">
        <v>8740</v>
      </c>
      <c r="G4" s="48">
        <v>15640</v>
      </c>
      <c r="H4" s="49">
        <v>16170</v>
      </c>
      <c r="I4" s="49">
        <v>6970</v>
      </c>
      <c r="J4" s="49">
        <v>10970</v>
      </c>
      <c r="K4" s="49">
        <v>9900</v>
      </c>
      <c r="L4" s="46"/>
      <c r="S4" s="47">
        <v>9890</v>
      </c>
    </row>
    <row r="5" spans="1:19" ht="15.75" thickBot="1">
      <c r="A5" s="1"/>
      <c r="B5" s="26">
        <f t="shared" si="1"/>
        <v>77030</v>
      </c>
      <c r="C5" s="27">
        <f t="shared" si="2"/>
        <v>12422.857142857143</v>
      </c>
      <c r="D5" s="27">
        <f t="shared" si="0"/>
        <v>3276.5007466590259</v>
      </c>
      <c r="E5" s="32">
        <v>150</v>
      </c>
      <c r="F5" s="47">
        <v>15270</v>
      </c>
      <c r="G5" s="48">
        <v>18550</v>
      </c>
      <c r="H5" s="49">
        <v>9730</v>
      </c>
      <c r="I5" s="49">
        <v>10940</v>
      </c>
      <c r="J5" s="49">
        <v>10800</v>
      </c>
      <c r="K5" s="49">
        <v>11740</v>
      </c>
      <c r="L5" s="46"/>
      <c r="S5" s="47">
        <v>9930</v>
      </c>
    </row>
    <row r="6" spans="1:19" ht="15.75" thickBot="1">
      <c r="A6" s="1"/>
      <c r="B6" s="26">
        <f t="shared" si="1"/>
        <v>76770</v>
      </c>
      <c r="C6" s="27">
        <f t="shared" si="2"/>
        <v>11744.285714285714</v>
      </c>
      <c r="D6" s="27">
        <f t="shared" si="0"/>
        <v>3910.1443159336941</v>
      </c>
      <c r="E6" s="32">
        <v>180</v>
      </c>
      <c r="F6" s="47">
        <v>12170</v>
      </c>
      <c r="G6" s="48">
        <v>14030</v>
      </c>
      <c r="H6" s="49">
        <v>12820</v>
      </c>
      <c r="I6" s="49">
        <v>8800</v>
      </c>
      <c r="J6" s="49">
        <v>17780</v>
      </c>
      <c r="K6" s="49">
        <v>11170</v>
      </c>
      <c r="L6" s="46"/>
      <c r="S6" s="47">
        <v>5440</v>
      </c>
    </row>
    <row r="7" spans="1:19" ht="15.75" thickBot="1">
      <c r="A7" s="1"/>
      <c r="B7" s="26">
        <f t="shared" si="1"/>
        <v>103190</v>
      </c>
      <c r="C7" s="34">
        <f t="shared" si="2"/>
        <v>15991.428571428571</v>
      </c>
      <c r="D7" s="34">
        <f t="shared" si="0"/>
        <v>5831.6705113012804</v>
      </c>
      <c r="E7" s="35">
        <v>240</v>
      </c>
      <c r="F7" s="50">
        <v>26370</v>
      </c>
      <c r="G7" s="51">
        <v>13110</v>
      </c>
      <c r="H7" s="52">
        <v>16040</v>
      </c>
      <c r="I7" s="52">
        <v>16900</v>
      </c>
      <c r="J7" s="52">
        <v>19510</v>
      </c>
      <c r="K7" s="52">
        <v>11260</v>
      </c>
      <c r="L7" s="53"/>
      <c r="S7" s="50">
        <v>8750</v>
      </c>
    </row>
    <row r="8" spans="1:19" ht="15.75" thickBot="1">
      <c r="A8" s="1"/>
      <c r="B8" s="26">
        <f t="shared" si="1"/>
        <v>80270</v>
      </c>
      <c r="C8" s="34">
        <f t="shared" si="2"/>
        <v>13035.714285714286</v>
      </c>
      <c r="D8" s="34">
        <f t="shared" si="0"/>
        <v>4006.1987683374596</v>
      </c>
      <c r="E8" s="35">
        <v>300</v>
      </c>
      <c r="F8" s="50">
        <v>19080</v>
      </c>
      <c r="G8" s="51">
        <v>11000</v>
      </c>
      <c r="H8" s="52">
        <v>10220</v>
      </c>
      <c r="I8" s="52">
        <v>18530</v>
      </c>
      <c r="J8" s="52">
        <v>11850</v>
      </c>
      <c r="K8" s="52">
        <v>9590</v>
      </c>
      <c r="L8" s="53"/>
      <c r="S8" s="50">
        <v>10980</v>
      </c>
    </row>
    <row r="9" spans="1:19" ht="15.75" thickBot="1">
      <c r="A9" s="1"/>
      <c r="B9" s="26">
        <f t="shared" si="1"/>
        <v>62720</v>
      </c>
      <c r="C9" s="27">
        <f t="shared" si="2"/>
        <v>9904.2857142857138</v>
      </c>
      <c r="D9" s="27">
        <f t="shared" si="0"/>
        <v>4248.7247386435747</v>
      </c>
      <c r="E9" s="32">
        <v>450</v>
      </c>
      <c r="F9" s="47">
        <v>17490</v>
      </c>
      <c r="G9" s="48">
        <v>7080</v>
      </c>
      <c r="H9" s="49">
        <v>5890</v>
      </c>
      <c r="I9" s="49">
        <v>13480</v>
      </c>
      <c r="J9" s="49">
        <v>8270</v>
      </c>
      <c r="K9" s="49">
        <v>10510</v>
      </c>
      <c r="L9" s="46"/>
      <c r="S9" s="47">
        <v>6610</v>
      </c>
    </row>
    <row r="10" spans="1:19" ht="15.75" thickBot="1">
      <c r="A10" s="1"/>
      <c r="B10" s="26">
        <f t="shared" si="1"/>
        <v>59740</v>
      </c>
      <c r="C10" s="27">
        <f t="shared" si="2"/>
        <v>9798.5714285714294</v>
      </c>
      <c r="D10" s="27">
        <f t="shared" si="0"/>
        <v>3154.322053793433</v>
      </c>
      <c r="E10" s="32">
        <v>600</v>
      </c>
      <c r="F10" s="47">
        <v>12420</v>
      </c>
      <c r="G10" s="48">
        <v>7790</v>
      </c>
      <c r="H10" s="49">
        <v>5470</v>
      </c>
      <c r="I10" s="49">
        <v>7560</v>
      </c>
      <c r="J10" s="49">
        <v>12850</v>
      </c>
      <c r="K10" s="49">
        <v>13650</v>
      </c>
      <c r="L10" s="46"/>
      <c r="S10" s="47">
        <v>8850</v>
      </c>
    </row>
    <row r="11" spans="1:19" ht="15.75" thickBot="1">
      <c r="A11" s="1"/>
      <c r="B11" s="26">
        <f t="shared" si="1"/>
        <v>51610</v>
      </c>
      <c r="C11" s="27">
        <f t="shared" si="2"/>
        <v>8944.2857142857138</v>
      </c>
      <c r="D11" s="27">
        <f t="shared" si="0"/>
        <v>4664.5037504642705</v>
      </c>
      <c r="E11" s="32">
        <v>750</v>
      </c>
      <c r="F11" s="47">
        <v>11810</v>
      </c>
      <c r="G11" s="48">
        <v>3280</v>
      </c>
      <c r="H11" s="49">
        <v>6080</v>
      </c>
      <c r="I11" s="49">
        <v>6140</v>
      </c>
      <c r="J11" s="49">
        <v>7180</v>
      </c>
      <c r="K11" s="49">
        <v>17120</v>
      </c>
      <c r="L11" s="46"/>
      <c r="S11" s="47">
        <v>11000</v>
      </c>
    </row>
    <row r="12" spans="1:19" ht="15.75" thickBot="1">
      <c r="A12" s="1"/>
      <c r="B12" s="26">
        <f t="shared" si="1"/>
        <v>46450</v>
      </c>
      <c r="C12" s="38">
        <f t="shared" si="2"/>
        <v>7888.5714285714284</v>
      </c>
      <c r="D12" s="38">
        <f t="shared" si="0"/>
        <v>4833.5164168937044</v>
      </c>
      <c r="E12" s="33">
        <v>900</v>
      </c>
      <c r="F12" s="47">
        <v>7820</v>
      </c>
      <c r="G12" s="48">
        <v>2730</v>
      </c>
      <c r="H12" s="49">
        <v>3910</v>
      </c>
      <c r="I12" s="49">
        <v>6830</v>
      </c>
      <c r="J12" s="49">
        <v>7490</v>
      </c>
      <c r="K12" s="49">
        <v>17670</v>
      </c>
      <c r="L12" s="46"/>
      <c r="S12" s="47">
        <v>8770</v>
      </c>
    </row>
    <row r="13" spans="1:19" ht="15.75" thickBot="1">
      <c r="A13" s="1"/>
      <c r="B13" s="4">
        <f>SUM(B3:B12)</f>
        <v>670310</v>
      </c>
      <c r="C13" s="4">
        <f>AVERAGE(B3:B12)</f>
        <v>67031</v>
      </c>
      <c r="D13" s="4">
        <f>STDEV(B3:B12)</f>
        <v>18063.300701206914</v>
      </c>
      <c r="E13" s="32"/>
      <c r="F13" s="68">
        <f t="shared" ref="F13:K13" si="3">SUM(F3:F12)</f>
        <v>130140</v>
      </c>
      <c r="G13" s="4">
        <f t="shared" si="3"/>
        <v>104350</v>
      </c>
      <c r="H13" s="4">
        <f t="shared" si="3"/>
        <v>98870</v>
      </c>
      <c r="I13" s="4">
        <f t="shared" si="3"/>
        <v>100960</v>
      </c>
      <c r="J13" s="4">
        <f t="shared" si="3"/>
        <v>114950</v>
      </c>
      <c r="K13" s="71">
        <f t="shared" si="3"/>
        <v>121040</v>
      </c>
      <c r="L13" s="46"/>
      <c r="S13" s="4">
        <f>SUM(S3:S12)</f>
        <v>88990</v>
      </c>
    </row>
    <row r="14" spans="1:19" ht="15.75" thickBot="1">
      <c r="A14" s="1"/>
      <c r="B14" s="39">
        <f>SUM(F14:K14)</f>
        <v>80240</v>
      </c>
      <c r="C14" s="39">
        <f t="shared" si="2"/>
        <v>12444.285714285714</v>
      </c>
      <c r="D14" s="39">
        <f t="shared" ref="D14:D23" si="4">STDEV(F14:S14)</f>
        <v>8174.9410948802506</v>
      </c>
      <c r="E14" s="31">
        <v>60</v>
      </c>
      <c r="F14" s="54">
        <v>12470</v>
      </c>
      <c r="G14" s="55">
        <v>16870</v>
      </c>
      <c r="H14" s="56">
        <v>22080</v>
      </c>
      <c r="I14" s="56">
        <v>-2730</v>
      </c>
      <c r="J14" s="56">
        <v>17360</v>
      </c>
      <c r="K14" s="56">
        <v>14190</v>
      </c>
      <c r="L14" s="57"/>
      <c r="S14" s="54">
        <v>6870</v>
      </c>
    </row>
    <row r="15" spans="1:19" ht="15.75" thickBot="1">
      <c r="A15" s="1"/>
      <c r="B15" s="39">
        <f t="shared" ref="B15:B23" si="5">SUM(F15:K15)</f>
        <v>87000</v>
      </c>
      <c r="C15" s="34">
        <f t="shared" si="2"/>
        <v>13548.571428571429</v>
      </c>
      <c r="D15" s="34">
        <f t="shared" si="4"/>
        <v>4095.8044735697858</v>
      </c>
      <c r="E15" s="35">
        <v>120</v>
      </c>
      <c r="F15" s="50">
        <v>16490</v>
      </c>
      <c r="G15" s="51">
        <v>15560</v>
      </c>
      <c r="H15" s="52">
        <v>11590</v>
      </c>
      <c r="I15" s="52">
        <v>9040</v>
      </c>
      <c r="J15" s="52">
        <v>18760</v>
      </c>
      <c r="K15" s="52">
        <v>15560</v>
      </c>
      <c r="L15" s="53"/>
      <c r="S15" s="50">
        <v>7840</v>
      </c>
    </row>
    <row r="16" spans="1:19" ht="15.75" thickBot="1">
      <c r="A16" s="1"/>
      <c r="B16" s="39">
        <f t="shared" si="5"/>
        <v>86600</v>
      </c>
      <c r="C16" s="28">
        <f t="shared" si="2"/>
        <v>13312.857142857143</v>
      </c>
      <c r="D16" s="28">
        <f t="shared" si="4"/>
        <v>6516.3990932766819</v>
      </c>
      <c r="E16" s="32">
        <v>150</v>
      </c>
      <c r="F16" s="54">
        <v>25560</v>
      </c>
      <c r="G16" s="55">
        <v>11800</v>
      </c>
      <c r="H16" s="56">
        <v>11280</v>
      </c>
      <c r="I16" s="56">
        <v>8250</v>
      </c>
      <c r="J16" s="56">
        <v>18230</v>
      </c>
      <c r="K16" s="56">
        <v>11480</v>
      </c>
      <c r="L16" s="57"/>
      <c r="S16" s="54">
        <v>6590</v>
      </c>
    </row>
    <row r="17" spans="1:19" ht="15.75" thickBot="1">
      <c r="A17" s="1"/>
      <c r="B17" s="39">
        <f t="shared" si="5"/>
        <v>81160</v>
      </c>
      <c r="C17" s="28">
        <f t="shared" si="2"/>
        <v>13312.857142857143</v>
      </c>
      <c r="D17" s="28">
        <f t="shared" si="4"/>
        <v>5031.9171770002822</v>
      </c>
      <c r="E17" s="32">
        <v>180</v>
      </c>
      <c r="F17" s="54">
        <v>23800</v>
      </c>
      <c r="G17" s="55">
        <v>11640</v>
      </c>
      <c r="H17" s="56">
        <v>10460</v>
      </c>
      <c r="I17" s="56">
        <v>13770</v>
      </c>
      <c r="J17" s="56">
        <v>13570</v>
      </c>
      <c r="K17" s="56">
        <v>7920</v>
      </c>
      <c r="L17" s="57"/>
      <c r="S17" s="54">
        <v>12030</v>
      </c>
    </row>
    <row r="18" spans="1:19" ht="15.75" thickBot="1">
      <c r="A18" s="1"/>
      <c r="B18" s="39">
        <f t="shared" si="5"/>
        <v>86010</v>
      </c>
      <c r="C18" s="34">
        <f t="shared" si="2"/>
        <v>13814.285714285714</v>
      </c>
      <c r="D18" s="34">
        <f t="shared" si="4"/>
        <v>6098.1769328842793</v>
      </c>
      <c r="E18" s="35">
        <v>240</v>
      </c>
      <c r="F18" s="50">
        <v>21910</v>
      </c>
      <c r="G18" s="51">
        <v>13470</v>
      </c>
      <c r="H18" s="52">
        <v>18020</v>
      </c>
      <c r="I18" s="52">
        <v>17100</v>
      </c>
      <c r="J18" s="52">
        <v>2970</v>
      </c>
      <c r="K18" s="52">
        <v>12540</v>
      </c>
      <c r="L18" s="53"/>
      <c r="S18" s="50">
        <v>10690</v>
      </c>
    </row>
    <row r="19" spans="1:19" ht="15.75" thickBot="1">
      <c r="A19" s="1"/>
      <c r="B19" s="39">
        <f t="shared" si="5"/>
        <v>67630</v>
      </c>
      <c r="C19" s="28">
        <f t="shared" si="2"/>
        <v>11821.428571428571</v>
      </c>
      <c r="D19" s="28">
        <f t="shared" si="4"/>
        <v>3832.6902152031917</v>
      </c>
      <c r="E19" s="32">
        <v>300</v>
      </c>
      <c r="F19" s="54">
        <v>16480</v>
      </c>
      <c r="G19" s="55">
        <v>11750</v>
      </c>
      <c r="H19" s="56">
        <v>13110</v>
      </c>
      <c r="I19" s="56">
        <v>12890</v>
      </c>
      <c r="J19" s="56">
        <v>6320</v>
      </c>
      <c r="K19" s="56">
        <v>7080</v>
      </c>
      <c r="L19" s="57"/>
      <c r="S19" s="54">
        <v>15120</v>
      </c>
    </row>
    <row r="20" spans="1:19" ht="15.75" thickBot="1">
      <c r="A20" s="1"/>
      <c r="B20" s="39">
        <f t="shared" si="5"/>
        <v>57670</v>
      </c>
      <c r="C20" s="28">
        <f t="shared" si="2"/>
        <v>9607.1428571428569</v>
      </c>
      <c r="D20" s="28">
        <f t="shared" si="4"/>
        <v>4208.3912773002858</v>
      </c>
      <c r="E20" s="32">
        <v>450</v>
      </c>
      <c r="F20" s="54">
        <v>13690</v>
      </c>
      <c r="G20" s="55">
        <v>10090</v>
      </c>
      <c r="H20" s="56">
        <v>3730</v>
      </c>
      <c r="I20" s="56">
        <v>8020</v>
      </c>
      <c r="J20" s="56">
        <v>6170</v>
      </c>
      <c r="K20" s="56">
        <v>15970</v>
      </c>
      <c r="L20" s="57"/>
      <c r="S20" s="54">
        <v>9580</v>
      </c>
    </row>
    <row r="21" spans="1:19" ht="15.75" thickBot="1">
      <c r="A21" s="1"/>
      <c r="B21" s="39">
        <f t="shared" si="5"/>
        <v>43450</v>
      </c>
      <c r="C21" s="28">
        <f t="shared" si="2"/>
        <v>7572.8571428571431</v>
      </c>
      <c r="D21" s="28">
        <f t="shared" si="4"/>
        <v>5301.8006824276672</v>
      </c>
      <c r="E21" s="32">
        <v>600</v>
      </c>
      <c r="F21" s="54">
        <v>6520</v>
      </c>
      <c r="G21" s="55">
        <v>4230</v>
      </c>
      <c r="H21" s="56">
        <v>1170</v>
      </c>
      <c r="I21" s="56">
        <v>5870</v>
      </c>
      <c r="J21" s="56">
        <v>7670</v>
      </c>
      <c r="K21" s="56">
        <v>17990</v>
      </c>
      <c r="L21" s="57"/>
      <c r="S21" s="54">
        <v>9560</v>
      </c>
    </row>
    <row r="22" spans="1:19" ht="15.75" thickBot="1">
      <c r="A22" s="1"/>
      <c r="B22" s="39">
        <f t="shared" si="5"/>
        <v>29730</v>
      </c>
      <c r="C22" s="28">
        <f t="shared" si="2"/>
        <v>6427.1428571428569</v>
      </c>
      <c r="D22" s="28">
        <f t="shared" si="4"/>
        <v>6526.9740673753622</v>
      </c>
      <c r="E22" s="32">
        <v>750</v>
      </c>
      <c r="F22" s="54">
        <v>7880</v>
      </c>
      <c r="G22" s="55">
        <v>-130</v>
      </c>
      <c r="H22" s="56">
        <v>50</v>
      </c>
      <c r="I22" s="56">
        <v>2690</v>
      </c>
      <c r="J22" s="56">
        <v>4260</v>
      </c>
      <c r="K22" s="56">
        <v>14980</v>
      </c>
      <c r="L22" s="57"/>
      <c r="S22" s="54">
        <v>15260</v>
      </c>
    </row>
    <row r="23" spans="1:19" ht="15.75" thickBot="1">
      <c r="A23" s="1"/>
      <c r="B23" s="39">
        <f t="shared" si="5"/>
        <v>12300</v>
      </c>
      <c r="C23" s="42">
        <f t="shared" si="2"/>
        <v>4274.2857142857147</v>
      </c>
      <c r="D23" s="42">
        <f t="shared" si="4"/>
        <v>8213.9695177237681</v>
      </c>
      <c r="E23" s="33">
        <v>900</v>
      </c>
      <c r="F23" s="54">
        <v>1470</v>
      </c>
      <c r="G23" s="55">
        <v>-5190</v>
      </c>
      <c r="H23" s="56">
        <v>1820</v>
      </c>
      <c r="I23" s="56">
        <v>2860</v>
      </c>
      <c r="J23" s="56">
        <v>-1990</v>
      </c>
      <c r="K23" s="56">
        <v>13330</v>
      </c>
      <c r="L23" s="57"/>
      <c r="S23" s="54">
        <v>17620</v>
      </c>
    </row>
    <row r="24" spans="1:19" ht="15.75" thickBot="1">
      <c r="A24" s="1"/>
      <c r="B24" s="4">
        <f>SUM(B14:B23)</f>
        <v>631790</v>
      </c>
      <c r="C24" s="4">
        <f>AVERAGE(B14:B23)</f>
        <v>63179</v>
      </c>
      <c r="D24" s="4">
        <f>STDEV(B14:B23)</f>
        <v>26663.612512602682</v>
      </c>
      <c r="E24" s="32"/>
      <c r="F24" s="4">
        <f t="shared" ref="F24:L24" si="6">SUM(F14:F23)</f>
        <v>146270</v>
      </c>
      <c r="G24" s="68">
        <f t="shared" si="6"/>
        <v>90090</v>
      </c>
      <c r="H24" s="68">
        <f t="shared" si="6"/>
        <v>93310</v>
      </c>
      <c r="I24" s="71">
        <f t="shared" si="6"/>
        <v>77760</v>
      </c>
      <c r="J24" s="68">
        <f t="shared" si="6"/>
        <v>93320</v>
      </c>
      <c r="K24" s="4">
        <f t="shared" si="6"/>
        <v>131040</v>
      </c>
      <c r="L24" s="4">
        <f t="shared" si="6"/>
        <v>0</v>
      </c>
      <c r="S24" s="4">
        <f>SUM(S14:S23)</f>
        <v>111160</v>
      </c>
    </row>
    <row r="25" spans="1:19">
      <c r="A25" s="1"/>
      <c r="B25" s="41">
        <f>SUM(F25:K25)</f>
        <v>82130</v>
      </c>
      <c r="C25" s="41">
        <f t="shared" si="2"/>
        <v>12971.428571428571</v>
      </c>
      <c r="D25" s="41">
        <f t="shared" ref="D25:D34" si="7">STDEV(F25:S25)</f>
        <v>4631.8946036203806</v>
      </c>
      <c r="E25" s="31">
        <v>60</v>
      </c>
      <c r="F25" s="58">
        <v>14820</v>
      </c>
      <c r="G25" s="59">
        <v>19270</v>
      </c>
      <c r="H25" s="60">
        <v>13080</v>
      </c>
      <c r="I25" s="60">
        <v>7230</v>
      </c>
      <c r="J25" s="60">
        <v>17900</v>
      </c>
      <c r="K25" s="60">
        <v>9830</v>
      </c>
      <c r="L25" s="61"/>
      <c r="S25" s="58">
        <v>8670</v>
      </c>
    </row>
    <row r="26" spans="1:19">
      <c r="A26" s="1"/>
      <c r="B26" s="41">
        <f t="shared" ref="B26:B34" si="8">SUM(F26:K26)</f>
        <v>86210</v>
      </c>
      <c r="C26" s="34">
        <f t="shared" si="2"/>
        <v>13692.857142857143</v>
      </c>
      <c r="D26" s="34">
        <f t="shared" si="7"/>
        <v>6969.2532222750015</v>
      </c>
      <c r="E26" s="35">
        <v>120</v>
      </c>
      <c r="F26" s="50">
        <v>26680</v>
      </c>
      <c r="G26" s="51">
        <v>13480</v>
      </c>
      <c r="H26" s="52">
        <v>10220</v>
      </c>
      <c r="I26" s="52">
        <v>10960</v>
      </c>
      <c r="J26" s="52">
        <v>18900</v>
      </c>
      <c r="K26" s="52">
        <v>5970</v>
      </c>
      <c r="L26" s="53"/>
      <c r="S26" s="50">
        <v>9640</v>
      </c>
    </row>
    <row r="27" spans="1:19">
      <c r="A27" s="1"/>
      <c r="B27" s="41">
        <f t="shared" si="8"/>
        <v>77230</v>
      </c>
      <c r="C27" s="29">
        <f t="shared" si="2"/>
        <v>12668.571428571429</v>
      </c>
      <c r="D27" s="29">
        <f t="shared" si="7"/>
        <v>3246.0921560723241</v>
      </c>
      <c r="E27" s="32">
        <v>150</v>
      </c>
      <c r="F27" s="58">
        <v>19190</v>
      </c>
      <c r="G27" s="59">
        <v>11470</v>
      </c>
      <c r="H27" s="60">
        <v>13360</v>
      </c>
      <c r="I27" s="60">
        <v>13140</v>
      </c>
      <c r="J27" s="60">
        <v>11300</v>
      </c>
      <c r="K27" s="60">
        <v>8770</v>
      </c>
      <c r="L27" s="61"/>
      <c r="S27" s="58">
        <v>11450</v>
      </c>
    </row>
    <row r="28" spans="1:19">
      <c r="A28" s="1"/>
      <c r="B28" s="41">
        <f t="shared" si="8"/>
        <v>82500</v>
      </c>
      <c r="C28" s="34">
        <f t="shared" si="2"/>
        <v>13582.857142857143</v>
      </c>
      <c r="D28" s="34">
        <f t="shared" si="7"/>
        <v>3137.7099626198437</v>
      </c>
      <c r="E28" s="35">
        <v>180</v>
      </c>
      <c r="F28" s="50">
        <v>13440</v>
      </c>
      <c r="G28" s="51">
        <v>13100</v>
      </c>
      <c r="H28" s="52">
        <v>16210</v>
      </c>
      <c r="I28" s="52">
        <v>18980</v>
      </c>
      <c r="J28" s="52">
        <v>11200</v>
      </c>
      <c r="K28" s="52">
        <v>9570</v>
      </c>
      <c r="L28" s="53"/>
      <c r="S28" s="50">
        <v>12580</v>
      </c>
    </row>
    <row r="29" spans="1:19">
      <c r="A29" s="1"/>
      <c r="B29" s="41">
        <f t="shared" si="8"/>
        <v>50390</v>
      </c>
      <c r="C29" s="29">
        <f t="shared" si="2"/>
        <v>9530</v>
      </c>
      <c r="D29" s="29">
        <f t="shared" si="7"/>
        <v>4312.8296975419744</v>
      </c>
      <c r="E29" s="32">
        <v>240</v>
      </c>
      <c r="F29" s="58">
        <v>9850</v>
      </c>
      <c r="G29" s="59">
        <v>9790</v>
      </c>
      <c r="H29" s="60">
        <v>2970</v>
      </c>
      <c r="I29" s="60">
        <v>9970</v>
      </c>
      <c r="J29" s="60">
        <v>5640</v>
      </c>
      <c r="K29" s="60">
        <v>12170</v>
      </c>
      <c r="L29" s="61"/>
      <c r="S29" s="58">
        <v>16320</v>
      </c>
    </row>
    <row r="30" spans="1:19">
      <c r="A30" s="1"/>
      <c r="B30" s="41">
        <f t="shared" si="8"/>
        <v>53360</v>
      </c>
      <c r="C30" s="29">
        <f t="shared" si="2"/>
        <v>9430</v>
      </c>
      <c r="D30" s="29">
        <f t="shared" si="7"/>
        <v>5939.1497708005309</v>
      </c>
      <c r="E30" s="32">
        <v>300</v>
      </c>
      <c r="F30" s="58">
        <v>10110</v>
      </c>
      <c r="G30" s="59">
        <v>14630</v>
      </c>
      <c r="H30" s="60">
        <v>1380</v>
      </c>
      <c r="I30" s="60">
        <v>10570</v>
      </c>
      <c r="J30" s="60">
        <v>1080</v>
      </c>
      <c r="K30" s="60">
        <v>15590</v>
      </c>
      <c r="L30" s="61"/>
      <c r="S30" s="58">
        <v>12650</v>
      </c>
    </row>
    <row r="31" spans="1:19">
      <c r="A31" s="1"/>
      <c r="B31" s="41">
        <f t="shared" si="8"/>
        <v>48150</v>
      </c>
      <c r="C31" s="29">
        <f t="shared" si="2"/>
        <v>8018.5714285714284</v>
      </c>
      <c r="D31" s="29">
        <f t="shared" si="7"/>
        <v>5014.7862319725009</v>
      </c>
      <c r="E31" s="32">
        <v>450</v>
      </c>
      <c r="F31" s="58">
        <v>5050</v>
      </c>
      <c r="G31" s="59">
        <v>1430</v>
      </c>
      <c r="H31" s="60">
        <v>4510</v>
      </c>
      <c r="I31" s="60">
        <v>8540</v>
      </c>
      <c r="J31" s="60">
        <v>12450</v>
      </c>
      <c r="K31" s="60">
        <v>16170</v>
      </c>
      <c r="L31" s="61"/>
      <c r="S31" s="58">
        <v>7980</v>
      </c>
    </row>
    <row r="32" spans="1:19">
      <c r="A32" s="1"/>
      <c r="B32" s="41">
        <f t="shared" si="8"/>
        <v>41850</v>
      </c>
      <c r="C32" s="29">
        <f t="shared" si="2"/>
        <v>8502.8571428571431</v>
      </c>
      <c r="D32" s="29">
        <f t="shared" si="7"/>
        <v>7931.1678717275818</v>
      </c>
      <c r="E32" s="32">
        <v>600</v>
      </c>
      <c r="F32" s="58">
        <v>4920</v>
      </c>
      <c r="G32" s="59">
        <v>-1760</v>
      </c>
      <c r="H32" s="60">
        <v>8730</v>
      </c>
      <c r="I32" s="60">
        <v>4040</v>
      </c>
      <c r="J32" s="60">
        <v>5360</v>
      </c>
      <c r="K32" s="60">
        <v>20560</v>
      </c>
      <c r="L32" s="61"/>
      <c r="S32" s="58">
        <v>17670</v>
      </c>
    </row>
    <row r="33" spans="1:19">
      <c r="A33" s="1"/>
      <c r="B33" s="41">
        <f t="shared" si="8"/>
        <v>24860</v>
      </c>
      <c r="C33" s="29">
        <f t="shared" si="2"/>
        <v>5684.2857142857147</v>
      </c>
      <c r="D33" s="29">
        <f t="shared" si="7"/>
        <v>7818.827399601676</v>
      </c>
      <c r="E33" s="32">
        <v>750</v>
      </c>
      <c r="F33" s="58">
        <v>4490</v>
      </c>
      <c r="G33" s="59">
        <v>-1990</v>
      </c>
      <c r="H33" s="60">
        <v>6120</v>
      </c>
      <c r="I33" s="60">
        <v>1990</v>
      </c>
      <c r="J33" s="60">
        <v>-2950</v>
      </c>
      <c r="K33" s="60">
        <v>17200</v>
      </c>
      <c r="L33" s="61"/>
      <c r="S33" s="58">
        <v>14930</v>
      </c>
    </row>
    <row r="34" spans="1:19" ht="15.75" thickBot="1">
      <c r="A34" s="1"/>
      <c r="B34" s="41">
        <f t="shared" si="8"/>
        <v>22518</v>
      </c>
      <c r="C34" s="30">
        <f t="shared" si="2"/>
        <v>5744</v>
      </c>
      <c r="D34" s="30">
        <f t="shared" si="7"/>
        <v>9091.2792645846421</v>
      </c>
      <c r="E34" s="33">
        <v>900</v>
      </c>
      <c r="F34" s="62">
        <v>15480</v>
      </c>
      <c r="G34" s="63">
        <f>-2-4250</f>
        <v>-4252</v>
      </c>
      <c r="H34" s="64">
        <v>2700</v>
      </c>
      <c r="I34" s="64">
        <v>-860</v>
      </c>
      <c r="J34" s="64">
        <v>-2470</v>
      </c>
      <c r="K34" s="64">
        <v>11920</v>
      </c>
      <c r="L34" s="61"/>
      <c r="S34" s="62">
        <v>17690</v>
      </c>
    </row>
    <row r="35" spans="1:19">
      <c r="A35" s="1"/>
      <c r="B35" s="4">
        <f>SUM(B25:B34)</f>
        <v>569198</v>
      </c>
      <c r="C35" s="4">
        <f>AVERAGE(B25:B34)</f>
        <v>56919.8</v>
      </c>
      <c r="D35" s="4">
        <f>STDEV(B25:B34)</f>
        <v>23876.893068869369</v>
      </c>
      <c r="E35" s="10"/>
      <c r="F35" s="71">
        <f t="shared" ref="F35:K35" si="9">SUM(F25:F34)</f>
        <v>124030</v>
      </c>
      <c r="G35" s="71">
        <f t="shared" si="9"/>
        <v>75168</v>
      </c>
      <c r="H35" s="71">
        <f t="shared" si="9"/>
        <v>79280</v>
      </c>
      <c r="I35" s="68">
        <f t="shared" si="9"/>
        <v>84560</v>
      </c>
      <c r="J35" s="71">
        <f t="shared" si="9"/>
        <v>78410</v>
      </c>
      <c r="K35" s="68">
        <f t="shared" si="9"/>
        <v>127750</v>
      </c>
      <c r="L35" s="4" t="s">
        <v>21</v>
      </c>
      <c r="S35" s="4">
        <f>SUM(S25:S34)</f>
        <v>129580</v>
      </c>
    </row>
    <row r="36" spans="1:19">
      <c r="A36" s="1"/>
      <c r="B36" s="1">
        <f>SUM(F36:L36)</f>
        <v>1871298</v>
      </c>
      <c r="C36" s="1">
        <f>AVERAGE(F36:L36)</f>
        <v>311883</v>
      </c>
      <c r="D36" s="72">
        <f>STDEV(F36:L36)</f>
        <v>61445.544069525495</v>
      </c>
      <c r="E36" s="1" t="s">
        <v>21</v>
      </c>
      <c r="F36" s="68">
        <f>SUM(F3:F12,F14:F23,F25:F34)</f>
        <v>400440</v>
      </c>
      <c r="G36" s="67">
        <f t="shared" ref="G36:K36" si="10">SUM(G3:G12,G14:G23,G25:G34)</f>
        <v>269608</v>
      </c>
      <c r="H36" s="68">
        <f t="shared" si="10"/>
        <v>271460</v>
      </c>
      <c r="I36" s="67">
        <f t="shared" si="10"/>
        <v>263280</v>
      </c>
      <c r="J36" s="67">
        <f t="shared" si="10"/>
        <v>286680</v>
      </c>
      <c r="K36" s="68">
        <f t="shared" si="10"/>
        <v>379830</v>
      </c>
      <c r="L36" s="1" t="s">
        <v>21</v>
      </c>
      <c r="M36" s="1">
        <f>SUM(S3:S12,S14:S23,S25:S34)</f>
        <v>329730</v>
      </c>
    </row>
    <row r="37" spans="1:19">
      <c r="A37" s="1"/>
      <c r="B37" s="65">
        <f>SUM($B3:$B12,$B14:$B23,$B25:$B34)</f>
        <v>1871298</v>
      </c>
      <c r="C37" s="65">
        <f>AVERAGE($B3:$B12,$B14:$B23,$B25:$B34)</f>
        <v>62376.6</v>
      </c>
      <c r="D37" s="65">
        <f>STDEV($B3:$B12,$B14:$B23,$B25:$B34)</f>
        <v>22732.98780156728</v>
      </c>
      <c r="E37" s="1"/>
      <c r="F37" s="1">
        <f>AVERAGE(F3:F12,F14:F23,F25:F34)</f>
        <v>13348</v>
      </c>
      <c r="G37" s="1">
        <f t="shared" ref="G37:K37" si="11">AVERAGE(G3:G12,G14:G23,G25:G34)</f>
        <v>8986.9333333333325</v>
      </c>
      <c r="H37" s="1">
        <f t="shared" si="11"/>
        <v>9048.6666666666661</v>
      </c>
      <c r="I37" s="1">
        <f t="shared" si="11"/>
        <v>8776</v>
      </c>
      <c r="J37" s="1">
        <f t="shared" si="11"/>
        <v>9556</v>
      </c>
      <c r="K37" s="1">
        <f t="shared" si="11"/>
        <v>12661</v>
      </c>
      <c r="L37" s="1" t="s">
        <v>21</v>
      </c>
      <c r="M37" s="1">
        <f>AVERAGE(S3:S12,S14:S23,S25:S34)</f>
        <v>10991</v>
      </c>
    </row>
    <row r="38" spans="1:19">
      <c r="A38" s="1"/>
      <c r="B38" s="1"/>
      <c r="C38" s="1"/>
      <c r="D38" s="1"/>
      <c r="E38" s="1"/>
      <c r="F38" s="1">
        <f>STDEV(F3:F12,F14:F23,F25:F34,)</f>
        <v>7501.912186343754</v>
      </c>
      <c r="G38" s="1">
        <f t="shared" ref="G38:K38" si="12">STDEV(G3:G12,G14:G23,G25:G34,)</f>
        <v>6946.538300879899</v>
      </c>
      <c r="H38" s="1">
        <f t="shared" si="12"/>
        <v>5835.9068915903581</v>
      </c>
      <c r="I38" s="1">
        <f t="shared" si="12"/>
        <v>5522.652257474595</v>
      </c>
      <c r="J38" s="1">
        <f t="shared" si="12"/>
        <v>6663.5199455330012</v>
      </c>
      <c r="K38" s="1">
        <f t="shared" si="12"/>
        <v>4237.938152562665</v>
      </c>
      <c r="L38" s="1" t="s">
        <v>21</v>
      </c>
      <c r="M38" s="1">
        <f>STDEV(S3:S12,S14:S23,S25:S34,)</f>
        <v>3977.4083256873823</v>
      </c>
    </row>
    <row r="39" spans="1:19">
      <c r="F39" s="66">
        <f>SUM(F41:F50,F52:F61,F63:F72)</f>
        <v>427690</v>
      </c>
      <c r="G39" s="70">
        <f t="shared" ref="G39:K39" si="13">SUM(G41:G50,G52:G61,G63:G72)</f>
        <v>257450</v>
      </c>
      <c r="H39" s="66">
        <f t="shared" si="13"/>
        <v>305230</v>
      </c>
      <c r="I39" s="69">
        <f t="shared" si="13"/>
        <v>193270</v>
      </c>
      <c r="J39" s="69">
        <f t="shared" si="13"/>
        <v>231730</v>
      </c>
      <c r="K39" s="66">
        <f t="shared" si="13"/>
        <v>429930</v>
      </c>
    </row>
    <row r="40" spans="1:19" s="74" customFormat="1" ht="15.75" thickBot="1">
      <c r="A40" s="73"/>
      <c r="B40" s="74" t="s">
        <v>14</v>
      </c>
      <c r="F40" s="73" t="s">
        <v>13</v>
      </c>
      <c r="G40" s="74" t="s">
        <v>15</v>
      </c>
      <c r="H40" s="74" t="s">
        <v>16</v>
      </c>
      <c r="I40" s="74" t="s">
        <v>17</v>
      </c>
      <c r="J40" s="74" t="s">
        <v>18</v>
      </c>
      <c r="K40" s="74" t="s">
        <v>19</v>
      </c>
      <c r="L40" s="74" t="s">
        <v>22</v>
      </c>
      <c r="M40" s="74" t="s">
        <v>23</v>
      </c>
      <c r="N40" s="74" t="s">
        <v>24</v>
      </c>
    </row>
    <row r="41" spans="1:19">
      <c r="B41" s="26">
        <f>SUM(F41:T41)</f>
        <v>81330</v>
      </c>
      <c r="C41" s="26">
        <f>AVERAGE(F41:T41)</f>
        <v>9036.6666666666661</v>
      </c>
      <c r="D41" s="26">
        <f>STDEV(F41:S41)</f>
        <v>5730.7242125232306</v>
      </c>
      <c r="E41" s="31">
        <v>60</v>
      </c>
      <c r="F41" s="45">
        <v>-3050</v>
      </c>
      <c r="G41" s="45">
        <v>10760</v>
      </c>
      <c r="H41" s="45">
        <v>10340</v>
      </c>
      <c r="I41" s="45">
        <v>3730</v>
      </c>
      <c r="J41" s="45">
        <v>13710</v>
      </c>
      <c r="K41" s="49">
        <v>7120</v>
      </c>
      <c r="L41" s="49">
        <v>15890</v>
      </c>
      <c r="M41" s="43">
        <v>11510</v>
      </c>
      <c r="N41" s="43">
        <v>11320</v>
      </c>
    </row>
    <row r="42" spans="1:19">
      <c r="B42" s="27">
        <f t="shared" ref="B42:B50" si="14">SUM(F42:T42)</f>
        <v>144260</v>
      </c>
      <c r="C42" s="27">
        <f t="shared" ref="C42:C50" si="15">AVERAGE(F42:T42)</f>
        <v>16028.888888888889</v>
      </c>
      <c r="D42" s="27">
        <f t="shared" ref="D42:D50" si="16">STDEV(F42:S42)</f>
        <v>6072.0660496334449</v>
      </c>
      <c r="E42" s="32">
        <v>120</v>
      </c>
      <c r="F42" s="49">
        <v>16670</v>
      </c>
      <c r="G42" s="49">
        <v>14330</v>
      </c>
      <c r="H42" s="49">
        <v>17350</v>
      </c>
      <c r="I42" s="49">
        <v>4000</v>
      </c>
      <c r="J42" s="49">
        <v>12670</v>
      </c>
      <c r="K42" s="49">
        <v>13460</v>
      </c>
      <c r="L42" s="49">
        <v>18110</v>
      </c>
      <c r="M42" s="47">
        <v>24590</v>
      </c>
      <c r="N42" s="47">
        <v>23080</v>
      </c>
    </row>
    <row r="43" spans="1:19">
      <c r="B43" s="27">
        <f t="shared" si="14"/>
        <v>146180</v>
      </c>
      <c r="C43" s="27">
        <f t="shared" si="15"/>
        <v>16242.222222222223</v>
      </c>
      <c r="D43" s="27">
        <f t="shared" si="16"/>
        <v>4963.6246276732509</v>
      </c>
      <c r="E43" s="32">
        <v>150</v>
      </c>
      <c r="F43" s="49">
        <v>15130</v>
      </c>
      <c r="G43" s="49">
        <v>17080</v>
      </c>
      <c r="H43" s="49">
        <v>10530</v>
      </c>
      <c r="I43" s="49">
        <v>10310</v>
      </c>
      <c r="J43" s="49">
        <v>14460</v>
      </c>
      <c r="K43" s="49">
        <v>15770</v>
      </c>
      <c r="L43" s="49">
        <v>15050</v>
      </c>
      <c r="M43" s="47">
        <v>22430</v>
      </c>
      <c r="N43" s="47">
        <v>25420</v>
      </c>
    </row>
    <row r="44" spans="1:19">
      <c r="B44" s="27">
        <f t="shared" si="14"/>
        <v>138740</v>
      </c>
      <c r="C44" s="27">
        <f t="shared" si="15"/>
        <v>15415.555555555555</v>
      </c>
      <c r="D44" s="27">
        <f t="shared" si="16"/>
        <v>8387.5459925879277</v>
      </c>
      <c r="E44" s="32">
        <v>180</v>
      </c>
      <c r="F44" s="49">
        <v>8200</v>
      </c>
      <c r="G44" s="49">
        <v>12170</v>
      </c>
      <c r="H44" s="49">
        <v>12890</v>
      </c>
      <c r="I44" s="49">
        <v>7010</v>
      </c>
      <c r="J44" s="49">
        <v>15160</v>
      </c>
      <c r="K44" s="52">
        <v>13450</v>
      </c>
      <c r="L44" s="52">
        <v>10820</v>
      </c>
      <c r="M44" s="47">
        <v>29160</v>
      </c>
      <c r="N44" s="47">
        <v>29880</v>
      </c>
    </row>
    <row r="45" spans="1:19">
      <c r="B45" s="34">
        <f t="shared" si="14"/>
        <v>172040</v>
      </c>
      <c r="C45" s="34">
        <f t="shared" si="15"/>
        <v>19115.555555555555</v>
      </c>
      <c r="D45" s="34">
        <f t="shared" si="16"/>
        <v>7600.419579061263</v>
      </c>
      <c r="E45" s="35">
        <v>240</v>
      </c>
      <c r="F45" s="52">
        <v>25130</v>
      </c>
      <c r="G45" s="52">
        <v>12570</v>
      </c>
      <c r="H45" s="52">
        <v>17870</v>
      </c>
      <c r="I45" s="52">
        <v>14330</v>
      </c>
      <c r="J45" s="52">
        <v>19430</v>
      </c>
      <c r="K45" s="52">
        <v>12910</v>
      </c>
      <c r="L45" s="52">
        <v>11120</v>
      </c>
      <c r="M45" s="50">
        <v>24490</v>
      </c>
      <c r="N45" s="50">
        <v>34190</v>
      </c>
    </row>
    <row r="46" spans="1:19">
      <c r="B46" s="34">
        <f t="shared" si="14"/>
        <v>150690</v>
      </c>
      <c r="C46" s="34">
        <f t="shared" si="15"/>
        <v>16743.333333333332</v>
      </c>
      <c r="D46" s="34">
        <f t="shared" si="16"/>
        <v>6476.3820918781503</v>
      </c>
      <c r="E46" s="35">
        <v>300</v>
      </c>
      <c r="F46" s="52">
        <v>18710</v>
      </c>
      <c r="G46" s="52">
        <v>11160</v>
      </c>
      <c r="H46" s="52">
        <v>13340</v>
      </c>
      <c r="I46" s="52">
        <v>18470</v>
      </c>
      <c r="J46" s="52">
        <v>13210</v>
      </c>
      <c r="K46" s="49">
        <v>12750</v>
      </c>
      <c r="L46" s="49">
        <v>10270</v>
      </c>
      <c r="M46" s="50">
        <v>22550</v>
      </c>
      <c r="N46" s="50">
        <v>30230</v>
      </c>
    </row>
    <row r="47" spans="1:19">
      <c r="B47" s="27">
        <f t="shared" si="14"/>
        <v>108320</v>
      </c>
      <c r="C47" s="27">
        <f t="shared" si="15"/>
        <v>12035.555555555555</v>
      </c>
      <c r="D47" s="27">
        <f t="shared" si="16"/>
        <v>5700.2019944715812</v>
      </c>
      <c r="E47" s="32">
        <v>450</v>
      </c>
      <c r="F47" s="49">
        <v>19810</v>
      </c>
      <c r="G47" s="49">
        <v>6890</v>
      </c>
      <c r="H47" s="49">
        <v>10000</v>
      </c>
      <c r="I47" s="49">
        <v>14550</v>
      </c>
      <c r="J47" s="49">
        <v>4660</v>
      </c>
      <c r="K47" s="49">
        <v>10130</v>
      </c>
      <c r="L47" s="49">
        <v>9630</v>
      </c>
      <c r="M47" s="47">
        <v>10760</v>
      </c>
      <c r="N47" s="47">
        <v>21890</v>
      </c>
    </row>
    <row r="48" spans="1:19">
      <c r="B48" s="27">
        <f t="shared" si="14"/>
        <v>94250</v>
      </c>
      <c r="C48" s="27">
        <f t="shared" si="15"/>
        <v>10472.222222222223</v>
      </c>
      <c r="D48" s="27">
        <f t="shared" si="16"/>
        <v>4047.9123563195444</v>
      </c>
      <c r="E48" s="32">
        <v>600</v>
      </c>
      <c r="F48" s="49">
        <v>16020</v>
      </c>
      <c r="G48" s="49">
        <v>8390</v>
      </c>
      <c r="H48" s="49">
        <v>6760</v>
      </c>
      <c r="I48" s="49">
        <v>5130</v>
      </c>
      <c r="J48" s="49">
        <v>6350</v>
      </c>
      <c r="K48" s="49">
        <v>12890</v>
      </c>
      <c r="L48" s="49">
        <v>10240</v>
      </c>
      <c r="M48" s="47">
        <v>13130</v>
      </c>
      <c r="N48" s="47">
        <v>15340</v>
      </c>
    </row>
    <row r="49" spans="2:14">
      <c r="B49" s="27">
        <f t="shared" si="14"/>
        <v>94770</v>
      </c>
      <c r="C49" s="27">
        <f t="shared" si="15"/>
        <v>10530</v>
      </c>
      <c r="D49" s="27">
        <f t="shared" si="16"/>
        <v>7275.3350438313146</v>
      </c>
      <c r="E49" s="32">
        <v>750</v>
      </c>
      <c r="F49" s="49">
        <v>14480</v>
      </c>
      <c r="G49" s="49">
        <v>3190</v>
      </c>
      <c r="H49" s="49">
        <v>7330</v>
      </c>
      <c r="I49" s="49">
        <v>-160</v>
      </c>
      <c r="J49" s="49">
        <v>3230</v>
      </c>
      <c r="K49" s="49">
        <v>16560</v>
      </c>
      <c r="L49" s="49">
        <v>15810</v>
      </c>
      <c r="M49" s="47">
        <v>20620</v>
      </c>
      <c r="N49" s="47">
        <v>13710</v>
      </c>
    </row>
    <row r="50" spans="2:14" ht="15.75" thickBot="1">
      <c r="B50" s="38">
        <f t="shared" si="14"/>
        <v>63500</v>
      </c>
      <c r="C50" s="38">
        <f t="shared" si="15"/>
        <v>7055.5555555555557</v>
      </c>
      <c r="D50" s="38">
        <f t="shared" si="16"/>
        <v>6668.0115310171577</v>
      </c>
      <c r="E50" s="33">
        <v>900</v>
      </c>
      <c r="F50" s="49">
        <v>10030</v>
      </c>
      <c r="G50" s="49">
        <v>2650</v>
      </c>
      <c r="H50" s="49">
        <v>3970</v>
      </c>
      <c r="I50" s="49">
        <v>1370</v>
      </c>
      <c r="J50" s="49">
        <v>210</v>
      </c>
      <c r="K50" s="49">
        <v>19530</v>
      </c>
      <c r="L50" s="49">
        <v>4060</v>
      </c>
      <c r="M50" s="47">
        <v>6070</v>
      </c>
      <c r="N50" s="47">
        <v>15610</v>
      </c>
    </row>
    <row r="51" spans="2:14" ht="15.75" thickBot="1">
      <c r="B51" s="4">
        <f>SUM(B41:B50)</f>
        <v>1194080</v>
      </c>
      <c r="C51" s="4">
        <f>AVERAGE(B41:B50)</f>
        <v>119408</v>
      </c>
      <c r="D51" s="4">
        <f>STDEV(B41:B50)</f>
        <v>35582.95059903455</v>
      </c>
      <c r="E51" s="32"/>
      <c r="F51" s="68">
        <f t="shared" ref="F51" si="17">SUM(F41:F50)</f>
        <v>141130</v>
      </c>
      <c r="G51" s="4">
        <f t="shared" ref="G51" si="18">SUM(G41:G50)</f>
        <v>99190</v>
      </c>
      <c r="H51" s="4">
        <f t="shared" ref="H51" si="19">SUM(H41:H50)</f>
        <v>110380</v>
      </c>
      <c r="I51" s="71">
        <f t="shared" ref="I51" si="20">SUM(I41:I50)</f>
        <v>78740</v>
      </c>
      <c r="J51" s="4">
        <f t="shared" ref="J51:N51" si="21">SUM(J41:J50)</f>
        <v>103090</v>
      </c>
      <c r="K51" s="71">
        <f t="shared" si="21"/>
        <v>134570</v>
      </c>
      <c r="L51" s="4">
        <f t="shared" si="21"/>
        <v>121000</v>
      </c>
      <c r="M51" s="4">
        <f t="shared" si="21"/>
        <v>185310</v>
      </c>
      <c r="N51" s="68">
        <f t="shared" si="21"/>
        <v>220670</v>
      </c>
    </row>
    <row r="52" spans="2:14">
      <c r="B52" s="39">
        <f t="shared" ref="B52:B61" si="22">SUM(F52:T52)</f>
        <v>129690</v>
      </c>
      <c r="C52" s="39">
        <f t="shared" ref="C52:C61" si="23">AVERAGE(F52:T52)</f>
        <v>14410</v>
      </c>
      <c r="D52" s="39">
        <f t="shared" ref="D52:D61" si="24">STDEV(F52:S52)</f>
        <v>9094.595922854407</v>
      </c>
      <c r="E52" s="31">
        <v>60</v>
      </c>
      <c r="F52" s="56">
        <v>7250</v>
      </c>
      <c r="G52" s="56">
        <v>16640</v>
      </c>
      <c r="H52" s="56">
        <v>15800</v>
      </c>
      <c r="I52" s="56">
        <v>-3050</v>
      </c>
      <c r="J52" s="56">
        <v>24740</v>
      </c>
      <c r="K52" s="56">
        <v>16750</v>
      </c>
      <c r="L52" s="56">
        <v>6960</v>
      </c>
      <c r="M52" s="54">
        <v>24100</v>
      </c>
      <c r="N52" s="54">
        <v>20500</v>
      </c>
    </row>
    <row r="53" spans="2:14">
      <c r="B53" s="34">
        <f t="shared" si="22"/>
        <v>164540</v>
      </c>
      <c r="C53" s="34">
        <f t="shared" si="23"/>
        <v>18282.222222222223</v>
      </c>
      <c r="D53" s="34">
        <f t="shared" si="24"/>
        <v>7975.1297446777889</v>
      </c>
      <c r="E53" s="35">
        <v>120</v>
      </c>
      <c r="F53" s="52">
        <v>16880</v>
      </c>
      <c r="G53" s="52">
        <v>14840</v>
      </c>
      <c r="H53" s="52">
        <v>9320</v>
      </c>
      <c r="I53" s="52">
        <v>7590</v>
      </c>
      <c r="J53" s="52">
        <v>19860</v>
      </c>
      <c r="K53" s="52">
        <v>21320</v>
      </c>
      <c r="L53" s="52">
        <v>16250</v>
      </c>
      <c r="M53" s="50">
        <v>24530</v>
      </c>
      <c r="N53" s="50">
        <v>33950</v>
      </c>
    </row>
    <row r="54" spans="2:14">
      <c r="B54" s="28">
        <f t="shared" si="22"/>
        <v>146040</v>
      </c>
      <c r="C54" s="28">
        <f t="shared" si="23"/>
        <v>16226.666666666666</v>
      </c>
      <c r="D54" s="28">
        <f t="shared" si="24"/>
        <v>7434.4821608502098</v>
      </c>
      <c r="E54" s="32">
        <v>150</v>
      </c>
      <c r="F54" s="56">
        <v>25100</v>
      </c>
      <c r="G54" s="56">
        <v>11030</v>
      </c>
      <c r="H54" s="56">
        <v>9320</v>
      </c>
      <c r="I54" s="56">
        <v>7350</v>
      </c>
      <c r="J54" s="56">
        <v>14920</v>
      </c>
      <c r="K54" s="56">
        <v>17030</v>
      </c>
      <c r="L54" s="56">
        <v>11730</v>
      </c>
      <c r="M54" s="54">
        <v>20250</v>
      </c>
      <c r="N54" s="54">
        <v>29310</v>
      </c>
    </row>
    <row r="55" spans="2:14" ht="15.75" thickBot="1">
      <c r="B55" s="36">
        <f t="shared" si="22"/>
        <v>162960</v>
      </c>
      <c r="C55" s="28">
        <f t="shared" si="23"/>
        <v>18106.666666666668</v>
      </c>
      <c r="D55" s="28">
        <f>STDEV(F55:S55)</f>
        <v>7184.5441748241756</v>
      </c>
      <c r="E55" s="32">
        <v>180</v>
      </c>
      <c r="F55" s="56">
        <v>23000</v>
      </c>
      <c r="G55" s="56">
        <v>10810</v>
      </c>
      <c r="H55" s="56">
        <v>14250</v>
      </c>
      <c r="I55" s="56">
        <v>13220</v>
      </c>
      <c r="J55" s="56">
        <v>18970</v>
      </c>
      <c r="K55" s="56">
        <v>8870</v>
      </c>
      <c r="L55" s="56">
        <v>19060</v>
      </c>
      <c r="M55" s="54">
        <v>23050</v>
      </c>
      <c r="N55" s="54">
        <v>31730</v>
      </c>
    </row>
    <row r="56" spans="2:14" ht="15.75" thickBot="1">
      <c r="B56" s="40">
        <f t="shared" si="22"/>
        <v>150690</v>
      </c>
      <c r="C56" s="34">
        <f t="shared" si="23"/>
        <v>16743.333333333332</v>
      </c>
      <c r="D56" s="34">
        <f t="shared" si="24"/>
        <v>7630.5733729517342</v>
      </c>
      <c r="E56" s="35">
        <v>240</v>
      </c>
      <c r="F56" s="52">
        <v>26200</v>
      </c>
      <c r="G56" s="52">
        <v>13420</v>
      </c>
      <c r="H56" s="52">
        <v>19370</v>
      </c>
      <c r="I56" s="52">
        <v>17270</v>
      </c>
      <c r="J56" s="52">
        <v>3160</v>
      </c>
      <c r="K56" s="52">
        <v>13620</v>
      </c>
      <c r="L56" s="52">
        <v>9370</v>
      </c>
      <c r="M56" s="50">
        <v>24370</v>
      </c>
      <c r="N56" s="50">
        <v>23910</v>
      </c>
    </row>
    <row r="57" spans="2:14">
      <c r="B57" s="37">
        <f t="shared" si="22"/>
        <v>111830</v>
      </c>
      <c r="C57" s="28">
        <f t="shared" si="23"/>
        <v>12425.555555555555</v>
      </c>
      <c r="D57" s="28">
        <f t="shared" si="24"/>
        <v>6528.8305061303126</v>
      </c>
      <c r="E57" s="32">
        <v>300</v>
      </c>
      <c r="F57" s="56">
        <v>20250</v>
      </c>
      <c r="G57" s="56">
        <v>11100</v>
      </c>
      <c r="H57" s="56">
        <v>16950</v>
      </c>
      <c r="I57" s="56">
        <v>12940</v>
      </c>
      <c r="J57" s="56">
        <v>3510</v>
      </c>
      <c r="K57" s="56">
        <v>7860</v>
      </c>
      <c r="L57" s="56">
        <v>3490</v>
      </c>
      <c r="M57" s="54">
        <v>14870</v>
      </c>
      <c r="N57" s="54">
        <v>20860</v>
      </c>
    </row>
    <row r="58" spans="2:14">
      <c r="B58" s="28">
        <f t="shared" si="22"/>
        <v>86800</v>
      </c>
      <c r="C58" s="28">
        <f t="shared" si="23"/>
        <v>9644.4444444444453</v>
      </c>
      <c r="D58" s="28">
        <f t="shared" si="24"/>
        <v>5185.6173960077094</v>
      </c>
      <c r="E58" s="32">
        <v>450</v>
      </c>
      <c r="F58" s="56">
        <v>16600</v>
      </c>
      <c r="G58" s="56">
        <v>11070</v>
      </c>
      <c r="H58" s="56">
        <v>5250</v>
      </c>
      <c r="I58" s="56">
        <v>5260</v>
      </c>
      <c r="J58" s="56">
        <v>1460</v>
      </c>
      <c r="K58" s="56">
        <v>14070</v>
      </c>
      <c r="L58" s="56">
        <v>6320</v>
      </c>
      <c r="M58" s="54">
        <v>12850</v>
      </c>
      <c r="N58" s="54">
        <v>13920</v>
      </c>
    </row>
    <row r="59" spans="2:14">
      <c r="B59" s="28">
        <f t="shared" si="22"/>
        <v>79660</v>
      </c>
      <c r="C59" s="28">
        <f t="shared" si="23"/>
        <v>8851.1111111111113</v>
      </c>
      <c r="D59" s="28">
        <f t="shared" si="24"/>
        <v>7204.0829472675496</v>
      </c>
      <c r="E59" s="32">
        <v>600</v>
      </c>
      <c r="F59" s="56">
        <v>8290</v>
      </c>
      <c r="G59" s="56">
        <v>3710</v>
      </c>
      <c r="H59" s="56">
        <v>3230</v>
      </c>
      <c r="I59" s="56">
        <v>1120</v>
      </c>
      <c r="J59" s="56">
        <v>0</v>
      </c>
      <c r="K59" s="56">
        <v>19480</v>
      </c>
      <c r="L59" s="56">
        <v>15160</v>
      </c>
      <c r="M59" s="54">
        <v>12630</v>
      </c>
      <c r="N59" s="54">
        <v>16040</v>
      </c>
    </row>
    <row r="60" spans="2:14">
      <c r="B60" s="28">
        <f t="shared" si="22"/>
        <v>56710</v>
      </c>
      <c r="C60" s="28">
        <f t="shared" si="23"/>
        <v>6301.1111111111113</v>
      </c>
      <c r="D60" s="28">
        <f t="shared" si="24"/>
        <v>7907.3611977138817</v>
      </c>
      <c r="E60" s="32">
        <v>750</v>
      </c>
      <c r="F60" s="56">
        <v>7270</v>
      </c>
      <c r="G60" s="56">
        <v>-580</v>
      </c>
      <c r="H60" s="56">
        <v>1490</v>
      </c>
      <c r="I60" s="56">
        <v>-2680</v>
      </c>
      <c r="J60" s="56">
        <v>-1180</v>
      </c>
      <c r="K60" s="56">
        <v>17560</v>
      </c>
      <c r="L60" s="56">
        <v>8630</v>
      </c>
      <c r="M60" s="54">
        <v>7290</v>
      </c>
      <c r="N60" s="54">
        <v>18910</v>
      </c>
    </row>
    <row r="61" spans="2:14" ht="15.75" thickBot="1">
      <c r="B61" s="42">
        <f t="shared" si="22"/>
        <v>51840</v>
      </c>
      <c r="C61" s="42">
        <f t="shared" si="23"/>
        <v>5760</v>
      </c>
      <c r="D61" s="42">
        <f t="shared" si="24"/>
        <v>10513.610226748944</v>
      </c>
      <c r="E61" s="33">
        <v>900</v>
      </c>
      <c r="F61" s="56">
        <v>2080</v>
      </c>
      <c r="G61" s="56">
        <v>-5330</v>
      </c>
      <c r="H61" s="56">
        <v>3250</v>
      </c>
      <c r="I61" s="56">
        <v>-120</v>
      </c>
      <c r="J61" s="56">
        <v>-7400</v>
      </c>
      <c r="K61" s="56">
        <v>15960</v>
      </c>
      <c r="L61" s="56">
        <v>6830</v>
      </c>
      <c r="M61" s="54">
        <v>10710</v>
      </c>
      <c r="N61" s="54">
        <v>25860</v>
      </c>
    </row>
    <row r="62" spans="2:14" ht="15.75" thickBot="1">
      <c r="B62" s="4">
        <f>SUM(B52:B61)</f>
        <v>1140760</v>
      </c>
      <c r="C62" s="4">
        <f>AVERAGE(B52:B61)</f>
        <v>114076</v>
      </c>
      <c r="D62" s="4">
        <f>STDEV(B52:B61)</f>
        <v>42998.712435503359</v>
      </c>
      <c r="E62" s="32"/>
      <c r="F62" s="4">
        <f t="shared" ref="F62" si="25">SUM(F52:F61)</f>
        <v>152920</v>
      </c>
      <c r="G62" s="68">
        <f t="shared" ref="G62" si="26">SUM(G52:G61)</f>
        <v>86710</v>
      </c>
      <c r="H62" s="68">
        <f t="shared" ref="H62" si="27">SUM(H52:H61)</f>
        <v>98230</v>
      </c>
      <c r="I62" s="68">
        <f t="shared" ref="I62" si="28">SUM(I52:I61)</f>
        <v>58900</v>
      </c>
      <c r="J62" s="68">
        <f t="shared" ref="J62" si="29">SUM(J52:J61)</f>
        <v>78040</v>
      </c>
      <c r="K62" s="4">
        <f>SUM(K52:K61)</f>
        <v>152520</v>
      </c>
      <c r="L62" s="71">
        <f t="shared" ref="L62:N62" si="30">SUM(L52:L61)</f>
        <v>103800</v>
      </c>
      <c r="M62" s="68">
        <f t="shared" si="30"/>
        <v>174650</v>
      </c>
      <c r="N62" s="4">
        <f t="shared" si="30"/>
        <v>234990</v>
      </c>
    </row>
    <row r="63" spans="2:14">
      <c r="B63" s="41">
        <f t="shared" ref="B63:B71" si="31">SUM(F63:T63)</f>
        <v>144140</v>
      </c>
      <c r="C63" s="41">
        <f t="shared" ref="C63:C72" si="32">AVERAGE(F63:T63)</f>
        <v>16015.555555555555</v>
      </c>
      <c r="D63" s="41">
        <f t="shared" ref="D63:D72" si="33">STDEV(F63:S63)</f>
        <v>6406.8188500829174</v>
      </c>
      <c r="E63" s="31">
        <v>60</v>
      </c>
      <c r="F63" s="60">
        <v>19250</v>
      </c>
      <c r="G63" s="60">
        <v>19530</v>
      </c>
      <c r="H63" s="60">
        <v>9260</v>
      </c>
      <c r="I63" s="60">
        <v>4810</v>
      </c>
      <c r="J63" s="60">
        <v>17260</v>
      </c>
      <c r="K63" s="60">
        <v>14560</v>
      </c>
      <c r="L63" s="60">
        <v>12850</v>
      </c>
      <c r="M63" s="58">
        <v>25980</v>
      </c>
      <c r="N63" s="58">
        <v>20640</v>
      </c>
    </row>
    <row r="64" spans="2:14">
      <c r="B64" s="34">
        <f t="shared" si="31"/>
        <v>154560</v>
      </c>
      <c r="C64" s="34">
        <f t="shared" si="32"/>
        <v>17173.333333333332</v>
      </c>
      <c r="D64" s="34">
        <f t="shared" si="33"/>
        <v>7284.8369919992028</v>
      </c>
      <c r="E64" s="35">
        <v>120</v>
      </c>
      <c r="F64" s="52">
        <v>23260</v>
      </c>
      <c r="G64" s="52">
        <v>13140</v>
      </c>
      <c r="H64" s="52">
        <v>13370</v>
      </c>
      <c r="I64" s="52">
        <v>10890</v>
      </c>
      <c r="J64" s="52">
        <v>21320</v>
      </c>
      <c r="K64" s="52">
        <v>10610</v>
      </c>
      <c r="L64" s="52">
        <v>13050</v>
      </c>
      <c r="M64" s="50">
        <v>16280</v>
      </c>
      <c r="N64" s="50">
        <v>32640</v>
      </c>
    </row>
    <row r="65" spans="2:14">
      <c r="B65" s="29">
        <f t="shared" si="31"/>
        <v>157200</v>
      </c>
      <c r="C65" s="29">
        <f t="shared" si="32"/>
        <v>17466.666666666668</v>
      </c>
      <c r="D65" s="29">
        <f t="shared" si="33"/>
        <v>7168.2633880180492</v>
      </c>
      <c r="E65" s="32">
        <v>150</v>
      </c>
      <c r="F65" s="60">
        <v>18410</v>
      </c>
      <c r="G65" s="60">
        <v>9260</v>
      </c>
      <c r="H65" s="60">
        <v>14920</v>
      </c>
      <c r="I65" s="60">
        <v>13130</v>
      </c>
      <c r="J65" s="60">
        <v>14130</v>
      </c>
      <c r="K65" s="60">
        <v>11110</v>
      </c>
      <c r="L65" s="60">
        <v>19400</v>
      </c>
      <c r="M65" s="58">
        <v>25080</v>
      </c>
      <c r="N65" s="58">
        <v>31760</v>
      </c>
    </row>
    <row r="66" spans="2:14">
      <c r="B66" s="34">
        <f t="shared" si="31"/>
        <v>137360</v>
      </c>
      <c r="C66" s="34">
        <f t="shared" si="32"/>
        <v>15262.222222222223</v>
      </c>
      <c r="D66" s="34">
        <f t="shared" si="33"/>
        <v>5282.5178129793794</v>
      </c>
      <c r="E66" s="35">
        <v>180</v>
      </c>
      <c r="F66" s="52">
        <v>15780</v>
      </c>
      <c r="G66" s="52">
        <v>11600</v>
      </c>
      <c r="H66" s="52">
        <v>18490</v>
      </c>
      <c r="I66" s="52">
        <v>16580</v>
      </c>
      <c r="J66" s="52">
        <v>10280</v>
      </c>
      <c r="K66" s="52">
        <v>10110</v>
      </c>
      <c r="L66" s="52">
        <v>11550</v>
      </c>
      <c r="M66" s="50">
        <v>16250</v>
      </c>
      <c r="N66" s="50">
        <v>26720</v>
      </c>
    </row>
    <row r="67" spans="2:14">
      <c r="B67" s="29">
        <f t="shared" si="31"/>
        <v>108170</v>
      </c>
      <c r="C67" s="29">
        <f t="shared" si="32"/>
        <v>12018.888888888889</v>
      </c>
      <c r="D67" s="29">
        <f t="shared" si="33"/>
        <v>7180.9651935593665</v>
      </c>
      <c r="E67" s="32">
        <v>240</v>
      </c>
      <c r="F67" s="60">
        <v>13970</v>
      </c>
      <c r="G67" s="60">
        <v>8790</v>
      </c>
      <c r="H67" s="60">
        <v>7210</v>
      </c>
      <c r="I67" s="60">
        <v>9460</v>
      </c>
      <c r="J67" s="60">
        <v>2240</v>
      </c>
      <c r="K67" s="60">
        <v>12280</v>
      </c>
      <c r="L67" s="60">
        <v>7710</v>
      </c>
      <c r="M67" s="58">
        <v>22290</v>
      </c>
      <c r="N67" s="58">
        <v>24220</v>
      </c>
    </row>
    <row r="68" spans="2:14">
      <c r="B68" s="29">
        <f t="shared" si="31"/>
        <v>83790</v>
      </c>
      <c r="C68" s="29">
        <f t="shared" si="32"/>
        <v>9310</v>
      </c>
      <c r="D68" s="29">
        <f t="shared" si="33"/>
        <v>6567.5204605695744</v>
      </c>
      <c r="E68" s="32">
        <v>300</v>
      </c>
      <c r="F68" s="60">
        <v>13750</v>
      </c>
      <c r="G68" s="60">
        <v>14620</v>
      </c>
      <c r="H68" s="60">
        <v>5360</v>
      </c>
      <c r="I68" s="60">
        <v>7410</v>
      </c>
      <c r="J68" s="60">
        <v>-4130</v>
      </c>
      <c r="K68" s="60">
        <v>14510</v>
      </c>
      <c r="L68" s="60">
        <v>4870</v>
      </c>
      <c r="M68" s="58">
        <v>11250</v>
      </c>
      <c r="N68" s="58">
        <v>16150</v>
      </c>
    </row>
    <row r="69" spans="2:14">
      <c r="B69" s="29">
        <f t="shared" si="31"/>
        <v>59210</v>
      </c>
      <c r="C69" s="29">
        <f t="shared" si="32"/>
        <v>6578.8888888888887</v>
      </c>
      <c r="D69" s="29">
        <f t="shared" si="33"/>
        <v>4426.5405353516317</v>
      </c>
      <c r="E69" s="32">
        <v>450</v>
      </c>
      <c r="F69" s="60">
        <v>6020</v>
      </c>
      <c r="G69" s="60">
        <v>720</v>
      </c>
      <c r="H69" s="60">
        <v>6510</v>
      </c>
      <c r="I69" s="60">
        <v>2040</v>
      </c>
      <c r="J69" s="60">
        <v>4930</v>
      </c>
      <c r="K69" s="60">
        <v>13950</v>
      </c>
      <c r="L69" s="60">
        <v>3630</v>
      </c>
      <c r="M69" s="58">
        <v>9780</v>
      </c>
      <c r="N69" s="58">
        <v>11630</v>
      </c>
    </row>
    <row r="70" spans="2:14">
      <c r="B70" s="29">
        <f t="shared" si="31"/>
        <v>57540</v>
      </c>
      <c r="C70" s="29">
        <f t="shared" si="32"/>
        <v>6393.333333333333</v>
      </c>
      <c r="D70" s="29">
        <f t="shared" si="33"/>
        <v>8426.709025473705</v>
      </c>
      <c r="E70" s="32">
        <v>600</v>
      </c>
      <c r="F70" s="60">
        <v>3150</v>
      </c>
      <c r="G70" s="60">
        <v>-1940</v>
      </c>
      <c r="H70" s="60">
        <v>9160</v>
      </c>
      <c r="I70" s="60">
        <v>-2340</v>
      </c>
      <c r="J70" s="60">
        <v>-740</v>
      </c>
      <c r="K70" s="60">
        <v>23320</v>
      </c>
      <c r="L70" s="60">
        <v>12010</v>
      </c>
      <c r="M70" s="58">
        <v>3400</v>
      </c>
      <c r="N70" s="58">
        <v>11520</v>
      </c>
    </row>
    <row r="71" spans="2:14">
      <c r="B71" s="29">
        <f t="shared" si="31"/>
        <v>71580</v>
      </c>
      <c r="C71" s="29">
        <f t="shared" si="32"/>
        <v>7953.333333333333</v>
      </c>
      <c r="D71" s="29">
        <f t="shared" si="33"/>
        <v>10521.359227780411</v>
      </c>
      <c r="E71" s="32">
        <v>750</v>
      </c>
      <c r="F71" s="60">
        <v>3170</v>
      </c>
      <c r="G71" s="60">
        <v>-1070</v>
      </c>
      <c r="H71" s="60">
        <v>7380</v>
      </c>
      <c r="I71" s="60">
        <v>-2600</v>
      </c>
      <c r="J71" s="60">
        <v>-7180</v>
      </c>
      <c r="K71" s="60">
        <v>18860</v>
      </c>
      <c r="L71" s="60">
        <v>13420</v>
      </c>
      <c r="M71" s="58">
        <v>17450</v>
      </c>
      <c r="N71" s="58">
        <v>22150</v>
      </c>
    </row>
    <row r="72" spans="2:14" ht="15.75" thickBot="1">
      <c r="B72" s="30">
        <f>SUM(F72:T72)</f>
        <v>73360</v>
      </c>
      <c r="C72" s="30">
        <f t="shared" si="32"/>
        <v>8151.1111111111113</v>
      </c>
      <c r="D72" s="30">
        <f t="shared" si="33"/>
        <v>10700.350980744095</v>
      </c>
      <c r="E72" s="33">
        <v>900</v>
      </c>
      <c r="F72" s="64">
        <v>16880</v>
      </c>
      <c r="G72" s="64">
        <v>-3100</v>
      </c>
      <c r="H72" s="64">
        <v>4960</v>
      </c>
      <c r="I72" s="64">
        <v>-3750</v>
      </c>
      <c r="J72" s="64">
        <v>-7510</v>
      </c>
      <c r="K72" s="64">
        <v>13530</v>
      </c>
      <c r="L72" s="64">
        <v>15590</v>
      </c>
      <c r="M72" s="62">
        <v>15020</v>
      </c>
      <c r="N72" s="62">
        <v>21740</v>
      </c>
    </row>
    <row r="73" spans="2:14">
      <c r="B73" s="4">
        <f>SUM(B63:B72)</f>
        <v>1046910</v>
      </c>
      <c r="C73" s="4">
        <f>AVERAGE(B63:B72)</f>
        <v>104691</v>
      </c>
      <c r="D73" s="4">
        <f>STDEV(B63:B72)</f>
        <v>40395.630525535256</v>
      </c>
      <c r="E73" s="32"/>
      <c r="F73" s="71">
        <f t="shared" ref="F73" si="34">SUM(F63:F72)</f>
        <v>133640</v>
      </c>
      <c r="G73" s="71">
        <f t="shared" ref="G73" si="35">SUM(G63:G72)</f>
        <v>71550</v>
      </c>
      <c r="H73" s="71">
        <f t="shared" ref="H73" si="36">SUM(H63:H72)</f>
        <v>96620</v>
      </c>
      <c r="I73" s="4">
        <f t="shared" ref="I73" si="37">SUM(I63:I72)</f>
        <v>55630</v>
      </c>
      <c r="J73" s="71">
        <f t="shared" ref="J73" si="38">SUM(J63:J72)</f>
        <v>50600</v>
      </c>
      <c r="K73" s="68">
        <f t="shared" ref="K73:N73" si="39">SUM(K63:K72)</f>
        <v>142840</v>
      </c>
      <c r="L73" s="68">
        <f t="shared" si="39"/>
        <v>114080</v>
      </c>
      <c r="M73" s="71">
        <f t="shared" si="39"/>
        <v>162780</v>
      </c>
      <c r="N73" s="71">
        <f t="shared" si="39"/>
        <v>219170</v>
      </c>
    </row>
    <row r="74" spans="2:14">
      <c r="B74" s="1">
        <f>SUM(F74:N74)</f>
        <v>3381750</v>
      </c>
      <c r="C74" s="1">
        <f>AVERAGE(F74:N74)</f>
        <v>375750</v>
      </c>
      <c r="D74" s="72">
        <f>STDEV(F74:N74)</f>
        <v>154538.10638480078</v>
      </c>
      <c r="F74" s="1">
        <f>SUM(F41:F50,F52:F61,F63:F72)</f>
        <v>427690</v>
      </c>
      <c r="G74" s="1">
        <f t="shared" ref="G74:J74" si="40">SUM(G41:G50,G52:G61,G63:G72)</f>
        <v>257450</v>
      </c>
      <c r="H74" s="1">
        <f t="shared" si="40"/>
        <v>305230</v>
      </c>
      <c r="I74" s="1">
        <f t="shared" si="40"/>
        <v>193270</v>
      </c>
      <c r="J74" s="1">
        <f t="shared" si="40"/>
        <v>231730</v>
      </c>
      <c r="K74" s="1">
        <f t="shared" ref="K74:M74" si="41">SUM(K41:K50,K52:K61,K63:K72)</f>
        <v>429930</v>
      </c>
      <c r="L74" s="1">
        <f t="shared" si="41"/>
        <v>338880</v>
      </c>
      <c r="M74" s="1">
        <f t="shared" si="41"/>
        <v>522740</v>
      </c>
      <c r="N74" s="1">
        <f t="shared" ref="N74" si="42">SUM(N41:N50,N52:N61,N63:N72)</f>
        <v>674830</v>
      </c>
    </row>
    <row r="75" spans="2:14">
      <c r="B75" s="65">
        <f>SUM($B41:$B50,$B52:$B61,$B63:$B72)</f>
        <v>3381750</v>
      </c>
      <c r="C75" s="65">
        <f>AVERAGE($B41:$B50,$B52:$B61,$B63:$B72)</f>
        <v>112725</v>
      </c>
      <c r="D75" s="65">
        <f>STDEV($B41:$B50,$B52:$B61,$B63:$B72)</f>
        <v>38877.310087699901</v>
      </c>
      <c r="F75" s="1">
        <f>AVERAGE(F41:F50,F52:F61,F63:F72)</f>
        <v>14256.333333333334</v>
      </c>
      <c r="G75" s="1">
        <f t="shared" ref="G75:J75" si="43">AVERAGE(G41:G50,G52:G61,G63:G72)</f>
        <v>8581.6666666666661</v>
      </c>
      <c r="H75" s="1">
        <f t="shared" si="43"/>
        <v>10174.333333333334</v>
      </c>
      <c r="I75" s="1">
        <f t="shared" si="43"/>
        <v>6442.333333333333</v>
      </c>
      <c r="J75" s="1">
        <f t="shared" si="43"/>
        <v>7724.333333333333</v>
      </c>
      <c r="K75" s="1">
        <f t="shared" ref="K75:M75" si="44">AVERAGE(K41:K50,K52:K61,K63:K72)</f>
        <v>14331</v>
      </c>
      <c r="L75" s="1">
        <f t="shared" si="44"/>
        <v>11296</v>
      </c>
      <c r="M75" s="1">
        <f t="shared" si="44"/>
        <v>17424.666666666668</v>
      </c>
      <c r="N75" s="1">
        <f t="shared" ref="N75" si="45">AVERAGE(N41:N50,N52:N61,N63:N72)</f>
        <v>22494.333333333332</v>
      </c>
    </row>
    <row r="76" spans="2:14">
      <c r="F76" s="1">
        <f>STDEV(F41:F50,F52:F61,F63:F72,)</f>
        <v>7838.0305980465519</v>
      </c>
      <c r="G76" s="1">
        <f t="shared" ref="G76:J76" si="46">STDEV(G41:G50,G52:G61,G63:G72,)</f>
        <v>6645.6019897712513</v>
      </c>
      <c r="H76" s="1">
        <f t="shared" si="46"/>
        <v>5313.1225454336827</v>
      </c>
      <c r="I76" s="1">
        <f t="shared" si="46"/>
        <v>6653.8549421668231</v>
      </c>
      <c r="J76" s="1">
        <f t="shared" si="46"/>
        <v>9241.1113584776667</v>
      </c>
      <c r="K76" s="1">
        <f t="shared" ref="K76:M76" si="47">STDEV(K41:K50,K52:K61,K63:K72,)</f>
        <v>4593.0097190807119</v>
      </c>
      <c r="L76" s="1">
        <f t="shared" si="47"/>
        <v>4918.8651108253243</v>
      </c>
      <c r="M76" s="1">
        <f t="shared" si="47"/>
        <v>7437.433682725934</v>
      </c>
      <c r="N76" s="1">
        <f t="shared" ref="N76" si="48">STDEV(N41:N50,N52:N61,N63:N72,)</f>
        <v>8070.8994715316503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B2:D6"/>
  <sheetViews>
    <sheetView workbookViewId="0">
      <selection activeCell="D2" sqref="D2"/>
    </sheetView>
  </sheetViews>
  <sheetFormatPr defaultRowHeight="15"/>
  <sheetData>
    <row r="2" spans="2:4">
      <c r="C2">
        <f>SUM(C3:C11)</f>
        <v>14244.86</v>
      </c>
      <c r="D2">
        <f>SUM(D3:D11)</f>
        <v>207.56</v>
      </c>
    </row>
    <row r="3" spans="2:4">
      <c r="B3" t="s">
        <v>308</v>
      </c>
      <c r="C3">
        <v>7786.08</v>
      </c>
      <c r="D3">
        <v>113.45</v>
      </c>
    </row>
    <row r="4" spans="2:4">
      <c r="B4" t="s">
        <v>309</v>
      </c>
      <c r="C4">
        <v>2133.71</v>
      </c>
      <c r="D4">
        <v>31.09</v>
      </c>
    </row>
    <row r="5" spans="2:4">
      <c r="B5" t="s">
        <v>310</v>
      </c>
      <c r="C5">
        <v>2076.06</v>
      </c>
      <c r="D5">
        <v>30.25</v>
      </c>
    </row>
    <row r="6" spans="2:4">
      <c r="B6" t="s">
        <v>313</v>
      </c>
      <c r="C6">
        <v>2249.0100000000002</v>
      </c>
      <c r="D6">
        <v>32.770000000000003</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dimension ref="B2:M12"/>
  <sheetViews>
    <sheetView workbookViewId="0">
      <selection activeCell="M12" sqref="M12"/>
    </sheetView>
  </sheetViews>
  <sheetFormatPr defaultRowHeight="15"/>
  <cols>
    <col min="5" max="5" width="10.5703125" style="196" customWidth="1"/>
    <col min="6" max="6" width="10.140625" customWidth="1"/>
    <col min="7" max="7" width="9.7109375" customWidth="1"/>
    <col min="10" max="10" width="9.85546875" customWidth="1"/>
  </cols>
  <sheetData>
    <row r="2" spans="2:13">
      <c r="B2" t="s">
        <v>318</v>
      </c>
    </row>
    <row r="3" spans="2:13">
      <c r="C3">
        <v>22</v>
      </c>
      <c r="D3">
        <v>153890</v>
      </c>
      <c r="E3" s="196">
        <f>C3*D3</f>
        <v>3385580</v>
      </c>
    </row>
    <row r="4" spans="2:13">
      <c r="C4">
        <v>23</v>
      </c>
      <c r="D4">
        <v>154990</v>
      </c>
      <c r="E4" s="196">
        <f t="shared" ref="E4:E8" si="0">C4*D4</f>
        <v>3564770</v>
      </c>
    </row>
    <row r="5" spans="2:13">
      <c r="C5">
        <v>-9</v>
      </c>
      <c r="D5">
        <v>156990</v>
      </c>
      <c r="E5" s="196">
        <f t="shared" si="0"/>
        <v>-1412910</v>
      </c>
    </row>
    <row r="6" spans="2:13">
      <c r="C6">
        <v>-21</v>
      </c>
      <c r="D6">
        <v>156290</v>
      </c>
      <c r="E6" s="196">
        <f t="shared" si="0"/>
        <v>-3282090</v>
      </c>
    </row>
    <row r="7" spans="2:13">
      <c r="C7">
        <v>-14</v>
      </c>
      <c r="D7">
        <v>154290</v>
      </c>
      <c r="E7" s="196">
        <f t="shared" si="0"/>
        <v>-2160060</v>
      </c>
    </row>
    <row r="8" spans="2:13">
      <c r="C8">
        <v>18</v>
      </c>
      <c r="D8">
        <v>152590</v>
      </c>
      <c r="E8" s="196">
        <f t="shared" si="0"/>
        <v>2746620</v>
      </c>
    </row>
    <row r="10" spans="2:13">
      <c r="C10" t="s">
        <v>319</v>
      </c>
      <c r="D10">
        <v>2</v>
      </c>
      <c r="E10" s="196">
        <v>2.33</v>
      </c>
      <c r="F10">
        <v>2.66</v>
      </c>
      <c r="G10">
        <v>3</v>
      </c>
      <c r="H10">
        <v>3.33</v>
      </c>
      <c r="I10">
        <v>3.66</v>
      </c>
      <c r="J10">
        <v>4</v>
      </c>
    </row>
    <row r="11" spans="2:13" s="261" customFormat="1">
      <c r="B11" s="261" t="s">
        <v>65</v>
      </c>
      <c r="C11" s="261">
        <v>64212</v>
      </c>
      <c r="D11" s="261">
        <f>(0.01*D$10+1)*$C$11</f>
        <v>65496.24</v>
      </c>
      <c r="E11" s="261">
        <f t="shared" ref="E11:J11" si="1">(0.01*E$10+1)*$C$11</f>
        <v>65708.13960000001</v>
      </c>
      <c r="F11" s="261">
        <f t="shared" si="1"/>
        <v>65920.039199999999</v>
      </c>
      <c r="G11" s="261">
        <f t="shared" si="1"/>
        <v>66138.36</v>
      </c>
      <c r="H11" s="261">
        <f t="shared" si="1"/>
        <v>66350.259600000005</v>
      </c>
      <c r="I11" s="261">
        <f t="shared" si="1"/>
        <v>66562.159199999995</v>
      </c>
      <c r="J11" s="261">
        <f t="shared" si="1"/>
        <v>66780.479999999996</v>
      </c>
    </row>
    <row r="12" spans="2:13" s="261" customFormat="1">
      <c r="B12" s="261" t="s">
        <v>67</v>
      </c>
      <c r="C12" s="261">
        <v>153200</v>
      </c>
      <c r="D12" s="261">
        <f>(1-0.01*D$10)*$C$12</f>
        <v>150136</v>
      </c>
      <c r="E12" s="261">
        <f t="shared" ref="E12:J12" si="2">(1-0.01*E$10)*$C$12</f>
        <v>149630.44</v>
      </c>
      <c r="F12" s="261">
        <f t="shared" si="2"/>
        <v>149124.88</v>
      </c>
      <c r="G12" s="261">
        <f t="shared" si="2"/>
        <v>148604</v>
      </c>
      <c r="H12" s="261">
        <f t="shared" si="2"/>
        <v>148098.44</v>
      </c>
      <c r="I12" s="261">
        <f t="shared" si="2"/>
        <v>147592.88</v>
      </c>
      <c r="J12" s="261">
        <f t="shared" si="2"/>
        <v>147072</v>
      </c>
      <c r="M12" s="261">
        <f>(1-0.0233)*C12</f>
        <v>149630.44</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dimension ref="C2:L10"/>
  <sheetViews>
    <sheetView workbookViewId="0">
      <selection activeCell="J18" sqref="J18"/>
    </sheetView>
  </sheetViews>
  <sheetFormatPr defaultRowHeight="15"/>
  <sheetData>
    <row r="2" spans="3:12">
      <c r="D2">
        <f>SUM(D3:D4)</f>
        <v>17690</v>
      </c>
    </row>
    <row r="3" spans="3:12">
      <c r="C3" t="s">
        <v>335</v>
      </c>
      <c r="D3">
        <v>8320</v>
      </c>
      <c r="H3">
        <v>5838.79</v>
      </c>
      <c r="L3">
        <v>3102</v>
      </c>
    </row>
    <row r="4" spans="3:12">
      <c r="C4" t="s">
        <v>336</v>
      </c>
      <c r="D4">
        <v>9370</v>
      </c>
      <c r="H4">
        <v>1514.81</v>
      </c>
      <c r="L4">
        <v>3371</v>
      </c>
    </row>
    <row r="5" spans="3:12">
      <c r="H5">
        <v>110</v>
      </c>
      <c r="L5">
        <v>3213</v>
      </c>
    </row>
    <row r="6" spans="3:12">
      <c r="H6">
        <v>1346.4</v>
      </c>
      <c r="L6">
        <v>298</v>
      </c>
    </row>
    <row r="7" spans="3:12">
      <c r="H7">
        <v>110</v>
      </c>
      <c r="L7">
        <v>641</v>
      </c>
    </row>
    <row r="8" spans="3:12">
      <c r="H8">
        <v>110</v>
      </c>
      <c r="L8">
        <v>320</v>
      </c>
    </row>
    <row r="9" spans="3:12">
      <c r="H9">
        <v>170</v>
      </c>
    </row>
    <row r="10" spans="3:12">
      <c r="H10">
        <v>800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X22"/>
  <sheetViews>
    <sheetView workbookViewId="0">
      <selection activeCell="B3" sqref="B3"/>
    </sheetView>
  </sheetViews>
  <sheetFormatPr defaultRowHeight="15"/>
  <cols>
    <col min="1" max="1" width="11.28515625" style="261" customWidth="1"/>
    <col min="2" max="2" width="8" style="261" customWidth="1"/>
    <col min="3" max="3" width="7.7109375" customWidth="1"/>
    <col min="4" max="4" width="9.140625" style="334" customWidth="1"/>
    <col min="5" max="5" width="13.140625" style="337" customWidth="1"/>
    <col min="6" max="6" width="12.7109375" style="340" customWidth="1"/>
    <col min="7" max="7" width="17" customWidth="1"/>
    <col min="8" max="8" width="18" customWidth="1"/>
    <col min="9" max="9" width="16.85546875" customWidth="1"/>
    <col min="10" max="11" width="10.5703125" customWidth="1"/>
    <col min="12" max="12" width="13.85546875" customWidth="1"/>
    <col min="13" max="13" width="7.85546875" customWidth="1"/>
    <col min="14" max="14" width="9.140625" customWidth="1"/>
    <col min="15" max="15" width="10.42578125" customWidth="1"/>
    <col min="16" max="16" width="9.28515625" style="196" customWidth="1"/>
    <col min="17" max="17" width="11.42578125" style="196" customWidth="1"/>
    <col min="18" max="18" width="12.85546875" customWidth="1"/>
    <col min="19" max="19" width="18.85546875" customWidth="1"/>
    <col min="20" max="20" width="26.5703125" customWidth="1"/>
    <col min="21" max="22" width="23.85546875" customWidth="1"/>
    <col min="23" max="23" width="9" customWidth="1"/>
  </cols>
  <sheetData>
    <row r="1" spans="1:24" ht="15.75" thickBot="1"/>
    <row r="2" spans="1:24" s="302" customFormat="1" ht="15.75" thickBot="1">
      <c r="A2" s="335" t="s">
        <v>360</v>
      </c>
      <c r="B2" s="332" t="s">
        <v>396</v>
      </c>
      <c r="C2" s="321" t="s">
        <v>397</v>
      </c>
      <c r="D2" s="333" t="s">
        <v>398</v>
      </c>
      <c r="E2" s="338"/>
      <c r="F2" s="341"/>
      <c r="G2" s="319" t="s">
        <v>227</v>
      </c>
      <c r="H2" s="319" t="s">
        <v>368</v>
      </c>
      <c r="I2" s="319" t="s">
        <v>392</v>
      </c>
      <c r="J2" s="319" t="s">
        <v>371</v>
      </c>
      <c r="K2" s="319" t="s">
        <v>362</v>
      </c>
      <c r="L2" s="319" t="s">
        <v>375</v>
      </c>
      <c r="M2" s="319" t="s">
        <v>351</v>
      </c>
      <c r="N2" s="319" t="s">
        <v>345</v>
      </c>
      <c r="O2" s="319" t="s">
        <v>346</v>
      </c>
      <c r="P2" s="320" t="s">
        <v>354</v>
      </c>
      <c r="Q2" s="320" t="s">
        <v>355</v>
      </c>
      <c r="R2" s="319" t="s">
        <v>344</v>
      </c>
      <c r="S2" s="319" t="s">
        <v>347</v>
      </c>
      <c r="T2" s="319"/>
      <c r="U2" s="319" t="s">
        <v>348</v>
      </c>
      <c r="V2" s="319"/>
      <c r="W2" s="319" t="s">
        <v>352</v>
      </c>
      <c r="X2" s="321" t="s">
        <v>357</v>
      </c>
    </row>
    <row r="3" spans="1:24">
      <c r="A3" s="261">
        <f>Лист23!F29</f>
        <v>95121</v>
      </c>
      <c r="B3" s="261">
        <f>Лист23!K29</f>
        <v>108589.15</v>
      </c>
      <c r="E3" s="337" t="s">
        <v>359</v>
      </c>
      <c r="F3" s="340" t="s">
        <v>410</v>
      </c>
      <c r="G3" s="322" t="s">
        <v>353</v>
      </c>
      <c r="H3" t="s">
        <v>372</v>
      </c>
      <c r="I3" t="s">
        <v>222</v>
      </c>
      <c r="J3" t="s">
        <v>363</v>
      </c>
      <c r="K3" t="s">
        <v>350</v>
      </c>
      <c r="L3" t="s">
        <v>378</v>
      </c>
      <c r="M3">
        <v>24</v>
      </c>
      <c r="N3" s="324">
        <v>42</v>
      </c>
      <c r="O3" s="324">
        <v>57</v>
      </c>
      <c r="P3" s="323">
        <v>20.5</v>
      </c>
      <c r="Q3" s="323">
        <v>22.5</v>
      </c>
      <c r="R3" s="302" t="s">
        <v>356</v>
      </c>
      <c r="S3" t="s">
        <v>349</v>
      </c>
      <c r="U3" t="s">
        <v>349</v>
      </c>
      <c r="W3">
        <v>10</v>
      </c>
      <c r="X3" t="s">
        <v>358</v>
      </c>
    </row>
    <row r="4" spans="1:24">
      <c r="A4" s="261">
        <f>Лист23!F57</f>
        <v>36951</v>
      </c>
      <c r="B4" s="261">
        <f>Лист23!K57</f>
        <v>41693.65</v>
      </c>
      <c r="C4">
        <v>53000</v>
      </c>
      <c r="D4" s="334">
        <f>C4-B4</f>
        <v>11306.349999999999</v>
      </c>
      <c r="E4" s="337" t="s">
        <v>390</v>
      </c>
      <c r="F4" s="340" t="s">
        <v>77</v>
      </c>
      <c r="G4" t="s">
        <v>391</v>
      </c>
      <c r="H4" t="s">
        <v>361</v>
      </c>
      <c r="I4" t="s">
        <v>222</v>
      </c>
      <c r="K4" t="s">
        <v>393</v>
      </c>
      <c r="L4" t="s">
        <v>369</v>
      </c>
      <c r="M4">
        <v>24</v>
      </c>
      <c r="N4">
        <v>43</v>
      </c>
      <c r="O4">
        <v>58</v>
      </c>
      <c r="P4" s="196">
        <v>19</v>
      </c>
      <c r="Q4" s="196">
        <v>21</v>
      </c>
      <c r="R4">
        <v>400</v>
      </c>
      <c r="S4" t="s">
        <v>394</v>
      </c>
      <c r="U4" t="s">
        <v>395</v>
      </c>
    </row>
    <row r="5" spans="1:24">
      <c r="A5" s="261">
        <f>Лист23!F28</f>
        <v>57900</v>
      </c>
      <c r="B5" s="261">
        <f>Лист23!K28</f>
        <v>65785</v>
      </c>
      <c r="D5" s="334">
        <f t="shared" ref="D5:D10" si="0">C5-B5</f>
        <v>-65785</v>
      </c>
      <c r="E5" s="337" t="s">
        <v>342</v>
      </c>
      <c r="F5" s="340" t="s">
        <v>77</v>
      </c>
      <c r="G5" t="s">
        <v>370</v>
      </c>
      <c r="H5" s="326" t="s">
        <v>361</v>
      </c>
      <c r="I5" t="s">
        <v>222</v>
      </c>
      <c r="J5" t="s">
        <v>363</v>
      </c>
      <c r="K5" t="s">
        <v>367</v>
      </c>
      <c r="L5" t="s">
        <v>369</v>
      </c>
      <c r="M5">
        <v>24</v>
      </c>
      <c r="N5">
        <v>43</v>
      </c>
      <c r="O5">
        <v>58</v>
      </c>
      <c r="P5" s="325">
        <v>19</v>
      </c>
      <c r="Q5" s="325">
        <v>21</v>
      </c>
      <c r="R5" s="303" t="s">
        <v>364</v>
      </c>
      <c r="S5" t="s">
        <v>365</v>
      </c>
      <c r="U5" t="s">
        <v>366</v>
      </c>
      <c r="W5">
        <v>6</v>
      </c>
      <c r="X5" t="s">
        <v>358</v>
      </c>
    </row>
    <row r="6" spans="1:24">
      <c r="A6" s="261">
        <f>Лист23!F26</f>
        <v>116000</v>
      </c>
      <c r="B6" s="261">
        <f>Лист23!K26</f>
        <v>134000</v>
      </c>
      <c r="C6">
        <v>142000</v>
      </c>
      <c r="D6" s="334">
        <f t="shared" si="0"/>
        <v>8000</v>
      </c>
      <c r="E6" s="337" t="s">
        <v>266</v>
      </c>
      <c r="F6" s="340" t="s">
        <v>411</v>
      </c>
      <c r="G6" t="s">
        <v>374</v>
      </c>
      <c r="H6" t="s">
        <v>373</v>
      </c>
      <c r="I6" t="s">
        <v>382</v>
      </c>
      <c r="K6" t="s">
        <v>376</v>
      </c>
      <c r="L6" t="s">
        <v>369</v>
      </c>
      <c r="M6">
        <v>24</v>
      </c>
      <c r="N6">
        <v>43</v>
      </c>
      <c r="O6">
        <v>58</v>
      </c>
      <c r="P6" s="318">
        <v>17</v>
      </c>
      <c r="Q6" s="318">
        <v>19</v>
      </c>
      <c r="R6" s="303" t="s">
        <v>377</v>
      </c>
      <c r="S6" t="s">
        <v>365</v>
      </c>
      <c r="U6" t="s">
        <v>366</v>
      </c>
      <c r="W6">
        <v>5</v>
      </c>
      <c r="X6" t="s">
        <v>379</v>
      </c>
    </row>
    <row r="7" spans="1:24">
      <c r="A7" s="261">
        <f>Лист23!F30</f>
        <v>70700</v>
      </c>
      <c r="B7" s="261">
        <f>Лист23!K30</f>
        <v>80505</v>
      </c>
      <c r="C7">
        <v>91000</v>
      </c>
      <c r="D7" s="334">
        <f t="shared" si="0"/>
        <v>10495</v>
      </c>
      <c r="E7" s="337" t="s">
        <v>399</v>
      </c>
      <c r="F7" s="340" t="s">
        <v>411</v>
      </c>
      <c r="G7" s="322" t="s">
        <v>353</v>
      </c>
      <c r="H7" t="s">
        <v>373</v>
      </c>
      <c r="I7" t="s">
        <v>382</v>
      </c>
      <c r="K7" t="s">
        <v>222</v>
      </c>
      <c r="L7" t="s">
        <v>369</v>
      </c>
      <c r="M7">
        <v>24</v>
      </c>
      <c r="N7">
        <v>43</v>
      </c>
      <c r="O7">
        <v>58</v>
      </c>
      <c r="P7" s="318">
        <v>17</v>
      </c>
      <c r="Q7" s="318">
        <v>19</v>
      </c>
      <c r="R7" s="303" t="s">
        <v>377</v>
      </c>
      <c r="S7" t="s">
        <v>400</v>
      </c>
      <c r="T7" s="339" t="s">
        <v>401</v>
      </c>
      <c r="U7" t="s">
        <v>402</v>
      </c>
      <c r="W7">
        <v>5</v>
      </c>
      <c r="X7" t="s">
        <v>379</v>
      </c>
    </row>
    <row r="8" spans="1:24">
      <c r="A8" s="261">
        <v>153250</v>
      </c>
      <c r="D8" s="334">
        <f t="shared" si="0"/>
        <v>0</v>
      </c>
      <c r="E8" s="337" t="s">
        <v>380</v>
      </c>
      <c r="F8" s="340" t="s">
        <v>411</v>
      </c>
      <c r="G8" t="s">
        <v>381</v>
      </c>
      <c r="H8" t="s">
        <v>373</v>
      </c>
      <c r="I8" t="s">
        <v>383</v>
      </c>
      <c r="K8" t="s">
        <v>384</v>
      </c>
      <c r="L8" t="s">
        <v>378</v>
      </c>
      <c r="M8">
        <v>24</v>
      </c>
      <c r="N8">
        <v>43</v>
      </c>
      <c r="O8">
        <v>58</v>
      </c>
      <c r="P8" s="318">
        <v>17</v>
      </c>
      <c r="Q8" s="318">
        <v>19</v>
      </c>
      <c r="R8" s="303" t="s">
        <v>377</v>
      </c>
      <c r="S8" t="s">
        <v>365</v>
      </c>
      <c r="U8" t="s">
        <v>366</v>
      </c>
      <c r="W8">
        <v>6</v>
      </c>
      <c r="X8" t="s">
        <v>379</v>
      </c>
    </row>
    <row r="9" spans="1:24">
      <c r="A9" s="261">
        <v>141000</v>
      </c>
      <c r="D9" s="334">
        <f t="shared" si="0"/>
        <v>0</v>
      </c>
      <c r="E9" s="337" t="s">
        <v>385</v>
      </c>
      <c r="F9" s="340" t="s">
        <v>411</v>
      </c>
      <c r="G9" t="s">
        <v>381</v>
      </c>
      <c r="H9" t="s">
        <v>373</v>
      </c>
      <c r="I9" t="s">
        <v>383</v>
      </c>
      <c r="K9" t="s">
        <v>386</v>
      </c>
      <c r="L9" t="s">
        <v>378</v>
      </c>
      <c r="M9">
        <v>24</v>
      </c>
      <c r="N9">
        <v>43</v>
      </c>
      <c r="O9">
        <v>58</v>
      </c>
      <c r="P9" s="318">
        <v>17</v>
      </c>
      <c r="Q9" s="318">
        <v>19</v>
      </c>
      <c r="R9" s="303" t="s">
        <v>377</v>
      </c>
      <c r="S9" t="s">
        <v>387</v>
      </c>
      <c r="T9" t="s">
        <v>388</v>
      </c>
      <c r="U9" t="s">
        <v>387</v>
      </c>
      <c r="V9" t="s">
        <v>389</v>
      </c>
      <c r="W9">
        <v>6</v>
      </c>
      <c r="X9" t="s">
        <v>379</v>
      </c>
    </row>
    <row r="10" spans="1:24">
      <c r="A10" s="261">
        <f>Лист23!F80</f>
        <v>139057</v>
      </c>
      <c r="B10" s="261">
        <f>Лист23!K80</f>
        <v>159115.54999999999</v>
      </c>
      <c r="C10">
        <v>185000</v>
      </c>
      <c r="D10" s="334">
        <f t="shared" si="0"/>
        <v>25884.450000000012</v>
      </c>
      <c r="E10" s="337" t="str">
        <f>Лист23!C80</f>
        <v>AZ2402-PWF</v>
      </c>
      <c r="F10" s="340" t="s">
        <v>411</v>
      </c>
      <c r="G10" t="s">
        <v>405</v>
      </c>
      <c r="H10" t="s">
        <v>372</v>
      </c>
      <c r="I10" t="s">
        <v>406</v>
      </c>
      <c r="K10" t="s">
        <v>407</v>
      </c>
      <c r="L10" t="s">
        <v>408</v>
      </c>
      <c r="M10">
        <v>24</v>
      </c>
      <c r="N10">
        <v>42</v>
      </c>
      <c r="O10">
        <v>57</v>
      </c>
      <c r="P10" s="196">
        <v>20.5</v>
      </c>
      <c r="Q10" s="196">
        <v>22.5</v>
      </c>
      <c r="R10">
        <v>305</v>
      </c>
      <c r="S10" t="s">
        <v>409</v>
      </c>
      <c r="U10" t="s">
        <v>409</v>
      </c>
      <c r="W10">
        <v>10</v>
      </c>
      <c r="X10" t="s">
        <v>358</v>
      </c>
    </row>
    <row r="11" spans="1:24">
      <c r="A11" s="261">
        <f>Лист23!F79</f>
        <v>146379</v>
      </c>
      <c r="B11" s="261">
        <f>Лист23!K79</f>
        <v>167535.85</v>
      </c>
      <c r="C11">
        <v>185000</v>
      </c>
      <c r="D11" s="334">
        <f t="shared" ref="D11" si="1">C11-B11</f>
        <v>17464.149999999994</v>
      </c>
      <c r="E11" s="337" t="str">
        <f>Лист23!C79</f>
        <v>AZ2402-BKF</v>
      </c>
      <c r="F11" s="340" t="s">
        <v>411</v>
      </c>
      <c r="G11" t="s">
        <v>405</v>
      </c>
      <c r="H11" t="s">
        <v>372</v>
      </c>
      <c r="I11" t="s">
        <v>406</v>
      </c>
      <c r="K11" t="s">
        <v>407</v>
      </c>
      <c r="L11" t="s">
        <v>408</v>
      </c>
      <c r="M11">
        <v>24</v>
      </c>
      <c r="N11">
        <v>42</v>
      </c>
      <c r="O11">
        <v>57</v>
      </c>
      <c r="P11" s="196">
        <v>20.5</v>
      </c>
      <c r="Q11" s="196">
        <v>22.5</v>
      </c>
      <c r="R11">
        <v>305</v>
      </c>
      <c r="S11" t="s">
        <v>409</v>
      </c>
      <c r="U11" t="s">
        <v>409</v>
      </c>
      <c r="W11">
        <v>10</v>
      </c>
      <c r="X11" t="s">
        <v>358</v>
      </c>
    </row>
    <row r="13" spans="1:24">
      <c r="B13" s="261">
        <v>67105</v>
      </c>
      <c r="C13">
        <f>B13*2</f>
        <v>134210</v>
      </c>
    </row>
    <row r="14" spans="1:24">
      <c r="B14" s="261">
        <v>58000</v>
      </c>
      <c r="C14">
        <f>B14*2</f>
        <v>116000</v>
      </c>
    </row>
    <row r="16" spans="1:24">
      <c r="E16" s="337" t="s">
        <v>412</v>
      </c>
      <c r="F16" s="340" t="s">
        <v>256</v>
      </c>
      <c r="G16" t="s">
        <v>413</v>
      </c>
      <c r="J16">
        <f>J17+J18</f>
        <v>1066.3900000000001</v>
      </c>
      <c r="K16">
        <v>90.13</v>
      </c>
      <c r="L16">
        <f>J16*K16</f>
        <v>96113.7307</v>
      </c>
    </row>
    <row r="17" spans="4:10">
      <c r="D17" s="334" t="s">
        <v>414</v>
      </c>
      <c r="E17" s="342">
        <v>44732</v>
      </c>
      <c r="F17" s="343">
        <v>44645</v>
      </c>
      <c r="G17" s="197">
        <v>44628</v>
      </c>
      <c r="J17">
        <v>413.45</v>
      </c>
    </row>
    <row r="18" spans="4:10">
      <c r="D18" s="334" t="s">
        <v>415</v>
      </c>
      <c r="F18" s="343">
        <v>44630</v>
      </c>
      <c r="G18" s="197">
        <v>44628</v>
      </c>
      <c r="J18">
        <v>652.94000000000005</v>
      </c>
    </row>
    <row r="20" spans="4:10">
      <c r="G20">
        <v>108620</v>
      </c>
    </row>
    <row r="21" spans="4:10">
      <c r="G21" s="261">
        <f>B4+B5</f>
        <v>107478.65</v>
      </c>
    </row>
    <row r="22" spans="4:10">
      <c r="H22" s="336"/>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dimension ref="A5:AA75"/>
  <sheetViews>
    <sheetView topLeftCell="A33" workbookViewId="0">
      <selection activeCell="Y68" sqref="Y68"/>
    </sheetView>
  </sheetViews>
  <sheetFormatPr defaultRowHeight="15"/>
  <cols>
    <col min="16" max="16" width="9.140625" style="346"/>
    <col min="22" max="22" width="11" customWidth="1"/>
    <col min="23" max="23" width="10.28515625" customWidth="1"/>
    <col min="24" max="24" width="11" customWidth="1"/>
    <col min="25" max="25" width="13.28515625" customWidth="1"/>
    <col min="26" max="26" width="12.42578125" customWidth="1"/>
    <col min="27" max="27" width="14" customWidth="1"/>
  </cols>
  <sheetData>
    <row r="5" spans="2:19" ht="15.75" thickBot="1">
      <c r="B5" s="714">
        <v>900</v>
      </c>
      <c r="C5" s="714"/>
      <c r="D5" s="714"/>
      <c r="E5" s="714"/>
      <c r="F5" s="714">
        <v>650</v>
      </c>
      <c r="G5" s="714"/>
      <c r="H5" s="714"/>
      <c r="I5" s="714">
        <v>1000</v>
      </c>
      <c r="J5" s="714"/>
      <c r="K5" s="714"/>
      <c r="L5" s="714"/>
      <c r="M5" s="714">
        <v>650</v>
      </c>
      <c r="N5" s="714"/>
      <c r="O5" s="714"/>
      <c r="P5" s="714">
        <v>900</v>
      </c>
      <c r="Q5" s="714"/>
      <c r="R5" s="714"/>
      <c r="S5" s="714"/>
    </row>
    <row r="6" spans="2:19">
      <c r="B6" s="5"/>
      <c r="C6" s="6"/>
      <c r="D6" s="6"/>
      <c r="E6" s="344"/>
      <c r="F6" s="5"/>
      <c r="G6" s="6"/>
      <c r="H6" s="344"/>
      <c r="I6" s="6"/>
      <c r="J6" s="6"/>
      <c r="K6" s="6"/>
      <c r="L6" s="6"/>
      <c r="M6" s="5"/>
      <c r="N6" s="6"/>
      <c r="O6" s="344"/>
      <c r="P6" s="345"/>
      <c r="Q6" s="6"/>
      <c r="R6" s="6"/>
      <c r="S6" s="344"/>
    </row>
    <row r="7" spans="2:19">
      <c r="B7" s="9"/>
      <c r="C7" s="10"/>
      <c r="D7" s="10"/>
      <c r="E7" s="299"/>
      <c r="F7" s="9"/>
      <c r="G7" s="10"/>
      <c r="H7" s="299"/>
      <c r="I7" s="10"/>
      <c r="J7" s="10"/>
      <c r="K7" s="10"/>
      <c r="L7" s="10"/>
      <c r="M7" s="9"/>
      <c r="N7" s="10"/>
      <c r="O7" s="299"/>
      <c r="P7" s="373"/>
      <c r="Q7" s="10"/>
      <c r="R7" s="10"/>
      <c r="S7" s="299"/>
    </row>
    <row r="8" spans="2:19">
      <c r="B8" s="9"/>
      <c r="C8" s="10"/>
      <c r="D8" s="10"/>
      <c r="E8" s="299"/>
      <c r="F8" s="9"/>
      <c r="G8" s="10"/>
      <c r="H8" s="299"/>
      <c r="I8" s="10"/>
      <c r="J8" s="10"/>
      <c r="K8" s="10"/>
      <c r="L8" s="10"/>
      <c r="M8" s="9"/>
      <c r="N8" s="10"/>
      <c r="O8" s="299"/>
      <c r="P8" s="373"/>
      <c r="Q8" s="10"/>
      <c r="R8" s="10"/>
      <c r="S8" s="299"/>
    </row>
    <row r="9" spans="2:19">
      <c r="B9" s="9"/>
      <c r="C9" s="10"/>
      <c r="D9" s="10"/>
      <c r="E9" s="299"/>
      <c r="F9" s="9"/>
      <c r="G9" s="10"/>
      <c r="H9" s="299"/>
      <c r="I9" s="10"/>
      <c r="J9" s="10"/>
      <c r="K9" s="10"/>
      <c r="L9" s="10"/>
      <c r="M9" s="9"/>
      <c r="N9" s="10"/>
      <c r="O9" s="299"/>
      <c r="P9" s="373"/>
      <c r="Q9" s="10"/>
      <c r="R9" s="10"/>
      <c r="S9" s="299"/>
    </row>
    <row r="10" spans="2:19">
      <c r="B10" s="9"/>
      <c r="C10" s="10"/>
      <c r="D10" s="10"/>
      <c r="E10" s="299"/>
      <c r="F10" s="9"/>
      <c r="G10" s="10"/>
      <c r="H10" s="299"/>
      <c r="I10" s="10"/>
      <c r="J10" s="10"/>
      <c r="K10" s="10"/>
      <c r="L10" s="10"/>
      <c r="M10" s="9"/>
      <c r="N10" s="10"/>
      <c r="O10" s="299"/>
      <c r="P10" s="373"/>
      <c r="Q10" s="10"/>
      <c r="R10" s="10"/>
      <c r="S10" s="299"/>
    </row>
    <row r="11" spans="2:19">
      <c r="B11" s="9"/>
      <c r="C11" s="10"/>
      <c r="D11" s="10"/>
      <c r="E11" s="299"/>
      <c r="F11" s="9"/>
      <c r="G11" s="10"/>
      <c r="H11" s="299"/>
      <c r="I11" s="10"/>
      <c r="J11" s="10"/>
      <c r="K11" s="10"/>
      <c r="L11" s="10"/>
      <c r="M11" s="9"/>
      <c r="N11" s="10"/>
      <c r="O11" s="299"/>
      <c r="P11" s="373"/>
      <c r="Q11" s="10"/>
      <c r="R11" s="10"/>
      <c r="S11" s="299"/>
    </row>
    <row r="12" spans="2:19">
      <c r="B12" s="9"/>
      <c r="C12" s="10"/>
      <c r="D12" s="10"/>
      <c r="E12" s="299"/>
      <c r="F12" s="9"/>
      <c r="G12" s="10"/>
      <c r="H12" s="299"/>
      <c r="I12" s="10"/>
      <c r="J12" s="10"/>
      <c r="K12" s="10"/>
      <c r="L12" s="10"/>
      <c r="M12" s="9"/>
      <c r="N12" s="10"/>
      <c r="O12" s="299"/>
      <c r="P12" s="373"/>
      <c r="Q12" s="10"/>
      <c r="R12" s="10"/>
      <c r="S12" s="299"/>
    </row>
    <row r="13" spans="2:19" ht="15.75" thickBot="1">
      <c r="B13" s="9"/>
      <c r="C13" s="10"/>
      <c r="D13" s="10"/>
      <c r="E13" s="299"/>
      <c r="F13" s="9"/>
      <c r="G13" s="10"/>
      <c r="H13" s="299"/>
      <c r="I13" s="277"/>
      <c r="J13" s="277"/>
      <c r="K13" s="277"/>
      <c r="L13" s="277"/>
      <c r="M13" s="9"/>
      <c r="N13" s="10"/>
      <c r="O13" s="299"/>
      <c r="P13" s="373"/>
      <c r="Q13" s="10"/>
      <c r="R13" s="10"/>
      <c r="S13" s="299"/>
    </row>
    <row r="14" spans="2:19">
      <c r="B14" s="9"/>
      <c r="C14" s="10"/>
      <c r="D14" s="10"/>
      <c r="E14" s="299"/>
      <c r="F14" s="9"/>
      <c r="G14" s="10"/>
      <c r="H14" s="299"/>
      <c r="I14" s="10"/>
      <c r="J14" s="10"/>
      <c r="K14" s="10"/>
      <c r="L14" s="10"/>
      <c r="M14" s="9"/>
      <c r="N14" s="10"/>
      <c r="O14" s="299"/>
      <c r="P14" s="373"/>
      <c r="Q14" s="10"/>
      <c r="R14" s="10"/>
      <c r="S14" s="299"/>
    </row>
    <row r="15" spans="2:19">
      <c r="B15" s="9"/>
      <c r="C15" s="10"/>
      <c r="D15" s="10"/>
      <c r="E15" s="299"/>
      <c r="F15" s="9"/>
      <c r="G15" s="10"/>
      <c r="H15" s="299"/>
      <c r="I15" s="10"/>
      <c r="J15" s="10"/>
      <c r="K15" s="10"/>
      <c r="L15" s="10"/>
      <c r="M15" s="9"/>
      <c r="N15" s="10"/>
      <c r="O15" s="299"/>
      <c r="P15" s="373"/>
      <c r="Q15" s="10"/>
      <c r="R15" s="10"/>
      <c r="S15" s="299"/>
    </row>
    <row r="16" spans="2:19">
      <c r="B16" s="9"/>
      <c r="C16" s="10"/>
      <c r="D16" s="10"/>
      <c r="E16" s="299"/>
      <c r="F16" s="9"/>
      <c r="G16" s="10"/>
      <c r="H16" s="299"/>
      <c r="I16" s="10"/>
      <c r="J16" s="10"/>
      <c r="K16" s="10"/>
      <c r="L16" s="10"/>
      <c r="M16" s="9"/>
      <c r="N16" s="10"/>
      <c r="O16" s="299"/>
      <c r="P16" s="373"/>
      <c r="Q16" s="10"/>
      <c r="R16" s="10"/>
      <c r="S16" s="299"/>
    </row>
    <row r="17" spans="1:20">
      <c r="B17" s="9"/>
      <c r="C17" s="10"/>
      <c r="D17" s="10"/>
      <c r="E17" s="299"/>
      <c r="F17" s="9"/>
      <c r="G17" s="10"/>
      <c r="H17" s="299"/>
      <c r="I17" s="10"/>
      <c r="J17" s="10"/>
      <c r="K17" s="10"/>
      <c r="L17" s="10"/>
      <c r="M17" s="9"/>
      <c r="N17" s="10"/>
      <c r="O17" s="299"/>
      <c r="P17" s="373"/>
      <c r="Q17" s="10"/>
      <c r="R17" s="10"/>
      <c r="S17" s="299"/>
    </row>
    <row r="18" spans="1:20" ht="15.75" thickBot="1">
      <c r="B18" s="9"/>
      <c r="C18" s="10"/>
      <c r="D18" s="10"/>
      <c r="E18" s="299"/>
      <c r="F18" s="9"/>
      <c r="G18" s="10"/>
      <c r="H18" s="299"/>
      <c r="I18" s="10"/>
      <c r="J18" s="10"/>
      <c r="K18" s="10"/>
      <c r="L18" s="10"/>
      <c r="M18" s="9"/>
      <c r="N18" s="10"/>
      <c r="O18" s="299"/>
      <c r="P18" s="373"/>
      <c r="Q18" s="10"/>
      <c r="R18" s="10"/>
      <c r="S18" s="299"/>
    </row>
    <row r="19" spans="1:20">
      <c r="B19" s="9"/>
      <c r="C19" s="10"/>
      <c r="D19" s="10"/>
      <c r="E19" s="299"/>
      <c r="F19" s="709" t="s">
        <v>419</v>
      </c>
      <c r="G19" s="710"/>
      <c r="H19" s="711"/>
      <c r="I19" s="363"/>
      <c r="J19" s="6"/>
      <c r="K19" s="6"/>
      <c r="L19" s="344"/>
      <c r="M19" s="9"/>
      <c r="N19" s="10"/>
      <c r="O19" s="299"/>
      <c r="P19" s="373"/>
      <c r="Q19" s="10"/>
      <c r="R19" s="10"/>
      <c r="S19" s="299"/>
    </row>
    <row r="20" spans="1:20" ht="15" customHeight="1" thickBot="1">
      <c r="B20" s="9"/>
      <c r="C20" s="10"/>
      <c r="D20" s="10"/>
      <c r="E20" s="299"/>
      <c r="F20" s="709"/>
      <c r="G20" s="710"/>
      <c r="H20" s="711"/>
      <c r="I20" s="353" t="s">
        <v>417</v>
      </c>
      <c r="J20" s="354"/>
      <c r="K20" s="354"/>
      <c r="L20" s="355"/>
      <c r="M20" s="9"/>
      <c r="N20" s="10"/>
      <c r="O20" s="299"/>
      <c r="P20" s="373"/>
      <c r="Q20" s="10"/>
      <c r="R20" s="10"/>
      <c r="S20" s="299"/>
    </row>
    <row r="21" spans="1:20" ht="15.75" thickBot="1">
      <c r="B21" s="9"/>
      <c r="C21" s="10"/>
      <c r="D21" s="10"/>
      <c r="E21" s="299"/>
      <c r="F21" s="712"/>
      <c r="G21" s="713"/>
      <c r="H21" s="713"/>
      <c r="I21" s="350"/>
      <c r="J21" s="351"/>
      <c r="K21" s="351"/>
      <c r="L21" s="352"/>
      <c r="M21" s="277"/>
      <c r="N21" s="277"/>
      <c r="O21" s="300"/>
      <c r="P21" s="373"/>
      <c r="Q21" s="10"/>
      <c r="R21" s="10"/>
      <c r="S21" s="299"/>
    </row>
    <row r="22" spans="1:20" ht="15" customHeight="1">
      <c r="B22" s="9"/>
      <c r="C22" s="10"/>
      <c r="D22" s="10"/>
      <c r="E22" s="299"/>
      <c r="F22" s="707" t="s">
        <v>416</v>
      </c>
      <c r="G22" s="703"/>
      <c r="H22" s="703"/>
      <c r="I22" s="347" t="s">
        <v>418</v>
      </c>
      <c r="J22" s="348"/>
      <c r="K22" s="348"/>
      <c r="L22" s="349"/>
      <c r="M22" s="703" t="s">
        <v>416</v>
      </c>
      <c r="N22" s="703"/>
      <c r="O22" s="704"/>
      <c r="P22" s="374"/>
      <c r="Q22" s="10"/>
      <c r="R22" s="10"/>
      <c r="S22" s="299"/>
    </row>
    <row r="23" spans="1:20" ht="15.75" thickBot="1">
      <c r="B23" s="9"/>
      <c r="C23" s="10"/>
      <c r="D23" s="10"/>
      <c r="E23" s="299"/>
      <c r="F23" s="708"/>
      <c r="G23" s="705"/>
      <c r="H23" s="705"/>
      <c r="I23" s="347"/>
      <c r="J23" s="348"/>
      <c r="K23" s="348"/>
      <c r="L23" s="349"/>
      <c r="M23" s="705"/>
      <c r="N23" s="705"/>
      <c r="O23" s="706"/>
      <c r="P23" s="374"/>
      <c r="Q23" s="10"/>
      <c r="R23" s="10"/>
      <c r="S23" s="299"/>
    </row>
    <row r="24" spans="1:20">
      <c r="B24" s="9"/>
      <c r="C24" s="10"/>
      <c r="D24" s="10"/>
      <c r="E24" s="299"/>
      <c r="F24" s="5"/>
      <c r="G24" s="6"/>
      <c r="H24" s="6"/>
      <c r="I24" s="347"/>
      <c r="J24" s="348"/>
      <c r="K24" s="348"/>
      <c r="L24" s="349"/>
      <c r="M24" s="6"/>
      <c r="N24" s="6"/>
      <c r="O24" s="344"/>
      <c r="P24" s="374"/>
      <c r="Q24" s="10"/>
      <c r="R24" s="10"/>
      <c r="S24" s="299"/>
    </row>
    <row r="25" spans="1:20">
      <c r="B25" s="9"/>
      <c r="C25" s="10"/>
      <c r="D25" s="10"/>
      <c r="E25" s="299"/>
      <c r="F25" s="9"/>
      <c r="G25" s="10"/>
      <c r="H25" s="10"/>
      <c r="I25" s="347"/>
      <c r="J25" s="348"/>
      <c r="K25" s="348"/>
      <c r="L25" s="349"/>
      <c r="M25" s="10"/>
      <c r="N25" s="10"/>
      <c r="O25" s="299"/>
      <c r="P25" s="374"/>
      <c r="Q25" s="10"/>
      <c r="R25" s="10"/>
      <c r="S25" s="299"/>
    </row>
    <row r="26" spans="1:20">
      <c r="B26" s="9"/>
      <c r="C26" s="10"/>
      <c r="D26" s="10"/>
      <c r="E26" s="299"/>
      <c r="F26" s="9"/>
      <c r="G26" s="10"/>
      <c r="H26" s="10"/>
      <c r="I26" s="356"/>
      <c r="J26" s="357"/>
      <c r="K26" s="357"/>
      <c r="L26" s="358"/>
      <c r="M26" s="10"/>
      <c r="N26" s="10"/>
      <c r="O26" s="299"/>
      <c r="P26" s="374"/>
      <c r="Q26" s="10"/>
      <c r="R26" s="10"/>
      <c r="S26" s="299"/>
    </row>
    <row r="27" spans="1:20" ht="15.75" thickBot="1">
      <c r="B27" s="9"/>
      <c r="C27" s="10"/>
      <c r="D27" s="10"/>
      <c r="E27" s="299"/>
      <c r="F27" s="275"/>
      <c r="G27" s="277"/>
      <c r="H27" s="277"/>
      <c r="I27" s="359"/>
      <c r="J27" s="360"/>
      <c r="K27" s="360"/>
      <c r="L27" s="361"/>
      <c r="M27" s="277"/>
      <c r="N27" s="277"/>
      <c r="O27" s="300"/>
      <c r="P27" s="374"/>
      <c r="Q27" s="10"/>
      <c r="R27" s="10"/>
      <c r="S27" s="299"/>
    </row>
    <row r="28" spans="1:20">
      <c r="B28" s="9"/>
      <c r="C28" s="10"/>
      <c r="D28" s="10"/>
      <c r="E28" s="299"/>
      <c r="F28" s="9"/>
      <c r="G28" s="10"/>
      <c r="H28" s="10"/>
      <c r="I28" s="362"/>
      <c r="J28" s="299"/>
      <c r="K28" s="9"/>
      <c r="L28" s="299"/>
      <c r="M28" s="10"/>
      <c r="N28" s="10"/>
      <c r="O28" s="299"/>
      <c r="P28" s="374"/>
      <c r="Q28" s="10"/>
      <c r="R28" s="10"/>
      <c r="S28" s="299"/>
    </row>
    <row r="29" spans="1:20" ht="15.75" thickBot="1">
      <c r="B29" s="9"/>
      <c r="C29" s="10"/>
      <c r="D29" s="10"/>
      <c r="E29" s="299"/>
      <c r="F29" s="9"/>
      <c r="G29" s="10"/>
      <c r="H29" s="10"/>
      <c r="I29" s="275"/>
      <c r="J29" s="300"/>
      <c r="K29" s="275"/>
      <c r="L29" s="300"/>
      <c r="M29" s="10"/>
      <c r="N29" s="10"/>
      <c r="O29" s="299"/>
      <c r="P29" s="374"/>
      <c r="Q29" s="10"/>
      <c r="R29" s="10"/>
      <c r="S29" s="299"/>
    </row>
    <row r="30" spans="1:20">
      <c r="B30" s="9"/>
      <c r="C30" s="10"/>
      <c r="D30" s="10"/>
      <c r="E30" s="299"/>
      <c r="F30" s="9"/>
      <c r="G30" s="10"/>
      <c r="H30" s="10"/>
      <c r="I30" s="9"/>
      <c r="J30" s="299"/>
      <c r="K30" s="9"/>
      <c r="L30" s="299"/>
      <c r="M30" s="10"/>
      <c r="N30" s="10"/>
      <c r="O30" s="299"/>
      <c r="P30" s="374"/>
      <c r="Q30" s="10"/>
      <c r="R30" s="10"/>
      <c r="S30" s="299"/>
    </row>
    <row r="31" spans="1:20" ht="15.75" thickBot="1">
      <c r="B31" s="275"/>
      <c r="C31" s="277"/>
      <c r="D31" s="277"/>
      <c r="E31" s="300"/>
      <c r="F31" s="275"/>
      <c r="G31" s="277"/>
      <c r="H31" s="277"/>
      <c r="I31" s="275"/>
      <c r="J31" s="300"/>
      <c r="K31" s="275"/>
      <c r="L31" s="300"/>
      <c r="M31" s="277"/>
      <c r="N31" s="277"/>
      <c r="O31" s="300"/>
      <c r="P31" s="375"/>
      <c r="Q31" s="277"/>
      <c r="R31" s="277"/>
      <c r="S31" s="300"/>
    </row>
    <row r="32" spans="1:20">
      <c r="A32" s="10"/>
      <c r="B32" s="10"/>
      <c r="C32" s="10"/>
      <c r="D32" s="10"/>
      <c r="E32" s="10"/>
      <c r="F32" s="10"/>
      <c r="G32" s="10"/>
      <c r="H32" s="10"/>
      <c r="I32" s="10"/>
      <c r="J32" s="10"/>
      <c r="K32" s="10"/>
      <c r="L32" s="10"/>
      <c r="M32" s="10"/>
      <c r="N32" s="10"/>
      <c r="O32" s="10"/>
      <c r="P32" s="373"/>
      <c r="Q32" s="10"/>
      <c r="R32" s="10"/>
      <c r="S32" s="10"/>
      <c r="T32" s="10"/>
    </row>
    <row r="34" spans="1:27">
      <c r="V34">
        <v>50</v>
      </c>
      <c r="W34">
        <v>41.6</v>
      </c>
      <c r="X34">
        <f>V34-W34</f>
        <v>8.3999999999999986</v>
      </c>
    </row>
    <row r="38" spans="1:27">
      <c r="C38" t="s">
        <v>21</v>
      </c>
      <c r="H38" t="s">
        <v>21</v>
      </c>
      <c r="K38" s="336"/>
      <c r="L38" s="702" t="s">
        <v>420</v>
      </c>
      <c r="M38" s="702"/>
      <c r="N38" s="702"/>
      <c r="O38" s="702"/>
      <c r="P38" s="376"/>
      <c r="Q38" s="702" t="s">
        <v>421</v>
      </c>
      <c r="R38" s="702"/>
      <c r="S38" s="702"/>
      <c r="T38" s="702"/>
      <c r="V38" s="346" t="s">
        <v>425</v>
      </c>
      <c r="W38" s="346" t="s">
        <v>424</v>
      </c>
      <c r="X38" s="346" t="s">
        <v>426</v>
      </c>
      <c r="Y38" s="346" t="s">
        <v>427</v>
      </c>
      <c r="Z38" s="346" t="s">
        <v>429</v>
      </c>
      <c r="AA38" s="346" t="s">
        <v>428</v>
      </c>
    </row>
    <row r="39" spans="1:27" ht="15.75" thickBot="1">
      <c r="V39" s="216">
        <v>2250</v>
      </c>
      <c r="W39" s="216">
        <v>84</v>
      </c>
      <c r="X39" s="216">
        <v>430</v>
      </c>
      <c r="Y39" s="216">
        <v>430</v>
      </c>
      <c r="Z39" s="216">
        <f t="shared" ref="Z39:Z51" si="0">W39+X39</f>
        <v>514</v>
      </c>
      <c r="AA39" s="216">
        <f t="shared" ref="AA39:AA51" si="1">V39-W39-X39-Y39</f>
        <v>1306</v>
      </c>
    </row>
    <row r="40" spans="1:27">
      <c r="A40">
        <v>2200</v>
      </c>
      <c r="B40" s="364"/>
      <c r="C40" s="365"/>
      <c r="D40" s="365"/>
      <c r="E40" s="366"/>
      <c r="G40" s="364"/>
      <c r="H40" s="365"/>
      <c r="I40" s="365"/>
      <c r="J40" s="366"/>
      <c r="L40" s="364"/>
      <c r="M40" s="365"/>
      <c r="N40" s="365"/>
      <c r="O40" s="366"/>
      <c r="P40" s="376">
        <v>2250</v>
      </c>
      <c r="Q40" s="364"/>
      <c r="R40" s="365"/>
      <c r="S40" s="365"/>
      <c r="T40" s="366"/>
      <c r="V40" s="216">
        <v>2250</v>
      </c>
      <c r="W40" s="216">
        <v>84</v>
      </c>
      <c r="X40" s="216">
        <v>460</v>
      </c>
      <c r="Y40" s="216">
        <v>420</v>
      </c>
      <c r="Z40" s="216">
        <f t="shared" si="0"/>
        <v>544</v>
      </c>
      <c r="AA40" s="216">
        <f t="shared" si="1"/>
        <v>1286</v>
      </c>
    </row>
    <row r="41" spans="1:27">
      <c r="B41" s="367"/>
      <c r="C41" s="368"/>
      <c r="D41" s="368"/>
      <c r="E41" s="369"/>
      <c r="G41" s="367"/>
      <c r="H41" s="368"/>
      <c r="I41" s="368"/>
      <c r="J41" s="369"/>
      <c r="L41" s="367"/>
      <c r="M41" s="368"/>
      <c r="N41" s="368"/>
      <c r="O41" s="369"/>
      <c r="Q41" s="367"/>
      <c r="R41" s="368"/>
      <c r="S41" s="368"/>
      <c r="T41" s="369"/>
      <c r="V41" s="216">
        <v>2250</v>
      </c>
      <c r="W41" s="216">
        <v>84</v>
      </c>
      <c r="X41" s="216">
        <v>430</v>
      </c>
      <c r="Y41" s="216">
        <v>436</v>
      </c>
      <c r="Z41" s="216">
        <f t="shared" si="0"/>
        <v>514</v>
      </c>
      <c r="AA41" s="216">
        <f t="shared" si="1"/>
        <v>1300</v>
      </c>
    </row>
    <row r="42" spans="1:27">
      <c r="B42" s="367"/>
      <c r="C42" s="368"/>
      <c r="D42" s="368"/>
      <c r="E42" s="369"/>
      <c r="G42" s="367"/>
      <c r="H42" s="368"/>
      <c r="I42" s="368"/>
      <c r="J42" s="369"/>
      <c r="L42" s="367"/>
      <c r="M42" s="368"/>
      <c r="N42" s="368"/>
      <c r="O42" s="369"/>
      <c r="Q42" s="367"/>
      <c r="R42" s="368"/>
      <c r="S42" s="368"/>
      <c r="T42" s="369"/>
      <c r="V42" s="216">
        <v>2250</v>
      </c>
      <c r="W42" s="216">
        <v>84</v>
      </c>
      <c r="X42" s="216">
        <v>460</v>
      </c>
      <c r="Y42" s="216">
        <v>460</v>
      </c>
      <c r="Z42" s="216">
        <f t="shared" si="0"/>
        <v>544</v>
      </c>
      <c r="AA42" s="216">
        <f t="shared" si="1"/>
        <v>1246</v>
      </c>
    </row>
    <row r="43" spans="1:27" ht="15.75" thickBot="1">
      <c r="B43" s="367"/>
      <c r="C43" s="368"/>
      <c r="D43" s="368"/>
      <c r="E43" s="369"/>
      <c r="G43" s="370">
        <v>40</v>
      </c>
      <c r="H43" s="371"/>
      <c r="I43" s="371"/>
      <c r="J43" s="372"/>
      <c r="L43" s="367"/>
      <c r="M43" s="368"/>
      <c r="N43" s="368"/>
      <c r="O43" s="369"/>
      <c r="Q43" s="370">
        <v>40</v>
      </c>
      <c r="R43" s="371"/>
      <c r="S43" s="371"/>
      <c r="T43" s="372"/>
      <c r="V43" s="315">
        <v>2250</v>
      </c>
      <c r="W43" s="315">
        <v>84</v>
      </c>
      <c r="X43" s="315">
        <v>430</v>
      </c>
      <c r="Y43" s="315">
        <v>430</v>
      </c>
      <c r="Z43" s="315">
        <f t="shared" si="0"/>
        <v>514</v>
      </c>
      <c r="AA43" s="315">
        <f t="shared" si="1"/>
        <v>1306</v>
      </c>
    </row>
    <row r="44" spans="1:27" ht="15.75" thickBot="1">
      <c r="B44" s="370">
        <v>50</v>
      </c>
      <c r="C44" s="371"/>
      <c r="D44" s="371"/>
      <c r="E44" s="372"/>
      <c r="G44" s="9"/>
      <c r="H44" s="10"/>
      <c r="I44" s="10"/>
      <c r="J44" s="299"/>
      <c r="L44" s="370">
        <v>50</v>
      </c>
      <c r="M44" s="371"/>
      <c r="N44" s="371"/>
      <c r="O44" s="372"/>
      <c r="Q44" s="5"/>
      <c r="R44" s="344"/>
      <c r="S44" s="10"/>
      <c r="T44" s="299"/>
      <c r="V44" s="315">
        <v>2250</v>
      </c>
      <c r="W44" s="315">
        <v>84</v>
      </c>
      <c r="X44" s="315">
        <v>420</v>
      </c>
      <c r="Y44" s="315">
        <v>460</v>
      </c>
      <c r="Z44" s="315">
        <f t="shared" si="0"/>
        <v>504</v>
      </c>
      <c r="AA44" s="315">
        <f t="shared" si="1"/>
        <v>1286</v>
      </c>
    </row>
    <row r="45" spans="1:27">
      <c r="B45" s="9"/>
      <c r="C45" s="10"/>
      <c r="D45" s="10"/>
      <c r="E45" s="299"/>
      <c r="G45" s="9"/>
      <c r="H45" s="10"/>
      <c r="I45" s="10"/>
      <c r="J45" s="299"/>
      <c r="L45" s="5"/>
      <c r="M45" s="344"/>
      <c r="N45" s="5"/>
      <c r="O45" s="344"/>
      <c r="Q45" s="9"/>
      <c r="R45" s="299"/>
      <c r="S45" s="10"/>
      <c r="T45" s="299"/>
      <c r="V45" s="315">
        <v>2250</v>
      </c>
      <c r="W45" s="315">
        <v>84</v>
      </c>
      <c r="X45" s="315">
        <v>430</v>
      </c>
      <c r="Y45" s="315">
        <v>450</v>
      </c>
      <c r="Z45" s="315">
        <f t="shared" si="0"/>
        <v>514</v>
      </c>
      <c r="AA45" s="315">
        <f t="shared" si="1"/>
        <v>1286</v>
      </c>
    </row>
    <row r="46" spans="1:27">
      <c r="B46" s="9"/>
      <c r="C46" s="10"/>
      <c r="D46" s="10"/>
      <c r="E46" s="299"/>
      <c r="G46" s="9"/>
      <c r="H46" s="10"/>
      <c r="I46" s="10"/>
      <c r="J46" s="299"/>
      <c r="L46" s="9"/>
      <c r="M46" s="299"/>
      <c r="N46" s="9"/>
      <c r="O46" s="299"/>
      <c r="Q46" s="9"/>
      <c r="R46" s="299"/>
      <c r="S46" s="10"/>
      <c r="T46" s="299"/>
      <c r="V46" s="303">
        <v>2250</v>
      </c>
      <c r="W46" s="303">
        <v>84</v>
      </c>
      <c r="X46" s="303">
        <v>420</v>
      </c>
      <c r="Y46" s="303">
        <v>436</v>
      </c>
      <c r="Z46" s="303">
        <f t="shared" si="0"/>
        <v>504</v>
      </c>
      <c r="AA46" s="303">
        <f t="shared" si="1"/>
        <v>1310</v>
      </c>
    </row>
    <row r="47" spans="1:27">
      <c r="B47" s="9"/>
      <c r="C47" s="10"/>
      <c r="D47" s="10"/>
      <c r="E47" s="299"/>
      <c r="G47" s="9"/>
      <c r="H47" s="10"/>
      <c r="I47" s="10"/>
      <c r="J47" s="299"/>
      <c r="L47" s="9"/>
      <c r="M47" s="299"/>
      <c r="N47" s="9"/>
      <c r="O47" s="299"/>
      <c r="Q47" s="9"/>
      <c r="R47" s="299"/>
      <c r="S47" s="10"/>
      <c r="T47" s="299"/>
      <c r="V47" s="303">
        <v>2250</v>
      </c>
      <c r="W47" s="303">
        <v>84</v>
      </c>
      <c r="X47" s="303">
        <v>426</v>
      </c>
      <c r="Y47" s="303">
        <v>430</v>
      </c>
      <c r="Z47" s="303">
        <f t="shared" si="0"/>
        <v>510</v>
      </c>
      <c r="AA47" s="303">
        <f t="shared" si="1"/>
        <v>1310</v>
      </c>
    </row>
    <row r="48" spans="1:27">
      <c r="B48" s="9"/>
      <c r="C48" s="10"/>
      <c r="D48" s="10"/>
      <c r="E48" s="299"/>
      <c r="G48" s="9"/>
      <c r="H48" s="10"/>
      <c r="I48" s="10"/>
      <c r="J48" s="299"/>
      <c r="L48" s="9"/>
      <c r="M48" s="299"/>
      <c r="N48" s="9"/>
      <c r="O48" s="299"/>
      <c r="Q48" s="9"/>
      <c r="R48" s="299"/>
      <c r="S48" s="10"/>
      <c r="T48" s="299"/>
      <c r="V48" s="303">
        <v>2250</v>
      </c>
      <c r="W48" s="303">
        <v>84</v>
      </c>
      <c r="X48" s="303">
        <v>426</v>
      </c>
      <c r="Y48" s="303">
        <v>440</v>
      </c>
      <c r="Z48" s="303">
        <f t="shared" si="0"/>
        <v>510</v>
      </c>
      <c r="AA48" s="303">
        <f t="shared" si="1"/>
        <v>1300</v>
      </c>
    </row>
    <row r="49" spans="2:27" ht="15.75" thickBot="1">
      <c r="B49" s="9"/>
      <c r="C49" s="10"/>
      <c r="D49" s="10"/>
      <c r="E49" s="299"/>
      <c r="G49" s="9"/>
      <c r="H49" s="10"/>
      <c r="I49" s="10"/>
      <c r="J49" s="299"/>
      <c r="L49" s="9"/>
      <c r="M49" s="299"/>
      <c r="N49" s="9"/>
      <c r="O49" s="299"/>
      <c r="Q49" s="9"/>
      <c r="R49" s="299"/>
      <c r="S49" s="10"/>
      <c r="T49" s="299"/>
      <c r="V49" s="303">
        <v>2250</v>
      </c>
      <c r="W49" s="303">
        <v>84</v>
      </c>
      <c r="X49" s="303">
        <v>436</v>
      </c>
      <c r="Y49" s="303">
        <v>440</v>
      </c>
      <c r="Z49" s="303">
        <f t="shared" si="0"/>
        <v>520</v>
      </c>
      <c r="AA49" s="303">
        <f t="shared" si="1"/>
        <v>1290</v>
      </c>
    </row>
    <row r="50" spans="2:27" ht="15.75" thickBot="1">
      <c r="B50" s="9"/>
      <c r="C50" s="10"/>
      <c r="D50" s="10"/>
      <c r="E50" s="299"/>
      <c r="G50" s="9"/>
      <c r="H50" s="10"/>
      <c r="I50" s="10"/>
      <c r="J50" s="299"/>
      <c r="L50" s="9"/>
      <c r="M50" s="299"/>
      <c r="N50" s="9"/>
      <c r="O50" s="299"/>
      <c r="Q50" s="9"/>
      <c r="R50" s="299"/>
      <c r="S50" s="10"/>
      <c r="T50" s="299"/>
      <c r="V50" s="303">
        <v>2250</v>
      </c>
      <c r="W50" s="303">
        <v>84</v>
      </c>
      <c r="X50" s="377">
        <v>436</v>
      </c>
      <c r="Y50" s="303">
        <v>430</v>
      </c>
      <c r="Z50" s="303">
        <f t="shared" si="0"/>
        <v>520</v>
      </c>
      <c r="AA50" s="303">
        <f t="shared" si="1"/>
        <v>1300</v>
      </c>
    </row>
    <row r="51" spans="2:27" ht="15.75" thickBot="1">
      <c r="B51" s="9"/>
      <c r="C51" s="10"/>
      <c r="D51" s="10"/>
      <c r="E51" s="299"/>
      <c r="G51" s="9"/>
      <c r="H51" s="10"/>
      <c r="I51" s="10"/>
      <c r="J51" s="299"/>
      <c r="L51" s="9"/>
      <c r="M51" s="299"/>
      <c r="N51" s="9"/>
      <c r="O51" s="299"/>
      <c r="Q51" s="9"/>
      <c r="R51" s="299"/>
      <c r="S51" s="10"/>
      <c r="T51" s="299"/>
      <c r="V51" s="303">
        <v>2250</v>
      </c>
      <c r="W51" s="303">
        <v>84</v>
      </c>
      <c r="X51" s="377">
        <v>436</v>
      </c>
      <c r="Y51" s="303">
        <v>436</v>
      </c>
      <c r="Z51" s="303">
        <f t="shared" si="0"/>
        <v>520</v>
      </c>
      <c r="AA51" s="303">
        <f t="shared" si="1"/>
        <v>1294</v>
      </c>
    </row>
    <row r="52" spans="2:27">
      <c r="B52" s="9"/>
      <c r="C52" s="10"/>
      <c r="D52" s="10"/>
      <c r="E52" s="299"/>
      <c r="G52" s="9"/>
      <c r="H52" s="10"/>
      <c r="I52" s="10"/>
      <c r="J52" s="299"/>
      <c r="L52" s="9"/>
      <c r="M52" s="299"/>
      <c r="N52" s="9"/>
      <c r="O52" s="299"/>
      <c r="Q52" s="9"/>
      <c r="R52" s="299"/>
      <c r="S52" s="10"/>
      <c r="T52" s="299"/>
    </row>
    <row r="53" spans="2:27">
      <c r="B53" s="9"/>
      <c r="C53" s="10"/>
      <c r="D53" s="10"/>
      <c r="E53" s="299"/>
      <c r="G53" s="9"/>
      <c r="H53" s="10"/>
      <c r="I53" s="10"/>
      <c r="J53" s="299"/>
      <c r="L53" s="9"/>
      <c r="M53" s="299"/>
      <c r="N53" s="9"/>
      <c r="O53" s="299"/>
      <c r="Q53" s="9"/>
      <c r="R53" s="299"/>
      <c r="S53" s="10"/>
      <c r="T53" s="299"/>
      <c r="V53" s="216">
        <v>2250</v>
      </c>
      <c r="W53" s="216">
        <v>84</v>
      </c>
      <c r="X53" s="216">
        <v>430</v>
      </c>
      <c r="Y53" s="216">
        <v>436</v>
      </c>
      <c r="Z53" s="216">
        <f t="shared" ref="Z53:Z62" si="2">W53+X53</f>
        <v>514</v>
      </c>
      <c r="AA53" s="216">
        <f t="shared" ref="AA53:AA62" si="3">V53-W53-X53-Y53</f>
        <v>1300</v>
      </c>
    </row>
    <row r="54" spans="2:27">
      <c r="B54" s="9"/>
      <c r="C54" s="10"/>
      <c r="D54" s="10"/>
      <c r="E54" s="299"/>
      <c r="G54" s="9"/>
      <c r="H54" s="10"/>
      <c r="I54" s="10"/>
      <c r="J54" s="299"/>
      <c r="L54" s="9"/>
      <c r="M54" s="299"/>
      <c r="N54" s="9"/>
      <c r="O54" s="299"/>
      <c r="Q54" s="9"/>
      <c r="R54" s="299"/>
      <c r="S54" s="10"/>
      <c r="T54" s="299"/>
      <c r="V54" s="216">
        <v>2250</v>
      </c>
      <c r="W54" s="216">
        <v>84</v>
      </c>
      <c r="X54" s="216">
        <v>430</v>
      </c>
      <c r="Y54" s="216">
        <v>426</v>
      </c>
      <c r="Z54" s="216">
        <f t="shared" si="2"/>
        <v>514</v>
      </c>
      <c r="AA54" s="216">
        <f t="shared" si="3"/>
        <v>1310</v>
      </c>
    </row>
    <row r="55" spans="2:27">
      <c r="B55" s="9"/>
      <c r="C55" s="10"/>
      <c r="D55" s="10"/>
      <c r="E55" s="299"/>
      <c r="G55" s="9"/>
      <c r="H55" s="10"/>
      <c r="I55" s="10"/>
      <c r="J55" s="299"/>
      <c r="L55" s="9"/>
      <c r="M55" s="299"/>
      <c r="N55" s="9"/>
      <c r="O55" s="299"/>
      <c r="Q55" s="9"/>
      <c r="R55" s="299"/>
      <c r="S55" s="10"/>
      <c r="T55" s="299"/>
      <c r="V55" s="216">
        <v>2250</v>
      </c>
      <c r="W55" s="216">
        <v>84</v>
      </c>
      <c r="X55" s="216">
        <v>436</v>
      </c>
      <c r="Y55" s="216">
        <v>430</v>
      </c>
      <c r="Z55" s="216">
        <f t="shared" si="2"/>
        <v>520</v>
      </c>
      <c r="AA55" s="216">
        <f t="shared" si="3"/>
        <v>1300</v>
      </c>
    </row>
    <row r="56" spans="2:27">
      <c r="B56" s="9"/>
      <c r="C56" s="10"/>
      <c r="D56" s="10"/>
      <c r="E56" s="299"/>
      <c r="G56" s="9"/>
      <c r="H56" s="10"/>
      <c r="I56" s="10"/>
      <c r="J56" s="299"/>
      <c r="L56" s="9"/>
      <c r="M56" s="299"/>
      <c r="N56" s="9"/>
      <c r="O56" s="299"/>
      <c r="Q56" s="9"/>
      <c r="R56" s="299"/>
      <c r="S56" s="10"/>
      <c r="T56" s="299"/>
      <c r="V56" s="216">
        <v>2250</v>
      </c>
      <c r="W56" s="216">
        <v>84</v>
      </c>
      <c r="X56" s="216">
        <v>436</v>
      </c>
      <c r="Y56" s="216">
        <v>420</v>
      </c>
      <c r="Z56" s="216">
        <f t="shared" si="2"/>
        <v>520</v>
      </c>
      <c r="AA56" s="216">
        <f t="shared" si="3"/>
        <v>1310</v>
      </c>
    </row>
    <row r="57" spans="2:27" ht="15.75" thickBot="1">
      <c r="B57" s="9"/>
      <c r="C57" s="10"/>
      <c r="D57" s="10"/>
      <c r="E57" s="299"/>
      <c r="G57" s="9"/>
      <c r="H57" s="10"/>
      <c r="I57" s="10"/>
      <c r="J57" s="299"/>
      <c r="L57" s="9"/>
      <c r="M57" s="299"/>
      <c r="N57" s="9"/>
      <c r="O57" s="299"/>
      <c r="Q57" s="275"/>
      <c r="R57" s="300"/>
      <c r="S57" s="10"/>
      <c r="T57" s="299"/>
      <c r="V57" s="216">
        <v>2250</v>
      </c>
      <c r="W57" s="216">
        <v>84</v>
      </c>
      <c r="X57" s="216">
        <v>420</v>
      </c>
      <c r="Y57" s="216">
        <v>436</v>
      </c>
      <c r="Z57" s="216">
        <f t="shared" si="2"/>
        <v>504</v>
      </c>
      <c r="AA57" s="216">
        <f t="shared" si="3"/>
        <v>1310</v>
      </c>
    </row>
    <row r="58" spans="2:27" ht="15.75" thickBot="1">
      <c r="B58" s="364">
        <v>50</v>
      </c>
      <c r="C58" s="365"/>
      <c r="D58" s="365"/>
      <c r="E58" s="366"/>
      <c r="G58" s="9"/>
      <c r="H58" s="10"/>
      <c r="I58" s="10"/>
      <c r="J58" s="299"/>
      <c r="L58" s="275" t="s">
        <v>21</v>
      </c>
      <c r="M58" s="300"/>
      <c r="N58" s="275"/>
      <c r="O58" s="300"/>
      <c r="Q58" s="364">
        <v>50</v>
      </c>
      <c r="R58" s="365"/>
      <c r="S58" s="365"/>
      <c r="T58" s="366"/>
      <c r="V58" s="216">
        <v>2250</v>
      </c>
      <c r="W58" s="216">
        <v>84</v>
      </c>
      <c r="X58" s="216">
        <v>420</v>
      </c>
      <c r="Y58" s="216">
        <v>446</v>
      </c>
      <c r="Z58" s="216">
        <f t="shared" si="2"/>
        <v>504</v>
      </c>
      <c r="AA58" s="216">
        <f t="shared" si="3"/>
        <v>1300</v>
      </c>
    </row>
    <row r="59" spans="2:27">
      <c r="B59" s="367"/>
      <c r="C59" s="368"/>
      <c r="D59" s="368"/>
      <c r="E59" s="369"/>
      <c r="G59" s="364">
        <v>40</v>
      </c>
      <c r="H59" s="365"/>
      <c r="I59" s="365"/>
      <c r="J59" s="366"/>
      <c r="L59" s="364">
        <v>40</v>
      </c>
      <c r="M59" s="365"/>
      <c r="N59" s="365"/>
      <c r="O59" s="366"/>
      <c r="Q59" s="367"/>
      <c r="R59" s="368"/>
      <c r="S59" s="368"/>
      <c r="T59" s="369"/>
      <c r="V59" s="216">
        <v>2250</v>
      </c>
      <c r="W59" s="216">
        <v>84</v>
      </c>
      <c r="X59" s="216">
        <v>426</v>
      </c>
      <c r="Y59" s="216">
        <v>430</v>
      </c>
      <c r="Z59" s="216">
        <f t="shared" si="2"/>
        <v>510</v>
      </c>
      <c r="AA59" s="216">
        <f t="shared" si="3"/>
        <v>1310</v>
      </c>
    </row>
    <row r="60" spans="2:27">
      <c r="B60" s="367"/>
      <c r="C60" s="368"/>
      <c r="D60" s="368"/>
      <c r="E60" s="369"/>
      <c r="G60" s="367"/>
      <c r="H60" s="368"/>
      <c r="I60" s="368"/>
      <c r="J60" s="369"/>
      <c r="L60" s="367"/>
      <c r="M60" s="368"/>
      <c r="N60" s="368"/>
      <c r="O60" s="369"/>
      <c r="Q60" s="367"/>
      <c r="R60" s="368"/>
      <c r="S60" s="368"/>
      <c r="T60" s="369"/>
      <c r="V60" s="216">
        <v>2250</v>
      </c>
      <c r="W60" s="216">
        <v>84</v>
      </c>
      <c r="X60" s="216">
        <v>426</v>
      </c>
      <c r="Y60" s="216">
        <v>440</v>
      </c>
      <c r="Z60" s="216">
        <f t="shared" si="2"/>
        <v>510</v>
      </c>
      <c r="AA60" s="216">
        <f t="shared" si="3"/>
        <v>1300</v>
      </c>
    </row>
    <row r="61" spans="2:27">
      <c r="B61" s="367"/>
      <c r="C61" s="368"/>
      <c r="D61" s="368"/>
      <c r="E61" s="369"/>
      <c r="G61" s="367"/>
      <c r="H61" s="368"/>
      <c r="I61" s="368"/>
      <c r="J61" s="369"/>
      <c r="L61" s="367"/>
      <c r="M61" s="368"/>
      <c r="N61" s="368"/>
      <c r="O61" s="369"/>
      <c r="Q61" s="367"/>
      <c r="R61" s="368"/>
      <c r="S61" s="368"/>
      <c r="T61" s="369"/>
      <c r="V61" s="216">
        <v>2250</v>
      </c>
      <c r="W61" s="216">
        <v>84</v>
      </c>
      <c r="X61" s="216">
        <v>430</v>
      </c>
      <c r="Y61" s="216">
        <v>430</v>
      </c>
      <c r="Z61" s="216">
        <f t="shared" si="2"/>
        <v>514</v>
      </c>
      <c r="AA61" s="216">
        <f t="shared" si="3"/>
        <v>1306</v>
      </c>
    </row>
    <row r="62" spans="2:27" ht="15.75" thickBot="1">
      <c r="B62" s="370"/>
      <c r="C62" s="371"/>
      <c r="D62" s="371"/>
      <c r="E62" s="372"/>
      <c r="G62" s="370"/>
      <c r="H62" s="371"/>
      <c r="I62" s="371"/>
      <c r="J62" s="372"/>
      <c r="L62" s="370"/>
      <c r="M62" s="371"/>
      <c r="N62" s="371"/>
      <c r="O62" s="372"/>
      <c r="P62" s="376">
        <v>0</v>
      </c>
      <c r="Q62" s="370"/>
      <c r="R62" s="371"/>
      <c r="S62" s="371"/>
      <c r="T62" s="372"/>
      <c r="V62" s="216">
        <v>2250</v>
      </c>
      <c r="W62" s="216">
        <v>84</v>
      </c>
      <c r="X62" s="216">
        <v>420</v>
      </c>
      <c r="Y62" s="216">
        <v>420</v>
      </c>
      <c r="Z62" s="216">
        <f t="shared" si="2"/>
        <v>504</v>
      </c>
      <c r="AA62" s="216">
        <f t="shared" si="3"/>
        <v>1326</v>
      </c>
    </row>
    <row r="64" spans="2:27" ht="15.75" thickBot="1">
      <c r="M64" s="336" t="s">
        <v>430</v>
      </c>
      <c r="N64" s="336"/>
      <c r="O64" s="336"/>
      <c r="P64" s="376"/>
      <c r="Q64" s="702" t="s">
        <v>422</v>
      </c>
      <c r="R64" s="702"/>
      <c r="S64" s="702"/>
      <c r="T64" s="702"/>
      <c r="V64" s="303">
        <v>2250</v>
      </c>
      <c r="W64" s="303">
        <v>84</v>
      </c>
      <c r="X64" s="303">
        <v>436</v>
      </c>
      <c r="Y64" s="303">
        <v>440</v>
      </c>
      <c r="Z64" s="303">
        <f t="shared" ref="Z64:Z69" si="4">W64+X64</f>
        <v>520</v>
      </c>
      <c r="AA64" s="303">
        <f t="shared" ref="AA64:AA69" si="5">V64-W64-X64-Y64</f>
        <v>1290</v>
      </c>
    </row>
    <row r="65" spans="2:27" ht="15.75" thickBot="1">
      <c r="B65" t="s">
        <v>423</v>
      </c>
      <c r="V65" s="303">
        <v>2250</v>
      </c>
      <c r="W65" s="303">
        <v>84</v>
      </c>
      <c r="X65" s="377">
        <v>436</v>
      </c>
      <c r="Y65" s="303">
        <v>430</v>
      </c>
      <c r="Z65" s="303">
        <f t="shared" si="4"/>
        <v>520</v>
      </c>
      <c r="AA65" s="303">
        <f t="shared" si="5"/>
        <v>1300</v>
      </c>
    </row>
    <row r="66" spans="2:27" ht="15.75" thickBot="1">
      <c r="B66">
        <v>2250</v>
      </c>
      <c r="C66">
        <v>70</v>
      </c>
      <c r="D66">
        <v>420</v>
      </c>
      <c r="E66">
        <v>420</v>
      </c>
      <c r="F66">
        <f>B66-C66-D66-E66</f>
        <v>1340</v>
      </c>
      <c r="V66" s="303">
        <v>2250</v>
      </c>
      <c r="W66" s="303">
        <v>84</v>
      </c>
      <c r="X66" s="377">
        <v>436</v>
      </c>
      <c r="Y66" s="303">
        <v>436</v>
      </c>
      <c r="Z66" s="303">
        <f t="shared" si="4"/>
        <v>520</v>
      </c>
      <c r="AA66" s="303">
        <f t="shared" si="5"/>
        <v>1294</v>
      </c>
    </row>
    <row r="67" spans="2:27" ht="15.75" thickBot="1">
      <c r="B67">
        <v>2250</v>
      </c>
      <c r="C67">
        <v>70</v>
      </c>
      <c r="D67">
        <v>460</v>
      </c>
      <c r="E67">
        <v>420</v>
      </c>
      <c r="F67">
        <f>B67-C67-D67-E67</f>
        <v>1300</v>
      </c>
      <c r="V67" s="303">
        <v>2250</v>
      </c>
      <c r="W67" s="303">
        <v>84</v>
      </c>
      <c r="X67" s="303">
        <v>430</v>
      </c>
      <c r="Y67" s="303">
        <v>430</v>
      </c>
      <c r="Z67" s="303">
        <f t="shared" si="4"/>
        <v>514</v>
      </c>
      <c r="AA67" s="303">
        <f t="shared" si="5"/>
        <v>1306</v>
      </c>
    </row>
    <row r="68" spans="2:27" ht="15.75" thickBot="1">
      <c r="B68">
        <v>2250</v>
      </c>
      <c r="C68">
        <v>70</v>
      </c>
      <c r="D68">
        <v>450</v>
      </c>
      <c r="E68">
        <v>430</v>
      </c>
      <c r="F68">
        <f>B68-C68-D68-E68</f>
        <v>1300</v>
      </c>
      <c r="V68" s="303">
        <v>2250</v>
      </c>
      <c r="W68" s="303">
        <v>84</v>
      </c>
      <c r="X68" s="377">
        <v>430</v>
      </c>
      <c r="Y68" s="303">
        <v>436</v>
      </c>
      <c r="Z68" s="303">
        <f t="shared" si="4"/>
        <v>514</v>
      </c>
      <c r="AA68" s="303">
        <f t="shared" si="5"/>
        <v>1300</v>
      </c>
    </row>
    <row r="69" spans="2:27" ht="15.75" thickBot="1">
      <c r="B69">
        <v>2250</v>
      </c>
      <c r="C69">
        <v>70</v>
      </c>
      <c r="D69">
        <v>460</v>
      </c>
      <c r="E69">
        <v>460</v>
      </c>
      <c r="F69">
        <f>B69-C69-D69-E69</f>
        <v>1260</v>
      </c>
      <c r="V69" s="303">
        <v>2250</v>
      </c>
      <c r="W69" s="303">
        <v>84</v>
      </c>
      <c r="X69" s="377">
        <v>430</v>
      </c>
      <c r="Y69" s="303">
        <v>446</v>
      </c>
      <c r="Z69" s="303">
        <f t="shared" si="4"/>
        <v>514</v>
      </c>
      <c r="AA69" s="303">
        <f t="shared" si="5"/>
        <v>1290</v>
      </c>
    </row>
    <row r="71" spans="2:27" ht="15.75" thickBot="1">
      <c r="V71" s="303">
        <v>2250</v>
      </c>
      <c r="W71" s="303">
        <v>84</v>
      </c>
      <c r="X71" s="303">
        <v>420</v>
      </c>
      <c r="Y71" s="303">
        <v>420</v>
      </c>
      <c r="Z71" s="303">
        <f>W71+X71</f>
        <v>504</v>
      </c>
      <c r="AA71" s="303">
        <f>V71-W71-X71-Y71</f>
        <v>1326</v>
      </c>
    </row>
    <row r="72" spans="2:27" ht="15.75" thickBot="1">
      <c r="V72" s="303">
        <v>2250</v>
      </c>
      <c r="W72" s="303">
        <v>84</v>
      </c>
      <c r="X72" s="377">
        <v>420</v>
      </c>
      <c r="Y72" s="303">
        <v>436</v>
      </c>
      <c r="Z72" s="303">
        <f>W72+X72</f>
        <v>504</v>
      </c>
      <c r="AA72" s="303">
        <f>V72-W72-X72-Y72</f>
        <v>1310</v>
      </c>
    </row>
    <row r="73" spans="2:27" ht="15.75" thickBot="1">
      <c r="V73" s="303">
        <v>2250</v>
      </c>
      <c r="W73" s="303">
        <v>84</v>
      </c>
      <c r="X73" s="377">
        <v>420</v>
      </c>
      <c r="Y73" s="303">
        <v>420</v>
      </c>
      <c r="Z73" s="303">
        <f>W73+X73</f>
        <v>504</v>
      </c>
      <c r="AA73" s="303">
        <f>V73-W73-X73-Y73</f>
        <v>1326</v>
      </c>
    </row>
    <row r="74" spans="2:27" ht="15.75" thickBot="1">
      <c r="V74" s="303">
        <v>2250</v>
      </c>
      <c r="W74" s="303">
        <v>84</v>
      </c>
      <c r="X74" s="377">
        <v>466</v>
      </c>
      <c r="Y74" s="303">
        <v>416</v>
      </c>
      <c r="Z74" s="303">
        <f>W74+X74</f>
        <v>550</v>
      </c>
      <c r="AA74" s="303">
        <f>V74-W74-X74-Y74</f>
        <v>1284</v>
      </c>
    </row>
    <row r="75" spans="2:27">
      <c r="E75">
        <v>2250</v>
      </c>
      <c r="F75">
        <v>1300</v>
      </c>
      <c r="G75">
        <f>E75/F75</f>
        <v>1.7307692307692308</v>
      </c>
      <c r="H75">
        <f>F75/E75</f>
        <v>0.57777777777777772</v>
      </c>
    </row>
  </sheetData>
  <mergeCells count="11">
    <mergeCell ref="B5:E5"/>
    <mergeCell ref="F5:H5"/>
    <mergeCell ref="M5:O5"/>
    <mergeCell ref="P5:S5"/>
    <mergeCell ref="I5:L5"/>
    <mergeCell ref="Q64:T64"/>
    <mergeCell ref="M22:O23"/>
    <mergeCell ref="F22:H23"/>
    <mergeCell ref="F19:H21"/>
    <mergeCell ref="L38:O38"/>
    <mergeCell ref="Q38:T38"/>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dimension ref="E1:AD34"/>
  <sheetViews>
    <sheetView topLeftCell="N13" workbookViewId="0">
      <selection activeCell="M15" sqref="M15:Q34"/>
    </sheetView>
  </sheetViews>
  <sheetFormatPr defaultRowHeight="15"/>
  <cols>
    <col min="5" max="5" width="10.5703125" customWidth="1"/>
    <col min="6" max="6" width="10.42578125" customWidth="1"/>
    <col min="7" max="7" width="9.42578125" customWidth="1"/>
    <col min="8" max="8" width="8" customWidth="1"/>
    <col min="21" max="21" width="14.42578125" customWidth="1"/>
    <col min="24" max="24" width="7.85546875" customWidth="1"/>
    <col min="25" max="26" width="6" customWidth="1"/>
    <col min="31" max="31" width="8.140625" customWidth="1"/>
  </cols>
  <sheetData>
    <row r="1" spans="5:30">
      <c r="AB1" t="s">
        <v>451</v>
      </c>
    </row>
    <row r="2" spans="5:30">
      <c r="W2" t="s">
        <v>443</v>
      </c>
      <c r="X2" t="s">
        <v>392</v>
      </c>
      <c r="AB2" t="s">
        <v>443</v>
      </c>
      <c r="AC2" t="s">
        <v>392</v>
      </c>
    </row>
    <row r="3" spans="5:30">
      <c r="E3" t="s">
        <v>432</v>
      </c>
      <c r="F3" t="s">
        <v>431</v>
      </c>
      <c r="G3" t="s">
        <v>433</v>
      </c>
      <c r="H3" s="378">
        <v>-0.1</v>
      </c>
      <c r="I3" t="s">
        <v>224</v>
      </c>
      <c r="J3" t="s">
        <v>0</v>
      </c>
      <c r="M3" t="s">
        <v>432</v>
      </c>
      <c r="N3" t="s">
        <v>397</v>
      </c>
      <c r="O3" t="s">
        <v>438</v>
      </c>
      <c r="P3" t="s">
        <v>436</v>
      </c>
      <c r="Q3" t="s">
        <v>398</v>
      </c>
      <c r="R3" t="s">
        <v>398</v>
      </c>
      <c r="U3" t="s">
        <v>442</v>
      </c>
      <c r="V3" t="s">
        <v>445</v>
      </c>
      <c r="W3">
        <v>7</v>
      </c>
      <c r="X3">
        <v>1</v>
      </c>
      <c r="Z3">
        <f>SUM(W3:X3)</f>
        <v>8</v>
      </c>
      <c r="AA3">
        <v>2</v>
      </c>
      <c r="AB3">
        <v>7.5</v>
      </c>
      <c r="AC3">
        <v>5.5</v>
      </c>
      <c r="AD3">
        <f>AB3+AC3</f>
        <v>13</v>
      </c>
    </row>
    <row r="4" spans="5:30">
      <c r="E4" t="s">
        <v>437</v>
      </c>
      <c r="F4" t="s">
        <v>435</v>
      </c>
      <c r="G4">
        <v>112000</v>
      </c>
      <c r="I4">
        <v>0</v>
      </c>
      <c r="J4">
        <f t="shared" ref="J4" si="0">G4+I4</f>
        <v>112000</v>
      </c>
      <c r="M4" t="s">
        <v>434</v>
      </c>
      <c r="N4">
        <v>67000</v>
      </c>
      <c r="O4">
        <v>67000</v>
      </c>
      <c r="P4">
        <v>56000</v>
      </c>
      <c r="Q4">
        <f>N4-P4</f>
        <v>11000</v>
      </c>
      <c r="R4">
        <f>O4-P4</f>
        <v>11000</v>
      </c>
      <c r="U4" t="s">
        <v>444</v>
      </c>
      <c r="V4" t="s">
        <v>445</v>
      </c>
      <c r="W4">
        <v>3</v>
      </c>
      <c r="X4">
        <v>2</v>
      </c>
      <c r="Z4">
        <f t="shared" ref="Z4:Z6" si="1">SUM(W4:X4)</f>
        <v>5</v>
      </c>
      <c r="AA4">
        <v>1</v>
      </c>
      <c r="AB4">
        <v>7.5</v>
      </c>
      <c r="AC4">
        <v>5.5</v>
      </c>
      <c r="AD4">
        <f t="shared" ref="AD4:AD9" si="2">AB4+AC4</f>
        <v>13</v>
      </c>
    </row>
    <row r="5" spans="5:30">
      <c r="E5" t="s">
        <v>434</v>
      </c>
      <c r="F5" t="s">
        <v>397</v>
      </c>
      <c r="G5">
        <v>67000</v>
      </c>
      <c r="H5">
        <f>G5 - G5*0.1</f>
        <v>60300</v>
      </c>
      <c r="I5">
        <v>20000</v>
      </c>
      <c r="J5">
        <f>G5+I5</f>
        <v>87000</v>
      </c>
      <c r="M5" t="s">
        <v>314</v>
      </c>
      <c r="N5">
        <v>76000</v>
      </c>
      <c r="O5">
        <v>76000</v>
      </c>
      <c r="P5">
        <v>63500</v>
      </c>
      <c r="Q5">
        <f>N5-P5</f>
        <v>12500</v>
      </c>
      <c r="R5">
        <f>O5-P5</f>
        <v>12500</v>
      </c>
      <c r="U5" t="s">
        <v>446</v>
      </c>
      <c r="V5" t="s">
        <v>447</v>
      </c>
      <c r="W5">
        <v>8</v>
      </c>
      <c r="X5">
        <v>3</v>
      </c>
      <c r="Z5">
        <f t="shared" si="1"/>
        <v>11</v>
      </c>
      <c r="AA5">
        <v>4</v>
      </c>
      <c r="AB5">
        <v>8.5</v>
      </c>
      <c r="AC5">
        <v>5.5</v>
      </c>
      <c r="AD5">
        <f t="shared" si="2"/>
        <v>14</v>
      </c>
    </row>
    <row r="6" spans="5:30">
      <c r="E6" t="s">
        <v>414</v>
      </c>
      <c r="F6" t="s">
        <v>435</v>
      </c>
      <c r="G6">
        <v>67000</v>
      </c>
      <c r="H6">
        <f t="shared" ref="H6:H10" si="3">G6 - G6*0.1</f>
        <v>60300</v>
      </c>
      <c r="I6">
        <v>20000</v>
      </c>
      <c r="J6">
        <f t="shared" ref="J6:J8" si="4">G6+I6</f>
        <v>87000</v>
      </c>
      <c r="U6" t="s">
        <v>448</v>
      </c>
      <c r="V6" t="s">
        <v>449</v>
      </c>
      <c r="W6">
        <v>4</v>
      </c>
      <c r="X6">
        <v>5</v>
      </c>
      <c r="Z6">
        <f t="shared" si="1"/>
        <v>9</v>
      </c>
      <c r="AA6">
        <v>3</v>
      </c>
      <c r="AB6">
        <v>7</v>
      </c>
      <c r="AC6">
        <v>4.5</v>
      </c>
      <c r="AD6">
        <f t="shared" si="2"/>
        <v>11.5</v>
      </c>
    </row>
    <row r="7" spans="5:30">
      <c r="E7" t="s">
        <v>314</v>
      </c>
      <c r="F7" t="s">
        <v>397</v>
      </c>
      <c r="G7">
        <v>76000</v>
      </c>
      <c r="H7">
        <f t="shared" si="3"/>
        <v>68400</v>
      </c>
      <c r="I7">
        <v>20000</v>
      </c>
      <c r="J7">
        <f t="shared" si="4"/>
        <v>96000</v>
      </c>
      <c r="U7" t="s">
        <v>450</v>
      </c>
      <c r="V7" t="s">
        <v>445</v>
      </c>
      <c r="W7">
        <v>6</v>
      </c>
      <c r="X7">
        <v>7</v>
      </c>
      <c r="Z7">
        <f t="shared" ref="Z7:Z9" si="5">SUM(W7:X7)</f>
        <v>13</v>
      </c>
      <c r="AA7">
        <v>5</v>
      </c>
      <c r="AB7">
        <v>6.5</v>
      </c>
      <c r="AC7">
        <v>5</v>
      </c>
      <c r="AD7">
        <f t="shared" si="2"/>
        <v>11.5</v>
      </c>
    </row>
    <row r="8" spans="5:30">
      <c r="E8" t="s">
        <v>314</v>
      </c>
      <c r="F8" t="s">
        <v>435</v>
      </c>
      <c r="G8">
        <v>76000</v>
      </c>
      <c r="H8">
        <f t="shared" si="3"/>
        <v>68400</v>
      </c>
      <c r="I8">
        <v>20000</v>
      </c>
      <c r="J8">
        <f t="shared" si="4"/>
        <v>96000</v>
      </c>
      <c r="U8" t="s">
        <v>452</v>
      </c>
      <c r="V8" s="380" t="s">
        <v>455</v>
      </c>
      <c r="W8">
        <v>5</v>
      </c>
      <c r="X8">
        <v>17</v>
      </c>
      <c r="Z8">
        <f t="shared" si="5"/>
        <v>22</v>
      </c>
      <c r="AB8">
        <v>5.5</v>
      </c>
      <c r="AC8">
        <v>4</v>
      </c>
      <c r="AD8">
        <f t="shared" si="2"/>
        <v>9.5</v>
      </c>
    </row>
    <row r="9" spans="5:30">
      <c r="E9" t="s">
        <v>434</v>
      </c>
      <c r="F9" t="s">
        <v>436</v>
      </c>
      <c r="G9">
        <v>56000</v>
      </c>
      <c r="H9">
        <f t="shared" si="3"/>
        <v>50400</v>
      </c>
      <c r="I9">
        <v>20000</v>
      </c>
      <c r="J9">
        <f t="shared" ref="J9:J10" si="6">G9+I9</f>
        <v>76000</v>
      </c>
      <c r="U9" s="379" t="s">
        <v>453</v>
      </c>
      <c r="V9" s="380" t="s">
        <v>454</v>
      </c>
      <c r="W9">
        <v>15</v>
      </c>
      <c r="X9">
        <v>15</v>
      </c>
      <c r="Z9">
        <f t="shared" si="5"/>
        <v>30</v>
      </c>
      <c r="AB9">
        <v>7</v>
      </c>
      <c r="AC9">
        <v>5</v>
      </c>
      <c r="AD9">
        <f t="shared" si="2"/>
        <v>12</v>
      </c>
    </row>
    <row r="10" spans="5:30">
      <c r="E10" t="s">
        <v>314</v>
      </c>
      <c r="F10" t="s">
        <v>436</v>
      </c>
      <c r="G10">
        <v>63500</v>
      </c>
      <c r="H10">
        <f t="shared" si="3"/>
        <v>57150</v>
      </c>
      <c r="I10">
        <v>20000</v>
      </c>
      <c r="J10">
        <f t="shared" si="6"/>
        <v>83500</v>
      </c>
    </row>
    <row r="13" spans="5:30">
      <c r="E13" t="s">
        <v>434</v>
      </c>
      <c r="F13" t="s">
        <v>440</v>
      </c>
      <c r="G13" t="s">
        <v>441</v>
      </c>
      <c r="H13" t="s">
        <v>439</v>
      </c>
    </row>
    <row r="14" spans="5:30" ht="15.75" thickBot="1">
      <c r="E14" t="s">
        <v>314</v>
      </c>
      <c r="F14" t="s">
        <v>441</v>
      </c>
      <c r="G14" t="s">
        <v>439</v>
      </c>
      <c r="H14" t="s">
        <v>440</v>
      </c>
    </row>
    <row r="15" spans="5:30">
      <c r="E15" t="s">
        <v>415</v>
      </c>
      <c r="F15" t="s">
        <v>439</v>
      </c>
      <c r="G15" t="s">
        <v>440</v>
      </c>
      <c r="H15" t="s">
        <v>441</v>
      </c>
      <c r="L15">
        <v>1</v>
      </c>
      <c r="M15" s="382"/>
      <c r="N15" s="6"/>
      <c r="O15" s="383"/>
      <c r="P15" s="6"/>
      <c r="Q15" s="384"/>
    </row>
    <row r="16" spans="5:30">
      <c r="M16" s="9"/>
      <c r="N16" s="10"/>
      <c r="O16" s="10"/>
      <c r="P16" s="10"/>
      <c r="Q16" s="299"/>
    </row>
    <row r="17" spans="12:19">
      <c r="M17" s="9"/>
      <c r="N17" s="10"/>
      <c r="O17" s="10"/>
      <c r="P17" s="10"/>
      <c r="Q17" s="299"/>
    </row>
    <row r="18" spans="12:19">
      <c r="M18" s="9"/>
      <c r="N18" s="10"/>
      <c r="O18" s="385"/>
      <c r="P18" s="10"/>
      <c r="Q18" s="299"/>
    </row>
    <row r="19" spans="12:19" ht="15.75" thickBot="1">
      <c r="M19" s="275"/>
      <c r="N19" s="277"/>
      <c r="O19" s="277"/>
      <c r="P19" s="277"/>
      <c r="Q19" s="386"/>
    </row>
    <row r="21" spans="12:19" ht="15.75" thickBot="1"/>
    <row r="22" spans="12:19">
      <c r="L22">
        <v>2</v>
      </c>
      <c r="M22" s="382"/>
      <c r="N22" s="6"/>
      <c r="O22" s="383"/>
      <c r="P22" s="6"/>
      <c r="Q22" s="384"/>
    </row>
    <row r="23" spans="12:19">
      <c r="M23" s="387"/>
      <c r="N23" s="10"/>
      <c r="O23" s="388"/>
      <c r="P23" s="10"/>
      <c r="Q23" s="389"/>
    </row>
    <row r="24" spans="12:19">
      <c r="M24" s="9"/>
      <c r="N24" s="10"/>
      <c r="O24" s="10"/>
      <c r="P24" s="10"/>
      <c r="Q24" s="299"/>
    </row>
    <row r="25" spans="12:19">
      <c r="M25" s="9"/>
      <c r="N25" s="10"/>
      <c r="O25" s="385"/>
      <c r="P25" s="10"/>
      <c r="Q25" s="299"/>
    </row>
    <row r="26" spans="12:19" ht="15.75" thickBot="1">
      <c r="M26" s="275"/>
      <c r="N26" s="277"/>
      <c r="O26" s="277"/>
      <c r="P26" s="277"/>
      <c r="Q26" s="386"/>
    </row>
    <row r="28" spans="12:19" ht="15.75" thickBot="1"/>
    <row r="29" spans="12:19" ht="15.75" thickBot="1">
      <c r="L29">
        <v>3</v>
      </c>
      <c r="M29" s="5"/>
      <c r="N29" s="6"/>
      <c r="O29" s="6"/>
      <c r="P29" s="6"/>
      <c r="Q29" s="344"/>
    </row>
    <row r="30" spans="12:19" ht="15.75" thickBot="1">
      <c r="M30" s="387"/>
      <c r="N30" s="10"/>
      <c r="O30" s="388"/>
      <c r="P30" s="10"/>
      <c r="Q30" s="389"/>
      <c r="S30" s="130"/>
    </row>
    <row r="31" spans="12:19">
      <c r="M31" s="9"/>
      <c r="N31" s="10"/>
      <c r="O31" s="10"/>
      <c r="P31" s="10"/>
      <c r="Q31" s="299"/>
    </row>
    <row r="32" spans="12:19">
      <c r="M32" s="9"/>
      <c r="N32" s="10"/>
      <c r="O32" s="385"/>
      <c r="P32" s="10"/>
      <c r="Q32" s="299"/>
    </row>
    <row r="33" spans="13:17">
      <c r="M33" s="9"/>
      <c r="N33" s="10"/>
      <c r="O33" s="10"/>
      <c r="P33" s="10"/>
      <c r="Q33" s="390"/>
    </row>
    <row r="34" spans="13:17" ht="15.75" thickBot="1">
      <c r="M34" s="275"/>
      <c r="N34" s="277"/>
      <c r="O34" s="277"/>
      <c r="P34" s="277"/>
      <c r="Q34" s="300"/>
    </row>
  </sheetData>
  <hyperlinks>
    <hyperlink ref="U9" r:id="rId1" tooltip="Hot Breeze bridge" display="https://www.fokinpickups.com/produktsiya/humbucker/hot-breeze-bridge/"/>
  </hyperlinks>
  <pageMargins left="0.7" right="0.7" top="0.75" bottom="0.75" header="0.3" footer="0.3"/>
  <pageSetup paperSize="9" orientation="portrait" r:id="rId2"/>
</worksheet>
</file>

<file path=xl/worksheets/sheet36.xml><?xml version="1.0" encoding="utf-8"?>
<worksheet xmlns="http://schemas.openxmlformats.org/spreadsheetml/2006/main" xmlns:r="http://schemas.openxmlformats.org/officeDocument/2006/relationships">
  <dimension ref="A1:M49"/>
  <sheetViews>
    <sheetView topLeftCell="C1" zoomScale="85" zoomScaleNormal="85" workbookViewId="0">
      <selection activeCell="L34" sqref="L34"/>
    </sheetView>
  </sheetViews>
  <sheetFormatPr defaultRowHeight="15"/>
  <cols>
    <col min="5" max="5" width="9.140625" style="10"/>
  </cols>
  <sheetData>
    <row r="1" spans="1:13">
      <c r="C1" s="10"/>
      <c r="J1" s="10"/>
    </row>
    <row r="2" spans="1:13" ht="15.75" thickBot="1">
      <c r="C2" s="10"/>
      <c r="I2" s="305"/>
      <c r="J2" s="10"/>
      <c r="K2" s="305"/>
      <c r="L2" s="305"/>
      <c r="M2" s="305"/>
    </row>
    <row r="3" spans="1:13" ht="15.75" thickBot="1">
      <c r="A3">
        <v>1</v>
      </c>
      <c r="B3" s="399"/>
      <c r="C3" s="10"/>
      <c r="D3" s="399"/>
      <c r="F3" s="399"/>
      <c r="H3" s="399"/>
      <c r="I3" s="305"/>
      <c r="J3" s="31"/>
      <c r="K3" s="305"/>
      <c r="L3" s="305"/>
      <c r="M3" s="305"/>
    </row>
    <row r="4" spans="1:13" ht="15.75" thickBot="1">
      <c r="A4">
        <v>2</v>
      </c>
      <c r="B4" s="33"/>
      <c r="C4" s="10"/>
      <c r="D4" s="33"/>
      <c r="F4" s="33"/>
      <c r="H4" s="33"/>
      <c r="I4" s="305"/>
      <c r="J4" s="32"/>
      <c r="K4" s="305"/>
      <c r="L4" s="305"/>
      <c r="M4" s="305"/>
    </row>
    <row r="5" spans="1:13">
      <c r="B5" s="32"/>
      <c r="C5" s="393"/>
      <c r="D5" s="32"/>
      <c r="F5" s="32"/>
      <c r="H5" s="32"/>
      <c r="I5" s="305"/>
      <c r="J5" s="396"/>
      <c r="K5" s="305"/>
      <c r="L5" s="305"/>
      <c r="M5" s="305"/>
    </row>
    <row r="6" spans="1:13" ht="15.75" thickBot="1">
      <c r="B6" s="32"/>
      <c r="C6" s="10"/>
      <c r="D6" s="32"/>
      <c r="F6" s="32"/>
      <c r="H6" s="32"/>
      <c r="I6" s="305"/>
      <c r="J6" s="33"/>
      <c r="K6" s="305"/>
      <c r="L6" s="305"/>
      <c r="M6" s="305"/>
    </row>
    <row r="7" spans="1:13" ht="15.75" thickBot="1">
      <c r="A7">
        <v>1</v>
      </c>
      <c r="B7" s="31"/>
      <c r="C7" s="10"/>
      <c r="D7" s="398"/>
      <c r="F7" s="130"/>
      <c r="H7" s="398"/>
      <c r="I7" s="305"/>
      <c r="J7" s="398"/>
      <c r="K7" s="305"/>
      <c r="L7" s="305"/>
      <c r="M7" s="305"/>
    </row>
    <row r="8" spans="1:13" ht="15.75" thickBot="1">
      <c r="A8">
        <v>2</v>
      </c>
      <c r="B8" s="33"/>
      <c r="C8" s="10"/>
      <c r="D8" s="33"/>
      <c r="F8" s="392"/>
      <c r="H8" s="391"/>
      <c r="I8" s="305"/>
      <c r="J8" s="33"/>
      <c r="K8" s="305"/>
      <c r="L8" s="305"/>
      <c r="M8" s="305"/>
    </row>
    <row r="9" spans="1:13">
      <c r="A9" s="10"/>
      <c r="B9" s="10"/>
      <c r="C9" s="10"/>
      <c r="D9" s="10"/>
      <c r="F9" s="10"/>
      <c r="G9" s="10"/>
      <c r="H9" s="10"/>
      <c r="I9" s="305"/>
      <c r="J9" s="10"/>
      <c r="K9" s="305"/>
      <c r="L9" s="305"/>
      <c r="M9" s="305"/>
    </row>
    <row r="10" spans="1:13" ht="15.75" thickBot="1">
      <c r="A10" s="10"/>
      <c r="B10" s="10"/>
      <c r="C10" s="10"/>
      <c r="D10" s="10"/>
      <c r="F10" s="10"/>
      <c r="G10" s="10"/>
      <c r="H10" s="10"/>
      <c r="I10" s="305"/>
      <c r="J10" s="10"/>
      <c r="K10" s="305"/>
      <c r="L10" s="305"/>
      <c r="M10" s="305"/>
    </row>
    <row r="11" spans="1:13" ht="15.75" thickBot="1">
      <c r="B11" s="394"/>
      <c r="C11" s="10"/>
      <c r="D11" s="394"/>
      <c r="F11" s="394"/>
      <c r="H11" s="394"/>
      <c r="I11" s="305"/>
      <c r="J11" s="31"/>
      <c r="K11" s="305"/>
      <c r="L11" s="305"/>
      <c r="M11" s="305"/>
    </row>
    <row r="12" spans="1:13" ht="15.75" thickBot="1">
      <c r="B12" s="399"/>
      <c r="C12" s="10"/>
      <c r="D12" s="399"/>
      <c r="F12" s="399"/>
      <c r="H12" s="399"/>
      <c r="I12" s="305"/>
      <c r="J12" s="33"/>
      <c r="K12" s="305"/>
      <c r="L12" s="305"/>
      <c r="M12" s="305"/>
    </row>
    <row r="13" spans="1:13">
      <c r="B13" s="32"/>
      <c r="C13" s="393"/>
      <c r="D13" s="32"/>
      <c r="F13" s="32"/>
      <c r="H13" s="32"/>
      <c r="I13" s="305"/>
      <c r="J13" s="32"/>
      <c r="K13" s="305"/>
      <c r="L13" s="305"/>
      <c r="M13" s="305"/>
    </row>
    <row r="14" spans="1:13" ht="15.75" thickBot="1">
      <c r="B14" s="32"/>
      <c r="C14" s="393"/>
      <c r="D14" s="32"/>
      <c r="F14" s="32"/>
      <c r="H14" s="32"/>
      <c r="I14" s="305"/>
      <c r="J14" s="33"/>
      <c r="K14" s="305"/>
      <c r="L14" s="305"/>
      <c r="M14" s="305"/>
    </row>
    <row r="15" spans="1:13" ht="15.75" thickBot="1">
      <c r="B15" s="31"/>
      <c r="C15" s="10"/>
      <c r="D15" s="398"/>
      <c r="F15" s="31"/>
      <c r="H15" s="398"/>
      <c r="I15" s="305"/>
      <c r="J15" s="398"/>
      <c r="K15" s="305"/>
      <c r="L15" s="305"/>
      <c r="M15" s="305"/>
    </row>
    <row r="16" spans="1:13" ht="15.75" thickBot="1">
      <c r="B16" s="33"/>
      <c r="C16" s="10"/>
      <c r="D16" s="33"/>
      <c r="F16" s="398"/>
      <c r="H16" s="392"/>
      <c r="I16" s="305"/>
      <c r="J16" s="392"/>
      <c r="K16" s="305"/>
      <c r="L16" s="305"/>
      <c r="M16" s="305"/>
    </row>
    <row r="17" spans="1:13">
      <c r="A17" s="10"/>
      <c r="B17" s="10"/>
      <c r="C17" s="10"/>
      <c r="D17" s="10"/>
      <c r="F17" s="10"/>
      <c r="G17" s="10"/>
      <c r="H17" s="10"/>
      <c r="I17" s="393"/>
      <c r="J17" s="10"/>
      <c r="K17" s="393"/>
      <c r="L17" s="305"/>
      <c r="M17" s="305"/>
    </row>
    <row r="18" spans="1:13" ht="15.75" thickBot="1">
      <c r="A18" s="10"/>
      <c r="B18" s="10"/>
      <c r="C18" s="10"/>
      <c r="D18" s="10"/>
      <c r="F18" s="10"/>
      <c r="G18" s="10"/>
      <c r="H18" s="10"/>
      <c r="I18" s="393"/>
      <c r="J18" s="10"/>
      <c r="K18" s="393"/>
      <c r="L18" s="305"/>
      <c r="M18" s="305"/>
    </row>
    <row r="19" spans="1:13" ht="15.75" thickBot="1">
      <c r="B19" s="31"/>
      <c r="C19" s="10"/>
      <c r="D19" s="31"/>
      <c r="F19" s="31"/>
      <c r="H19" s="31"/>
      <c r="I19" s="305"/>
      <c r="J19" s="31"/>
      <c r="K19" s="305"/>
      <c r="L19" s="305"/>
      <c r="M19" s="305"/>
    </row>
    <row r="20" spans="1:13" ht="15.75" thickBot="1">
      <c r="B20" s="399"/>
      <c r="C20" s="10"/>
      <c r="D20" s="399"/>
      <c r="F20" s="399"/>
      <c r="H20" s="399"/>
      <c r="I20" s="305"/>
      <c r="J20" s="32"/>
      <c r="K20" s="305"/>
      <c r="L20" s="305"/>
      <c r="M20" s="305"/>
    </row>
    <row r="21" spans="1:13">
      <c r="B21" s="32"/>
      <c r="C21" s="10"/>
      <c r="D21" s="32"/>
      <c r="F21" s="32"/>
      <c r="H21" s="32"/>
      <c r="I21" s="305"/>
      <c r="J21" s="31"/>
      <c r="K21" s="305"/>
      <c r="L21" s="305"/>
      <c r="M21" s="305"/>
    </row>
    <row r="22" spans="1:13" ht="15.75" thickBot="1">
      <c r="B22" s="32"/>
      <c r="C22" s="393"/>
      <c r="D22" s="32"/>
      <c r="F22" s="32"/>
      <c r="H22" s="32"/>
      <c r="I22" s="305"/>
      <c r="J22" s="33"/>
      <c r="K22" s="305"/>
      <c r="L22" s="305"/>
      <c r="M22" s="305"/>
    </row>
    <row r="23" spans="1:13" ht="15.75" thickBot="1">
      <c r="B23" s="31"/>
      <c r="D23" s="398"/>
      <c r="F23" s="130"/>
      <c r="H23" s="397"/>
      <c r="I23" s="305"/>
      <c r="J23" s="32"/>
      <c r="K23" s="305"/>
      <c r="L23" s="305"/>
      <c r="M23" s="305"/>
    </row>
    <row r="24" spans="1:13" ht="15.75" thickBot="1">
      <c r="B24" s="33"/>
      <c r="D24" s="33"/>
      <c r="F24" s="392"/>
      <c r="H24" s="398"/>
      <c r="I24" s="305"/>
      <c r="J24" s="398"/>
      <c r="K24" s="305"/>
      <c r="L24" s="305"/>
      <c r="M24" s="305"/>
    </row>
    <row r="25" spans="1:13">
      <c r="I25" s="305"/>
      <c r="K25" s="305"/>
      <c r="L25" s="305"/>
      <c r="M25" s="305"/>
    </row>
    <row r="26" spans="1:13" s="381" customFormat="1">
      <c r="E26" s="388"/>
    </row>
    <row r="27" spans="1:13" ht="15.75" thickBot="1"/>
    <row r="28" spans="1:13" ht="15.75" thickBot="1">
      <c r="B28" s="400"/>
      <c r="C28" s="10"/>
      <c r="D28" s="400"/>
      <c r="F28" s="399"/>
      <c r="H28" s="399"/>
    </row>
    <row r="29" spans="1:13" ht="15.75" thickBot="1">
      <c r="B29" s="33"/>
      <c r="C29" s="10"/>
      <c r="D29" s="395"/>
      <c r="F29" s="33"/>
      <c r="H29" s="395"/>
    </row>
    <row r="30" spans="1:13">
      <c r="B30" s="32"/>
      <c r="C30" s="393"/>
      <c r="D30" s="32"/>
      <c r="F30" s="32"/>
      <c r="H30" s="32"/>
    </row>
    <row r="31" spans="1:13" ht="15.75" thickBot="1">
      <c r="B31" s="32"/>
      <c r="C31" s="10"/>
      <c r="D31" s="32"/>
      <c r="F31" s="32"/>
      <c r="H31" s="32"/>
    </row>
    <row r="32" spans="1:13" ht="15.75" thickBot="1">
      <c r="B32" s="31"/>
      <c r="C32" s="10"/>
      <c r="D32" s="400"/>
      <c r="F32" s="130"/>
      <c r="H32" s="400"/>
    </row>
    <row r="33" spans="2:8" ht="15.75" thickBot="1">
      <c r="B33" s="392"/>
      <c r="C33" s="10"/>
      <c r="D33" s="392"/>
      <c r="F33" s="392"/>
      <c r="H33" s="391"/>
    </row>
    <row r="34" spans="2:8">
      <c r="B34" s="10"/>
      <c r="C34" s="10"/>
      <c r="D34" s="10"/>
      <c r="F34" s="10"/>
      <c r="G34" s="10"/>
      <c r="H34" s="10"/>
    </row>
    <row r="35" spans="2:8" ht="15.75" thickBot="1">
      <c r="B35" s="10"/>
      <c r="C35" s="10"/>
      <c r="D35" s="10"/>
      <c r="F35" s="10"/>
      <c r="G35" s="10"/>
      <c r="H35" s="10"/>
    </row>
    <row r="36" spans="2:8" s="305" customFormat="1" ht="15.75" thickBot="1">
      <c r="B36" s="396"/>
      <c r="C36" s="393"/>
      <c r="D36" s="396"/>
      <c r="E36" s="393"/>
      <c r="F36" s="394"/>
      <c r="H36" s="394"/>
    </row>
    <row r="37" spans="2:8" s="305" customFormat="1" ht="15.75" thickBot="1">
      <c r="B37" s="400"/>
      <c r="C37" s="393"/>
      <c r="D37" s="399"/>
      <c r="E37" s="393"/>
      <c r="F37" s="400"/>
      <c r="H37" s="399"/>
    </row>
    <row r="38" spans="2:8">
      <c r="B38" s="32"/>
      <c r="C38" s="393"/>
      <c r="D38" s="32"/>
      <c r="F38" s="32"/>
      <c r="H38" s="32"/>
    </row>
    <row r="39" spans="2:8" ht="15.75" thickBot="1">
      <c r="B39" s="32"/>
      <c r="C39" s="393"/>
      <c r="D39" s="32"/>
      <c r="F39" s="32"/>
      <c r="H39" s="32"/>
    </row>
    <row r="40" spans="2:8" ht="15.75" thickBot="1">
      <c r="B40" s="398"/>
      <c r="C40" s="10"/>
      <c r="D40" s="398"/>
      <c r="F40" s="397"/>
      <c r="H40" s="398"/>
    </row>
    <row r="41" spans="2:8" ht="15.75" thickBot="1">
      <c r="B41" s="392"/>
      <c r="C41" s="10"/>
      <c r="D41" s="392"/>
      <c r="F41" s="398"/>
      <c r="H41" s="392"/>
    </row>
    <row r="42" spans="2:8">
      <c r="B42" s="10"/>
      <c r="C42" s="10"/>
      <c r="D42" s="10"/>
      <c r="F42" s="10"/>
      <c r="G42" s="10"/>
      <c r="H42" s="10"/>
    </row>
    <row r="43" spans="2:8" ht="15.75" thickBot="1">
      <c r="B43" s="10"/>
      <c r="C43" s="10"/>
      <c r="D43" s="10"/>
      <c r="F43" s="10"/>
      <c r="G43" s="10"/>
      <c r="H43" s="10"/>
    </row>
    <row r="44" spans="2:8" ht="15.75" thickBot="1">
      <c r="B44" s="31"/>
      <c r="C44" s="10"/>
      <c r="D44" s="31"/>
      <c r="F44" s="399"/>
      <c r="H44" s="394"/>
    </row>
    <row r="45" spans="2:8" ht="15.75" thickBot="1">
      <c r="B45" s="400"/>
      <c r="C45" s="10"/>
      <c r="D45" s="399"/>
      <c r="F45" s="130"/>
      <c r="H45" s="399"/>
    </row>
    <row r="46" spans="2:8">
      <c r="B46" s="32"/>
      <c r="C46" s="10"/>
      <c r="D46" s="32"/>
      <c r="F46" s="32"/>
      <c r="H46" s="32"/>
    </row>
    <row r="47" spans="2:8" ht="15.75" thickBot="1">
      <c r="B47" s="32"/>
      <c r="C47" s="393"/>
      <c r="D47" s="32"/>
      <c r="F47" s="32"/>
      <c r="H47" s="32"/>
    </row>
    <row r="48" spans="2:8" ht="15.75" thickBot="1">
      <c r="B48" s="398"/>
      <c r="D48" s="398"/>
      <c r="F48" s="398"/>
      <c r="H48" s="398"/>
    </row>
    <row r="49" spans="2:8" ht="15.75" thickBot="1">
      <c r="B49" s="33"/>
      <c r="D49" s="33"/>
      <c r="F49" s="33"/>
      <c r="H49" s="3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2:AK192"/>
  <sheetViews>
    <sheetView workbookViewId="0">
      <selection activeCell="F12" sqref="F12"/>
    </sheetView>
  </sheetViews>
  <sheetFormatPr defaultRowHeight="15"/>
  <cols>
    <col min="1" max="1" width="19.42578125" customWidth="1"/>
    <col min="2" max="3" width="7.42578125" customWidth="1"/>
    <col min="4" max="4" width="6.140625" customWidth="1"/>
    <col min="5" max="5" width="7.140625" customWidth="1"/>
    <col min="6" max="6" width="7.5703125" customWidth="1"/>
    <col min="7" max="7" width="7.42578125" customWidth="1"/>
    <col min="8" max="8" width="8.28515625" customWidth="1"/>
    <col min="9" max="9" width="6.7109375" style="238" customWidth="1"/>
    <col min="10" max="10" width="7" customWidth="1"/>
    <col min="11" max="11" width="7.5703125" customWidth="1"/>
    <col min="12" max="12" width="8.28515625" customWidth="1"/>
    <col min="18" max="18" width="8.140625" customWidth="1"/>
    <col min="20" max="20" width="8.28515625" customWidth="1"/>
    <col min="21" max="21" width="11.42578125" customWidth="1"/>
    <col min="30" max="30" width="8.140625" customWidth="1"/>
  </cols>
  <sheetData>
    <row r="2" spans="3:14">
      <c r="C2" t="s">
        <v>457</v>
      </c>
      <c r="D2" t="s">
        <v>432</v>
      </c>
      <c r="E2" t="s">
        <v>458</v>
      </c>
      <c r="F2" t="s">
        <v>459</v>
      </c>
      <c r="G2" t="s">
        <v>460</v>
      </c>
      <c r="H2" t="s">
        <v>461</v>
      </c>
      <c r="I2" s="238" t="s">
        <v>462</v>
      </c>
      <c r="J2" t="s">
        <v>398</v>
      </c>
      <c r="K2" t="s">
        <v>463</v>
      </c>
      <c r="M2" t="s">
        <v>468</v>
      </c>
    </row>
    <row r="3" spans="3:14">
      <c r="C3" s="315" t="s">
        <v>456</v>
      </c>
      <c r="D3" s="315">
        <v>5000</v>
      </c>
      <c r="E3" s="315" t="s">
        <v>464</v>
      </c>
      <c r="F3" s="315">
        <v>100</v>
      </c>
      <c r="G3" s="315">
        <v>80</v>
      </c>
      <c r="H3" s="315">
        <v>100</v>
      </c>
      <c r="I3" s="238">
        <v>7350</v>
      </c>
      <c r="J3">
        <f>I3-I4</f>
        <v>1351</v>
      </c>
      <c r="K3">
        <v>7950</v>
      </c>
      <c r="L3">
        <f>K3-I3</f>
        <v>600</v>
      </c>
      <c r="M3">
        <v>6570</v>
      </c>
      <c r="N3">
        <f>I3-M3</f>
        <v>780</v>
      </c>
    </row>
    <row r="4" spans="3:14">
      <c r="C4" t="s">
        <v>456</v>
      </c>
      <c r="D4">
        <v>4000</v>
      </c>
      <c r="E4" t="s">
        <v>464</v>
      </c>
      <c r="F4">
        <v>98</v>
      </c>
      <c r="G4">
        <v>83</v>
      </c>
      <c r="H4">
        <v>98</v>
      </c>
      <c r="I4" s="238">
        <v>5999</v>
      </c>
      <c r="J4">
        <f t="shared" ref="J4:J7" si="0">I4-I5</f>
        <v>600</v>
      </c>
      <c r="K4">
        <v>7450</v>
      </c>
      <c r="L4">
        <f t="shared" ref="L4:L7" si="1">K4-I4</f>
        <v>1451</v>
      </c>
      <c r="M4">
        <v>6050</v>
      </c>
      <c r="N4">
        <f t="shared" ref="N4:N7" si="2">I4-M4</f>
        <v>-51</v>
      </c>
    </row>
    <row r="5" spans="3:14">
      <c r="C5" t="s">
        <v>456</v>
      </c>
      <c r="D5">
        <v>3000</v>
      </c>
      <c r="E5" t="s">
        <v>465</v>
      </c>
      <c r="F5">
        <v>97</v>
      </c>
      <c r="G5">
        <v>85</v>
      </c>
      <c r="H5">
        <v>95</v>
      </c>
      <c r="I5" s="238">
        <v>5399</v>
      </c>
      <c r="J5">
        <f t="shared" si="0"/>
        <v>1600</v>
      </c>
      <c r="K5">
        <v>6350</v>
      </c>
      <c r="L5">
        <f t="shared" si="1"/>
        <v>951</v>
      </c>
      <c r="M5">
        <v>5900</v>
      </c>
      <c r="N5">
        <f t="shared" si="2"/>
        <v>-501</v>
      </c>
    </row>
    <row r="6" spans="3:14">
      <c r="C6" t="s">
        <v>456</v>
      </c>
      <c r="D6">
        <v>2000</v>
      </c>
      <c r="E6" t="s">
        <v>467</v>
      </c>
      <c r="F6">
        <v>95</v>
      </c>
      <c r="G6">
        <v>87</v>
      </c>
      <c r="H6">
        <v>93</v>
      </c>
      <c r="I6" s="238">
        <v>3799</v>
      </c>
      <c r="J6">
        <f t="shared" si="0"/>
        <v>200</v>
      </c>
      <c r="K6">
        <v>4650</v>
      </c>
      <c r="L6">
        <f t="shared" si="1"/>
        <v>851</v>
      </c>
      <c r="M6">
        <v>3900</v>
      </c>
      <c r="N6">
        <f t="shared" si="2"/>
        <v>-101</v>
      </c>
    </row>
    <row r="7" spans="3:14">
      <c r="C7" t="s">
        <v>456</v>
      </c>
      <c r="D7">
        <v>1000</v>
      </c>
      <c r="E7" t="s">
        <v>466</v>
      </c>
      <c r="F7">
        <v>93</v>
      </c>
      <c r="G7">
        <v>92</v>
      </c>
      <c r="H7">
        <v>90</v>
      </c>
      <c r="I7" s="238">
        <v>3599</v>
      </c>
      <c r="J7">
        <f t="shared" si="0"/>
        <v>3599</v>
      </c>
      <c r="K7">
        <v>4350</v>
      </c>
      <c r="L7">
        <f t="shared" si="1"/>
        <v>751</v>
      </c>
      <c r="N7">
        <f t="shared" si="2"/>
        <v>3599</v>
      </c>
    </row>
    <row r="8" spans="3:14" ht="15.75" thickBot="1"/>
    <row r="9" spans="3:14">
      <c r="C9" t="s">
        <v>469</v>
      </c>
      <c r="D9">
        <v>6</v>
      </c>
      <c r="F9" s="5">
        <v>13</v>
      </c>
      <c r="G9" s="6">
        <v>11</v>
      </c>
      <c r="H9" s="344">
        <v>13</v>
      </c>
      <c r="I9" s="238" t="s">
        <v>471</v>
      </c>
      <c r="J9">
        <f>SUM(F9:H9)</f>
        <v>37</v>
      </c>
      <c r="K9">
        <v>176</v>
      </c>
    </row>
    <row r="10" spans="3:14">
      <c r="D10" s="315">
        <v>7</v>
      </c>
      <c r="E10" s="315"/>
      <c r="F10" s="401">
        <v>12.5</v>
      </c>
      <c r="G10" s="402">
        <v>12.5</v>
      </c>
      <c r="H10" s="403">
        <v>14</v>
      </c>
      <c r="I10" s="238" t="s">
        <v>472</v>
      </c>
      <c r="J10">
        <f>SUM(F10:H10)</f>
        <v>39</v>
      </c>
      <c r="K10">
        <v>174</v>
      </c>
    </row>
    <row r="11" spans="3:14">
      <c r="D11" s="315">
        <v>8</v>
      </c>
      <c r="E11" s="315"/>
      <c r="F11" s="401">
        <v>13.5</v>
      </c>
      <c r="G11" s="402">
        <v>12.5</v>
      </c>
      <c r="H11" s="404">
        <v>13.5</v>
      </c>
      <c r="I11" s="238" t="s">
        <v>473</v>
      </c>
      <c r="J11">
        <f t="shared" ref="J11:J12" si="3">SUM(F11:H11)</f>
        <v>39.5</v>
      </c>
      <c r="K11">
        <v>185</v>
      </c>
    </row>
    <row r="12" spans="3:14">
      <c r="D12">
        <v>9</v>
      </c>
      <c r="F12" s="9">
        <v>15</v>
      </c>
      <c r="G12" s="402">
        <v>12.5</v>
      </c>
      <c r="H12" s="404">
        <v>13.5</v>
      </c>
      <c r="I12" s="238" t="s">
        <v>470</v>
      </c>
      <c r="J12">
        <f t="shared" si="3"/>
        <v>41</v>
      </c>
      <c r="K12">
        <v>172</v>
      </c>
    </row>
    <row r="13" spans="3:14">
      <c r="F13" s="9"/>
      <c r="G13" s="10"/>
      <c r="H13" s="299"/>
    </row>
    <row r="14" spans="3:14">
      <c r="C14" t="s">
        <v>474</v>
      </c>
      <c r="D14">
        <v>6</v>
      </c>
      <c r="E14">
        <v>10</v>
      </c>
      <c r="F14" s="9">
        <v>10</v>
      </c>
      <c r="G14" s="402">
        <v>12</v>
      </c>
      <c r="H14" s="299">
        <v>11</v>
      </c>
      <c r="I14" s="238" t="s">
        <v>475</v>
      </c>
    </row>
    <row r="15" spans="3:14">
      <c r="D15">
        <v>7</v>
      </c>
      <c r="E15">
        <v>10</v>
      </c>
      <c r="F15" s="9">
        <v>12</v>
      </c>
      <c r="G15" s="402">
        <v>10</v>
      </c>
      <c r="H15" s="299">
        <v>10</v>
      </c>
      <c r="I15" s="238" t="s">
        <v>476</v>
      </c>
    </row>
    <row r="16" spans="3:14">
      <c r="D16">
        <v>8</v>
      </c>
      <c r="E16">
        <v>12</v>
      </c>
      <c r="F16" s="9">
        <v>12</v>
      </c>
      <c r="G16" s="402">
        <v>10</v>
      </c>
      <c r="H16" s="299">
        <v>10</v>
      </c>
      <c r="I16" s="238" t="s">
        <v>477</v>
      </c>
    </row>
    <row r="17" spans="1:14">
      <c r="D17">
        <v>9</v>
      </c>
      <c r="E17">
        <v>10</v>
      </c>
      <c r="F17" s="9">
        <v>11</v>
      </c>
      <c r="G17" s="402">
        <v>12</v>
      </c>
      <c r="H17" s="299">
        <v>11</v>
      </c>
      <c r="I17" s="238" t="s">
        <v>478</v>
      </c>
    </row>
    <row r="18" spans="1:14">
      <c r="F18" s="9"/>
      <c r="G18" s="10"/>
      <c r="H18" s="299"/>
    </row>
    <row r="19" spans="1:14" ht="15.75" thickBot="1">
      <c r="F19" s="275"/>
      <c r="G19" s="277"/>
      <c r="H19" s="300"/>
    </row>
    <row r="20" spans="1:14">
      <c r="C20" t="s">
        <v>479</v>
      </c>
      <c r="F20" s="405">
        <v>9</v>
      </c>
      <c r="G20" s="402">
        <v>9</v>
      </c>
      <c r="H20" s="406">
        <v>10</v>
      </c>
      <c r="N20" t="s">
        <v>481</v>
      </c>
    </row>
    <row r="21" spans="1:14">
      <c r="C21" t="s">
        <v>480</v>
      </c>
      <c r="F21" s="405">
        <v>17</v>
      </c>
      <c r="G21" s="402">
        <v>19</v>
      </c>
      <c r="H21" s="406">
        <v>17</v>
      </c>
    </row>
    <row r="25" spans="1:14">
      <c r="A25" t="s">
        <v>690</v>
      </c>
      <c r="C25" t="s">
        <v>525</v>
      </c>
      <c r="D25" t="s">
        <v>525</v>
      </c>
    </row>
    <row r="26" spans="1:14">
      <c r="A26" t="s">
        <v>589</v>
      </c>
      <c r="C26" t="s">
        <v>525</v>
      </c>
      <c r="D26" t="s">
        <v>598</v>
      </c>
    </row>
    <row r="27" spans="1:14">
      <c r="A27" t="s">
        <v>589</v>
      </c>
      <c r="C27" t="s">
        <v>525</v>
      </c>
      <c r="D27" t="s">
        <v>618</v>
      </c>
    </row>
    <row r="28" spans="1:14">
      <c r="A28" t="s">
        <v>589</v>
      </c>
      <c r="C28" t="s">
        <v>598</v>
      </c>
      <c r="D28" t="s">
        <v>598</v>
      </c>
    </row>
    <row r="29" spans="1:14">
      <c r="A29" t="s">
        <v>589</v>
      </c>
      <c r="C29" t="s">
        <v>598</v>
      </c>
      <c r="D29" t="s">
        <v>618</v>
      </c>
    </row>
    <row r="30" spans="1:14">
      <c r="A30" t="s">
        <v>589</v>
      </c>
      <c r="C30" t="s">
        <v>689</v>
      </c>
      <c r="D30" t="s">
        <v>618</v>
      </c>
    </row>
    <row r="32" spans="1:14">
      <c r="C32" t="s">
        <v>525</v>
      </c>
      <c r="D32" t="s">
        <v>525</v>
      </c>
    </row>
    <row r="33" spans="1:4">
      <c r="C33" t="s">
        <v>525</v>
      </c>
      <c r="D33" t="s">
        <v>598</v>
      </c>
    </row>
    <row r="34" spans="1:4">
      <c r="C34" t="s">
        <v>598</v>
      </c>
      <c r="D34" t="s">
        <v>598</v>
      </c>
    </row>
    <row r="36" spans="1:4">
      <c r="C36" t="s">
        <v>525</v>
      </c>
      <c r="D36" t="s">
        <v>598</v>
      </c>
    </row>
    <row r="37" spans="1:4">
      <c r="C37" t="s">
        <v>525</v>
      </c>
      <c r="D37" t="s">
        <v>618</v>
      </c>
    </row>
    <row r="38" spans="1:4">
      <c r="C38" t="s">
        <v>598</v>
      </c>
      <c r="D38" t="s">
        <v>598</v>
      </c>
    </row>
    <row r="40" spans="1:4">
      <c r="A40" t="s">
        <v>691</v>
      </c>
      <c r="B40" t="s">
        <v>525</v>
      </c>
      <c r="C40" t="s">
        <v>525</v>
      </c>
    </row>
    <row r="41" spans="1:4">
      <c r="A41" t="s">
        <v>692</v>
      </c>
      <c r="B41" t="s">
        <v>598</v>
      </c>
      <c r="C41" t="s">
        <v>618</v>
      </c>
    </row>
    <row r="42" spans="1:4">
      <c r="A42" t="s">
        <v>693</v>
      </c>
      <c r="B42" t="s">
        <v>525</v>
      </c>
      <c r="C42" t="s">
        <v>598</v>
      </c>
    </row>
    <row r="43" spans="1:4">
      <c r="A43" t="s">
        <v>694</v>
      </c>
      <c r="B43" t="s">
        <v>525</v>
      </c>
      <c r="C43" t="s">
        <v>618</v>
      </c>
    </row>
    <row r="45" spans="1:4">
      <c r="A45" t="s">
        <v>691</v>
      </c>
      <c r="B45" t="s">
        <v>525</v>
      </c>
      <c r="C45" t="s">
        <v>525</v>
      </c>
    </row>
    <row r="46" spans="1:4">
      <c r="A46" t="s">
        <v>692</v>
      </c>
      <c r="B46" t="s">
        <v>525</v>
      </c>
      <c r="C46" t="s">
        <v>598</v>
      </c>
    </row>
    <row r="47" spans="1:4">
      <c r="A47" t="s">
        <v>693</v>
      </c>
      <c r="B47" t="s">
        <v>598</v>
      </c>
      <c r="C47" t="s">
        <v>598</v>
      </c>
    </row>
    <row r="49" spans="1:7">
      <c r="A49" t="s">
        <v>691</v>
      </c>
      <c r="B49" t="s">
        <v>525</v>
      </c>
      <c r="C49" t="s">
        <v>525</v>
      </c>
    </row>
    <row r="50" spans="1:7">
      <c r="A50" t="s">
        <v>692</v>
      </c>
      <c r="B50" t="s">
        <v>525</v>
      </c>
      <c r="C50" t="s">
        <v>618</v>
      </c>
    </row>
    <row r="51" spans="1:7">
      <c r="A51" t="s">
        <v>693</v>
      </c>
      <c r="B51" t="s">
        <v>525</v>
      </c>
      <c r="C51" t="s">
        <v>598</v>
      </c>
    </row>
    <row r="52" spans="1:7">
      <c r="A52" t="s">
        <v>694</v>
      </c>
      <c r="B52" t="s">
        <v>598</v>
      </c>
      <c r="C52" t="s">
        <v>598</v>
      </c>
    </row>
    <row r="53" spans="1:7">
      <c r="A53" t="s">
        <v>695</v>
      </c>
      <c r="B53" t="s">
        <v>618</v>
      </c>
      <c r="C53" t="s">
        <v>618</v>
      </c>
    </row>
    <row r="56" spans="1:7">
      <c r="A56" t="s">
        <v>691</v>
      </c>
      <c r="B56" t="s">
        <v>525</v>
      </c>
      <c r="C56" t="s">
        <v>525</v>
      </c>
    </row>
    <row r="57" spans="1:7">
      <c r="A57" t="s">
        <v>696</v>
      </c>
      <c r="B57" t="s">
        <v>598</v>
      </c>
      <c r="C57" t="s">
        <v>598</v>
      </c>
    </row>
    <row r="58" spans="1:7">
      <c r="A58" t="s">
        <v>692</v>
      </c>
      <c r="B58" t="s">
        <v>525</v>
      </c>
      <c r="C58" t="s">
        <v>598</v>
      </c>
    </row>
    <row r="60" spans="1:7">
      <c r="A60" t="s">
        <v>670</v>
      </c>
    </row>
    <row r="61" spans="1:7">
      <c r="A61" t="s">
        <v>697</v>
      </c>
    </row>
    <row r="62" spans="1:7">
      <c r="A62" t="s">
        <v>673</v>
      </c>
    </row>
    <row r="63" spans="1:7">
      <c r="A63" t="s">
        <v>698</v>
      </c>
      <c r="F63" t="s">
        <v>682</v>
      </c>
      <c r="G63" t="s">
        <v>681</v>
      </c>
    </row>
    <row r="64" spans="1:7">
      <c r="F64" t="s">
        <v>523</v>
      </c>
      <c r="G64" t="s">
        <v>524</v>
      </c>
    </row>
    <row r="65" spans="1:18">
      <c r="A65" t="s">
        <v>691</v>
      </c>
      <c r="B65" t="s">
        <v>525</v>
      </c>
      <c r="C65" t="s">
        <v>525</v>
      </c>
      <c r="E65" t="s">
        <v>525</v>
      </c>
      <c r="F65">
        <v>3</v>
      </c>
      <c r="G65">
        <v>1</v>
      </c>
    </row>
    <row r="66" spans="1:18">
      <c r="A66" t="s">
        <v>696</v>
      </c>
      <c r="B66" t="s">
        <v>525</v>
      </c>
      <c r="C66" t="s">
        <v>699</v>
      </c>
      <c r="E66" t="s">
        <v>699</v>
      </c>
      <c r="F66">
        <v>1</v>
      </c>
      <c r="G66">
        <v>1</v>
      </c>
    </row>
    <row r="67" spans="1:18">
      <c r="A67" t="s">
        <v>696</v>
      </c>
      <c r="B67" t="s">
        <v>525</v>
      </c>
      <c r="C67" t="s">
        <v>701</v>
      </c>
      <c r="E67" t="s">
        <v>700</v>
      </c>
      <c r="G67">
        <v>0</v>
      </c>
      <c r="L67">
        <v>5595</v>
      </c>
    </row>
    <row r="68" spans="1:18">
      <c r="A68" t="s">
        <v>692</v>
      </c>
      <c r="B68" t="s">
        <v>699</v>
      </c>
      <c r="C68" t="s">
        <v>701</v>
      </c>
      <c r="E68" t="s">
        <v>701</v>
      </c>
      <c r="G68">
        <v>2</v>
      </c>
      <c r="L68">
        <v>4995</v>
      </c>
    </row>
    <row r="69" spans="1:18">
      <c r="L69">
        <f>L67-L68</f>
        <v>600</v>
      </c>
    </row>
    <row r="71" spans="1:18">
      <c r="A71" t="s">
        <v>691</v>
      </c>
      <c r="B71" t="s">
        <v>525</v>
      </c>
      <c r="C71" t="s">
        <v>699</v>
      </c>
      <c r="E71" t="s">
        <v>525</v>
      </c>
      <c r="F71">
        <v>3</v>
      </c>
      <c r="G71">
        <v>1</v>
      </c>
    </row>
    <row r="72" spans="1:18">
      <c r="A72" t="s">
        <v>696</v>
      </c>
      <c r="B72" t="s">
        <v>525</v>
      </c>
      <c r="C72" t="s">
        <v>701</v>
      </c>
      <c r="E72" t="s">
        <v>699</v>
      </c>
      <c r="F72">
        <v>1</v>
      </c>
      <c r="G72">
        <v>1</v>
      </c>
    </row>
    <row r="73" spans="1:18">
      <c r="A73" t="s">
        <v>696</v>
      </c>
      <c r="B73" t="s">
        <v>701</v>
      </c>
      <c r="C73" t="s">
        <v>702</v>
      </c>
      <c r="E73" t="s">
        <v>700</v>
      </c>
      <c r="G73">
        <v>0</v>
      </c>
    </row>
    <row r="74" spans="1:18">
      <c r="A74" t="s">
        <v>692</v>
      </c>
      <c r="B74" t="s">
        <v>699</v>
      </c>
      <c r="C74" t="s">
        <v>700</v>
      </c>
      <c r="E74" t="s">
        <v>701</v>
      </c>
      <c r="G74">
        <v>1</v>
      </c>
    </row>
    <row r="75" spans="1:18">
      <c r="E75" t="s">
        <v>702</v>
      </c>
      <c r="G75">
        <v>1</v>
      </c>
    </row>
    <row r="76" spans="1:18">
      <c r="N76">
        <f>SUM(N77:N86)</f>
        <v>13698</v>
      </c>
      <c r="P76">
        <v>11253</v>
      </c>
      <c r="R76">
        <v>2334</v>
      </c>
    </row>
    <row r="77" spans="1:18">
      <c r="A77" t="s">
        <v>691</v>
      </c>
      <c r="B77" t="s">
        <v>525</v>
      </c>
      <c r="C77" s="326" t="s">
        <v>700</v>
      </c>
      <c r="E77" s="305" t="s">
        <v>525</v>
      </c>
      <c r="F77">
        <v>2</v>
      </c>
      <c r="G77">
        <v>0</v>
      </c>
      <c r="H77">
        <v>13282</v>
      </c>
      <c r="I77" s="238">
        <v>-729</v>
      </c>
      <c r="L77">
        <v>5525</v>
      </c>
      <c r="N77">
        <v>5037</v>
      </c>
      <c r="P77">
        <v>2448</v>
      </c>
      <c r="R77">
        <v>3476</v>
      </c>
    </row>
    <row r="78" spans="1:18">
      <c r="A78" t="s">
        <v>692</v>
      </c>
      <c r="B78" t="s">
        <v>525</v>
      </c>
      <c r="C78" s="339" t="s">
        <v>702</v>
      </c>
      <c r="E78" s="305" t="s">
        <v>699</v>
      </c>
      <c r="F78" s="238">
        <v>1</v>
      </c>
      <c r="G78">
        <v>0</v>
      </c>
      <c r="L78">
        <v>1616</v>
      </c>
      <c r="N78">
        <v>1547</v>
      </c>
      <c r="P78">
        <f>P76+P77</f>
        <v>13701</v>
      </c>
      <c r="R78">
        <f>R76+R77</f>
        <v>5810</v>
      </c>
    </row>
    <row r="79" spans="1:18">
      <c r="A79" t="s">
        <v>696</v>
      </c>
      <c r="B79" s="339" t="s">
        <v>699</v>
      </c>
      <c r="C79" s="326" t="s">
        <v>700</v>
      </c>
      <c r="E79" s="305" t="s">
        <v>700</v>
      </c>
      <c r="G79" s="410">
        <v>2</v>
      </c>
      <c r="L79">
        <v>1489</v>
      </c>
      <c r="N79">
        <v>1472</v>
      </c>
    </row>
    <row r="80" spans="1:18">
      <c r="A80" s="242" t="s">
        <v>704</v>
      </c>
      <c r="B80" s="242" t="s">
        <v>701</v>
      </c>
      <c r="C80" s="242" t="s">
        <v>702</v>
      </c>
      <c r="E80" t="s">
        <v>701</v>
      </c>
      <c r="F80">
        <v>1</v>
      </c>
      <c r="G80">
        <v>0</v>
      </c>
      <c r="L80">
        <v>1565</v>
      </c>
      <c r="N80">
        <v>1597</v>
      </c>
    </row>
    <row r="81" spans="1:23">
      <c r="A81" s="242" t="s">
        <v>703</v>
      </c>
      <c r="B81" t="s">
        <v>525</v>
      </c>
      <c r="C81" t="s">
        <v>525</v>
      </c>
      <c r="G81" s="410"/>
      <c r="N81">
        <v>1597</v>
      </c>
    </row>
    <row r="82" spans="1:23">
      <c r="N82">
        <v>2448</v>
      </c>
      <c r="U82" t="s">
        <v>868</v>
      </c>
      <c r="V82" t="s">
        <v>868</v>
      </c>
    </row>
    <row r="83" spans="1:23">
      <c r="A83" t="s">
        <v>691</v>
      </c>
      <c r="B83" t="s">
        <v>525</v>
      </c>
      <c r="C83" t="s">
        <v>699</v>
      </c>
      <c r="E83" t="s">
        <v>525</v>
      </c>
      <c r="F83">
        <v>2</v>
      </c>
      <c r="G83">
        <v>0</v>
      </c>
      <c r="H83">
        <v>12993</v>
      </c>
      <c r="I83" s="238">
        <v>12700</v>
      </c>
      <c r="U83" t="s">
        <v>954</v>
      </c>
      <c r="V83" t="s">
        <v>954</v>
      </c>
    </row>
    <row r="84" spans="1:23">
      <c r="A84" t="s">
        <v>692</v>
      </c>
      <c r="B84" t="s">
        <v>525</v>
      </c>
      <c r="C84" t="s">
        <v>701</v>
      </c>
      <c r="E84" t="s">
        <v>699</v>
      </c>
      <c r="F84">
        <v>1</v>
      </c>
      <c r="G84">
        <v>1</v>
      </c>
      <c r="U84" t="s">
        <v>598</v>
      </c>
      <c r="V84" t="s">
        <v>525</v>
      </c>
    </row>
    <row r="85" spans="1:23">
      <c r="A85" t="s">
        <v>703</v>
      </c>
      <c r="B85" t="s">
        <v>525</v>
      </c>
      <c r="C85" t="s">
        <v>525</v>
      </c>
      <c r="E85" t="s">
        <v>700</v>
      </c>
      <c r="G85">
        <v>1</v>
      </c>
      <c r="U85" t="s">
        <v>618</v>
      </c>
      <c r="V85" t="s">
        <v>525</v>
      </c>
    </row>
    <row r="86" spans="1:23">
      <c r="A86" s="326" t="s">
        <v>705</v>
      </c>
      <c r="B86" s="326" t="s">
        <v>699</v>
      </c>
      <c r="C86" s="326" t="s">
        <v>700</v>
      </c>
      <c r="E86" t="s">
        <v>701</v>
      </c>
      <c r="F86">
        <v>0</v>
      </c>
      <c r="G86">
        <v>1</v>
      </c>
      <c r="U86" t="s">
        <v>954</v>
      </c>
      <c r="V86" t="s">
        <v>525</v>
      </c>
    </row>
    <row r="87" spans="1:23">
      <c r="A87" s="326" t="s">
        <v>706</v>
      </c>
      <c r="B87" s="326" t="s">
        <v>701</v>
      </c>
      <c r="C87" s="326" t="s">
        <v>702</v>
      </c>
      <c r="E87" t="s">
        <v>702</v>
      </c>
      <c r="F87">
        <v>1</v>
      </c>
      <c r="G87">
        <v>0</v>
      </c>
      <c r="U87" t="s">
        <v>525</v>
      </c>
      <c r="V87" t="s">
        <v>868</v>
      </c>
    </row>
    <row r="88" spans="1:23">
      <c r="I88"/>
      <c r="U88" t="s">
        <v>598</v>
      </c>
      <c r="V88" t="s">
        <v>954</v>
      </c>
      <c r="W88" t="s">
        <v>525</v>
      </c>
    </row>
    <row r="89" spans="1:23">
      <c r="A89" t="s">
        <v>691</v>
      </c>
      <c r="B89" t="s">
        <v>525</v>
      </c>
      <c r="C89" t="s">
        <v>700</v>
      </c>
      <c r="E89" s="305" t="s">
        <v>525</v>
      </c>
      <c r="F89">
        <v>3</v>
      </c>
      <c r="G89">
        <v>1</v>
      </c>
      <c r="U89" t="s">
        <v>598</v>
      </c>
      <c r="V89" t="s">
        <v>868</v>
      </c>
      <c r="W89" t="s">
        <v>525</v>
      </c>
    </row>
    <row r="90" spans="1:23">
      <c r="A90" t="s">
        <v>692</v>
      </c>
      <c r="B90" t="s">
        <v>525</v>
      </c>
      <c r="C90" t="s">
        <v>702</v>
      </c>
      <c r="E90" s="305" t="s">
        <v>699</v>
      </c>
      <c r="F90" s="238">
        <v>1</v>
      </c>
      <c r="G90">
        <v>0</v>
      </c>
      <c r="U90" t="s">
        <v>598</v>
      </c>
      <c r="V90" t="s">
        <v>598</v>
      </c>
      <c r="W90" t="s">
        <v>525</v>
      </c>
    </row>
    <row r="91" spans="1:23">
      <c r="A91" s="216" t="s">
        <v>696</v>
      </c>
      <c r="B91" s="216" t="s">
        <v>699</v>
      </c>
      <c r="C91" s="216" t="s">
        <v>700</v>
      </c>
      <c r="E91" s="305" t="s">
        <v>700</v>
      </c>
      <c r="G91" s="410">
        <v>2</v>
      </c>
    </row>
    <row r="92" spans="1:23">
      <c r="A92" s="216" t="s">
        <v>696</v>
      </c>
      <c r="B92" s="216" t="s">
        <v>701</v>
      </c>
      <c r="C92" s="216" t="s">
        <v>702</v>
      </c>
      <c r="E92" t="s">
        <v>701</v>
      </c>
      <c r="F92">
        <v>1</v>
      </c>
      <c r="G92">
        <v>0</v>
      </c>
      <c r="O92" t="s">
        <v>598</v>
      </c>
      <c r="P92">
        <v>5</v>
      </c>
      <c r="U92" t="s">
        <v>1179</v>
      </c>
      <c r="V92" t="s">
        <v>598</v>
      </c>
      <c r="W92" t="s">
        <v>525</v>
      </c>
    </row>
    <row r="93" spans="1:23">
      <c r="A93" t="s">
        <v>696</v>
      </c>
      <c r="B93" t="s">
        <v>525</v>
      </c>
      <c r="C93" t="s">
        <v>525</v>
      </c>
      <c r="E93" t="s">
        <v>702</v>
      </c>
      <c r="G93">
        <v>0</v>
      </c>
      <c r="O93" t="s">
        <v>618</v>
      </c>
      <c r="P93">
        <v>2</v>
      </c>
      <c r="U93" t="s">
        <v>1180</v>
      </c>
    </row>
    <row r="94" spans="1:23">
      <c r="O94" t="s">
        <v>868</v>
      </c>
      <c r="P94">
        <v>4</v>
      </c>
      <c r="U94" t="s">
        <v>1181</v>
      </c>
    </row>
    <row r="95" spans="1:23">
      <c r="E95" t="s">
        <v>525</v>
      </c>
      <c r="F95">
        <v>5</v>
      </c>
      <c r="G95" s="410">
        <v>4</v>
      </c>
      <c r="O95" t="s">
        <v>954</v>
      </c>
      <c r="P95">
        <v>4</v>
      </c>
    </row>
    <row r="97" spans="1:37">
      <c r="A97" t="s">
        <v>691</v>
      </c>
      <c r="B97" t="s">
        <v>525</v>
      </c>
      <c r="C97" t="s">
        <v>525</v>
      </c>
      <c r="E97" t="s">
        <v>525</v>
      </c>
      <c r="F97">
        <v>2</v>
      </c>
      <c r="G97">
        <v>0</v>
      </c>
      <c r="O97" t="s">
        <v>598</v>
      </c>
      <c r="P97" t="s">
        <v>682</v>
      </c>
      <c r="Q97" t="s">
        <v>864</v>
      </c>
      <c r="R97">
        <v>2</v>
      </c>
    </row>
    <row r="98" spans="1:37">
      <c r="A98" t="s">
        <v>692</v>
      </c>
      <c r="B98" t="s">
        <v>525</v>
      </c>
      <c r="C98" t="s">
        <v>699</v>
      </c>
      <c r="E98" t="s">
        <v>699</v>
      </c>
      <c r="F98">
        <v>1</v>
      </c>
      <c r="G98">
        <v>1</v>
      </c>
      <c r="O98" t="s">
        <v>598</v>
      </c>
      <c r="P98" t="s">
        <v>681</v>
      </c>
      <c r="Q98" t="s">
        <v>864</v>
      </c>
      <c r="R98">
        <v>2</v>
      </c>
      <c r="S98">
        <v>4</v>
      </c>
    </row>
    <row r="99" spans="1:37">
      <c r="A99" t="s">
        <v>703</v>
      </c>
      <c r="B99" s="216" t="s">
        <v>699</v>
      </c>
      <c r="C99" s="216" t="s">
        <v>700</v>
      </c>
      <c r="E99" t="s">
        <v>700</v>
      </c>
      <c r="G99">
        <v>1</v>
      </c>
      <c r="O99" t="s">
        <v>598</v>
      </c>
      <c r="P99" t="s">
        <v>682</v>
      </c>
      <c r="Q99" t="s">
        <v>865</v>
      </c>
      <c r="R99">
        <v>1</v>
      </c>
      <c r="S99">
        <v>1</v>
      </c>
    </row>
    <row r="100" spans="1:37">
      <c r="A100" s="326" t="s">
        <v>706</v>
      </c>
      <c r="B100" s="326" t="s">
        <v>701</v>
      </c>
      <c r="C100" s="326" t="s">
        <v>702</v>
      </c>
      <c r="E100" t="s">
        <v>702</v>
      </c>
      <c r="G100">
        <v>0</v>
      </c>
      <c r="O100" t="s">
        <v>618</v>
      </c>
      <c r="P100" t="s">
        <v>681</v>
      </c>
      <c r="Q100" t="s">
        <v>864</v>
      </c>
      <c r="R100">
        <v>2</v>
      </c>
      <c r="S100">
        <v>1</v>
      </c>
    </row>
    <row r="101" spans="1:37">
      <c r="F101" t="s">
        <v>682</v>
      </c>
      <c r="G101" t="s">
        <v>775</v>
      </c>
      <c r="H101" t="s">
        <v>682</v>
      </c>
      <c r="I101" t="s">
        <v>775</v>
      </c>
      <c r="O101" t="s">
        <v>868</v>
      </c>
      <c r="P101" t="s">
        <v>681</v>
      </c>
      <c r="Q101" t="s">
        <v>868</v>
      </c>
      <c r="R101">
        <v>2</v>
      </c>
    </row>
    <row r="102" spans="1:37">
      <c r="F102" t="s">
        <v>523</v>
      </c>
      <c r="G102" t="s">
        <v>524</v>
      </c>
      <c r="H102" t="s">
        <v>523</v>
      </c>
      <c r="I102" t="s">
        <v>524</v>
      </c>
      <c r="O102" t="s">
        <v>868</v>
      </c>
      <c r="P102" t="s">
        <v>682</v>
      </c>
      <c r="Q102" t="s">
        <v>868</v>
      </c>
      <c r="R102">
        <v>2</v>
      </c>
    </row>
    <row r="103" spans="1:37">
      <c r="A103" s="216" t="s">
        <v>774</v>
      </c>
      <c r="B103" s="326" t="s">
        <v>701</v>
      </c>
      <c r="C103" s="326" t="s">
        <v>702</v>
      </c>
      <c r="E103" s="216" t="s">
        <v>701</v>
      </c>
      <c r="F103" s="326">
        <v>1</v>
      </c>
      <c r="O103" t="s">
        <v>954</v>
      </c>
      <c r="P103" t="s">
        <v>681</v>
      </c>
      <c r="Q103" t="s">
        <v>868</v>
      </c>
      <c r="R103">
        <v>2</v>
      </c>
    </row>
    <row r="104" spans="1:37" ht="15.75" thickBot="1">
      <c r="A104" s="216"/>
      <c r="B104" s="326"/>
      <c r="C104" s="326"/>
      <c r="E104" s="216"/>
      <c r="F104" s="326"/>
      <c r="O104" t="s">
        <v>954</v>
      </c>
      <c r="P104" t="s">
        <v>682</v>
      </c>
      <c r="Q104" t="s">
        <v>868</v>
      </c>
      <c r="R104">
        <v>2</v>
      </c>
    </row>
    <row r="105" spans="1:37">
      <c r="A105" s="5" t="s">
        <v>704</v>
      </c>
      <c r="B105" s="6" t="s">
        <v>700</v>
      </c>
      <c r="C105" s="415" t="s">
        <v>700</v>
      </c>
      <c r="D105" s="6"/>
      <c r="E105" s="6" t="s">
        <v>700</v>
      </c>
      <c r="F105" s="6">
        <v>3</v>
      </c>
      <c r="G105" s="416">
        <v>1</v>
      </c>
      <c r="H105">
        <v>0</v>
      </c>
      <c r="I105" s="238">
        <v>2</v>
      </c>
    </row>
    <row r="106" spans="1:37">
      <c r="A106" s="9" t="s">
        <v>691</v>
      </c>
      <c r="B106" s="417" t="s">
        <v>700</v>
      </c>
      <c r="C106" t="s">
        <v>525</v>
      </c>
      <c r="D106" s="10"/>
      <c r="E106" s="10" t="s">
        <v>702</v>
      </c>
      <c r="F106" s="10">
        <v>1</v>
      </c>
      <c r="G106" s="418">
        <v>1</v>
      </c>
      <c r="H106">
        <v>0</v>
      </c>
      <c r="I106" s="238">
        <v>1</v>
      </c>
    </row>
    <row r="107" spans="1:37" ht="15.75" thickBot="1">
      <c r="A107" s="275" t="s">
        <v>692</v>
      </c>
      <c r="B107" s="419" t="s">
        <v>702</v>
      </c>
      <c r="C107" t="s">
        <v>525</v>
      </c>
      <c r="D107" s="277"/>
      <c r="E107" s="277" t="s">
        <v>699</v>
      </c>
      <c r="F107" s="277">
        <v>0</v>
      </c>
      <c r="G107" s="300"/>
    </row>
    <row r="108" spans="1:37">
      <c r="B108" s="420" t="s">
        <v>700</v>
      </c>
      <c r="C108" t="s">
        <v>702</v>
      </c>
      <c r="O108" t="s">
        <v>863</v>
      </c>
      <c r="V108" t="s">
        <v>682</v>
      </c>
      <c r="W108" t="s">
        <v>681</v>
      </c>
    </row>
    <row r="109" spans="1:37" ht="15.75" thickBot="1">
      <c r="K109" t="s">
        <v>682</v>
      </c>
      <c r="L109" t="s">
        <v>681</v>
      </c>
      <c r="N109" s="302">
        <v>1</v>
      </c>
      <c r="O109" s="315" t="s">
        <v>598</v>
      </c>
      <c r="P109" s="315" t="s">
        <v>682</v>
      </c>
      <c r="Q109" s="315" t="s">
        <v>864</v>
      </c>
      <c r="R109" s="305">
        <v>1</v>
      </c>
      <c r="S109" t="s">
        <v>863</v>
      </c>
      <c r="T109" s="305" t="s">
        <v>682</v>
      </c>
      <c r="U109" s="305" t="s">
        <v>681</v>
      </c>
      <c r="V109">
        <v>3</v>
      </c>
      <c r="W109">
        <v>2</v>
      </c>
      <c r="AD109" t="s">
        <v>682</v>
      </c>
    </row>
    <row r="110" spans="1:37">
      <c r="A110" s="5" t="s">
        <v>704</v>
      </c>
      <c r="B110" s="6" t="s">
        <v>700</v>
      </c>
      <c r="C110" s="415" t="s">
        <v>700</v>
      </c>
      <c r="D110" s="6"/>
      <c r="E110" s="5" t="s">
        <v>700</v>
      </c>
      <c r="F110" s="6">
        <v>2</v>
      </c>
      <c r="G110" s="416">
        <v>2</v>
      </c>
      <c r="H110" s="6">
        <v>0</v>
      </c>
      <c r="I110" s="366">
        <v>2</v>
      </c>
      <c r="J110" s="5" t="s">
        <v>700</v>
      </c>
      <c r="K110" s="393">
        <v>2</v>
      </c>
      <c r="L110" s="393">
        <v>2</v>
      </c>
      <c r="N110" s="302">
        <v>1</v>
      </c>
      <c r="O110" s="410" t="s">
        <v>598</v>
      </c>
      <c r="P110" s="410" t="s">
        <v>682</v>
      </c>
      <c r="Q110" s="410" t="s">
        <v>864</v>
      </c>
      <c r="R110" s="305">
        <v>1</v>
      </c>
      <c r="T110" s="315" t="s">
        <v>598</v>
      </c>
      <c r="U110" s="315" t="s">
        <v>618</v>
      </c>
      <c r="V110" t="s">
        <v>871</v>
      </c>
      <c r="W110" t="s">
        <v>873</v>
      </c>
      <c r="X110" t="s">
        <v>589</v>
      </c>
      <c r="Z110" t="s">
        <v>598</v>
      </c>
      <c r="AA110" t="s">
        <v>598</v>
      </c>
      <c r="AB110" t="s">
        <v>1005</v>
      </c>
      <c r="AD110" s="465" t="s">
        <v>700</v>
      </c>
      <c r="AE110" s="465" t="s">
        <v>525</v>
      </c>
      <c r="AF110" s="466" t="s">
        <v>1012</v>
      </c>
      <c r="AG110" s="466" t="s">
        <v>1012</v>
      </c>
      <c r="AH110" s="465" t="s">
        <v>873</v>
      </c>
      <c r="AI110" t="s">
        <v>873</v>
      </c>
      <c r="AJ110" t="s">
        <v>1005</v>
      </c>
      <c r="AK110" s="237" t="s">
        <v>1005</v>
      </c>
    </row>
    <row r="111" spans="1:37">
      <c r="A111" s="9" t="s">
        <v>691</v>
      </c>
      <c r="B111" t="s">
        <v>525</v>
      </c>
      <c r="C111" s="417" t="s">
        <v>700</v>
      </c>
      <c r="D111" s="10"/>
      <c r="E111" s="9" t="s">
        <v>702</v>
      </c>
      <c r="F111" s="10">
        <v>0</v>
      </c>
      <c r="G111" s="418">
        <v>2</v>
      </c>
      <c r="H111" s="10">
        <v>0</v>
      </c>
      <c r="I111" s="369">
        <v>1</v>
      </c>
      <c r="J111" s="9" t="s">
        <v>702</v>
      </c>
      <c r="L111">
        <v>2</v>
      </c>
      <c r="N111" s="302">
        <v>1</v>
      </c>
      <c r="O111" s="315" t="s">
        <v>618</v>
      </c>
      <c r="P111" s="315" t="s">
        <v>681</v>
      </c>
      <c r="Q111" s="315" t="s">
        <v>864</v>
      </c>
      <c r="R111" s="305">
        <v>1</v>
      </c>
      <c r="S111" t="s">
        <v>863</v>
      </c>
      <c r="T111" s="410" t="s">
        <v>598</v>
      </c>
      <c r="U111" s="410" t="s">
        <v>868</v>
      </c>
      <c r="V111" t="s">
        <v>871</v>
      </c>
      <c r="W111" t="s">
        <v>873</v>
      </c>
      <c r="X111" t="s">
        <v>872</v>
      </c>
      <c r="Z111" t="s">
        <v>618</v>
      </c>
      <c r="AA111" t="s">
        <v>618</v>
      </c>
      <c r="AB111" t="s">
        <v>589</v>
      </c>
      <c r="AD111" s="465" t="s">
        <v>700</v>
      </c>
      <c r="AE111" s="465" t="s">
        <v>700</v>
      </c>
      <c r="AF111" s="466" t="s">
        <v>872</v>
      </c>
      <c r="AG111" s="466" t="s">
        <v>1005</v>
      </c>
      <c r="AH111" s="465" t="s">
        <v>1005</v>
      </c>
      <c r="AI111" t="s">
        <v>1009</v>
      </c>
      <c r="AJ111" t="s">
        <v>873</v>
      </c>
      <c r="AK111" s="237" t="s">
        <v>873</v>
      </c>
    </row>
    <row r="112" spans="1:37" ht="15.75" thickBot="1">
      <c r="A112" s="275" t="s">
        <v>692</v>
      </c>
      <c r="B112" t="s">
        <v>525</v>
      </c>
      <c r="C112" t="s">
        <v>702</v>
      </c>
      <c r="D112" s="277"/>
      <c r="E112" s="275" t="s">
        <v>699</v>
      </c>
      <c r="F112" s="277">
        <v>0</v>
      </c>
      <c r="G112" s="300"/>
      <c r="H112" s="277"/>
      <c r="I112" s="372"/>
      <c r="O112" s="423" t="s">
        <v>618</v>
      </c>
      <c r="P112" s="423" t="s">
        <v>682</v>
      </c>
      <c r="Q112" s="423" t="s">
        <v>865</v>
      </c>
      <c r="R112" s="305">
        <v>1</v>
      </c>
      <c r="S112" t="s">
        <v>866</v>
      </c>
      <c r="T112" s="312" t="s">
        <v>618</v>
      </c>
      <c r="U112" s="312" t="s">
        <v>868</v>
      </c>
      <c r="V112" t="s">
        <v>870</v>
      </c>
      <c r="W112" t="s">
        <v>873</v>
      </c>
      <c r="X112" t="s">
        <v>872</v>
      </c>
      <c r="Z112" t="s">
        <v>868</v>
      </c>
      <c r="AA112" t="s">
        <v>868</v>
      </c>
      <c r="AB112" t="s">
        <v>1009</v>
      </c>
      <c r="AC112" t="s">
        <v>1010</v>
      </c>
      <c r="AD112" s="465"/>
      <c r="AE112" s="465"/>
      <c r="AF112" s="466"/>
      <c r="AG112" s="466"/>
      <c r="AH112" s="465"/>
      <c r="AK112" s="237"/>
    </row>
    <row r="113" spans="1:37">
      <c r="B113" s="420" t="s">
        <v>700</v>
      </c>
      <c r="C113" t="s">
        <v>702</v>
      </c>
      <c r="N113" t="s">
        <v>21</v>
      </c>
      <c r="O113" s="423" t="s">
        <v>618</v>
      </c>
      <c r="P113" s="423" t="s">
        <v>681</v>
      </c>
      <c r="Q113" s="423" t="s">
        <v>864</v>
      </c>
      <c r="R113" s="305">
        <v>1</v>
      </c>
      <c r="S113" t="s">
        <v>866</v>
      </c>
      <c r="T113" s="422" t="s">
        <v>598</v>
      </c>
      <c r="U113" s="422" t="s">
        <v>598</v>
      </c>
      <c r="V113" t="s">
        <v>589</v>
      </c>
      <c r="W113" t="s">
        <v>589</v>
      </c>
      <c r="X113" t="s">
        <v>589</v>
      </c>
      <c r="Y113" t="s">
        <v>589</v>
      </c>
      <c r="Z113" t="s">
        <v>954</v>
      </c>
      <c r="AA113" t="s">
        <v>954</v>
      </c>
      <c r="AB113" t="s">
        <v>1011</v>
      </c>
      <c r="AD113" s="465"/>
      <c r="AE113" s="465"/>
      <c r="AF113" s="466"/>
      <c r="AG113" s="466"/>
      <c r="AH113" s="465"/>
      <c r="AK113" s="237"/>
    </row>
    <row r="114" spans="1:37">
      <c r="N114" s="238"/>
      <c r="O114" s="422" t="s">
        <v>598</v>
      </c>
      <c r="P114" s="422" t="s">
        <v>681</v>
      </c>
      <c r="Q114" s="422" t="s">
        <v>864</v>
      </c>
      <c r="R114" s="305">
        <v>1</v>
      </c>
      <c r="S114" t="s">
        <v>867</v>
      </c>
      <c r="T114" s="423" t="s">
        <v>618</v>
      </c>
      <c r="U114" s="423" t="s">
        <v>618</v>
      </c>
      <c r="V114" t="s">
        <v>589</v>
      </c>
      <c r="W114" t="s">
        <v>589</v>
      </c>
      <c r="X114" t="s">
        <v>872</v>
      </c>
      <c r="Y114" t="s">
        <v>589</v>
      </c>
      <c r="AC114" t="s">
        <v>589</v>
      </c>
      <c r="AD114" s="465" t="s">
        <v>1013</v>
      </c>
      <c r="AE114" s="465" t="s">
        <v>525</v>
      </c>
      <c r="AF114" s="466" t="s">
        <v>1014</v>
      </c>
      <c r="AG114" s="466" t="s">
        <v>1014</v>
      </c>
      <c r="AH114" s="465" t="s">
        <v>873</v>
      </c>
      <c r="AI114" t="s">
        <v>873</v>
      </c>
      <c r="AJ114" t="s">
        <v>871</v>
      </c>
      <c r="AK114" s="237" t="s">
        <v>1015</v>
      </c>
    </row>
    <row r="115" spans="1:37">
      <c r="A115" t="s">
        <v>776</v>
      </c>
      <c r="B115" t="s">
        <v>701</v>
      </c>
      <c r="C115" t="s">
        <v>702</v>
      </c>
      <c r="N115" s="238"/>
      <c r="O115" s="422" t="s">
        <v>598</v>
      </c>
      <c r="P115" s="422" t="s">
        <v>681</v>
      </c>
      <c r="Q115" s="422" t="s">
        <v>864</v>
      </c>
      <c r="R115" s="305">
        <v>1</v>
      </c>
      <c r="S115" t="s">
        <v>867</v>
      </c>
      <c r="T115" s="330" t="s">
        <v>868</v>
      </c>
      <c r="U115" s="330" t="s">
        <v>868</v>
      </c>
      <c r="V115" t="s">
        <v>870</v>
      </c>
      <c r="W115" t="s">
        <v>589</v>
      </c>
      <c r="X115" t="s">
        <v>872</v>
      </c>
      <c r="Y115" t="s">
        <v>872</v>
      </c>
      <c r="AD115" s="465" t="s">
        <v>1013</v>
      </c>
      <c r="AE115" s="465" t="s">
        <v>1013</v>
      </c>
      <c r="AF115" s="466" t="s">
        <v>872</v>
      </c>
      <c r="AG115" s="466" t="s">
        <v>872</v>
      </c>
      <c r="AH115" s="465" t="s">
        <v>1015</v>
      </c>
      <c r="AI115" t="s">
        <v>1015</v>
      </c>
      <c r="AJ115" t="s">
        <v>873</v>
      </c>
      <c r="AK115" s="237" t="s">
        <v>873</v>
      </c>
    </row>
    <row r="116" spans="1:37">
      <c r="A116" t="s">
        <v>776</v>
      </c>
      <c r="B116" s="302" t="s">
        <v>700</v>
      </c>
      <c r="C116" s="302" t="s">
        <v>700</v>
      </c>
      <c r="E116" t="s">
        <v>700</v>
      </c>
      <c r="F116" s="302">
        <v>2</v>
      </c>
      <c r="G116" s="302">
        <v>1</v>
      </c>
      <c r="H116" s="330">
        <v>1</v>
      </c>
      <c r="I116" s="330"/>
      <c r="J116" s="330" t="s">
        <v>525</v>
      </c>
      <c r="N116" s="238"/>
      <c r="O116" s="175" t="s">
        <v>598</v>
      </c>
      <c r="P116" s="175" t="s">
        <v>682</v>
      </c>
      <c r="Q116" s="175" t="s">
        <v>865</v>
      </c>
      <c r="R116" s="305">
        <v>1</v>
      </c>
      <c r="S116" t="s">
        <v>867</v>
      </c>
      <c r="AD116" s="465"/>
      <c r="AE116" s="465"/>
      <c r="AF116" s="466"/>
      <c r="AG116" s="466"/>
      <c r="AH116" s="465"/>
      <c r="AK116" s="237"/>
    </row>
    <row r="117" spans="1:37">
      <c r="A117" t="s">
        <v>652</v>
      </c>
      <c r="B117" s="302" t="s">
        <v>700</v>
      </c>
      <c r="C117" s="302" t="s">
        <v>702</v>
      </c>
      <c r="F117" s="302"/>
      <c r="G117" s="302">
        <v>1</v>
      </c>
      <c r="H117" s="330">
        <v>1</v>
      </c>
      <c r="I117" s="330"/>
      <c r="J117" s="330" t="s">
        <v>525</v>
      </c>
      <c r="N117" s="238"/>
      <c r="O117" s="312" t="s">
        <v>618</v>
      </c>
      <c r="P117" s="312" t="s">
        <v>681</v>
      </c>
      <c r="Q117" s="312" t="s">
        <v>864</v>
      </c>
      <c r="R117" s="305">
        <v>1</v>
      </c>
      <c r="S117" t="s">
        <v>867</v>
      </c>
      <c r="AD117" s="465" t="s">
        <v>868</v>
      </c>
      <c r="AE117" s="465" t="s">
        <v>525</v>
      </c>
      <c r="AF117" s="466" t="s">
        <v>871</v>
      </c>
      <c r="AG117" s="466" t="s">
        <v>873</v>
      </c>
      <c r="AH117" s="465" t="s">
        <v>873</v>
      </c>
      <c r="AI117" t="s">
        <v>873</v>
      </c>
      <c r="AJ117" t="s">
        <v>1009</v>
      </c>
      <c r="AK117" s="237" t="s">
        <v>1009</v>
      </c>
    </row>
    <row r="118" spans="1:37">
      <c r="O118" s="410" t="s">
        <v>868</v>
      </c>
      <c r="P118" s="410" t="s">
        <v>681</v>
      </c>
      <c r="Q118" s="410" t="s">
        <v>868</v>
      </c>
      <c r="R118" s="305">
        <v>1</v>
      </c>
      <c r="T118" s="175" t="s">
        <v>699</v>
      </c>
      <c r="U118" s="175" t="s">
        <v>525</v>
      </c>
      <c r="V118" s="305" t="s">
        <v>874</v>
      </c>
      <c r="Y118" t="s">
        <v>874</v>
      </c>
      <c r="AD118" s="465" t="s">
        <v>868</v>
      </c>
      <c r="AE118" s="465" t="s">
        <v>868</v>
      </c>
      <c r="AF118" s="466" t="s">
        <v>872</v>
      </c>
      <c r="AG118" s="466" t="s">
        <v>1009</v>
      </c>
      <c r="AH118" s="465" t="s">
        <v>1009</v>
      </c>
      <c r="AI118" t="s">
        <v>1005</v>
      </c>
      <c r="AJ118" t="s">
        <v>873</v>
      </c>
      <c r="AK118" s="237" t="s">
        <v>873</v>
      </c>
    </row>
    <row r="119" spans="1:37">
      <c r="E119" t="s">
        <v>700</v>
      </c>
      <c r="O119" s="312" t="s">
        <v>868</v>
      </c>
      <c r="P119" s="312" t="s">
        <v>682</v>
      </c>
      <c r="Q119" s="312" t="s">
        <v>868</v>
      </c>
      <c r="R119" s="305">
        <v>1</v>
      </c>
    </row>
    <row r="120" spans="1:37">
      <c r="O120" s="330" t="s">
        <v>868</v>
      </c>
      <c r="P120" s="330" t="s">
        <v>682</v>
      </c>
      <c r="Q120" s="330" t="s">
        <v>868</v>
      </c>
      <c r="R120" s="305">
        <v>1</v>
      </c>
      <c r="AD120" t="s">
        <v>525</v>
      </c>
      <c r="AE120" t="s">
        <v>525</v>
      </c>
      <c r="AF120" t="s">
        <v>871</v>
      </c>
    </row>
    <row r="121" spans="1:37">
      <c r="B121" t="s">
        <v>777</v>
      </c>
      <c r="C121" t="s">
        <v>778</v>
      </c>
      <c r="O121" s="330" t="s">
        <v>868</v>
      </c>
      <c r="P121" s="330" t="s">
        <v>681</v>
      </c>
      <c r="Q121" s="330" t="s">
        <v>868</v>
      </c>
      <c r="R121" s="305">
        <v>1</v>
      </c>
      <c r="AD121" t="s">
        <v>525</v>
      </c>
      <c r="AE121" t="s">
        <v>525</v>
      </c>
      <c r="AF121" t="s">
        <v>1012</v>
      </c>
      <c r="AG121" t="s">
        <v>586</v>
      </c>
    </row>
    <row r="122" spans="1:37">
      <c r="B122" t="s">
        <v>779</v>
      </c>
      <c r="C122" t="s">
        <v>780</v>
      </c>
      <c r="S122" s="237"/>
      <c r="AF122" t="s">
        <v>1017</v>
      </c>
      <c r="AG122" t="s">
        <v>711</v>
      </c>
    </row>
    <row r="123" spans="1:37">
      <c r="B123" t="s">
        <v>781</v>
      </c>
      <c r="C123" t="s">
        <v>782</v>
      </c>
    </row>
    <row r="124" spans="1:37">
      <c r="C124" t="s">
        <v>783</v>
      </c>
      <c r="O124" s="238" t="s">
        <v>598</v>
      </c>
      <c r="P124" s="238" t="s">
        <v>682</v>
      </c>
      <c r="Q124" s="238" t="s">
        <v>864</v>
      </c>
      <c r="R124" s="305">
        <v>1</v>
      </c>
      <c r="T124" s="305" t="s">
        <v>682</v>
      </c>
      <c r="U124" s="305" t="s">
        <v>681</v>
      </c>
    </row>
    <row r="125" spans="1:37">
      <c r="C125" t="s">
        <v>785</v>
      </c>
      <c r="O125" s="410" t="s">
        <v>598</v>
      </c>
      <c r="P125" s="410" t="s">
        <v>682</v>
      </c>
      <c r="Q125" s="410" t="s">
        <v>864</v>
      </c>
      <c r="R125" s="305">
        <v>1</v>
      </c>
      <c r="T125" s="315" t="s">
        <v>598</v>
      </c>
      <c r="U125" s="315" t="s">
        <v>618</v>
      </c>
      <c r="X125" t="s">
        <v>1018</v>
      </c>
      <c r="Y125" t="s">
        <v>21</v>
      </c>
      <c r="Z125" t="s">
        <v>1019</v>
      </c>
      <c r="AD125" t="s">
        <v>700</v>
      </c>
      <c r="AE125" t="s">
        <v>700</v>
      </c>
    </row>
    <row r="126" spans="1:37">
      <c r="C126" t="s">
        <v>784</v>
      </c>
      <c r="O126" s="238" t="s">
        <v>618</v>
      </c>
      <c r="P126" s="238" t="s">
        <v>681</v>
      </c>
      <c r="Q126" s="238" t="s">
        <v>864</v>
      </c>
      <c r="R126" s="305">
        <v>1</v>
      </c>
      <c r="T126" s="410" t="s">
        <v>598</v>
      </c>
      <c r="U126" s="410" t="s">
        <v>868</v>
      </c>
      <c r="Z126" t="s">
        <v>1020</v>
      </c>
      <c r="AD126" t="s">
        <v>1013</v>
      </c>
      <c r="AE126" t="s">
        <v>868</v>
      </c>
    </row>
    <row r="127" spans="1:37">
      <c r="O127" s="305" t="s">
        <v>618</v>
      </c>
      <c r="P127" s="305" t="s">
        <v>682</v>
      </c>
      <c r="Q127" s="305" t="s">
        <v>865</v>
      </c>
      <c r="R127" s="305">
        <v>1</v>
      </c>
      <c r="T127" s="312" t="s">
        <v>618</v>
      </c>
      <c r="U127" s="312" t="s">
        <v>868</v>
      </c>
      <c r="Z127" t="s">
        <v>1021</v>
      </c>
    </row>
    <row r="128" spans="1:37">
      <c r="O128" s="326" t="s">
        <v>618</v>
      </c>
      <c r="P128" s="326" t="s">
        <v>681</v>
      </c>
      <c r="Q128" s="326" t="s">
        <v>864</v>
      </c>
      <c r="R128" s="305">
        <v>1</v>
      </c>
      <c r="T128" s="422" t="s">
        <v>598</v>
      </c>
      <c r="U128" s="422" t="s">
        <v>598</v>
      </c>
      <c r="Z128" t="s">
        <v>1022</v>
      </c>
      <c r="AD128" t="s">
        <v>700</v>
      </c>
      <c r="AE128" t="s">
        <v>954</v>
      </c>
      <c r="AF128" t="s">
        <v>1096</v>
      </c>
      <c r="AG128" t="s">
        <v>1009</v>
      </c>
    </row>
    <row r="129" spans="15:33">
      <c r="O129" s="422" t="s">
        <v>598</v>
      </c>
      <c r="P129" s="422" t="s">
        <v>681</v>
      </c>
      <c r="Q129" s="422" t="s">
        <v>864</v>
      </c>
      <c r="R129" s="305">
        <v>1</v>
      </c>
      <c r="T129" s="326" t="s">
        <v>618</v>
      </c>
      <c r="U129" s="326" t="s">
        <v>618</v>
      </c>
      <c r="AD129" t="s">
        <v>700</v>
      </c>
      <c r="AE129" t="s">
        <v>955</v>
      </c>
      <c r="AF129" t="s">
        <v>1009</v>
      </c>
      <c r="AG129" t="s">
        <v>1096</v>
      </c>
    </row>
    <row r="130" spans="15:33">
      <c r="O130" s="305" t="s">
        <v>598</v>
      </c>
      <c r="P130" s="305" t="s">
        <v>681</v>
      </c>
      <c r="Q130" s="305" t="s">
        <v>864</v>
      </c>
      <c r="R130" s="305">
        <v>1</v>
      </c>
      <c r="T130" s="330" t="s">
        <v>868</v>
      </c>
      <c r="U130" s="330" t="s">
        <v>868</v>
      </c>
    </row>
    <row r="131" spans="15:33">
      <c r="O131" s="305" t="s">
        <v>598</v>
      </c>
      <c r="P131" s="305" t="s">
        <v>682</v>
      </c>
      <c r="Q131" s="305" t="s">
        <v>865</v>
      </c>
      <c r="R131" s="305">
        <v>1</v>
      </c>
      <c r="AD131" t="s">
        <v>1016</v>
      </c>
    </row>
    <row r="132" spans="15:33">
      <c r="O132" s="305" t="s">
        <v>618</v>
      </c>
      <c r="P132" s="305" t="s">
        <v>681</v>
      </c>
      <c r="Q132" s="305" t="s">
        <v>864</v>
      </c>
      <c r="R132" s="305">
        <v>1</v>
      </c>
    </row>
    <row r="133" spans="15:33">
      <c r="O133" s="410" t="s">
        <v>868</v>
      </c>
      <c r="P133" s="410" t="s">
        <v>681</v>
      </c>
      <c r="Q133" s="410" t="s">
        <v>864</v>
      </c>
      <c r="R133" s="305"/>
    </row>
    <row r="134" spans="15:33">
      <c r="O134" s="312" t="s">
        <v>868</v>
      </c>
      <c r="P134" s="312" t="s">
        <v>681</v>
      </c>
      <c r="Q134" s="312" t="s">
        <v>869</v>
      </c>
      <c r="R134" s="305"/>
    </row>
    <row r="135" spans="15:33">
      <c r="O135" s="312" t="s">
        <v>618</v>
      </c>
      <c r="P135" s="312" t="s">
        <v>682</v>
      </c>
      <c r="Q135" s="312" t="s">
        <v>864</v>
      </c>
    </row>
    <row r="137" spans="15:33">
      <c r="O137" s="422" t="s">
        <v>598</v>
      </c>
      <c r="P137" s="422" t="s">
        <v>682</v>
      </c>
      <c r="Q137" s="422" t="s">
        <v>864</v>
      </c>
    </row>
    <row r="138" spans="15:33">
      <c r="O138" s="326" t="s">
        <v>618</v>
      </c>
      <c r="P138" s="326" t="s">
        <v>682</v>
      </c>
      <c r="Q138" s="326" t="s">
        <v>864</v>
      </c>
    </row>
    <row r="139" spans="15:33">
      <c r="O139" s="330" t="s">
        <v>868</v>
      </c>
      <c r="P139" s="330" t="s">
        <v>682</v>
      </c>
      <c r="Q139" s="330" t="s">
        <v>864</v>
      </c>
    </row>
    <row r="140" spans="15:33">
      <c r="O140" s="330" t="s">
        <v>868</v>
      </c>
      <c r="P140" s="330" t="s">
        <v>681</v>
      </c>
      <c r="Q140" s="330" t="s">
        <v>864</v>
      </c>
    </row>
    <row r="142" spans="15:33">
      <c r="T142" s="305" t="s">
        <v>682</v>
      </c>
      <c r="U142" s="305" t="s">
        <v>681</v>
      </c>
    </row>
    <row r="143" spans="15:33">
      <c r="O143" s="302" t="s">
        <v>598</v>
      </c>
      <c r="P143" s="302" t="s">
        <v>682</v>
      </c>
      <c r="Q143" s="302" t="s">
        <v>864</v>
      </c>
      <c r="R143" s="302">
        <v>1</v>
      </c>
      <c r="T143" s="302" t="s">
        <v>598</v>
      </c>
      <c r="U143" s="302" t="s">
        <v>598</v>
      </c>
    </row>
    <row r="144" spans="15:33">
      <c r="O144" s="305" t="s">
        <v>598</v>
      </c>
      <c r="P144" s="305" t="s">
        <v>682</v>
      </c>
      <c r="Q144" s="305" t="s">
        <v>864</v>
      </c>
      <c r="R144" s="305">
        <v>1</v>
      </c>
      <c r="T144" s="410" t="s">
        <v>618</v>
      </c>
      <c r="U144" s="410" t="s">
        <v>618</v>
      </c>
    </row>
    <row r="145" spans="15:21">
      <c r="O145" s="410" t="s">
        <v>618</v>
      </c>
      <c r="P145" s="410" t="s">
        <v>681</v>
      </c>
      <c r="Q145" s="410" t="s">
        <v>864</v>
      </c>
      <c r="R145" s="410">
        <v>1</v>
      </c>
      <c r="T145" s="175" t="s">
        <v>868</v>
      </c>
      <c r="U145" s="175" t="s">
        <v>868</v>
      </c>
    </row>
    <row r="146" spans="15:21">
      <c r="O146" s="305" t="s">
        <v>618</v>
      </c>
      <c r="P146" s="305" t="s">
        <v>682</v>
      </c>
      <c r="Q146" s="305" t="s">
        <v>865</v>
      </c>
      <c r="R146" s="305">
        <v>1</v>
      </c>
    </row>
    <row r="147" spans="15:21">
      <c r="O147" s="305" t="s">
        <v>618</v>
      </c>
      <c r="P147" s="305" t="s">
        <v>681</v>
      </c>
      <c r="Q147" s="305" t="s">
        <v>864</v>
      </c>
      <c r="R147" s="305">
        <v>1</v>
      </c>
    </row>
    <row r="148" spans="15:21">
      <c r="O148" s="302" t="s">
        <v>598</v>
      </c>
      <c r="P148" s="302" t="s">
        <v>681</v>
      </c>
      <c r="Q148" s="302" t="s">
        <v>864</v>
      </c>
      <c r="R148" s="302">
        <v>1</v>
      </c>
    </row>
    <row r="149" spans="15:21">
      <c r="O149" s="305" t="s">
        <v>598</v>
      </c>
      <c r="P149" s="305" t="s">
        <v>681</v>
      </c>
      <c r="Q149" s="305" t="s">
        <v>864</v>
      </c>
      <c r="R149" s="305">
        <v>1</v>
      </c>
    </row>
    <row r="150" spans="15:21">
      <c r="O150" s="305" t="s">
        <v>598</v>
      </c>
      <c r="P150" s="305" t="s">
        <v>682</v>
      </c>
      <c r="Q150" s="305" t="s">
        <v>865</v>
      </c>
      <c r="R150" s="305">
        <v>1</v>
      </c>
    </row>
    <row r="151" spans="15:21">
      <c r="O151" s="305" t="s">
        <v>618</v>
      </c>
      <c r="P151" s="305" t="s">
        <v>681</v>
      </c>
      <c r="Q151" s="305" t="s">
        <v>864</v>
      </c>
      <c r="R151" s="305">
        <v>1</v>
      </c>
    </row>
    <row r="152" spans="15:21">
      <c r="O152" s="175" t="s">
        <v>868</v>
      </c>
      <c r="P152" s="175" t="s">
        <v>681</v>
      </c>
      <c r="Q152" s="175" t="s">
        <v>864</v>
      </c>
      <c r="R152" s="305"/>
    </row>
    <row r="153" spans="15:21">
      <c r="O153" s="175" t="s">
        <v>868</v>
      </c>
      <c r="P153" s="175" t="s">
        <v>682</v>
      </c>
      <c r="Q153" s="175" t="s">
        <v>864</v>
      </c>
    </row>
    <row r="154" spans="15:21">
      <c r="O154" s="410" t="s">
        <v>618</v>
      </c>
      <c r="P154" s="410" t="s">
        <v>682</v>
      </c>
      <c r="Q154" s="410" t="s">
        <v>864</v>
      </c>
    </row>
    <row r="156" spans="15:21">
      <c r="T156" t="s">
        <v>598</v>
      </c>
      <c r="U156" t="s">
        <v>618</v>
      </c>
    </row>
    <row r="157" spans="15:21">
      <c r="T157" s="238" t="s">
        <v>598</v>
      </c>
      <c r="U157" s="238" t="s">
        <v>954</v>
      </c>
    </row>
    <row r="158" spans="15:21">
      <c r="T158" s="238" t="s">
        <v>598</v>
      </c>
      <c r="U158" s="238" t="s">
        <v>955</v>
      </c>
    </row>
    <row r="159" spans="15:21">
      <c r="T159" s="428" t="s">
        <v>618</v>
      </c>
      <c r="U159" s="428" t="s">
        <v>954</v>
      </c>
    </row>
    <row r="160" spans="15:21">
      <c r="T160" t="s">
        <v>618</v>
      </c>
      <c r="U160" t="s">
        <v>955</v>
      </c>
    </row>
    <row r="161" spans="20:21">
      <c r="T161" s="238" t="s">
        <v>954</v>
      </c>
      <c r="U161" s="238" t="s">
        <v>955</v>
      </c>
    </row>
    <row r="163" spans="20:21">
      <c r="T163" t="s">
        <v>956</v>
      </c>
      <c r="U163" t="s">
        <v>957</v>
      </c>
    </row>
    <row r="164" spans="20:21">
      <c r="T164" t="s">
        <v>700</v>
      </c>
      <c r="U164" t="s">
        <v>954</v>
      </c>
    </row>
    <row r="165" spans="20:21">
      <c r="T165" t="s">
        <v>700</v>
      </c>
      <c r="U165" t="s">
        <v>955</v>
      </c>
    </row>
    <row r="166" spans="20:21">
      <c r="T166" t="s">
        <v>954</v>
      </c>
      <c r="U166" t="s">
        <v>955</v>
      </c>
    </row>
    <row r="169" spans="20:21">
      <c r="T169" t="s">
        <v>699</v>
      </c>
      <c r="U169" t="s">
        <v>525</v>
      </c>
    </row>
    <row r="171" spans="20:21">
      <c r="T171" t="s">
        <v>700</v>
      </c>
      <c r="U171" t="s">
        <v>700</v>
      </c>
    </row>
    <row r="172" spans="20:21">
      <c r="T172" s="238" t="s">
        <v>954</v>
      </c>
      <c r="U172" s="238" t="s">
        <v>954</v>
      </c>
    </row>
    <row r="173" spans="20:21">
      <c r="T173" t="s">
        <v>955</v>
      </c>
      <c r="U173" t="s">
        <v>955</v>
      </c>
    </row>
    <row r="175" spans="20:21">
      <c r="T175" t="s">
        <v>598</v>
      </c>
      <c r="U175" t="s">
        <v>598</v>
      </c>
    </row>
    <row r="176" spans="20:21">
      <c r="T176" t="s">
        <v>598</v>
      </c>
      <c r="U176" t="s">
        <v>954</v>
      </c>
    </row>
    <row r="177" spans="20:21">
      <c r="T177" t="s">
        <v>598</v>
      </c>
      <c r="U177" t="s">
        <v>955</v>
      </c>
    </row>
    <row r="179" spans="20:21">
      <c r="T179" t="s">
        <v>954</v>
      </c>
      <c r="U179" t="s">
        <v>954</v>
      </c>
    </row>
    <row r="180" spans="20:21">
      <c r="T180" t="s">
        <v>954</v>
      </c>
      <c r="U180" t="s">
        <v>955</v>
      </c>
    </row>
    <row r="182" spans="20:21">
      <c r="T182" t="s">
        <v>955</v>
      </c>
      <c r="U182" t="s">
        <v>955</v>
      </c>
    </row>
    <row r="185" spans="20:21">
      <c r="T185" s="303" t="s">
        <v>598</v>
      </c>
      <c r="U185" s="303" t="s">
        <v>525</v>
      </c>
    </row>
    <row r="186" spans="20:21">
      <c r="T186" s="238" t="s">
        <v>598</v>
      </c>
      <c r="U186" s="238" t="s">
        <v>954</v>
      </c>
    </row>
    <row r="187" spans="20:21">
      <c r="T187" t="s">
        <v>598</v>
      </c>
      <c r="U187" t="s">
        <v>955</v>
      </c>
    </row>
    <row r="189" spans="20:21">
      <c r="T189" s="238" t="s">
        <v>954</v>
      </c>
      <c r="U189" s="238" t="s">
        <v>525</v>
      </c>
    </row>
    <row r="190" spans="20:21">
      <c r="T190" t="s">
        <v>954</v>
      </c>
      <c r="U190" t="s">
        <v>955</v>
      </c>
    </row>
    <row r="192" spans="20:21">
      <c r="T192" t="s">
        <v>955</v>
      </c>
      <c r="U192" t="s">
        <v>525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O209"/>
  <sheetViews>
    <sheetView zoomScaleNormal="100" workbookViewId="0">
      <selection activeCell="G201" sqref="G201"/>
    </sheetView>
  </sheetViews>
  <sheetFormatPr defaultRowHeight="15"/>
  <cols>
    <col min="1" max="1" width="19.85546875" customWidth="1"/>
    <col min="2" max="2" width="20.7109375" customWidth="1"/>
    <col min="3" max="3" width="22.5703125" customWidth="1"/>
    <col min="4" max="4" width="28.5703125" customWidth="1"/>
    <col min="5" max="5" width="36.5703125" customWidth="1"/>
    <col min="6" max="6" width="12.140625" customWidth="1"/>
    <col min="7" max="7" width="12.85546875" style="196" customWidth="1"/>
    <col min="8" max="8" width="11.42578125" customWidth="1"/>
    <col min="9" max="9" width="16.7109375" customWidth="1"/>
    <col min="10" max="10" width="11.7109375" customWidth="1"/>
    <col min="11" max="11" width="13.7109375" customWidth="1"/>
  </cols>
  <sheetData>
    <row r="1" spans="3:10">
      <c r="C1" t="s">
        <v>482</v>
      </c>
      <c r="D1" t="s">
        <v>499</v>
      </c>
      <c r="E1" t="s">
        <v>498</v>
      </c>
      <c r="H1" t="s">
        <v>487</v>
      </c>
      <c r="I1" t="s">
        <v>484</v>
      </c>
    </row>
    <row r="2" spans="3:10">
      <c r="C2" s="237" t="s">
        <v>490</v>
      </c>
      <c r="D2" t="s">
        <v>483</v>
      </c>
      <c r="E2" t="s">
        <v>493</v>
      </c>
      <c r="F2" s="379" t="s">
        <v>491</v>
      </c>
      <c r="G2" s="196">
        <v>4810.72</v>
      </c>
      <c r="H2" t="s">
        <v>486</v>
      </c>
      <c r="I2" t="s">
        <v>485</v>
      </c>
      <c r="J2">
        <v>1</v>
      </c>
    </row>
    <row r="3" spans="3:10">
      <c r="C3" t="s">
        <v>489</v>
      </c>
      <c r="D3" t="s">
        <v>500</v>
      </c>
      <c r="E3" t="s">
        <v>488</v>
      </c>
      <c r="F3" s="379" t="s">
        <v>492</v>
      </c>
      <c r="G3" s="196" t="s">
        <v>21</v>
      </c>
      <c r="H3" t="s">
        <v>486</v>
      </c>
      <c r="I3" t="s">
        <v>493</v>
      </c>
    </row>
    <row r="4" spans="3:10">
      <c r="C4" s="237" t="s">
        <v>495</v>
      </c>
      <c r="D4" t="s">
        <v>496</v>
      </c>
      <c r="E4" t="s">
        <v>496</v>
      </c>
      <c r="F4" s="379" t="s">
        <v>497</v>
      </c>
      <c r="G4" s="196" t="s">
        <v>21</v>
      </c>
      <c r="H4" t="s">
        <v>486</v>
      </c>
      <c r="I4" t="s">
        <v>494</v>
      </c>
    </row>
    <row r="5" spans="3:10">
      <c r="C5" s="237" t="s">
        <v>490</v>
      </c>
      <c r="D5" t="s">
        <v>493</v>
      </c>
      <c r="E5" t="s">
        <v>493</v>
      </c>
      <c r="F5" s="379" t="s">
        <v>501</v>
      </c>
      <c r="G5" s="196">
        <v>4810.72</v>
      </c>
    </row>
    <row r="6" spans="3:10">
      <c r="C6" s="237" t="s">
        <v>503</v>
      </c>
      <c r="D6" t="s">
        <v>505</v>
      </c>
      <c r="E6" t="s">
        <v>502</v>
      </c>
      <c r="F6" s="379" t="s">
        <v>504</v>
      </c>
      <c r="G6" s="196">
        <v>5955.66</v>
      </c>
    </row>
    <row r="7" spans="3:10">
      <c r="C7" t="s">
        <v>507</v>
      </c>
      <c r="D7" t="s">
        <v>508</v>
      </c>
      <c r="E7" t="s">
        <v>509</v>
      </c>
    </row>
    <row r="8" spans="3:10">
      <c r="C8" t="s">
        <v>510</v>
      </c>
      <c r="D8" t="s">
        <v>494</v>
      </c>
      <c r="E8" t="s">
        <v>511</v>
      </c>
    </row>
    <row r="9" spans="3:10">
      <c r="C9" t="s">
        <v>514</v>
      </c>
      <c r="D9" t="s">
        <v>513</v>
      </c>
      <c r="E9" t="s">
        <v>512</v>
      </c>
    </row>
    <row r="10" spans="3:10">
      <c r="D10" t="s">
        <v>516</v>
      </c>
      <c r="E10" t="s">
        <v>515</v>
      </c>
    </row>
    <row r="11" spans="3:10">
      <c r="C11" t="s">
        <v>517</v>
      </c>
      <c r="D11" t="s">
        <v>519</v>
      </c>
      <c r="E11" t="s">
        <v>519</v>
      </c>
    </row>
    <row r="12" spans="3:10">
      <c r="D12" t="s">
        <v>506</v>
      </c>
      <c r="E12" t="s">
        <v>506</v>
      </c>
    </row>
    <row r="13" spans="3:10">
      <c r="C13" s="237" t="s">
        <v>552</v>
      </c>
      <c r="D13" t="s">
        <v>553</v>
      </c>
      <c r="E13" t="s">
        <v>554</v>
      </c>
    </row>
    <row r="14" spans="3:10">
      <c r="C14" t="s">
        <v>593</v>
      </c>
      <c r="D14" t="s">
        <v>595</v>
      </c>
      <c r="E14" t="s">
        <v>594</v>
      </c>
    </row>
    <row r="15" spans="3:10">
      <c r="D15" t="s">
        <v>597</v>
      </c>
      <c r="E15" t="s">
        <v>563</v>
      </c>
      <c r="H15" s="196">
        <f>SUM(H39:H84)</f>
        <v>11610</v>
      </c>
    </row>
    <row r="16" spans="3:10">
      <c r="D16" t="s">
        <v>559</v>
      </c>
      <c r="E16" t="s">
        <v>606</v>
      </c>
      <c r="H16" s="196"/>
    </row>
    <row r="17" spans="3:8">
      <c r="D17" t="s">
        <v>610</v>
      </c>
      <c r="E17" t="s">
        <v>609</v>
      </c>
      <c r="H17" s="196"/>
    </row>
    <row r="18" spans="3:8">
      <c r="C18" s="237" t="s">
        <v>552</v>
      </c>
      <c r="D18" t="s">
        <v>614</v>
      </c>
      <c r="E18" t="s">
        <v>616</v>
      </c>
      <c r="F18" t="s">
        <v>615</v>
      </c>
      <c r="H18" s="196"/>
    </row>
    <row r="19" spans="3:8">
      <c r="D19" t="s">
        <v>614</v>
      </c>
      <c r="E19" t="s">
        <v>606</v>
      </c>
      <c r="H19" s="196"/>
    </row>
    <row r="20" spans="3:8">
      <c r="D20" t="s">
        <v>667</v>
      </c>
      <c r="E20" t="s">
        <v>614</v>
      </c>
      <c r="H20" s="196"/>
    </row>
    <row r="21" spans="3:8">
      <c r="D21" t="s">
        <v>614</v>
      </c>
      <c r="E21" t="s">
        <v>669</v>
      </c>
      <c r="H21" s="196"/>
    </row>
    <row r="22" spans="3:8">
      <c r="C22" t="s">
        <v>552</v>
      </c>
      <c r="D22" t="s">
        <v>559</v>
      </c>
      <c r="E22" t="s">
        <v>709</v>
      </c>
      <c r="F22" s="411" t="s">
        <v>712</v>
      </c>
      <c r="H22" s="196"/>
    </row>
    <row r="23" spans="3:8">
      <c r="D23" t="s">
        <v>710</v>
      </c>
      <c r="E23" t="s">
        <v>711</v>
      </c>
      <c r="H23" s="196"/>
    </row>
    <row r="24" spans="3:8">
      <c r="D24" t="s">
        <v>559</v>
      </c>
      <c r="E24" t="s">
        <v>711</v>
      </c>
      <c r="H24" s="196"/>
    </row>
    <row r="25" spans="3:8">
      <c r="D25" t="s">
        <v>713</v>
      </c>
      <c r="E25" t="s">
        <v>709</v>
      </c>
      <c r="H25" s="196"/>
    </row>
    <row r="26" spans="3:8">
      <c r="D26" t="s">
        <v>714</v>
      </c>
      <c r="E26" t="s">
        <v>715</v>
      </c>
      <c r="H26" s="196"/>
    </row>
    <row r="27" spans="3:8">
      <c r="D27" t="s">
        <v>535</v>
      </c>
      <c r="E27" t="s">
        <v>710</v>
      </c>
      <c r="H27" s="196"/>
    </row>
    <row r="28" spans="3:8">
      <c r="D28" t="s">
        <v>723</v>
      </c>
      <c r="E28" t="s">
        <v>535</v>
      </c>
      <c r="F28" t="s">
        <v>722</v>
      </c>
      <c r="H28" s="196"/>
    </row>
    <row r="29" spans="3:8">
      <c r="D29" s="412" t="s">
        <v>724</v>
      </c>
      <c r="E29" s="412" t="s">
        <v>725</v>
      </c>
      <c r="H29" s="196"/>
    </row>
    <row r="30" spans="3:8">
      <c r="D30" t="s">
        <v>493</v>
      </c>
      <c r="E30" t="s">
        <v>708</v>
      </c>
      <c r="H30" s="196"/>
    </row>
    <row r="31" spans="3:8">
      <c r="C31" t="s">
        <v>786</v>
      </c>
      <c r="D31" t="s">
        <v>494</v>
      </c>
      <c r="E31" s="421" t="s">
        <v>787</v>
      </c>
      <c r="F31" t="s">
        <v>788</v>
      </c>
      <c r="H31" s="196"/>
    </row>
    <row r="32" spans="3:8">
      <c r="D32" t="s">
        <v>711</v>
      </c>
      <c r="E32" t="s">
        <v>711</v>
      </c>
      <c r="H32" s="196"/>
    </row>
    <row r="33" spans="1:11">
      <c r="C33" s="330" t="s">
        <v>792</v>
      </c>
      <c r="D33" s="330" t="s">
        <v>789</v>
      </c>
      <c r="E33" s="330" t="s">
        <v>790</v>
      </c>
      <c r="F33" t="s">
        <v>793</v>
      </c>
      <c r="H33" s="196"/>
    </row>
    <row r="34" spans="1:11">
      <c r="D34" t="s">
        <v>791</v>
      </c>
      <c r="E34" t="s">
        <v>790</v>
      </c>
      <c r="H34" s="196"/>
    </row>
    <row r="35" spans="1:11">
      <c r="D35" t="s">
        <v>794</v>
      </c>
      <c r="E35" t="s">
        <v>795</v>
      </c>
      <c r="H35" s="196"/>
    </row>
    <row r="36" spans="1:11">
      <c r="H36" s="196"/>
    </row>
    <row r="37" spans="1:11">
      <c r="H37" s="196"/>
    </row>
    <row r="38" spans="1:11">
      <c r="H38" s="196"/>
    </row>
    <row r="39" spans="1:11">
      <c r="A39" t="s">
        <v>523</v>
      </c>
      <c r="B39" t="s">
        <v>524</v>
      </c>
      <c r="D39" s="261">
        <v>1</v>
      </c>
      <c r="E39" t="s">
        <v>483</v>
      </c>
      <c r="F39">
        <v>1</v>
      </c>
      <c r="G39">
        <v>1000</v>
      </c>
      <c r="H39" s="196">
        <f>F39*G39</f>
        <v>1000</v>
      </c>
      <c r="J39">
        <v>11253</v>
      </c>
      <c r="K39" t="s">
        <v>796</v>
      </c>
    </row>
    <row r="40" spans="1:11">
      <c r="A40" t="s">
        <v>526</v>
      </c>
      <c r="B40" t="s">
        <v>525</v>
      </c>
      <c r="D40" s="261">
        <f t="shared" ref="D40:D53" si="0">D39+1</f>
        <v>2</v>
      </c>
      <c r="E40" t="s">
        <v>518</v>
      </c>
      <c r="F40">
        <v>0</v>
      </c>
      <c r="G40">
        <v>325</v>
      </c>
      <c r="H40" s="196">
        <f t="shared" ref="H40:H70" si="1">F40*G40</f>
        <v>0</v>
      </c>
      <c r="J40">
        <v>1679</v>
      </c>
      <c r="K40" t="s">
        <v>797</v>
      </c>
    </row>
    <row r="41" spans="1:11">
      <c r="A41" t="s">
        <v>527</v>
      </c>
      <c r="B41" t="s">
        <v>525</v>
      </c>
      <c r="D41" s="261">
        <f t="shared" si="0"/>
        <v>3</v>
      </c>
      <c r="E41" t="s">
        <v>528</v>
      </c>
      <c r="F41">
        <v>4</v>
      </c>
      <c r="G41">
        <v>1100</v>
      </c>
      <c r="H41" s="196">
        <f t="shared" si="1"/>
        <v>4400</v>
      </c>
      <c r="J41">
        <v>2448</v>
      </c>
      <c r="K41" t="s">
        <v>528</v>
      </c>
    </row>
    <row r="42" spans="1:11">
      <c r="A42" t="s">
        <v>500</v>
      </c>
      <c r="B42" t="s">
        <v>525</v>
      </c>
      <c r="D42" s="261">
        <f t="shared" si="0"/>
        <v>4</v>
      </c>
      <c r="E42" t="s">
        <v>513</v>
      </c>
      <c r="F42">
        <v>1</v>
      </c>
      <c r="G42">
        <v>638</v>
      </c>
      <c r="H42" s="196">
        <f t="shared" si="1"/>
        <v>638</v>
      </c>
      <c r="J42">
        <v>2375</v>
      </c>
      <c r="K42" t="s">
        <v>528</v>
      </c>
    </row>
    <row r="43" spans="1:11">
      <c r="A43" t="s">
        <v>513</v>
      </c>
      <c r="B43" t="s">
        <v>512</v>
      </c>
      <c r="D43" s="261">
        <f t="shared" si="0"/>
        <v>5</v>
      </c>
      <c r="E43" t="s">
        <v>512</v>
      </c>
      <c r="F43">
        <v>1</v>
      </c>
      <c r="G43">
        <v>322</v>
      </c>
      <c r="H43" s="196">
        <f t="shared" si="1"/>
        <v>322</v>
      </c>
      <c r="J43">
        <v>2330</v>
      </c>
      <c r="K43" t="s">
        <v>528</v>
      </c>
    </row>
    <row r="44" spans="1:11">
      <c r="A44" t="s">
        <v>496</v>
      </c>
      <c r="B44" t="s">
        <v>496</v>
      </c>
      <c r="D44" s="261">
        <f t="shared" si="0"/>
        <v>6</v>
      </c>
      <c r="E44" t="s">
        <v>572</v>
      </c>
      <c r="F44">
        <v>1</v>
      </c>
      <c r="G44">
        <v>950</v>
      </c>
      <c r="H44" s="196">
        <f t="shared" si="1"/>
        <v>950</v>
      </c>
      <c r="J44">
        <v>3476</v>
      </c>
      <c r="K44" t="s">
        <v>798</v>
      </c>
    </row>
    <row r="45" spans="1:11">
      <c r="A45" t="s">
        <v>483</v>
      </c>
      <c r="D45" s="261">
        <f t="shared" si="0"/>
        <v>7</v>
      </c>
      <c r="E45" t="s">
        <v>582</v>
      </c>
      <c r="F45">
        <v>0</v>
      </c>
      <c r="G45">
        <v>1000</v>
      </c>
      <c r="H45" s="196">
        <f t="shared" si="1"/>
        <v>0</v>
      </c>
      <c r="J45">
        <v>4408</v>
      </c>
      <c r="K45" t="s">
        <v>799</v>
      </c>
    </row>
    <row r="46" spans="1:11">
      <c r="D46" s="261">
        <f t="shared" si="0"/>
        <v>8</v>
      </c>
      <c r="E46" t="s">
        <v>526</v>
      </c>
      <c r="F46">
        <v>1</v>
      </c>
      <c r="G46">
        <v>1500</v>
      </c>
      <c r="H46" s="196">
        <f t="shared" si="1"/>
        <v>1500</v>
      </c>
    </row>
    <row r="47" spans="1:11">
      <c r="D47" s="261">
        <f t="shared" si="0"/>
        <v>9</v>
      </c>
      <c r="E47" t="s">
        <v>585</v>
      </c>
      <c r="F47">
        <v>0</v>
      </c>
      <c r="G47">
        <v>1450</v>
      </c>
      <c r="H47" s="196">
        <f t="shared" si="1"/>
        <v>0</v>
      </c>
      <c r="J47" t="s">
        <v>528</v>
      </c>
    </row>
    <row r="48" spans="1:11">
      <c r="D48" s="261">
        <f t="shared" si="0"/>
        <v>10</v>
      </c>
      <c r="E48" t="s">
        <v>529</v>
      </c>
      <c r="F48">
        <v>0</v>
      </c>
      <c r="G48">
        <v>1000</v>
      </c>
      <c r="H48" s="196">
        <f t="shared" si="1"/>
        <v>0</v>
      </c>
      <c r="J48" t="s">
        <v>682</v>
      </c>
      <c r="K48" t="s">
        <v>681</v>
      </c>
    </row>
    <row r="49" spans="1:11">
      <c r="D49" s="261">
        <f t="shared" si="0"/>
        <v>11</v>
      </c>
      <c r="E49" t="s">
        <v>564</v>
      </c>
      <c r="F49">
        <v>0</v>
      </c>
      <c r="G49">
        <v>700</v>
      </c>
      <c r="H49" s="196">
        <f t="shared" si="1"/>
        <v>0</v>
      </c>
      <c r="J49">
        <v>3</v>
      </c>
      <c r="K49">
        <v>2</v>
      </c>
    </row>
    <row r="50" spans="1:11">
      <c r="D50" s="261">
        <f t="shared" si="0"/>
        <v>12</v>
      </c>
      <c r="E50" t="s">
        <v>563</v>
      </c>
      <c r="F50">
        <v>0</v>
      </c>
      <c r="G50">
        <v>1800</v>
      </c>
      <c r="H50" s="196">
        <f t="shared" si="1"/>
        <v>0</v>
      </c>
      <c r="J50">
        <v>2</v>
      </c>
      <c r="K50">
        <v>2</v>
      </c>
    </row>
    <row r="51" spans="1:11">
      <c r="D51" s="261">
        <f t="shared" si="0"/>
        <v>13</v>
      </c>
      <c r="E51" t="s">
        <v>558</v>
      </c>
      <c r="F51">
        <v>0</v>
      </c>
      <c r="G51">
        <v>900</v>
      </c>
      <c r="H51" s="196">
        <f t="shared" si="1"/>
        <v>0</v>
      </c>
    </row>
    <row r="52" spans="1:11">
      <c r="D52" s="261">
        <f t="shared" si="0"/>
        <v>14</v>
      </c>
      <c r="E52" t="s">
        <v>559</v>
      </c>
      <c r="F52">
        <v>0</v>
      </c>
      <c r="G52">
        <v>1000</v>
      </c>
      <c r="H52" s="196">
        <f t="shared" si="1"/>
        <v>0</v>
      </c>
      <c r="I52" t="s">
        <v>562</v>
      </c>
    </row>
    <row r="53" spans="1:11">
      <c r="D53" s="261">
        <f t="shared" si="0"/>
        <v>15</v>
      </c>
      <c r="E53" t="s">
        <v>560</v>
      </c>
      <c r="F53">
        <v>0</v>
      </c>
      <c r="G53">
        <v>700</v>
      </c>
      <c r="H53" s="196">
        <f t="shared" si="1"/>
        <v>0</v>
      </c>
      <c r="I53" t="s">
        <v>568</v>
      </c>
    </row>
    <row r="54" spans="1:11">
      <c r="D54" s="261">
        <f t="shared" ref="D54:D65" si="2">D53+1</f>
        <v>16</v>
      </c>
      <c r="E54" s="336" t="s">
        <v>561</v>
      </c>
      <c r="F54">
        <v>0</v>
      </c>
      <c r="G54">
        <v>900</v>
      </c>
      <c r="H54" s="196">
        <f t="shared" si="1"/>
        <v>0</v>
      </c>
    </row>
    <row r="55" spans="1:11">
      <c r="D55" s="261">
        <f t="shared" si="2"/>
        <v>17</v>
      </c>
      <c r="E55" t="s">
        <v>569</v>
      </c>
      <c r="F55">
        <v>0</v>
      </c>
      <c r="G55">
        <v>1500</v>
      </c>
      <c r="H55" s="196">
        <f t="shared" si="1"/>
        <v>0</v>
      </c>
      <c r="I55" t="s">
        <v>562</v>
      </c>
    </row>
    <row r="56" spans="1:11">
      <c r="C56" s="261">
        <f>D55+1</f>
        <v>18</v>
      </c>
      <c r="D56" s="261">
        <f t="shared" si="2"/>
        <v>18</v>
      </c>
      <c r="E56" t="s">
        <v>565</v>
      </c>
      <c r="F56">
        <v>0</v>
      </c>
      <c r="H56" s="196">
        <f t="shared" si="1"/>
        <v>0</v>
      </c>
    </row>
    <row r="57" spans="1:11">
      <c r="A57" t="s">
        <v>535</v>
      </c>
      <c r="B57" t="s">
        <v>586</v>
      </c>
      <c r="C57">
        <v>1500</v>
      </c>
      <c r="D57" s="261">
        <f t="shared" si="2"/>
        <v>19</v>
      </c>
      <c r="E57" t="s">
        <v>566</v>
      </c>
      <c r="F57">
        <v>0</v>
      </c>
      <c r="G57" s="196">
        <v>1500</v>
      </c>
      <c r="H57" s="196">
        <f t="shared" si="1"/>
        <v>0</v>
      </c>
    </row>
    <row r="58" spans="1:11">
      <c r="A58" t="s">
        <v>531</v>
      </c>
      <c r="B58" t="s">
        <v>525</v>
      </c>
      <c r="C58">
        <v>1500</v>
      </c>
      <c r="D58" s="261">
        <f t="shared" si="2"/>
        <v>20</v>
      </c>
      <c r="E58" t="s">
        <v>567</v>
      </c>
      <c r="F58">
        <v>0</v>
      </c>
      <c r="G58" s="196">
        <v>550</v>
      </c>
      <c r="H58" s="196">
        <f t="shared" si="1"/>
        <v>0</v>
      </c>
      <c r="I58" t="s">
        <v>568</v>
      </c>
    </row>
    <row r="59" spans="1:11">
      <c r="A59" t="s">
        <v>532</v>
      </c>
      <c r="B59" t="s">
        <v>525</v>
      </c>
      <c r="C59">
        <v>1100</v>
      </c>
      <c r="D59" s="261">
        <f t="shared" si="2"/>
        <v>21</v>
      </c>
      <c r="E59" t="s">
        <v>575</v>
      </c>
      <c r="F59">
        <v>0</v>
      </c>
      <c r="G59" s="196">
        <v>2400</v>
      </c>
      <c r="H59" s="196">
        <f t="shared" si="1"/>
        <v>0</v>
      </c>
    </row>
    <row r="60" spans="1:11">
      <c r="A60" t="s">
        <v>496</v>
      </c>
      <c r="B60" t="s">
        <v>496</v>
      </c>
      <c r="D60" s="261">
        <f t="shared" si="2"/>
        <v>22</v>
      </c>
      <c r="E60" t="s">
        <v>573</v>
      </c>
      <c r="F60">
        <v>0</v>
      </c>
      <c r="G60" s="196">
        <v>2000</v>
      </c>
      <c r="H60" s="196">
        <f t="shared" si="1"/>
        <v>0</v>
      </c>
    </row>
    <row r="61" spans="1:11">
      <c r="A61" t="s">
        <v>533</v>
      </c>
      <c r="B61" t="s">
        <v>534</v>
      </c>
      <c r="D61" s="261">
        <f t="shared" si="2"/>
        <v>23</v>
      </c>
      <c r="E61" t="s">
        <v>574</v>
      </c>
      <c r="F61">
        <v>0</v>
      </c>
      <c r="H61" s="196">
        <f t="shared" si="1"/>
        <v>0</v>
      </c>
    </row>
    <row r="62" spans="1:11">
      <c r="A62" t="s">
        <v>535</v>
      </c>
      <c r="B62" t="s">
        <v>530</v>
      </c>
      <c r="D62" s="261">
        <f t="shared" si="2"/>
        <v>24</v>
      </c>
      <c r="E62" t="s">
        <v>579</v>
      </c>
      <c r="F62">
        <v>0</v>
      </c>
      <c r="G62" s="196">
        <v>2600</v>
      </c>
      <c r="H62" s="196">
        <f t="shared" si="1"/>
        <v>0</v>
      </c>
    </row>
    <row r="63" spans="1:11">
      <c r="D63" s="261">
        <f t="shared" si="2"/>
        <v>25</v>
      </c>
      <c r="E63" t="s">
        <v>580</v>
      </c>
      <c r="F63">
        <v>0</v>
      </c>
      <c r="G63" s="196">
        <v>2400</v>
      </c>
      <c r="H63" s="196">
        <f t="shared" si="1"/>
        <v>0</v>
      </c>
    </row>
    <row r="64" spans="1:11">
      <c r="A64" t="s">
        <v>587</v>
      </c>
      <c r="B64" t="s">
        <v>525</v>
      </c>
      <c r="C64" t="s">
        <v>590</v>
      </c>
      <c r="D64" s="261">
        <f t="shared" si="2"/>
        <v>26</v>
      </c>
      <c r="E64" t="s">
        <v>581</v>
      </c>
      <c r="F64">
        <v>0</v>
      </c>
      <c r="G64" s="196">
        <v>2500</v>
      </c>
      <c r="H64" s="196">
        <f t="shared" si="1"/>
        <v>0</v>
      </c>
    </row>
    <row r="65" spans="1:8">
      <c r="A65" t="s">
        <v>559</v>
      </c>
      <c r="B65" t="s">
        <v>525</v>
      </c>
      <c r="C65" t="s">
        <v>589</v>
      </c>
      <c r="D65" s="261">
        <f t="shared" si="2"/>
        <v>27</v>
      </c>
      <c r="E65" t="s">
        <v>583</v>
      </c>
      <c r="F65">
        <v>1</v>
      </c>
      <c r="G65" s="196">
        <v>1300</v>
      </c>
      <c r="H65" s="196">
        <f t="shared" si="1"/>
        <v>1300</v>
      </c>
    </row>
    <row r="66" spans="1:8">
      <c r="A66" t="s">
        <v>496</v>
      </c>
      <c r="B66" t="s">
        <v>525</v>
      </c>
      <c r="D66" s="261">
        <f t="shared" ref="D66" si="3">D65+1</f>
        <v>28</v>
      </c>
      <c r="E66" t="s">
        <v>584</v>
      </c>
      <c r="F66">
        <v>0</v>
      </c>
      <c r="G66" s="196">
        <v>1300</v>
      </c>
      <c r="H66" s="196">
        <f t="shared" si="1"/>
        <v>0</v>
      </c>
    </row>
    <row r="67" spans="1:8">
      <c r="A67" t="s">
        <v>535</v>
      </c>
      <c r="B67" t="s">
        <v>525</v>
      </c>
      <c r="C67" t="s">
        <v>568</v>
      </c>
      <c r="D67" s="261"/>
      <c r="E67" t="s">
        <v>573</v>
      </c>
      <c r="F67">
        <v>0</v>
      </c>
      <c r="G67" s="196">
        <v>2000</v>
      </c>
      <c r="H67" s="196">
        <f t="shared" si="1"/>
        <v>0</v>
      </c>
    </row>
    <row r="68" spans="1:8">
      <c r="A68" t="s">
        <v>513</v>
      </c>
      <c r="B68" t="s">
        <v>512</v>
      </c>
      <c r="C68" t="s">
        <v>592</v>
      </c>
      <c r="D68" s="261"/>
      <c r="E68" t="s">
        <v>578</v>
      </c>
      <c r="F68">
        <v>0</v>
      </c>
      <c r="G68" s="196">
        <v>2000</v>
      </c>
      <c r="H68" s="196">
        <f t="shared" si="1"/>
        <v>0</v>
      </c>
    </row>
    <row r="69" spans="1:8">
      <c r="A69" t="s">
        <v>525</v>
      </c>
      <c r="B69" t="s">
        <v>525</v>
      </c>
      <c r="C69" t="s">
        <v>591</v>
      </c>
      <c r="D69" s="261"/>
      <c r="E69" t="s">
        <v>527</v>
      </c>
      <c r="F69">
        <v>1</v>
      </c>
      <c r="G69" s="196">
        <v>1500</v>
      </c>
      <c r="H69" s="196">
        <f t="shared" si="1"/>
        <v>1500</v>
      </c>
    </row>
    <row r="70" spans="1:8">
      <c r="D70" s="196"/>
      <c r="E70" t="s">
        <v>596</v>
      </c>
      <c r="F70">
        <v>0</v>
      </c>
      <c r="G70" s="196">
        <v>1200</v>
      </c>
      <c r="H70" s="196">
        <f t="shared" si="1"/>
        <v>0</v>
      </c>
    </row>
    <row r="71" spans="1:8">
      <c r="B71" t="s">
        <v>536</v>
      </c>
      <c r="C71" t="s">
        <v>539</v>
      </c>
      <c r="D71" s="196" t="s">
        <v>538</v>
      </c>
      <c r="E71" t="s">
        <v>432</v>
      </c>
    </row>
    <row r="72" spans="1:8">
      <c r="A72">
        <v>1</v>
      </c>
      <c r="B72" t="s">
        <v>537</v>
      </c>
      <c r="C72">
        <v>50</v>
      </c>
      <c r="D72" s="196">
        <v>2.1</v>
      </c>
      <c r="E72" t="s">
        <v>540</v>
      </c>
    </row>
    <row r="73" spans="1:8">
      <c r="A73">
        <v>2</v>
      </c>
      <c r="B73" t="s">
        <v>543</v>
      </c>
      <c r="C73">
        <v>43</v>
      </c>
      <c r="D73" s="196"/>
      <c r="E73" t="s">
        <v>542</v>
      </c>
    </row>
    <row r="74" spans="1:8">
      <c r="A74">
        <v>3</v>
      </c>
      <c r="B74" t="s">
        <v>541</v>
      </c>
      <c r="C74">
        <v>54</v>
      </c>
      <c r="D74" s="196"/>
    </row>
    <row r="75" spans="1:8">
      <c r="A75">
        <v>4</v>
      </c>
      <c r="B75" t="s">
        <v>526</v>
      </c>
      <c r="D75" s="196"/>
      <c r="E75" t="s">
        <v>628</v>
      </c>
    </row>
    <row r="76" spans="1:8">
      <c r="A76">
        <v>5</v>
      </c>
      <c r="B76" t="s">
        <v>588</v>
      </c>
      <c r="D76" s="196"/>
      <c r="E76" t="s">
        <v>598</v>
      </c>
      <c r="F76" t="s">
        <v>624</v>
      </c>
      <c r="G76" s="196" t="s">
        <v>625</v>
      </c>
    </row>
    <row r="77" spans="1:8">
      <c r="D77" s="196"/>
      <c r="F77" t="s">
        <v>626</v>
      </c>
      <c r="G77" s="196" t="s">
        <v>627</v>
      </c>
    </row>
    <row r="78" spans="1:8">
      <c r="A78" t="s">
        <v>576</v>
      </c>
      <c r="D78" s="196"/>
    </row>
    <row r="79" spans="1:8">
      <c r="A79">
        <v>1</v>
      </c>
      <c r="B79" t="s">
        <v>541</v>
      </c>
      <c r="C79" t="s">
        <v>577</v>
      </c>
      <c r="D79" s="196"/>
    </row>
    <row r="80" spans="1:8">
      <c r="A80">
        <f>A79+1</f>
        <v>2</v>
      </c>
      <c r="B80" t="s">
        <v>578</v>
      </c>
      <c r="D80" s="196"/>
    </row>
    <row r="81" spans="1:5">
      <c r="A81">
        <f t="shared" ref="A81:A83" si="4">A80+1</f>
        <v>3</v>
      </c>
      <c r="B81" t="s">
        <v>579</v>
      </c>
      <c r="D81" s="196"/>
    </row>
    <row r="82" spans="1:5">
      <c r="A82">
        <f t="shared" si="4"/>
        <v>4</v>
      </c>
      <c r="B82" t="s">
        <v>580</v>
      </c>
      <c r="D82" s="196"/>
    </row>
    <row r="83" spans="1:5">
      <c r="A83">
        <f t="shared" si="4"/>
        <v>5</v>
      </c>
      <c r="B83" t="s">
        <v>581</v>
      </c>
      <c r="D83" s="196"/>
    </row>
    <row r="86" spans="1:5">
      <c r="A86">
        <v>3</v>
      </c>
      <c r="B86" t="s">
        <v>544</v>
      </c>
      <c r="C86" t="s">
        <v>545</v>
      </c>
    </row>
    <row r="87" spans="1:5">
      <c r="B87" t="s">
        <v>546</v>
      </c>
    </row>
    <row r="88" spans="1:5">
      <c r="B88" t="s">
        <v>526</v>
      </c>
      <c r="C88" t="s">
        <v>557</v>
      </c>
      <c r="D88" t="s">
        <v>668</v>
      </c>
    </row>
    <row r="89" spans="1:5">
      <c r="B89" t="s">
        <v>547</v>
      </c>
    </row>
    <row r="90" spans="1:5">
      <c r="B90" t="s">
        <v>548</v>
      </c>
    </row>
    <row r="91" spans="1:5">
      <c r="B91" t="s">
        <v>550</v>
      </c>
      <c r="C91" t="s">
        <v>549</v>
      </c>
      <c r="D91" t="s">
        <v>551</v>
      </c>
      <c r="E91" t="s">
        <v>555</v>
      </c>
    </row>
    <row r="92" spans="1:5">
      <c r="B92" s="336" t="s">
        <v>676</v>
      </c>
      <c r="C92" t="s">
        <v>545</v>
      </c>
      <c r="D92" s="336" t="s">
        <v>556</v>
      </c>
    </row>
    <row r="97" spans="1:4">
      <c r="A97" t="s">
        <v>523</v>
      </c>
      <c r="B97" t="s">
        <v>570</v>
      </c>
    </row>
    <row r="98" spans="1:4">
      <c r="A98" t="s">
        <v>524</v>
      </c>
      <c r="B98" t="s">
        <v>571</v>
      </c>
    </row>
    <row r="101" spans="1:4">
      <c r="A101" t="s">
        <v>523</v>
      </c>
      <c r="B101" t="s">
        <v>524</v>
      </c>
      <c r="C101">
        <v>13359</v>
      </c>
      <c r="D101">
        <v>20646</v>
      </c>
    </row>
    <row r="102" spans="1:4">
      <c r="A102" s="312" t="s">
        <v>525</v>
      </c>
      <c r="B102" t="s">
        <v>525</v>
      </c>
      <c r="C102" t="s">
        <v>603</v>
      </c>
    </row>
    <row r="103" spans="1:4">
      <c r="A103" s="312" t="s">
        <v>598</v>
      </c>
      <c r="B103" t="s">
        <v>525</v>
      </c>
      <c r="C103" t="s">
        <v>604</v>
      </c>
    </row>
    <row r="104" spans="1:4">
      <c r="A104" s="312" t="s">
        <v>599</v>
      </c>
      <c r="B104" t="s">
        <v>525</v>
      </c>
      <c r="C104" t="s">
        <v>605</v>
      </c>
    </row>
    <row r="105" spans="1:4">
      <c r="A105" s="312" t="s">
        <v>600</v>
      </c>
      <c r="B105" t="s">
        <v>525</v>
      </c>
    </row>
    <row r="106" spans="1:4">
      <c r="B106" t="s">
        <v>523</v>
      </c>
      <c r="C106" t="s">
        <v>524</v>
      </c>
    </row>
    <row r="107" spans="1:4">
      <c r="A107" s="312" t="s">
        <v>552</v>
      </c>
      <c r="B107" t="s">
        <v>598</v>
      </c>
      <c r="C107" t="s">
        <v>525</v>
      </c>
      <c r="D107">
        <v>20778</v>
      </c>
    </row>
    <row r="108" spans="1:4">
      <c r="A108" t="s">
        <v>601</v>
      </c>
      <c r="B108" t="s">
        <v>587</v>
      </c>
      <c r="C108" t="s">
        <v>525</v>
      </c>
    </row>
    <row r="109" spans="1:4">
      <c r="A109" t="s">
        <v>602</v>
      </c>
      <c r="B109" t="s">
        <v>607</v>
      </c>
      <c r="C109" t="s">
        <v>525</v>
      </c>
    </row>
    <row r="110" spans="1:4">
      <c r="A110" t="s">
        <v>608</v>
      </c>
      <c r="B110" t="s">
        <v>525</v>
      </c>
      <c r="C110" t="s">
        <v>525</v>
      </c>
    </row>
    <row r="111" spans="1:4">
      <c r="A111" t="s">
        <v>608</v>
      </c>
      <c r="B111" t="s">
        <v>598</v>
      </c>
      <c r="C111" t="s">
        <v>587</v>
      </c>
    </row>
    <row r="112" spans="1:4">
      <c r="D112">
        <v>14385</v>
      </c>
    </row>
    <row r="113" spans="1:5">
      <c r="A113" t="s">
        <v>601</v>
      </c>
      <c r="B113" t="s">
        <v>587</v>
      </c>
      <c r="C113" t="s">
        <v>525</v>
      </c>
      <c r="E113" t="s">
        <v>612</v>
      </c>
    </row>
    <row r="114" spans="1:5">
      <c r="A114" t="s">
        <v>602</v>
      </c>
      <c r="B114" t="s">
        <v>607</v>
      </c>
      <c r="C114" t="s">
        <v>525</v>
      </c>
    </row>
    <row r="115" spans="1:5">
      <c r="B115" t="s">
        <v>525</v>
      </c>
      <c r="C115" t="s">
        <v>525</v>
      </c>
    </row>
    <row r="117" spans="1:5">
      <c r="A117" s="312" t="s">
        <v>552</v>
      </c>
      <c r="B117" t="s">
        <v>598</v>
      </c>
      <c r="C117" t="s">
        <v>525</v>
      </c>
      <c r="D117">
        <v>13636</v>
      </c>
      <c r="E117" t="s">
        <v>611</v>
      </c>
    </row>
    <row r="118" spans="1:5">
      <c r="A118" t="s">
        <v>601</v>
      </c>
      <c r="B118" t="s">
        <v>587</v>
      </c>
      <c r="C118" t="s">
        <v>525</v>
      </c>
    </row>
    <row r="119" spans="1:5">
      <c r="A119" t="s">
        <v>608</v>
      </c>
      <c r="B119" t="s">
        <v>525</v>
      </c>
      <c r="C119" t="s">
        <v>525</v>
      </c>
    </row>
    <row r="121" spans="1:5">
      <c r="A121" s="312" t="s">
        <v>552</v>
      </c>
      <c r="B121" t="s">
        <v>607</v>
      </c>
      <c r="C121" t="s">
        <v>525</v>
      </c>
      <c r="D121">
        <v>14819</v>
      </c>
    </row>
    <row r="122" spans="1:5">
      <c r="A122" t="s">
        <v>601</v>
      </c>
      <c r="B122" t="s">
        <v>587</v>
      </c>
      <c r="C122" t="s">
        <v>525</v>
      </c>
    </row>
    <row r="123" spans="1:5">
      <c r="A123" t="s">
        <v>608</v>
      </c>
      <c r="B123" t="s">
        <v>525</v>
      </c>
      <c r="C123" t="s">
        <v>525</v>
      </c>
    </row>
    <row r="124" spans="1:5">
      <c r="B124" t="s">
        <v>598</v>
      </c>
    </row>
    <row r="126" spans="1:5">
      <c r="A126" s="312" t="s">
        <v>613</v>
      </c>
      <c r="B126" t="s">
        <v>598</v>
      </c>
      <c r="C126" t="s">
        <v>525</v>
      </c>
    </row>
    <row r="127" spans="1:5">
      <c r="A127" t="s">
        <v>601</v>
      </c>
      <c r="B127" t="s">
        <v>587</v>
      </c>
      <c r="C127" t="s">
        <v>525</v>
      </c>
    </row>
    <row r="128" spans="1:5">
      <c r="A128" t="s">
        <v>608</v>
      </c>
      <c r="B128" t="s">
        <v>525</v>
      </c>
      <c r="C128" t="s">
        <v>525</v>
      </c>
    </row>
    <row r="130" spans="1:10">
      <c r="A130" t="s">
        <v>552</v>
      </c>
      <c r="B130" t="s">
        <v>525</v>
      </c>
      <c r="C130" t="s">
        <v>525</v>
      </c>
      <c r="D130">
        <v>13334</v>
      </c>
    </row>
    <row r="131" spans="1:10">
      <c r="A131" t="s">
        <v>617</v>
      </c>
      <c r="B131" t="s">
        <v>598</v>
      </c>
      <c r="C131" t="s">
        <v>598</v>
      </c>
      <c r="H131" t="s">
        <v>598</v>
      </c>
      <c r="I131" t="s">
        <v>620</v>
      </c>
      <c r="J131" t="s">
        <v>621</v>
      </c>
    </row>
    <row r="132" spans="1:10">
      <c r="A132" t="s">
        <v>608</v>
      </c>
      <c r="B132" t="s">
        <v>525</v>
      </c>
      <c r="C132" t="s">
        <v>525</v>
      </c>
      <c r="H132" t="s">
        <v>622</v>
      </c>
      <c r="I132" t="s">
        <v>623</v>
      </c>
    </row>
    <row r="134" spans="1:10">
      <c r="A134" t="s">
        <v>552</v>
      </c>
      <c r="B134" t="s">
        <v>525</v>
      </c>
      <c r="C134" t="s">
        <v>525</v>
      </c>
    </row>
    <row r="135" spans="1:10">
      <c r="A135" t="s">
        <v>617</v>
      </c>
      <c r="B135" t="s">
        <v>618</v>
      </c>
      <c r="C135" t="s">
        <v>618</v>
      </c>
      <c r="D135">
        <v>13334</v>
      </c>
    </row>
    <row r="136" spans="1:10">
      <c r="A136" t="s">
        <v>608</v>
      </c>
      <c r="B136" t="s">
        <v>525</v>
      </c>
      <c r="C136" t="s">
        <v>525</v>
      </c>
    </row>
    <row r="138" spans="1:10">
      <c r="A138" t="s">
        <v>552</v>
      </c>
      <c r="B138" t="s">
        <v>525</v>
      </c>
      <c r="C138" t="s">
        <v>525</v>
      </c>
      <c r="D138">
        <v>13774</v>
      </c>
      <c r="E138">
        <v>13557</v>
      </c>
    </row>
    <row r="139" spans="1:10">
      <c r="A139" t="s">
        <v>619</v>
      </c>
    </row>
    <row r="140" spans="1:10">
      <c r="A140" t="s">
        <v>608</v>
      </c>
      <c r="B140" t="s">
        <v>525</v>
      </c>
      <c r="C140" t="s">
        <v>525</v>
      </c>
    </row>
    <row r="142" spans="1:10">
      <c r="B142" t="s">
        <v>630</v>
      </c>
      <c r="C142" t="s">
        <v>631</v>
      </c>
      <c r="D142" t="s">
        <v>634</v>
      </c>
      <c r="E142" t="s">
        <v>636</v>
      </c>
      <c r="F142" t="s">
        <v>637</v>
      </c>
      <c r="G142" s="196" t="s">
        <v>639</v>
      </c>
    </row>
    <row r="143" spans="1:10">
      <c r="A143" t="s">
        <v>552</v>
      </c>
      <c r="B143" t="s">
        <v>651</v>
      </c>
      <c r="C143" t="s">
        <v>649</v>
      </c>
      <c r="D143">
        <v>92</v>
      </c>
      <c r="E143" t="s">
        <v>647</v>
      </c>
    </row>
    <row r="144" spans="1:10">
      <c r="A144" t="s">
        <v>629</v>
      </c>
      <c r="B144" t="s">
        <v>630</v>
      </c>
      <c r="C144" t="s">
        <v>648</v>
      </c>
      <c r="D144">
        <v>84</v>
      </c>
      <c r="E144" t="s">
        <v>647</v>
      </c>
    </row>
    <row r="145" spans="1:15">
      <c r="A145" t="s">
        <v>646</v>
      </c>
      <c r="B145" t="s">
        <v>643</v>
      </c>
      <c r="C145" t="s">
        <v>650</v>
      </c>
      <c r="D145" t="s">
        <v>633</v>
      </c>
      <c r="E145" t="s">
        <v>635</v>
      </c>
      <c r="F145" t="s">
        <v>638</v>
      </c>
      <c r="G145" s="196" t="s">
        <v>640</v>
      </c>
      <c r="H145" t="s">
        <v>641</v>
      </c>
      <c r="I145" t="s">
        <v>642</v>
      </c>
      <c r="K145" t="s">
        <v>644</v>
      </c>
    </row>
    <row r="146" spans="1:15">
      <c r="A146" t="s">
        <v>632</v>
      </c>
    </row>
    <row r="147" spans="1:15">
      <c r="M147">
        <v>16</v>
      </c>
      <c r="N147" t="s">
        <v>653</v>
      </c>
      <c r="O147">
        <v>6639</v>
      </c>
    </row>
    <row r="148" spans="1:15">
      <c r="M148">
        <v>16</v>
      </c>
      <c r="N148" t="s">
        <v>654</v>
      </c>
      <c r="O148">
        <v>668</v>
      </c>
    </row>
    <row r="149" spans="1:15">
      <c r="A149" t="s">
        <v>645</v>
      </c>
      <c r="B149" t="s">
        <v>587</v>
      </c>
      <c r="C149" t="s">
        <v>525</v>
      </c>
      <c r="D149">
        <v>12623</v>
      </c>
      <c r="M149">
        <v>17</v>
      </c>
      <c r="N149" t="s">
        <v>655</v>
      </c>
      <c r="O149">
        <v>3000</v>
      </c>
    </row>
    <row r="150" spans="1:15">
      <c r="A150" t="s">
        <v>617</v>
      </c>
      <c r="B150" t="s">
        <v>598</v>
      </c>
      <c r="C150" t="s">
        <v>525</v>
      </c>
      <c r="M150">
        <v>16</v>
      </c>
      <c r="N150" t="s">
        <v>656</v>
      </c>
      <c r="O150">
        <v>224</v>
      </c>
    </row>
    <row r="151" spans="1:15">
      <c r="A151" t="s">
        <v>608</v>
      </c>
      <c r="B151" t="s">
        <v>525</v>
      </c>
      <c r="C151" t="s">
        <v>525</v>
      </c>
      <c r="M151">
        <v>15</v>
      </c>
      <c r="N151" t="s">
        <v>657</v>
      </c>
      <c r="O151">
        <v>1109</v>
      </c>
    </row>
    <row r="152" spans="1:15">
      <c r="B152" t="s">
        <v>587</v>
      </c>
      <c r="M152">
        <v>18</v>
      </c>
      <c r="N152" t="s">
        <v>658</v>
      </c>
      <c r="O152">
        <v>870</v>
      </c>
    </row>
    <row r="153" spans="1:15">
      <c r="M153">
        <v>16</v>
      </c>
      <c r="O153">
        <v>0</v>
      </c>
    </row>
    <row r="154" spans="1:15">
      <c r="A154" t="s">
        <v>645</v>
      </c>
      <c r="B154" t="s">
        <v>587</v>
      </c>
      <c r="C154" t="s">
        <v>525</v>
      </c>
    </row>
    <row r="155" spans="1:15">
      <c r="A155" t="s">
        <v>617</v>
      </c>
      <c r="B155" t="s">
        <v>652</v>
      </c>
      <c r="C155" t="s">
        <v>652</v>
      </c>
    </row>
    <row r="156" spans="1:15">
      <c r="A156" t="s">
        <v>608</v>
      </c>
      <c r="B156" t="s">
        <v>587</v>
      </c>
      <c r="C156" t="s">
        <v>525</v>
      </c>
    </row>
    <row r="159" spans="1:15">
      <c r="A159" t="s">
        <v>670</v>
      </c>
      <c r="B159" t="s">
        <v>525</v>
      </c>
      <c r="C159" t="s">
        <v>525</v>
      </c>
    </row>
    <row r="160" spans="1:15">
      <c r="A160" t="s">
        <v>671</v>
      </c>
      <c r="B160" t="s">
        <v>674</v>
      </c>
      <c r="C160" t="s">
        <v>674</v>
      </c>
    </row>
    <row r="161" spans="1:3">
      <c r="A161" t="s">
        <v>672</v>
      </c>
      <c r="B161" t="s">
        <v>598</v>
      </c>
      <c r="C161" t="s">
        <v>525</v>
      </c>
    </row>
    <row r="162" spans="1:3">
      <c r="A162" t="s">
        <v>673</v>
      </c>
      <c r="B162" t="s">
        <v>618</v>
      </c>
      <c r="C162" t="s">
        <v>675</v>
      </c>
    </row>
    <row r="164" spans="1:3">
      <c r="A164" t="s">
        <v>670</v>
      </c>
      <c r="B164" t="s">
        <v>525</v>
      </c>
      <c r="C164" t="s">
        <v>525</v>
      </c>
    </row>
    <row r="165" spans="1:3">
      <c r="A165" t="s">
        <v>671</v>
      </c>
      <c r="B165" t="s">
        <v>674</v>
      </c>
      <c r="C165" t="s">
        <v>674</v>
      </c>
    </row>
    <row r="166" spans="1:3">
      <c r="A166" t="s">
        <v>672</v>
      </c>
      <c r="B166" t="s">
        <v>598</v>
      </c>
      <c r="C166" t="s">
        <v>525</v>
      </c>
    </row>
    <row r="167" spans="1:3">
      <c r="A167" t="s">
        <v>673</v>
      </c>
      <c r="B167" t="s">
        <v>618</v>
      </c>
      <c r="C167" t="s">
        <v>675</v>
      </c>
    </row>
    <row r="170" spans="1:3">
      <c r="A170" t="s">
        <v>670</v>
      </c>
      <c r="B170" t="s">
        <v>525</v>
      </c>
      <c r="C170" t="s">
        <v>525</v>
      </c>
    </row>
    <row r="171" spans="1:3">
      <c r="A171" t="s">
        <v>671</v>
      </c>
      <c r="B171" t="s">
        <v>598</v>
      </c>
      <c r="C171" t="s">
        <v>618</v>
      </c>
    </row>
    <row r="172" spans="1:3">
      <c r="A172" t="s">
        <v>672</v>
      </c>
      <c r="B172" t="s">
        <v>598</v>
      </c>
      <c r="C172" t="s">
        <v>525</v>
      </c>
    </row>
    <row r="173" spans="1:3">
      <c r="A173" t="s">
        <v>673</v>
      </c>
      <c r="B173" t="s">
        <v>618</v>
      </c>
      <c r="C173" t="s">
        <v>525</v>
      </c>
    </row>
    <row r="174" spans="1:3">
      <c r="B174" t="s">
        <v>598</v>
      </c>
      <c r="C174" t="s">
        <v>598</v>
      </c>
    </row>
    <row r="175" spans="1:3">
      <c r="B175" t="s">
        <v>618</v>
      </c>
      <c r="C175" t="s">
        <v>618</v>
      </c>
    </row>
    <row r="177" spans="1:3">
      <c r="A177" t="s">
        <v>670</v>
      </c>
      <c r="B177" t="s">
        <v>525</v>
      </c>
      <c r="C177" t="s">
        <v>525</v>
      </c>
    </row>
    <row r="178" spans="1:3">
      <c r="A178" t="s">
        <v>671</v>
      </c>
      <c r="B178" t="s">
        <v>598</v>
      </c>
      <c r="C178" t="s">
        <v>525</v>
      </c>
    </row>
    <row r="179" spans="1:3">
      <c r="A179" t="s">
        <v>672</v>
      </c>
      <c r="B179" t="s">
        <v>598</v>
      </c>
      <c r="C179" t="s">
        <v>618</v>
      </c>
    </row>
    <row r="180" spans="1:3">
      <c r="A180" t="s">
        <v>673</v>
      </c>
      <c r="B180" t="s">
        <v>618</v>
      </c>
      <c r="C180" t="s">
        <v>525</v>
      </c>
    </row>
    <row r="182" spans="1:3">
      <c r="B182" t="s">
        <v>525</v>
      </c>
      <c r="C182" t="s">
        <v>525</v>
      </c>
    </row>
    <row r="183" spans="1:3">
      <c r="B183" t="s">
        <v>598</v>
      </c>
      <c r="C183" t="s">
        <v>525</v>
      </c>
    </row>
    <row r="184" spans="1:3">
      <c r="B184" t="s">
        <v>618</v>
      </c>
      <c r="C184" t="s">
        <v>525</v>
      </c>
    </row>
    <row r="185" spans="1:3">
      <c r="B185" t="s">
        <v>598</v>
      </c>
      <c r="C185" t="s">
        <v>598</v>
      </c>
    </row>
    <row r="186" spans="1:3">
      <c r="B186" t="s">
        <v>598</v>
      </c>
      <c r="C186" t="s">
        <v>618</v>
      </c>
    </row>
    <row r="187" spans="1:3">
      <c r="B187" t="s">
        <v>618</v>
      </c>
      <c r="C187" t="s">
        <v>618</v>
      </c>
    </row>
    <row r="191" spans="1:3">
      <c r="A191" t="s">
        <v>677</v>
      </c>
      <c r="B191" s="409" t="s">
        <v>678</v>
      </c>
    </row>
    <row r="192" spans="1:3">
      <c r="A192" t="s">
        <v>679</v>
      </c>
      <c r="B192" s="409" t="s">
        <v>680</v>
      </c>
    </row>
    <row r="195" spans="1:9">
      <c r="F195" s="237" t="s">
        <v>598</v>
      </c>
      <c r="G195" s="304" t="s">
        <v>682</v>
      </c>
      <c r="H195" s="237">
        <v>37</v>
      </c>
      <c r="I195" s="237"/>
    </row>
    <row r="196" spans="1:9">
      <c r="F196" s="237" t="s">
        <v>598</v>
      </c>
      <c r="G196" s="304" t="s">
        <v>681</v>
      </c>
      <c r="H196" s="237">
        <v>37</v>
      </c>
      <c r="I196" s="237"/>
    </row>
    <row r="197" spans="1:9">
      <c r="A197" t="s">
        <v>716</v>
      </c>
      <c r="B197" t="s">
        <v>717</v>
      </c>
      <c r="F197" s="237"/>
      <c r="G197" s="304"/>
      <c r="H197" s="237"/>
      <c r="I197" s="237"/>
    </row>
    <row r="198" spans="1:9">
      <c r="F198" s="237" t="s">
        <v>598</v>
      </c>
      <c r="G198" s="304" t="s">
        <v>682</v>
      </c>
      <c r="H198" s="237">
        <v>37</v>
      </c>
      <c r="I198" s="237">
        <v>2</v>
      </c>
    </row>
    <row r="199" spans="1:9">
      <c r="A199">
        <v>3</v>
      </c>
      <c r="B199" t="s">
        <v>718</v>
      </c>
      <c r="C199" t="s">
        <v>719</v>
      </c>
      <c r="F199" t="s">
        <v>528</v>
      </c>
      <c r="G199" s="196" t="s">
        <v>681</v>
      </c>
      <c r="I199">
        <v>2</v>
      </c>
    </row>
    <row r="200" spans="1:9">
      <c r="A200">
        <v>2</v>
      </c>
      <c r="B200" t="s">
        <v>673</v>
      </c>
    </row>
    <row r="201" spans="1:9">
      <c r="A201">
        <v>1</v>
      </c>
      <c r="B201" t="s">
        <v>670</v>
      </c>
      <c r="F201" t="s">
        <v>674</v>
      </c>
      <c r="G201" s="196" t="s">
        <v>683</v>
      </c>
      <c r="I201">
        <v>2</v>
      </c>
    </row>
    <row r="202" spans="1:9">
      <c r="F202" t="s">
        <v>674</v>
      </c>
      <c r="G202" s="196" t="s">
        <v>684</v>
      </c>
      <c r="I202">
        <v>2</v>
      </c>
    </row>
    <row r="205" spans="1:9">
      <c r="F205" t="s">
        <v>674</v>
      </c>
      <c r="G205" s="196" t="s">
        <v>685</v>
      </c>
      <c r="H205" t="s">
        <v>686</v>
      </c>
      <c r="I205">
        <v>2</v>
      </c>
    </row>
    <row r="206" spans="1:9">
      <c r="G206" s="196" t="s">
        <v>688</v>
      </c>
      <c r="H206" t="s">
        <v>687</v>
      </c>
      <c r="I206">
        <v>2</v>
      </c>
    </row>
    <row r="209" spans="1:2">
      <c r="A209" t="s">
        <v>720</v>
      </c>
      <c r="B209" s="411" t="s">
        <v>721</v>
      </c>
    </row>
  </sheetData>
  <hyperlinks>
    <hyperlink ref="F2" r:id="rId1"/>
    <hyperlink ref="F3" r:id="rId2"/>
    <hyperlink ref="F6" display="https://aliexpress.ru/item/4000204399767.html?pdp_npi=2%40dis%21RUB%216%C2%A0843%2C65%20%D1%80%D1%83%D0%B1.%216%C2%A0159%2C08%20%D1%80%D1%83%D0%B1.%21%21%21%21%21%4021135c3616675738714518792e8db1%2110000000779519258%21sh01&amp;spm=a2g0o.store_pc_home.productL"/>
    <hyperlink ref="F5" r:id="rId3"/>
  </hyperlinks>
  <pageMargins left="0.7" right="0.7" top="0.75" bottom="0.75" header="0.3" footer="0.3"/>
  <pageSetup paperSize="9" orientation="portrait" r:id="rId4"/>
</worksheet>
</file>

<file path=xl/worksheets/sheet39.xml><?xml version="1.0" encoding="utf-8"?>
<worksheet xmlns="http://schemas.openxmlformats.org/spreadsheetml/2006/main" xmlns:r="http://schemas.openxmlformats.org/officeDocument/2006/relationships">
  <dimension ref="C1:Q24"/>
  <sheetViews>
    <sheetView workbookViewId="0">
      <selection activeCell="H18" sqref="H18"/>
    </sheetView>
  </sheetViews>
  <sheetFormatPr defaultRowHeight="15"/>
  <cols>
    <col min="3" max="3" width="21.7109375" customWidth="1"/>
    <col min="4" max="4" width="10.7109375" customWidth="1"/>
    <col min="5" max="5" width="11.140625" style="196" customWidth="1"/>
    <col min="9" max="9" width="9.5703125" customWidth="1"/>
    <col min="17" max="17" width="8.85546875" customWidth="1"/>
  </cols>
  <sheetData>
    <row r="1" spans="3:11">
      <c r="D1" s="407" t="s">
        <v>186</v>
      </c>
      <c r="E1" s="408" t="s">
        <v>433</v>
      </c>
    </row>
    <row r="2" spans="3:11">
      <c r="C2" t="s">
        <v>520</v>
      </c>
      <c r="D2">
        <v>566</v>
      </c>
      <c r="E2" s="196">
        <v>3032.73</v>
      </c>
      <c r="I2" t="s">
        <v>496</v>
      </c>
      <c r="J2" t="s">
        <v>522</v>
      </c>
    </row>
    <row r="3" spans="3:11">
      <c r="C3" t="s">
        <v>521</v>
      </c>
      <c r="D3">
        <v>150</v>
      </c>
      <c r="E3" s="196">
        <v>3878.97</v>
      </c>
    </row>
    <row r="6" spans="3:11">
      <c r="C6" t="s">
        <v>659</v>
      </c>
      <c r="D6">
        <v>7850</v>
      </c>
      <c r="E6" s="196">
        <v>150</v>
      </c>
      <c r="F6">
        <v>62</v>
      </c>
      <c r="G6">
        <v>42</v>
      </c>
      <c r="J6">
        <v>60</v>
      </c>
      <c r="K6" s="196">
        <f>E6+J6</f>
        <v>210</v>
      </c>
    </row>
    <row r="7" spans="3:11">
      <c r="C7" t="s">
        <v>660</v>
      </c>
      <c r="D7">
        <v>6620</v>
      </c>
      <c r="E7" s="196">
        <v>105</v>
      </c>
      <c r="F7">
        <v>82</v>
      </c>
      <c r="G7">
        <v>42</v>
      </c>
      <c r="J7">
        <v>60</v>
      </c>
      <c r="K7" s="196">
        <f>E7+J7</f>
        <v>165</v>
      </c>
    </row>
    <row r="8" spans="3:11">
      <c r="C8" t="s">
        <v>661</v>
      </c>
      <c r="D8">
        <v>4160</v>
      </c>
      <c r="E8" s="196">
        <v>97</v>
      </c>
      <c r="F8">
        <v>62</v>
      </c>
      <c r="G8">
        <v>42</v>
      </c>
      <c r="J8">
        <v>60</v>
      </c>
      <c r="K8" s="196">
        <f>E8+J8</f>
        <v>157</v>
      </c>
    </row>
    <row r="12" spans="3:11">
      <c r="F12">
        <v>2900</v>
      </c>
    </row>
    <row r="13" spans="3:11">
      <c r="F13">
        <v>2800</v>
      </c>
    </row>
    <row r="15" spans="3:11">
      <c r="F15">
        <v>5078</v>
      </c>
    </row>
    <row r="16" spans="3:11">
      <c r="F16">
        <v>4788</v>
      </c>
      <c r="G16">
        <v>2803</v>
      </c>
      <c r="H16">
        <f>F16-G16</f>
        <v>1985</v>
      </c>
    </row>
    <row r="17" spans="6:17">
      <c r="F17">
        <f>F15-F16</f>
        <v>290</v>
      </c>
    </row>
    <row r="19" spans="6:17">
      <c r="N19" t="s">
        <v>540</v>
      </c>
      <c r="O19" t="s">
        <v>662</v>
      </c>
    </row>
    <row r="20" spans="6:17">
      <c r="N20">
        <v>62</v>
      </c>
      <c r="O20">
        <v>58</v>
      </c>
      <c r="P20">
        <v>97</v>
      </c>
      <c r="Q20">
        <f>N20+P20</f>
        <v>159</v>
      </c>
    </row>
    <row r="21" spans="6:17">
      <c r="N21">
        <v>60</v>
      </c>
      <c r="O21">
        <v>60</v>
      </c>
      <c r="P21">
        <v>105</v>
      </c>
      <c r="Q21">
        <f>N21+P21</f>
        <v>165</v>
      </c>
    </row>
    <row r="22" spans="6:17">
      <c r="N22">
        <v>62</v>
      </c>
      <c r="O22">
        <v>58</v>
      </c>
      <c r="P22">
        <v>105</v>
      </c>
      <c r="Q22">
        <f>N22+P22</f>
        <v>167</v>
      </c>
    </row>
    <row r="23" spans="6:17">
      <c r="N23">
        <v>51</v>
      </c>
      <c r="O23">
        <v>85</v>
      </c>
      <c r="P23">
        <v>150</v>
      </c>
      <c r="Q23">
        <f>N23+P23</f>
        <v>201</v>
      </c>
    </row>
    <row r="24" spans="6:17">
      <c r="N24">
        <v>51</v>
      </c>
      <c r="O24">
        <v>85</v>
      </c>
      <c r="P24">
        <v>105</v>
      </c>
      <c r="Q24">
        <f>N24+P24</f>
        <v>156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D2:P40"/>
  <sheetViews>
    <sheetView workbookViewId="0">
      <selection activeCell="L7" sqref="L7"/>
    </sheetView>
  </sheetViews>
  <sheetFormatPr defaultRowHeight="15"/>
  <cols>
    <col min="1" max="1" width="9.140625" customWidth="1"/>
    <col min="6" max="6" width="11.7109375" customWidth="1"/>
    <col min="7" max="7" width="8.5703125" style="1" customWidth="1"/>
    <col min="8" max="8" width="10.28515625" customWidth="1"/>
    <col min="16" max="16" width="10.42578125" customWidth="1"/>
  </cols>
  <sheetData>
    <row r="2" spans="4:16">
      <c r="F2" t="s">
        <v>26</v>
      </c>
    </row>
    <row r="3" spans="4:16" ht="15.75" thickBot="1">
      <c r="D3" t="s">
        <v>30</v>
      </c>
    </row>
    <row r="4" spans="4:16" ht="15.75" thickBot="1">
      <c r="D4" t="s">
        <v>20</v>
      </c>
      <c r="E4" s="674" t="s">
        <v>28</v>
      </c>
      <c r="F4" s="675"/>
      <c r="G4" s="676"/>
      <c r="H4" s="674" t="s">
        <v>29</v>
      </c>
      <c r="I4" s="675"/>
      <c r="J4" s="676"/>
      <c r="K4" s="674" t="s">
        <v>25</v>
      </c>
      <c r="L4" s="675"/>
      <c r="M4" s="676"/>
      <c r="N4" s="680" t="s">
        <v>27</v>
      </c>
      <c r="O4" s="681"/>
      <c r="P4" s="682"/>
    </row>
    <row r="5" spans="4:16">
      <c r="D5" s="88">
        <v>5</v>
      </c>
      <c r="E5" s="88">
        <v>2451</v>
      </c>
      <c r="F5" s="89">
        <v>-13290</v>
      </c>
      <c r="G5" s="90">
        <f>F5/E5</f>
        <v>-5.4222766217870255</v>
      </c>
      <c r="H5" s="88">
        <v>2547</v>
      </c>
      <c r="I5" s="89">
        <v>-11525</v>
      </c>
      <c r="J5" s="90">
        <f>I5/H5</f>
        <v>-4.5249312917157436</v>
      </c>
      <c r="K5" s="88">
        <v>1169</v>
      </c>
      <c r="L5" s="89">
        <v>-11500</v>
      </c>
      <c r="M5" s="90">
        <f>L5/K5</f>
        <v>-9.8374679213002558</v>
      </c>
      <c r="N5" s="88">
        <v>1169</v>
      </c>
      <c r="O5" s="89">
        <v>-7970</v>
      </c>
      <c r="P5" s="90">
        <f>O5/N5</f>
        <v>-6.8177929854576558</v>
      </c>
    </row>
    <row r="6" spans="4:16">
      <c r="D6" s="91">
        <v>10</v>
      </c>
      <c r="E6" s="91">
        <v>1330</v>
      </c>
      <c r="F6" s="92">
        <v>-270</v>
      </c>
      <c r="G6" s="93">
        <f t="shared" ref="G6:G16" si="0">F6/E6</f>
        <v>-0.20300751879699247</v>
      </c>
      <c r="H6" s="91">
        <v>1345</v>
      </c>
      <c r="I6" s="92">
        <v>1480</v>
      </c>
      <c r="J6" s="93">
        <f t="shared" ref="J6:J16" si="1">I6/H6</f>
        <v>1.1003717472118959</v>
      </c>
      <c r="K6" s="91">
        <v>938</v>
      </c>
      <c r="L6" s="92">
        <v>-2515</v>
      </c>
      <c r="M6" s="93">
        <f t="shared" ref="M6:M16" si="2">L6/K6</f>
        <v>-2.681236673773987</v>
      </c>
      <c r="N6" s="91">
        <v>938</v>
      </c>
      <c r="O6" s="92">
        <v>-885</v>
      </c>
      <c r="P6" s="93">
        <f t="shared" ref="P6:P16" si="3">O6/N6</f>
        <v>-0.94349680170575689</v>
      </c>
    </row>
    <row r="7" spans="4:16" ht="15.75" thickBot="1">
      <c r="D7" s="94">
        <v>15</v>
      </c>
      <c r="E7" s="94">
        <v>850</v>
      </c>
      <c r="F7" s="95">
        <v>11310</v>
      </c>
      <c r="G7" s="96">
        <f t="shared" si="0"/>
        <v>13.305882352941177</v>
      </c>
      <c r="H7" s="94">
        <v>862</v>
      </c>
      <c r="I7" s="95">
        <v>13245</v>
      </c>
      <c r="J7" s="96">
        <f t="shared" si="1"/>
        <v>15.365429234338746</v>
      </c>
      <c r="K7" s="94">
        <v>616</v>
      </c>
      <c r="L7" s="95">
        <v>9440</v>
      </c>
      <c r="M7" s="96">
        <f t="shared" si="2"/>
        <v>15.324675324675324</v>
      </c>
      <c r="N7" s="94">
        <v>616</v>
      </c>
      <c r="O7" s="95">
        <v>6870</v>
      </c>
      <c r="P7" s="96">
        <f t="shared" si="3"/>
        <v>11.152597402597403</v>
      </c>
    </row>
    <row r="8" spans="4:16">
      <c r="D8" s="79">
        <v>30</v>
      </c>
      <c r="E8" s="79">
        <v>425</v>
      </c>
      <c r="F8" s="80">
        <v>-14690</v>
      </c>
      <c r="G8" s="81">
        <f t="shared" si="0"/>
        <v>-34.564705882352939</v>
      </c>
      <c r="H8" s="79">
        <v>434</v>
      </c>
      <c r="I8" s="80">
        <v>-13170</v>
      </c>
      <c r="J8" s="81">
        <f t="shared" si="1"/>
        <v>-30.345622119815669</v>
      </c>
      <c r="K8" s="79">
        <v>313</v>
      </c>
      <c r="L8" s="80">
        <v>-3355</v>
      </c>
      <c r="M8" s="81">
        <f t="shared" si="2"/>
        <v>-10.718849840255592</v>
      </c>
      <c r="N8" s="79">
        <v>313</v>
      </c>
      <c r="O8" s="80">
        <v>-2380</v>
      </c>
      <c r="P8" s="81">
        <f t="shared" si="3"/>
        <v>-7.6038338658146962</v>
      </c>
    </row>
    <row r="9" spans="4:16">
      <c r="D9" s="82">
        <v>45</v>
      </c>
      <c r="E9" s="82">
        <v>298</v>
      </c>
      <c r="F9" s="83">
        <v>-2395</v>
      </c>
      <c r="G9" s="84">
        <f t="shared" si="0"/>
        <v>-8.0369127516778516</v>
      </c>
      <c r="H9" s="82">
        <v>299</v>
      </c>
      <c r="I9" s="83">
        <v>-4700</v>
      </c>
      <c r="J9" s="84">
        <f t="shared" si="1"/>
        <v>-15.719063545150501</v>
      </c>
      <c r="K9" s="82">
        <v>223</v>
      </c>
      <c r="L9" s="83">
        <v>4720</v>
      </c>
      <c r="M9" s="84">
        <f t="shared" si="2"/>
        <v>21.165919282511211</v>
      </c>
      <c r="N9" s="82">
        <v>223</v>
      </c>
      <c r="O9" s="83">
        <v>2390</v>
      </c>
      <c r="P9" s="84">
        <f t="shared" si="3"/>
        <v>10.717488789237668</v>
      </c>
    </row>
    <row r="10" spans="4:16" ht="15.75" thickBot="1">
      <c r="D10" s="85">
        <v>60</v>
      </c>
      <c r="E10" s="85">
        <v>245</v>
      </c>
      <c r="F10" s="86">
        <v>-5860</v>
      </c>
      <c r="G10" s="87">
        <f t="shared" si="0"/>
        <v>-23.918367346938776</v>
      </c>
      <c r="H10" s="85">
        <v>247</v>
      </c>
      <c r="I10" s="86">
        <v>-3705</v>
      </c>
      <c r="J10" s="87">
        <f t="shared" si="1"/>
        <v>-15</v>
      </c>
      <c r="K10" s="85">
        <v>182</v>
      </c>
      <c r="L10" s="86">
        <v>-2335</v>
      </c>
      <c r="M10" s="87">
        <f t="shared" si="2"/>
        <v>-12.82967032967033</v>
      </c>
      <c r="N10" s="85">
        <v>182</v>
      </c>
      <c r="O10" s="86">
        <v>15</v>
      </c>
      <c r="P10" s="87">
        <f t="shared" si="3"/>
        <v>8.2417582417582416E-2</v>
      </c>
    </row>
    <row r="11" spans="4:16">
      <c r="D11" s="97">
        <v>90</v>
      </c>
      <c r="E11" s="97">
        <v>155</v>
      </c>
      <c r="F11" s="98">
        <v>5305</v>
      </c>
      <c r="G11" s="99">
        <f t="shared" si="0"/>
        <v>34.225806451612904</v>
      </c>
      <c r="H11" s="97">
        <v>156</v>
      </c>
      <c r="I11" s="98">
        <v>6645</v>
      </c>
      <c r="J11" s="99">
        <f t="shared" si="1"/>
        <v>42.596153846153847</v>
      </c>
      <c r="K11" s="97">
        <v>117</v>
      </c>
      <c r="L11" s="98">
        <v>3270</v>
      </c>
      <c r="M11" s="99">
        <f t="shared" si="2"/>
        <v>27.948717948717949</v>
      </c>
      <c r="N11" s="97">
        <v>117</v>
      </c>
      <c r="O11" s="98">
        <v>3950</v>
      </c>
      <c r="P11" s="99">
        <f t="shared" si="3"/>
        <v>33.760683760683762</v>
      </c>
    </row>
    <row r="12" spans="4:16">
      <c r="D12" s="100">
        <v>120</v>
      </c>
      <c r="E12" s="100">
        <v>120</v>
      </c>
      <c r="F12" s="101">
        <v>2010</v>
      </c>
      <c r="G12" s="102">
        <f t="shared" si="0"/>
        <v>16.75</v>
      </c>
      <c r="H12" s="100">
        <v>120</v>
      </c>
      <c r="I12" s="101">
        <v>2850</v>
      </c>
      <c r="J12" s="102">
        <f t="shared" si="1"/>
        <v>23.75</v>
      </c>
      <c r="K12" s="100">
        <v>92</v>
      </c>
      <c r="L12" s="101">
        <v>2695</v>
      </c>
      <c r="M12" s="102">
        <f t="shared" si="2"/>
        <v>29.293478260869566</v>
      </c>
      <c r="N12" s="100">
        <v>92</v>
      </c>
      <c r="O12" s="101">
        <v>4320</v>
      </c>
      <c r="P12" s="102">
        <f t="shared" si="3"/>
        <v>46.956521739130437</v>
      </c>
    </row>
    <row r="13" spans="4:16" ht="15.75" thickBot="1">
      <c r="D13" s="103">
        <v>150</v>
      </c>
      <c r="E13" s="103">
        <v>90</v>
      </c>
      <c r="F13" s="104">
        <v>11430</v>
      </c>
      <c r="G13" s="105">
        <f t="shared" si="0"/>
        <v>127</v>
      </c>
      <c r="H13" s="103">
        <v>90</v>
      </c>
      <c r="I13" s="104">
        <v>11765</v>
      </c>
      <c r="J13" s="105">
        <f t="shared" si="1"/>
        <v>130.72222222222223</v>
      </c>
      <c r="K13" s="103">
        <v>70</v>
      </c>
      <c r="L13" s="104">
        <v>8395</v>
      </c>
      <c r="M13" s="105">
        <f t="shared" si="2"/>
        <v>119.92857142857143</v>
      </c>
      <c r="N13" s="103">
        <v>70</v>
      </c>
      <c r="O13" s="104">
        <v>8030</v>
      </c>
      <c r="P13" s="105">
        <f t="shared" si="3"/>
        <v>114.71428571428571</v>
      </c>
    </row>
    <row r="14" spans="4:16">
      <c r="D14" s="106">
        <v>180</v>
      </c>
      <c r="E14" s="107">
        <v>80</v>
      </c>
      <c r="F14" s="108">
        <v>11680</v>
      </c>
      <c r="G14" s="109">
        <f t="shared" si="0"/>
        <v>146</v>
      </c>
      <c r="H14" s="107">
        <v>80</v>
      </c>
      <c r="I14" s="108">
        <v>12440</v>
      </c>
      <c r="J14" s="109">
        <f t="shared" si="1"/>
        <v>155.5</v>
      </c>
      <c r="K14" s="106">
        <v>63</v>
      </c>
      <c r="L14" s="108">
        <v>10370</v>
      </c>
      <c r="M14" s="109">
        <f t="shared" si="2"/>
        <v>164.60317460317461</v>
      </c>
      <c r="N14" s="106">
        <v>63</v>
      </c>
      <c r="O14" s="108">
        <v>7545</v>
      </c>
      <c r="P14" s="109">
        <f t="shared" si="3"/>
        <v>119.76190476190476</v>
      </c>
    </row>
    <row r="15" spans="4:16">
      <c r="D15" s="106">
        <v>240</v>
      </c>
      <c r="E15" s="107">
        <v>68</v>
      </c>
      <c r="F15" s="110">
        <v>10270</v>
      </c>
      <c r="G15" s="109">
        <f t="shared" si="0"/>
        <v>151.02941176470588</v>
      </c>
      <c r="H15" s="107">
        <v>68</v>
      </c>
      <c r="I15" s="110">
        <v>11225</v>
      </c>
      <c r="J15" s="109">
        <f t="shared" si="1"/>
        <v>165.0735294117647</v>
      </c>
      <c r="K15" s="106">
        <v>52</v>
      </c>
      <c r="L15" s="110">
        <v>6455</v>
      </c>
      <c r="M15" s="109">
        <f t="shared" si="2"/>
        <v>124.13461538461539</v>
      </c>
      <c r="N15" s="106">
        <v>52</v>
      </c>
      <c r="O15" s="110">
        <v>8080</v>
      </c>
      <c r="P15" s="109">
        <f t="shared" si="3"/>
        <v>155.38461538461539</v>
      </c>
    </row>
    <row r="16" spans="4:16" ht="15.75" thickBot="1">
      <c r="D16" s="111">
        <v>300</v>
      </c>
      <c r="E16" s="112">
        <v>59</v>
      </c>
      <c r="F16" s="113">
        <v>22045</v>
      </c>
      <c r="G16" s="114">
        <f t="shared" si="0"/>
        <v>373.64406779661016</v>
      </c>
      <c r="H16" s="112">
        <v>59</v>
      </c>
      <c r="I16" s="113">
        <v>22490</v>
      </c>
      <c r="J16" s="114">
        <f t="shared" si="1"/>
        <v>381.18644067796612</v>
      </c>
      <c r="K16" s="111">
        <v>45</v>
      </c>
      <c r="L16" s="113">
        <v>16330</v>
      </c>
      <c r="M16" s="114">
        <f t="shared" si="2"/>
        <v>362.88888888888891</v>
      </c>
      <c r="N16" s="111">
        <v>45</v>
      </c>
      <c r="O16" s="113">
        <v>17800</v>
      </c>
      <c r="P16" s="114">
        <f t="shared" si="3"/>
        <v>395.55555555555554</v>
      </c>
    </row>
    <row r="17" spans="4:16">
      <c r="D17" s="31" t="s">
        <v>0</v>
      </c>
      <c r="E17" s="75">
        <f>SUM(F5:F7)</f>
        <v>-2250</v>
      </c>
      <c r="F17" s="76">
        <f>SUM(F5:F16)</f>
        <v>37545</v>
      </c>
      <c r="H17" s="75">
        <f>SUM(I5:I7)</f>
        <v>3200</v>
      </c>
      <c r="I17" s="76">
        <f>SUM(I5:I16)</f>
        <v>49040</v>
      </c>
      <c r="J17" s="1"/>
      <c r="K17" s="75">
        <f>SUM(L5:L7)</f>
        <v>-4575</v>
      </c>
      <c r="L17" s="76">
        <f>SUM(L5:L16)</f>
        <v>41970</v>
      </c>
      <c r="M17" s="1"/>
      <c r="N17" s="75">
        <f>SUM(O5:O7)</f>
        <v>-1985</v>
      </c>
      <c r="O17" s="76">
        <f>SUM(O5:O16)</f>
        <v>47765</v>
      </c>
      <c r="P17" s="1"/>
    </row>
    <row r="18" spans="4:16">
      <c r="D18" s="32" t="s">
        <v>1</v>
      </c>
      <c r="E18" s="75">
        <f>SUM(F8:F10)</f>
        <v>-22945</v>
      </c>
      <c r="F18" s="77">
        <f>AVERAGE(F5:F16)</f>
        <v>3128.75</v>
      </c>
      <c r="H18" s="75">
        <f>SUM(I8:I10)</f>
        <v>-21575</v>
      </c>
      <c r="I18" s="77">
        <f>AVERAGE(I5:I16)</f>
        <v>4086.6666666666665</v>
      </c>
      <c r="J18" s="1"/>
      <c r="K18" s="75">
        <f>SUM(L8:L10)</f>
        <v>-970</v>
      </c>
      <c r="L18" s="77">
        <f>AVERAGE(L5:L16)</f>
        <v>3497.5</v>
      </c>
      <c r="M18" s="1"/>
      <c r="N18" s="75">
        <f>SUM(O8:O10)</f>
        <v>25</v>
      </c>
      <c r="O18" s="77">
        <f>AVERAGE(O5:O16)</f>
        <v>3980.4166666666665</v>
      </c>
      <c r="P18" s="1"/>
    </row>
    <row r="19" spans="4:16" ht="15.75" thickBot="1">
      <c r="D19" s="33" t="s">
        <v>2</v>
      </c>
      <c r="E19" s="75">
        <f>SUM(F11:F13)</f>
        <v>18745</v>
      </c>
      <c r="F19" s="78">
        <f>STDEV(F5:F16)</f>
        <v>11011.23911881938</v>
      </c>
      <c r="H19" s="66">
        <f>SUM(I11:I13)</f>
        <v>21260</v>
      </c>
      <c r="I19" s="78">
        <f>STDEV(I5:I16)</f>
        <v>10856.711023253049</v>
      </c>
      <c r="J19" s="1"/>
      <c r="K19" s="75">
        <f>SUM(L11:L13)</f>
        <v>14360</v>
      </c>
      <c r="L19" s="78">
        <f>STDEV(L5:L16)</f>
        <v>7532.8986030369724</v>
      </c>
      <c r="M19" s="1"/>
      <c r="N19" s="66">
        <f>SUM(O11:O13)</f>
        <v>16300</v>
      </c>
      <c r="O19" s="78">
        <f>STDEV(O5:O16)</f>
        <v>6540.4501715837341</v>
      </c>
      <c r="P19" s="1"/>
    </row>
    <row r="20" spans="4:16">
      <c r="E20" s="75">
        <f>SUM(F14:F16)</f>
        <v>43995</v>
      </c>
      <c r="H20" s="115">
        <f>SUM(I14:I16)</f>
        <v>46155</v>
      </c>
      <c r="J20" s="1"/>
      <c r="K20" s="75">
        <f>SUM(L14:L16)</f>
        <v>33155</v>
      </c>
      <c r="N20" s="115">
        <f>SUM(O14:O16)</f>
        <v>33425</v>
      </c>
    </row>
    <row r="21" spans="4:16">
      <c r="E21" s="69">
        <f>SUM(E17:E20)</f>
        <v>37545</v>
      </c>
      <c r="H21" s="69">
        <f>SUM(H17:H20)</f>
        <v>49040</v>
      </c>
      <c r="K21" s="69">
        <f>SUM(K17:K20)</f>
        <v>41970</v>
      </c>
      <c r="N21" s="69">
        <f>SUM(N17:N20)</f>
        <v>47765</v>
      </c>
    </row>
    <row r="22" spans="4:16" ht="15.75" thickBot="1"/>
    <row r="23" spans="4:16" ht="15.75" thickBot="1">
      <c r="D23" t="s">
        <v>20</v>
      </c>
      <c r="H23" s="674" t="s">
        <v>29</v>
      </c>
      <c r="I23" s="675"/>
      <c r="J23" s="676"/>
      <c r="N23" s="677" t="s">
        <v>31</v>
      </c>
      <c r="O23" s="678"/>
      <c r="P23" s="679"/>
    </row>
    <row r="24" spans="4:16">
      <c r="D24" s="88">
        <v>5</v>
      </c>
      <c r="H24" s="88">
        <v>2547</v>
      </c>
      <c r="I24" s="89">
        <v>-11525</v>
      </c>
      <c r="J24" s="90">
        <f>I24/H24</f>
        <v>-4.5249312917157436</v>
      </c>
      <c r="N24" s="88">
        <v>1824</v>
      </c>
      <c r="O24" s="89">
        <v>-6615</v>
      </c>
      <c r="P24" s="90">
        <f>O24/N24</f>
        <v>-3.6266447368421053</v>
      </c>
    </row>
    <row r="25" spans="4:16">
      <c r="D25" s="91">
        <v>10</v>
      </c>
      <c r="H25" s="91">
        <v>1345</v>
      </c>
      <c r="I25" s="92">
        <v>1480</v>
      </c>
      <c r="J25" s="93">
        <f t="shared" ref="J25:J35" si="4">I25/H25</f>
        <v>1.1003717472118959</v>
      </c>
      <c r="N25" s="91">
        <v>1824</v>
      </c>
      <c r="O25" s="92">
        <v>-4975</v>
      </c>
      <c r="P25" s="93">
        <f t="shared" ref="P25:P35" si="5">O25/N25</f>
        <v>-2.7275219298245612</v>
      </c>
    </row>
    <row r="26" spans="4:16" ht="15.75" thickBot="1">
      <c r="D26" s="94">
        <v>15</v>
      </c>
      <c r="H26" s="94">
        <v>862</v>
      </c>
      <c r="I26" s="95">
        <v>13245</v>
      </c>
      <c r="J26" s="96">
        <f t="shared" si="4"/>
        <v>15.365429234338746</v>
      </c>
      <c r="N26" s="94">
        <v>616</v>
      </c>
      <c r="O26" s="95">
        <v>8170</v>
      </c>
      <c r="P26" s="96">
        <f t="shared" si="5"/>
        <v>13.262987012987013</v>
      </c>
    </row>
    <row r="27" spans="4:16">
      <c r="D27" s="79">
        <v>30</v>
      </c>
      <c r="H27" s="79">
        <v>434</v>
      </c>
      <c r="I27" s="80">
        <v>-13170</v>
      </c>
      <c r="J27" s="81">
        <f t="shared" si="4"/>
        <v>-30.345622119815669</v>
      </c>
      <c r="N27" s="79">
        <v>313</v>
      </c>
      <c r="O27" s="80">
        <v>505</v>
      </c>
      <c r="P27" s="81">
        <f t="shared" si="5"/>
        <v>1.6134185303514377</v>
      </c>
    </row>
    <row r="28" spans="4:16">
      <c r="D28" s="82">
        <v>45</v>
      </c>
      <c r="H28" s="82">
        <v>299</v>
      </c>
      <c r="I28" s="83">
        <v>-4700</v>
      </c>
      <c r="J28" s="84">
        <f t="shared" si="4"/>
        <v>-15.719063545150501</v>
      </c>
      <c r="N28" s="82">
        <v>223</v>
      </c>
      <c r="O28" s="83">
        <v>-8295</v>
      </c>
      <c r="P28" s="84">
        <f t="shared" si="5"/>
        <v>-37.197309417040358</v>
      </c>
    </row>
    <row r="29" spans="4:16" ht="15.75" thickBot="1">
      <c r="D29" s="85">
        <v>60</v>
      </c>
      <c r="H29" s="85">
        <v>247</v>
      </c>
      <c r="I29" s="86">
        <v>-3705</v>
      </c>
      <c r="J29" s="87">
        <f t="shared" si="4"/>
        <v>-15</v>
      </c>
      <c r="N29" s="85">
        <v>182</v>
      </c>
      <c r="O29" s="86">
        <v>-6370</v>
      </c>
      <c r="P29" s="87">
        <f t="shared" si="5"/>
        <v>-35</v>
      </c>
    </row>
    <row r="30" spans="4:16">
      <c r="D30" s="97">
        <v>90</v>
      </c>
      <c r="H30" s="97">
        <v>156</v>
      </c>
      <c r="I30" s="98">
        <v>6645</v>
      </c>
      <c r="J30" s="99">
        <f t="shared" si="4"/>
        <v>42.596153846153847</v>
      </c>
      <c r="N30" s="97">
        <v>117</v>
      </c>
      <c r="O30" s="98">
        <v>-1445</v>
      </c>
      <c r="P30" s="99">
        <f t="shared" si="5"/>
        <v>-12.350427350427351</v>
      </c>
    </row>
    <row r="31" spans="4:16">
      <c r="D31" s="100">
        <v>120</v>
      </c>
      <c r="H31" s="100">
        <v>120</v>
      </c>
      <c r="I31" s="101">
        <v>2850</v>
      </c>
      <c r="J31" s="102">
        <f t="shared" si="4"/>
        <v>23.75</v>
      </c>
      <c r="N31" s="100">
        <v>92</v>
      </c>
      <c r="O31" s="101">
        <v>-410</v>
      </c>
      <c r="P31" s="102">
        <f t="shared" si="5"/>
        <v>-4.4565217391304346</v>
      </c>
    </row>
    <row r="32" spans="4:16" ht="15.75" thickBot="1">
      <c r="D32" s="103">
        <v>150</v>
      </c>
      <c r="H32" s="103">
        <v>90</v>
      </c>
      <c r="I32" s="104">
        <v>11765</v>
      </c>
      <c r="J32" s="105">
        <f t="shared" si="4"/>
        <v>130.72222222222223</v>
      </c>
      <c r="N32" s="103">
        <v>70</v>
      </c>
      <c r="O32" s="104">
        <v>6755</v>
      </c>
      <c r="P32" s="105">
        <f t="shared" si="5"/>
        <v>96.5</v>
      </c>
    </row>
    <row r="33" spans="4:16">
      <c r="D33" s="106">
        <v>180</v>
      </c>
      <c r="H33" s="107">
        <v>80</v>
      </c>
      <c r="I33" s="108">
        <v>12440</v>
      </c>
      <c r="J33" s="109">
        <f t="shared" si="4"/>
        <v>155.5</v>
      </c>
      <c r="N33" s="106">
        <v>63</v>
      </c>
      <c r="O33" s="108">
        <v>3085</v>
      </c>
      <c r="P33" s="109">
        <f t="shared" si="5"/>
        <v>48.968253968253968</v>
      </c>
    </row>
    <row r="34" spans="4:16">
      <c r="D34" s="106">
        <v>240</v>
      </c>
      <c r="H34" s="107">
        <v>68</v>
      </c>
      <c r="I34" s="110">
        <v>11225</v>
      </c>
      <c r="J34" s="109">
        <f t="shared" si="4"/>
        <v>165.0735294117647</v>
      </c>
      <c r="N34" s="106">
        <v>52</v>
      </c>
      <c r="O34" s="110">
        <v>2465</v>
      </c>
      <c r="P34" s="109">
        <f t="shared" si="5"/>
        <v>47.403846153846153</v>
      </c>
    </row>
    <row r="35" spans="4:16" ht="15.75" thickBot="1">
      <c r="D35" s="111">
        <v>300</v>
      </c>
      <c r="H35" s="112">
        <v>59</v>
      </c>
      <c r="I35" s="113">
        <v>22490</v>
      </c>
      <c r="J35" s="114">
        <f t="shared" si="4"/>
        <v>381.18644067796612</v>
      </c>
      <c r="N35" s="111">
        <v>45</v>
      </c>
      <c r="O35" s="113">
        <v>7525</v>
      </c>
      <c r="P35" s="114">
        <f t="shared" si="5"/>
        <v>167.22222222222223</v>
      </c>
    </row>
    <row r="36" spans="4:16">
      <c r="D36" s="31" t="s">
        <v>0</v>
      </c>
      <c r="H36" s="75">
        <f>SUM(I24:I26)</f>
        <v>3200</v>
      </c>
      <c r="I36" s="76">
        <f>SUM(I24:I35)</f>
        <v>49040</v>
      </c>
      <c r="J36" s="1"/>
      <c r="N36" s="75">
        <f>SUM(O24:O26)</f>
        <v>-3420</v>
      </c>
      <c r="O36" s="76">
        <f>SUM(O24:O35)</f>
        <v>395</v>
      </c>
      <c r="P36" s="1"/>
    </row>
    <row r="37" spans="4:16">
      <c r="D37" s="32" t="s">
        <v>1</v>
      </c>
      <c r="H37" s="75">
        <f>SUM(I27:I29)</f>
        <v>-21575</v>
      </c>
      <c r="I37" s="77">
        <f>AVERAGE(I24:I35)</f>
        <v>4086.6666666666665</v>
      </c>
      <c r="J37" s="1"/>
      <c r="N37" s="75">
        <f>SUM(O27:O29)</f>
        <v>-14160</v>
      </c>
      <c r="O37" s="77">
        <f>AVERAGE(O24:O35)</f>
        <v>32.916666666666664</v>
      </c>
      <c r="P37" s="1"/>
    </row>
    <row r="38" spans="4:16" ht="15.75" thickBot="1">
      <c r="D38" s="33" t="s">
        <v>2</v>
      </c>
      <c r="H38" s="75">
        <f>SUM(I30:I32)</f>
        <v>21260</v>
      </c>
      <c r="I38" s="78">
        <f>STDEV(I24:I35)</f>
        <v>10856.711023253049</v>
      </c>
      <c r="J38" s="1"/>
      <c r="N38" s="75">
        <f>SUM(O30:O32)</f>
        <v>4900</v>
      </c>
      <c r="O38" s="78">
        <f>STDEV(O24:O35)</f>
        <v>5760.278741019607</v>
      </c>
      <c r="P38" s="1"/>
    </row>
    <row r="39" spans="4:16">
      <c r="H39" s="75">
        <f>SUM(I33:I35)</f>
        <v>46155</v>
      </c>
      <c r="J39" s="1"/>
      <c r="N39" s="75">
        <f>SUM(O33:O35)</f>
        <v>13075</v>
      </c>
    </row>
    <row r="40" spans="4:16">
      <c r="H40" s="69">
        <f>SUM(H36:H39)</f>
        <v>49040</v>
      </c>
      <c r="N40" s="69">
        <f>SUM(N36:N39)</f>
        <v>395</v>
      </c>
    </row>
  </sheetData>
  <mergeCells count="6">
    <mergeCell ref="E4:G4"/>
    <mergeCell ref="K4:M4"/>
    <mergeCell ref="H4:J4"/>
    <mergeCell ref="N23:P23"/>
    <mergeCell ref="H23:J23"/>
    <mergeCell ref="N4:P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dimension ref="B1:L6"/>
  <sheetViews>
    <sheetView workbookViewId="0">
      <selection activeCell="J2" sqref="J2"/>
    </sheetView>
  </sheetViews>
  <sheetFormatPr defaultRowHeight="15"/>
  <cols>
    <col min="2" max="2" width="10.140625" bestFit="1" customWidth="1"/>
    <col min="4" max="4" width="17.5703125" customWidth="1"/>
    <col min="10" max="10" width="11" customWidth="1"/>
  </cols>
  <sheetData>
    <row r="1" spans="2:12">
      <c r="J1">
        <v>0.15</v>
      </c>
    </row>
    <row r="2" spans="2:12">
      <c r="B2" s="197">
        <v>44881</v>
      </c>
      <c r="C2">
        <v>2852</v>
      </c>
      <c r="D2" t="s">
        <v>663</v>
      </c>
      <c r="E2">
        <v>259</v>
      </c>
      <c r="J2">
        <v>5000</v>
      </c>
    </row>
    <row r="3" spans="2:12">
      <c r="D3" t="s">
        <v>664</v>
      </c>
      <c r="E3">
        <v>6380</v>
      </c>
      <c r="J3">
        <v>5000</v>
      </c>
    </row>
    <row r="4" spans="2:12">
      <c r="J4">
        <v>7850</v>
      </c>
    </row>
    <row r="5" spans="2:12">
      <c r="C5">
        <v>8700</v>
      </c>
      <c r="D5" t="s">
        <v>665</v>
      </c>
      <c r="E5">
        <v>224</v>
      </c>
      <c r="J5">
        <f>SUM(J2:J4)</f>
        <v>17850</v>
      </c>
      <c r="K5">
        <f>J5*$J$1</f>
        <v>2677.5</v>
      </c>
      <c r="L5">
        <f>J5-K5</f>
        <v>15172.5</v>
      </c>
    </row>
    <row r="6" spans="2:12">
      <c r="C6">
        <v>3244</v>
      </c>
      <c r="D6" t="s">
        <v>666</v>
      </c>
      <c r="E6">
        <v>1109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B2:I34"/>
  <sheetViews>
    <sheetView topLeftCell="A13" workbookViewId="0">
      <selection activeCell="K30" sqref="E30:K30"/>
    </sheetView>
  </sheetViews>
  <sheetFormatPr defaultRowHeight="15"/>
  <cols>
    <col min="2" max="2" width="19.42578125" customWidth="1"/>
    <col min="3" max="3" width="21" customWidth="1"/>
    <col min="4" max="4" width="25.7109375" customWidth="1"/>
    <col min="5" max="5" width="22.5703125" customWidth="1"/>
    <col min="6" max="6" width="13.42578125" customWidth="1"/>
    <col min="7" max="7" width="15" customWidth="1"/>
    <col min="8" max="8" width="18.28515625" customWidth="1"/>
    <col min="9" max="9" width="16.28515625" customWidth="1"/>
  </cols>
  <sheetData>
    <row r="2" spans="2:9">
      <c r="B2" t="s">
        <v>482</v>
      </c>
      <c r="C2" t="s">
        <v>499</v>
      </c>
      <c r="D2" t="s">
        <v>498</v>
      </c>
      <c r="F2" s="196"/>
      <c r="G2" t="s">
        <v>487</v>
      </c>
      <c r="H2" t="s">
        <v>484</v>
      </c>
    </row>
    <row r="3" spans="2:9">
      <c r="B3" s="237" t="s">
        <v>490</v>
      </c>
      <c r="C3" t="s">
        <v>483</v>
      </c>
      <c r="D3" t="s">
        <v>493</v>
      </c>
      <c r="E3" s="379" t="s">
        <v>491</v>
      </c>
      <c r="F3" s="196">
        <v>4810.72</v>
      </c>
      <c r="G3" t="s">
        <v>486</v>
      </c>
      <c r="H3" t="s">
        <v>485</v>
      </c>
      <c r="I3">
        <v>1</v>
      </c>
    </row>
    <row r="4" spans="2:9">
      <c r="B4" t="s">
        <v>489</v>
      </c>
      <c r="C4" t="s">
        <v>500</v>
      </c>
      <c r="D4" t="s">
        <v>488</v>
      </c>
      <c r="E4" s="379" t="s">
        <v>492</v>
      </c>
      <c r="F4" s="196" t="s">
        <v>21</v>
      </c>
      <c r="G4" t="s">
        <v>486</v>
      </c>
      <c r="H4" t="s">
        <v>493</v>
      </c>
    </row>
    <row r="5" spans="2:9">
      <c r="B5" s="237" t="s">
        <v>495</v>
      </c>
      <c r="C5" t="s">
        <v>496</v>
      </c>
      <c r="D5" t="s">
        <v>496</v>
      </c>
      <c r="E5" s="379" t="s">
        <v>497</v>
      </c>
      <c r="F5" s="196" t="s">
        <v>21</v>
      </c>
      <c r="G5" t="s">
        <v>486</v>
      </c>
      <c r="H5" t="s">
        <v>494</v>
      </c>
    </row>
    <row r="6" spans="2:9">
      <c r="B6" s="237" t="s">
        <v>490</v>
      </c>
      <c r="C6" t="s">
        <v>493</v>
      </c>
      <c r="D6" t="s">
        <v>493</v>
      </c>
      <c r="E6" s="379" t="s">
        <v>501</v>
      </c>
      <c r="F6" s="196">
        <v>4810.72</v>
      </c>
    </row>
    <row r="7" spans="2:9">
      <c r="B7" s="237" t="s">
        <v>503</v>
      </c>
      <c r="C7" t="s">
        <v>505</v>
      </c>
      <c r="D7" t="s">
        <v>502</v>
      </c>
      <c r="E7" s="379" t="s">
        <v>504</v>
      </c>
      <c r="F7" s="196">
        <v>5955.66</v>
      </c>
    </row>
    <row r="8" spans="2:9">
      <c r="B8" t="s">
        <v>507</v>
      </c>
      <c r="C8" t="s">
        <v>508</v>
      </c>
      <c r="D8" t="s">
        <v>509</v>
      </c>
      <c r="F8" s="196"/>
    </row>
    <row r="9" spans="2:9">
      <c r="B9" t="s">
        <v>510</v>
      </c>
      <c r="C9" t="s">
        <v>494</v>
      </c>
      <c r="D9" t="s">
        <v>511</v>
      </c>
      <c r="F9" s="196"/>
    </row>
    <row r="10" spans="2:9">
      <c r="B10" t="s">
        <v>514</v>
      </c>
      <c r="C10" t="s">
        <v>513</v>
      </c>
      <c r="D10" t="s">
        <v>512</v>
      </c>
      <c r="F10" s="196"/>
    </row>
    <row r="11" spans="2:9">
      <c r="C11" t="s">
        <v>516</v>
      </c>
      <c r="D11" t="s">
        <v>515</v>
      </c>
      <c r="F11" s="196"/>
    </row>
    <row r="12" spans="2:9">
      <c r="B12" t="s">
        <v>517</v>
      </c>
      <c r="C12" t="s">
        <v>519</v>
      </c>
      <c r="D12" t="s">
        <v>519</v>
      </c>
      <c r="F12" s="196"/>
    </row>
    <row r="13" spans="2:9">
      <c r="C13" t="s">
        <v>506</v>
      </c>
      <c r="D13" t="s">
        <v>506</v>
      </c>
      <c r="F13" s="196"/>
    </row>
    <row r="14" spans="2:9">
      <c r="B14" s="237" t="s">
        <v>552</v>
      </c>
      <c r="C14" t="s">
        <v>553</v>
      </c>
      <c r="D14" t="s">
        <v>554</v>
      </c>
      <c r="F14" s="196"/>
    </row>
    <row r="15" spans="2:9">
      <c r="B15" t="s">
        <v>593</v>
      </c>
      <c r="C15" t="s">
        <v>595</v>
      </c>
      <c r="D15" t="s">
        <v>594</v>
      </c>
      <c r="F15" s="196"/>
    </row>
    <row r="16" spans="2:9">
      <c r="C16" t="s">
        <v>597</v>
      </c>
      <c r="D16" t="s">
        <v>563</v>
      </c>
      <c r="F16" s="196"/>
      <c r="G16" s="196">
        <f>SUM(G24:G69)</f>
        <v>0</v>
      </c>
    </row>
    <row r="17" spans="2:7">
      <c r="C17" t="s">
        <v>559</v>
      </c>
      <c r="D17" t="s">
        <v>606</v>
      </c>
      <c r="F17" s="196"/>
      <c r="G17" s="196"/>
    </row>
    <row r="18" spans="2:7">
      <c r="C18" t="s">
        <v>610</v>
      </c>
      <c r="D18" t="s">
        <v>609</v>
      </c>
      <c r="F18" s="196"/>
      <c r="G18" s="196"/>
    </row>
    <row r="19" spans="2:7">
      <c r="B19" s="237" t="s">
        <v>552</v>
      </c>
      <c r="C19" t="s">
        <v>614</v>
      </c>
      <c r="D19" t="s">
        <v>616</v>
      </c>
      <c r="E19" t="s">
        <v>615</v>
      </c>
      <c r="F19" s="196"/>
      <c r="G19" s="196"/>
    </row>
    <row r="20" spans="2:7">
      <c r="C20" t="s">
        <v>614</v>
      </c>
      <c r="D20" t="s">
        <v>606</v>
      </c>
      <c r="F20" s="196"/>
      <c r="G20" s="196"/>
    </row>
    <row r="21" spans="2:7">
      <c r="C21" t="s">
        <v>667</v>
      </c>
      <c r="D21" t="s">
        <v>614</v>
      </c>
      <c r="F21" s="196"/>
      <c r="G21" s="196"/>
    </row>
    <row r="22" spans="2:7">
      <c r="C22" t="s">
        <v>614</v>
      </c>
      <c r="D22" t="s">
        <v>669</v>
      </c>
      <c r="F22" s="196"/>
      <c r="G22" s="196"/>
    </row>
    <row r="23" spans="2:7">
      <c r="C23" t="s">
        <v>493</v>
      </c>
      <c r="D23" t="s">
        <v>708</v>
      </c>
      <c r="E23" s="411" t="s">
        <v>707</v>
      </c>
    </row>
    <row r="24" spans="2:7">
      <c r="C24" t="s">
        <v>800</v>
      </c>
      <c r="D24" t="s">
        <v>801</v>
      </c>
      <c r="E24" t="s">
        <v>802</v>
      </c>
    </row>
    <row r="25" spans="2:7">
      <c r="B25" t="s">
        <v>804</v>
      </c>
      <c r="C25" t="s">
        <v>803</v>
      </c>
      <c r="D25" t="s">
        <v>493</v>
      </c>
      <c r="E25" t="s">
        <v>805</v>
      </c>
    </row>
    <row r="26" spans="2:7">
      <c r="B26" t="s">
        <v>806</v>
      </c>
      <c r="C26" t="s">
        <v>800</v>
      </c>
      <c r="D26" t="s">
        <v>800</v>
      </c>
      <c r="E26" t="s">
        <v>807</v>
      </c>
    </row>
    <row r="27" spans="2:7">
      <c r="B27" t="s">
        <v>808</v>
      </c>
      <c r="C27" t="s">
        <v>800</v>
      </c>
      <c r="D27" t="s">
        <v>800</v>
      </c>
      <c r="E27" t="s">
        <v>809</v>
      </c>
    </row>
    <row r="28" spans="2:7">
      <c r="B28" t="s">
        <v>814</v>
      </c>
      <c r="C28" t="s">
        <v>800</v>
      </c>
      <c r="D28" t="s">
        <v>810</v>
      </c>
      <c r="E28" s="379" t="s">
        <v>811</v>
      </c>
    </row>
    <row r="29" spans="2:7">
      <c r="B29" t="s">
        <v>812</v>
      </c>
      <c r="C29" t="s">
        <v>800</v>
      </c>
      <c r="D29" t="s">
        <v>669</v>
      </c>
      <c r="E29" t="s">
        <v>813</v>
      </c>
    </row>
    <row r="30" spans="2:7">
      <c r="B30" t="s">
        <v>652</v>
      </c>
      <c r="C30" t="s">
        <v>815</v>
      </c>
      <c r="D30" t="s">
        <v>526</v>
      </c>
      <c r="E30" t="s">
        <v>816</v>
      </c>
    </row>
    <row r="31" spans="2:7">
      <c r="B31" t="s">
        <v>817</v>
      </c>
      <c r="C31" t="s">
        <v>493</v>
      </c>
      <c r="D31" t="s">
        <v>708</v>
      </c>
      <c r="E31" t="s">
        <v>818</v>
      </c>
    </row>
    <row r="32" spans="2:7">
      <c r="B32" t="s">
        <v>808</v>
      </c>
      <c r="C32" t="s">
        <v>800</v>
      </c>
      <c r="D32" t="s">
        <v>800</v>
      </c>
      <c r="E32" t="s">
        <v>819</v>
      </c>
    </row>
    <row r="33" spans="2:5">
      <c r="B33" t="s">
        <v>820</v>
      </c>
      <c r="C33" t="s">
        <v>822</v>
      </c>
      <c r="D33" t="s">
        <v>821</v>
      </c>
      <c r="E33" t="s">
        <v>823</v>
      </c>
    </row>
    <row r="34" spans="2:5">
      <c r="B34" t="s">
        <v>824</v>
      </c>
      <c r="C34" t="s">
        <v>826</v>
      </c>
      <c r="D34" t="s">
        <v>825</v>
      </c>
      <c r="E34" t="s">
        <v>827</v>
      </c>
    </row>
  </sheetData>
  <hyperlinks>
    <hyperlink ref="E3" r:id="rId1"/>
    <hyperlink ref="E4" r:id="rId2"/>
    <hyperlink ref="E7" display="https://aliexpress.ru/item/4000204399767.html?pdp_npi=2%40dis%21RUB%216%C2%A0843%2C65%20%D1%80%D1%83%D0%B1.%216%C2%A0159%2C08%20%D1%80%D1%83%D0%B1.%21%21%21%21%21%4021135c3616675738714518792e8db1%2110000000779519258%21sh01&amp;spm=a2g0o.store_pc_home.productL"/>
    <hyperlink ref="E6" r:id="rId3"/>
    <hyperlink ref="E28" r:id="rId4"/>
  </hyperlinks>
  <pageMargins left="0.7" right="0.7" top="0.75" bottom="0.75" header="0.3" footer="0.3"/>
  <pageSetup paperSize="9" orientation="portrait" r:id="rId5"/>
</worksheet>
</file>

<file path=xl/worksheets/sheet42.xml><?xml version="1.0" encoding="utf-8"?>
<worksheet xmlns="http://schemas.openxmlformats.org/spreadsheetml/2006/main" xmlns:r="http://schemas.openxmlformats.org/officeDocument/2006/relationships">
  <dimension ref="B2:F35"/>
  <sheetViews>
    <sheetView workbookViewId="0">
      <selection activeCell="E7" sqref="E7"/>
    </sheetView>
  </sheetViews>
  <sheetFormatPr defaultRowHeight="15"/>
  <cols>
    <col min="3" max="3" width="33.85546875" style="122" customWidth="1"/>
    <col min="4" max="4" width="34.42578125" style="122" customWidth="1"/>
    <col min="5" max="5" width="30.42578125" style="122" customWidth="1"/>
  </cols>
  <sheetData>
    <row r="2" spans="2:6">
      <c r="B2" t="s">
        <v>726</v>
      </c>
    </row>
    <row r="4" spans="2:6">
      <c r="C4" s="122" t="s">
        <v>727</v>
      </c>
      <c r="D4" s="122" t="s">
        <v>728</v>
      </c>
      <c r="E4" s="122" t="s">
        <v>728</v>
      </c>
    </row>
    <row r="5" spans="2:6" ht="15.75" thickBot="1">
      <c r="C5" s="122" t="s">
        <v>729</v>
      </c>
      <c r="D5" s="414" t="s">
        <v>730</v>
      </c>
      <c r="E5" s="413" t="s">
        <v>731</v>
      </c>
    </row>
    <row r="6" spans="2:6" ht="15.75" thickBot="1">
      <c r="C6" s="413" t="s">
        <v>733</v>
      </c>
      <c r="D6" s="414" t="s">
        <v>728</v>
      </c>
      <c r="E6" s="413" t="s">
        <v>734</v>
      </c>
    </row>
    <row r="7" spans="2:6" ht="15.75" thickBot="1">
      <c r="C7" s="413" t="s">
        <v>718</v>
      </c>
      <c r="D7" s="414" t="s">
        <v>730</v>
      </c>
      <c r="E7" s="379" t="s">
        <v>730</v>
      </c>
    </row>
    <row r="8" spans="2:6">
      <c r="C8" s="379" t="s">
        <v>718</v>
      </c>
      <c r="D8" s="379" t="s">
        <v>735</v>
      </c>
      <c r="E8" s="379" t="s">
        <v>735</v>
      </c>
    </row>
    <row r="9" spans="2:6" ht="15.75" thickBot="1">
      <c r="C9" s="122" t="s">
        <v>736</v>
      </c>
      <c r="D9" s="414" t="s">
        <v>728</v>
      </c>
      <c r="E9" s="414" t="s">
        <v>728</v>
      </c>
    </row>
    <row r="10" spans="2:6" ht="15.75" thickBot="1">
      <c r="C10" s="413" t="s">
        <v>718</v>
      </c>
    </row>
    <row r="11" spans="2:6" ht="15.75" thickBot="1">
      <c r="C11" s="413" t="s">
        <v>737</v>
      </c>
      <c r="D11" s="414" t="s">
        <v>493</v>
      </c>
      <c r="E11" s="414" t="s">
        <v>493</v>
      </c>
    </row>
    <row r="12" spans="2:6" ht="15.75" thickBot="1">
      <c r="C12" s="379" t="s">
        <v>738</v>
      </c>
      <c r="D12" s="414" t="s">
        <v>735</v>
      </c>
      <c r="E12" s="413" t="s">
        <v>735</v>
      </c>
    </row>
    <row r="13" spans="2:6" ht="15.75" thickBot="1">
      <c r="C13" s="413" t="s">
        <v>739</v>
      </c>
      <c r="D13" s="379" t="s">
        <v>740</v>
      </c>
      <c r="E13" s="379" t="s">
        <v>740</v>
      </c>
    </row>
    <row r="14" spans="2:6" ht="15.75" thickBot="1">
      <c r="C14" s="413" t="s">
        <v>741</v>
      </c>
      <c r="D14" s="379" t="s">
        <v>742</v>
      </c>
      <c r="E14" s="413" t="s">
        <v>743</v>
      </c>
    </row>
    <row r="15" spans="2:6" ht="15.75" thickBot="1">
      <c r="E15" s="413" t="s">
        <v>744</v>
      </c>
    </row>
    <row r="16" spans="2:6">
      <c r="E16" t="s">
        <v>745</v>
      </c>
      <c r="F16" t="s">
        <v>746</v>
      </c>
    </row>
    <row r="17" spans="3:5">
      <c r="C17" s="379" t="s">
        <v>747</v>
      </c>
      <c r="D17" s="379" t="s">
        <v>735</v>
      </c>
      <c r="E17" s="379" t="s">
        <v>735</v>
      </c>
    </row>
    <row r="18" spans="3:5" ht="15.75" thickBot="1">
      <c r="C18" s="413" t="s">
        <v>748</v>
      </c>
      <c r="D18" s="414" t="s">
        <v>730</v>
      </c>
      <c r="E18" s="414" t="s">
        <v>730</v>
      </c>
    </row>
    <row r="19" spans="3:5" ht="15.75" thickBot="1">
      <c r="C19" s="379" t="s">
        <v>749</v>
      </c>
      <c r="D19" s="414" t="s">
        <v>537</v>
      </c>
      <c r="E19" s="413" t="s">
        <v>578</v>
      </c>
    </row>
    <row r="20" spans="3:5" ht="15.75" thickBot="1">
      <c r="C20" s="413" t="s">
        <v>750</v>
      </c>
      <c r="D20" s="414" t="s">
        <v>751</v>
      </c>
      <c r="E20" s="413" t="s">
        <v>752</v>
      </c>
    </row>
    <row r="21" spans="3:5" ht="15.75" thickBot="1">
      <c r="C21" s="413" t="s">
        <v>750</v>
      </c>
      <c r="D21" s="414" t="s">
        <v>753</v>
      </c>
      <c r="E21" s="414" t="s">
        <v>753</v>
      </c>
    </row>
    <row r="22" spans="3:5" ht="15.75" thickBot="1">
      <c r="C22" s="413" t="s">
        <v>754</v>
      </c>
      <c r="D22" s="414" t="s">
        <v>755</v>
      </c>
      <c r="E22" s="413" t="s">
        <v>756</v>
      </c>
    </row>
    <row r="23" spans="3:5" ht="15.75" thickBot="1">
      <c r="C23" s="379" t="s">
        <v>757</v>
      </c>
      <c r="D23" s="379" t="s">
        <v>758</v>
      </c>
      <c r="E23" s="413" t="s">
        <v>759</v>
      </c>
    </row>
    <row r="24" spans="3:5" ht="15.75" thickBot="1">
      <c r="C24" s="413" t="s">
        <v>760</v>
      </c>
      <c r="D24" s="379" t="s">
        <v>761</v>
      </c>
      <c r="E24" s="379" t="s">
        <v>761</v>
      </c>
    </row>
    <row r="25" spans="3:5" ht="15.75" thickBot="1">
      <c r="C25" s="413" t="s">
        <v>762</v>
      </c>
      <c r="D25" s="413" t="s">
        <v>763</v>
      </c>
      <c r="E25" s="413" t="s">
        <v>763</v>
      </c>
    </row>
    <row r="26" spans="3:5" ht="15.75" thickBot="1">
      <c r="C26" s="413" t="s">
        <v>764</v>
      </c>
      <c r="D26" s="414" t="s">
        <v>744</v>
      </c>
      <c r="E26" s="414" t="s">
        <v>744</v>
      </c>
    </row>
    <row r="27" spans="3:5">
      <c r="C27" s="379" t="s">
        <v>764</v>
      </c>
      <c r="D27" s="379" t="s">
        <v>765</v>
      </c>
      <c r="E27" s="379" t="s">
        <v>578</v>
      </c>
    </row>
    <row r="28" spans="3:5" ht="15.75" thickBot="1">
      <c r="C28" s="413" t="s">
        <v>766</v>
      </c>
      <c r="D28" s="414" t="s">
        <v>745</v>
      </c>
      <c r="E28" s="413" t="s">
        <v>767</v>
      </c>
    </row>
    <row r="29" spans="3:5" ht="15.75" thickBot="1">
      <c r="C29" s="413" t="s">
        <v>727</v>
      </c>
      <c r="D29" s="414" t="s">
        <v>768</v>
      </c>
      <c r="E29" s="413" t="s">
        <v>769</v>
      </c>
    </row>
    <row r="30" spans="3:5" ht="15.75" thickBot="1">
      <c r="C30" s="413" t="s">
        <v>727</v>
      </c>
      <c r="D30" s="413" t="s">
        <v>744</v>
      </c>
      <c r="E30" s="413" t="s">
        <v>744</v>
      </c>
    </row>
    <row r="31" spans="3:5" ht="15.75" thickBot="1">
      <c r="C31" s="413" t="s">
        <v>764</v>
      </c>
      <c r="D31" s="379" t="s">
        <v>770</v>
      </c>
      <c r="E31" s="413" t="s">
        <v>770</v>
      </c>
    </row>
    <row r="32" spans="3:5" ht="15.75" thickBot="1">
      <c r="C32" s="413" t="s">
        <v>732</v>
      </c>
      <c r="D32" s="414" t="s">
        <v>728</v>
      </c>
      <c r="E32" s="379" t="s">
        <v>771</v>
      </c>
    </row>
    <row r="33" spans="3:5" ht="15.75" thickBot="1">
      <c r="C33" s="379" t="s">
        <v>736</v>
      </c>
      <c r="D33" s="414" t="s">
        <v>745</v>
      </c>
      <c r="E33" s="413" t="s">
        <v>772</v>
      </c>
    </row>
    <row r="34" spans="3:5" ht="15.75" thickBot="1">
      <c r="C34" s="379" t="s">
        <v>747</v>
      </c>
      <c r="D34" s="414" t="s">
        <v>735</v>
      </c>
      <c r="E34" s="414" t="s">
        <v>735</v>
      </c>
    </row>
    <row r="35" spans="3:5" ht="15.75" thickBot="1">
      <c r="C35" s="413" t="s">
        <v>727</v>
      </c>
      <c r="D35" s="414" t="s">
        <v>773</v>
      </c>
      <c r="E35" s="414" t="s">
        <v>773</v>
      </c>
    </row>
  </sheetData>
  <hyperlinks>
    <hyperlink ref="C4" r:id="rId1" display="https://rttf.ru/items/1457"/>
    <hyperlink ref="D4" r:id="rId2" display="https://rttf.ru/items/1199"/>
    <hyperlink ref="C5" r:id="rId3" display="https://rttf.ru/items/2836"/>
    <hyperlink ref="D5" r:id="rId4" display="https://rttf.ru/items/1203"/>
    <hyperlink ref="E5" r:id="rId5" display="https://rttf.ru/items/3870"/>
    <hyperlink ref="C6" r:id="rId6" display="https://rttf.ru/items/108"/>
    <hyperlink ref="D6" r:id="rId7" display="https://rttf.ru/items/1199"/>
    <hyperlink ref="E6" r:id="rId8" display="https://rttf.ru/items/2135"/>
    <hyperlink ref="C7" r:id="rId9" display="https://rttf.ru/items/164"/>
    <hyperlink ref="D7" r:id="rId10" display="https://rttf.ru/items/1203"/>
    <hyperlink ref="E7" r:id="rId11" display="https://rttf.ru/items/2303"/>
    <hyperlink ref="C8" r:id="rId12" display="https://rttf.ru/items/164"/>
    <hyperlink ref="D8" r:id="rId13" display="https://rttf.ru/items/723"/>
    <hyperlink ref="E8" r:id="rId14" display="https://rttf.ru/items/723"/>
    <hyperlink ref="C9" r:id="rId15" display="https://rttf.ru/items/1248"/>
    <hyperlink ref="D9" r:id="rId16" display="https://rttf.ru/items/1199"/>
    <hyperlink ref="E9" r:id="rId17" display="https://rttf.ru/items/1199"/>
    <hyperlink ref="C10" r:id="rId18" display="https://rttf.ru/items/164"/>
    <hyperlink ref="C11" r:id="rId19" display="https://rttf.ru/items/1402"/>
    <hyperlink ref="D11" r:id="rId20" display="https://rttf.ru/items/79"/>
    <hyperlink ref="E11" r:id="rId21" display="https://rttf.ru/items/79"/>
    <hyperlink ref="C12" r:id="rId22" display="https://rttf.ru/items/1243"/>
    <hyperlink ref="D12" r:id="rId23" display="https://rttf.ru/items/723"/>
    <hyperlink ref="E12" r:id="rId24" display="https://rttf.ru/items/723"/>
    <hyperlink ref="C13" r:id="rId25" display="https://rttf.ru/items/1275"/>
    <hyperlink ref="D13" r:id="rId26" display="https://rttf.ru/items/92"/>
    <hyperlink ref="E13" r:id="rId27" display="https://rttf.ru/items/92"/>
    <hyperlink ref="C14" r:id="rId28" display="https://rttf.ru/items/1258"/>
    <hyperlink ref="D14" r:id="rId29" display="https://rttf.ru/items/85"/>
    <hyperlink ref="E14" r:id="rId30" display="https://rttf.ru/items/8"/>
    <hyperlink ref="E15" r:id="rId31" display="https://rttf.ru/items/814"/>
    <hyperlink ref="C17" r:id="rId32" display="https://rttf.ru/items/1255"/>
    <hyperlink ref="D17" r:id="rId33" display="https://rttf.ru/items/723"/>
    <hyperlink ref="E17" r:id="rId34" display="https://rttf.ru/items/723"/>
    <hyperlink ref="C18" r:id="rId35" display="https://rttf.ru/items/856"/>
    <hyperlink ref="D18" r:id="rId36" display="https://rttf.ru/items/1204"/>
    <hyperlink ref="E18" r:id="rId37" display="https://rttf.ru/items/1204"/>
    <hyperlink ref="C19" r:id="rId38" display="https://rttf.ru/items/1464"/>
    <hyperlink ref="D19" r:id="rId39" display="https://rttf.ru/items/821"/>
    <hyperlink ref="E19" r:id="rId40" display="https://rttf.ru/items/822"/>
    <hyperlink ref="C20" r:id="rId41" display="https://rttf.ru/items/1273"/>
    <hyperlink ref="D20" r:id="rId42" display="https://rttf.ru/items/567"/>
    <hyperlink ref="E20" r:id="rId43" display="https://rttf.ru/items/2745"/>
    <hyperlink ref="C21" r:id="rId44" display="https://rttf.ru/items/1273"/>
    <hyperlink ref="D21" r:id="rId45" display="https://rttf.ru/items/816"/>
    <hyperlink ref="E21" r:id="rId46" display="https://rttf.ru/items/816"/>
    <hyperlink ref="C22" r:id="rId47" display="https://rttf.ru/items/1362"/>
    <hyperlink ref="D22" r:id="rId48" display="https://rttf.ru/items/224"/>
    <hyperlink ref="E22" r:id="rId49" display="https://rttf.ru/items/240"/>
    <hyperlink ref="C23" r:id="rId50" display="https://rttf.ru/items/1269"/>
    <hyperlink ref="D23" r:id="rId51" display="https://rttf.ru/items/1202"/>
    <hyperlink ref="E23" r:id="rId52" display="https://rttf.ru/items/1835"/>
    <hyperlink ref="C24" r:id="rId53" display="https://rttf.ru/items/1253"/>
    <hyperlink ref="D24" r:id="rId54" display="https://rttf.ru/items/725"/>
    <hyperlink ref="E24" r:id="rId55" display="https://rttf.ru/items/725"/>
    <hyperlink ref="C25" r:id="rId56" display="https://rttf.ru/items/2049"/>
    <hyperlink ref="D25" r:id="rId57" display="https://rttf.ru/items/1483"/>
    <hyperlink ref="E25" r:id="rId58" display="https://rttf.ru/items/1483"/>
    <hyperlink ref="C26" r:id="rId59" display="https://rttf.ru/items/717"/>
    <hyperlink ref="D26" r:id="rId60" display="https://rttf.ru/items/814"/>
    <hyperlink ref="E26" r:id="rId61" display="https://rttf.ru/items/814"/>
    <hyperlink ref="C27" r:id="rId62" display="https://rttf.ru/items/717"/>
    <hyperlink ref="D27" r:id="rId63" display="https://rttf.ru/items/1473"/>
    <hyperlink ref="E27" r:id="rId64" display="https://rttf.ru/items/822"/>
    <hyperlink ref="C28" r:id="rId65" display="https://rttf.ru/items/673"/>
    <hyperlink ref="D28" r:id="rId66" display="https://rttf.ru/items/1931"/>
    <hyperlink ref="E28" r:id="rId67" display="https://rttf.ru/items/1834"/>
    <hyperlink ref="C29" r:id="rId68" display="https://rttf.ru/items/1457"/>
    <hyperlink ref="D29" r:id="rId69" display="https://rttf.ru/items/78"/>
    <hyperlink ref="E29" r:id="rId70" display="https://rttf.ru/items/1474"/>
    <hyperlink ref="C30" r:id="rId71" display="https://rttf.ru/items/1457"/>
    <hyperlink ref="D30" r:id="rId72" display="https://rttf.ru/items/814"/>
    <hyperlink ref="E30" r:id="rId73" display="https://rttf.ru/items/814"/>
    <hyperlink ref="C31" r:id="rId74" display="https://rttf.ru/items/717"/>
    <hyperlink ref="D31" r:id="rId75" display="https://rttf.ru/items/724"/>
    <hyperlink ref="E31" r:id="rId76" display="https://rttf.ru/items/724"/>
    <hyperlink ref="C32" r:id="rId77" display="https://rttf.ru/items/108"/>
    <hyperlink ref="D32" r:id="rId78" display="https://rttf.ru/items/1199"/>
    <hyperlink ref="E32" r:id="rId79" display="https://rttf.ru/items/2234"/>
    <hyperlink ref="C33" r:id="rId80" display="https://rttf.ru/items/1248"/>
    <hyperlink ref="E33" r:id="rId81" display="https://rttf.ru/items/418"/>
    <hyperlink ref="D33" r:id="rId82" display="https://rttf.ru/items/1931"/>
    <hyperlink ref="C34" r:id="rId83" display="https://rttf.ru/items/1255"/>
    <hyperlink ref="D34" r:id="rId84" display="https://rttf.ru/items/723"/>
    <hyperlink ref="E34" r:id="rId85" display="https://rttf.ru/items/723"/>
    <hyperlink ref="C35" r:id="rId86" display="https://rttf.ru/items/1457"/>
    <hyperlink ref="D35" r:id="rId87" display="https://rttf.ru/items/88"/>
    <hyperlink ref="E35" r:id="rId88" display="https://rttf.ru/items/88"/>
  </hyperlink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B2:H7"/>
  <sheetViews>
    <sheetView workbookViewId="0">
      <selection activeCell="E5" sqref="E5"/>
    </sheetView>
  </sheetViews>
  <sheetFormatPr defaultRowHeight="15"/>
  <cols>
    <col min="2" max="2" width="24.5703125" customWidth="1"/>
    <col min="3" max="4" width="14.140625" customWidth="1"/>
  </cols>
  <sheetData>
    <row r="2" spans="2:8">
      <c r="B2" t="s">
        <v>718</v>
      </c>
      <c r="C2">
        <v>4439</v>
      </c>
      <c r="E2" t="s">
        <v>828</v>
      </c>
    </row>
    <row r="3" spans="2:8">
      <c r="B3" t="s">
        <v>862</v>
      </c>
      <c r="C3">
        <v>10641</v>
      </c>
      <c r="E3" t="s">
        <v>818</v>
      </c>
    </row>
    <row r="4" spans="2:8">
      <c r="B4" t="s">
        <v>831</v>
      </c>
      <c r="C4">
        <v>3223</v>
      </c>
      <c r="E4" t="s">
        <v>830</v>
      </c>
    </row>
    <row r="5" spans="2:8">
      <c r="B5" t="s">
        <v>833</v>
      </c>
      <c r="C5">
        <v>4358</v>
      </c>
      <c r="E5" t="s">
        <v>832</v>
      </c>
    </row>
    <row r="6" spans="2:8">
      <c r="C6">
        <v>4700</v>
      </c>
      <c r="E6" t="s">
        <v>859</v>
      </c>
    </row>
    <row r="7" spans="2:8">
      <c r="H7" t="s">
        <v>829</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BS189"/>
  <sheetViews>
    <sheetView topLeftCell="A7" workbookViewId="0">
      <selection activeCell="D178" sqref="D178:H178"/>
    </sheetView>
  </sheetViews>
  <sheetFormatPr defaultRowHeight="15"/>
  <cols>
    <col min="3" max="3" width="16.42578125" customWidth="1"/>
    <col min="4" max="4" width="10.5703125" customWidth="1"/>
    <col min="5" max="5" width="9.85546875" customWidth="1"/>
    <col min="7" max="7" width="7.7109375" customWidth="1"/>
    <col min="8" max="8" width="7.85546875" customWidth="1"/>
    <col min="9" max="9" width="7.140625" customWidth="1"/>
    <col min="10" max="10" width="10.140625" customWidth="1"/>
    <col min="11" max="11" width="9.28515625" style="122" customWidth="1"/>
    <col min="12" max="12" width="16.140625" customWidth="1"/>
    <col min="13" max="13" width="9.5703125" customWidth="1"/>
    <col min="15" max="15" width="9" customWidth="1"/>
    <col min="16" max="16" width="13.85546875" customWidth="1"/>
    <col min="17" max="17" width="11.42578125" customWidth="1"/>
    <col min="23" max="23" width="10.85546875" customWidth="1"/>
    <col min="24" max="24" width="12.28515625" customWidth="1"/>
    <col min="25" max="25" width="10.7109375" customWidth="1"/>
    <col min="26" max="27" width="9.140625" style="196"/>
    <col min="28" max="28" width="8.5703125" style="196" customWidth="1"/>
    <col min="29" max="31" width="7.28515625" customWidth="1"/>
    <col min="32" max="32" width="9.5703125" style="196" customWidth="1"/>
    <col min="33" max="33" width="7.7109375" customWidth="1"/>
    <col min="34" max="34" width="8.7109375" customWidth="1"/>
    <col min="35" max="35" width="9" customWidth="1"/>
    <col min="36" max="36" width="13" customWidth="1"/>
    <col min="37" max="37" width="9.5703125" customWidth="1"/>
    <col min="38" max="38" width="8.28515625" customWidth="1"/>
    <col min="39" max="39" width="7.7109375" customWidth="1"/>
    <col min="40" max="40" width="10" customWidth="1"/>
    <col min="41" max="41" width="10.140625" customWidth="1"/>
    <col min="42" max="42" width="10" customWidth="1"/>
    <col min="43" max="43" width="11.28515625" customWidth="1"/>
    <col min="44" max="44" width="8.140625" customWidth="1"/>
    <col min="49" max="49" width="7.85546875" customWidth="1"/>
    <col min="50" max="50" width="10.28515625" customWidth="1"/>
    <col min="51" max="52" width="8.42578125" customWidth="1"/>
  </cols>
  <sheetData>
    <row r="1" spans="1:20">
      <c r="O1" t="s">
        <v>846</v>
      </c>
    </row>
    <row r="2" spans="1:20">
      <c r="A2" t="s">
        <v>851</v>
      </c>
      <c r="B2" t="s">
        <v>834</v>
      </c>
      <c r="D2" t="s">
        <v>845</v>
      </c>
      <c r="L2" t="s">
        <v>848</v>
      </c>
      <c r="O2" t="s">
        <v>847</v>
      </c>
    </row>
    <row r="3" spans="1:20">
      <c r="C3">
        <v>1</v>
      </c>
      <c r="D3" t="s">
        <v>835</v>
      </c>
      <c r="L3" t="s">
        <v>849</v>
      </c>
    </row>
    <row r="4" spans="1:20">
      <c r="C4">
        <v>2</v>
      </c>
      <c r="D4" t="s">
        <v>836</v>
      </c>
      <c r="L4" t="s">
        <v>850</v>
      </c>
    </row>
    <row r="5" spans="1:20">
      <c r="C5">
        <v>3</v>
      </c>
      <c r="D5" t="s">
        <v>837</v>
      </c>
    </row>
    <row r="6" spans="1:20">
      <c r="C6">
        <v>4</v>
      </c>
      <c r="D6" t="s">
        <v>838</v>
      </c>
    </row>
    <row r="7" spans="1:20">
      <c r="C7">
        <v>5</v>
      </c>
      <c r="D7" t="s">
        <v>839</v>
      </c>
    </row>
    <row r="8" spans="1:20">
      <c r="C8">
        <v>6</v>
      </c>
      <c r="D8" t="s">
        <v>840</v>
      </c>
      <c r="O8" t="s">
        <v>940</v>
      </c>
      <c r="P8" t="s">
        <v>941</v>
      </c>
      <c r="Q8" t="s">
        <v>945</v>
      </c>
      <c r="R8" t="s">
        <v>946</v>
      </c>
    </row>
    <row r="9" spans="1:20">
      <c r="C9">
        <v>7</v>
      </c>
      <c r="D9" t="s">
        <v>841</v>
      </c>
      <c r="M9" t="s">
        <v>949</v>
      </c>
      <c r="N9" t="s">
        <v>950</v>
      </c>
      <c r="O9" t="s">
        <v>942</v>
      </c>
      <c r="P9" t="s">
        <v>943</v>
      </c>
      <c r="Q9" t="s">
        <v>947</v>
      </c>
      <c r="R9" t="s">
        <v>948</v>
      </c>
    </row>
    <row r="10" spans="1:20">
      <c r="C10">
        <v>8</v>
      </c>
      <c r="D10" t="s">
        <v>842</v>
      </c>
    </row>
    <row r="11" spans="1:20">
      <c r="C11">
        <v>9</v>
      </c>
      <c r="D11" t="s">
        <v>843</v>
      </c>
    </row>
    <row r="12" spans="1:20">
      <c r="C12">
        <v>10</v>
      </c>
      <c r="D12" t="s">
        <v>844</v>
      </c>
    </row>
    <row r="13" spans="1:20">
      <c r="Q13" t="s">
        <v>793</v>
      </c>
    </row>
    <row r="14" spans="1:20">
      <c r="A14" t="s">
        <v>876</v>
      </c>
      <c r="Q14" t="s">
        <v>891</v>
      </c>
      <c r="R14" t="s">
        <v>670</v>
      </c>
    </row>
    <row r="15" spans="1:20">
      <c r="C15">
        <v>1</v>
      </c>
      <c r="D15" t="s">
        <v>877</v>
      </c>
      <c r="E15" t="s">
        <v>878</v>
      </c>
      <c r="F15" t="s">
        <v>879</v>
      </c>
      <c r="G15" t="s">
        <v>542</v>
      </c>
      <c r="I15">
        <v>1600</v>
      </c>
      <c r="J15" t="s">
        <v>877</v>
      </c>
      <c r="K15" s="122" t="s">
        <v>878</v>
      </c>
      <c r="L15" t="s">
        <v>879</v>
      </c>
      <c r="M15" t="s">
        <v>542</v>
      </c>
      <c r="Q15" t="s">
        <v>891</v>
      </c>
      <c r="R15" t="s">
        <v>892</v>
      </c>
    </row>
    <row r="16" spans="1:20">
      <c r="C16">
        <f>C15+1</f>
        <v>2</v>
      </c>
      <c r="D16" t="s">
        <v>888</v>
      </c>
      <c r="E16" t="s">
        <v>889</v>
      </c>
      <c r="F16" t="s">
        <v>890</v>
      </c>
      <c r="I16">
        <v>1800</v>
      </c>
      <c r="J16" t="s">
        <v>880</v>
      </c>
      <c r="K16" s="122" t="s">
        <v>881</v>
      </c>
      <c r="Q16" t="s">
        <v>880</v>
      </c>
      <c r="R16" t="s">
        <v>894</v>
      </c>
      <c r="T16" t="s">
        <v>907</v>
      </c>
    </row>
    <row r="17" spans="2:24">
      <c r="C17">
        <f t="shared" ref="C17:C22" si="0">C16+1</f>
        <v>3</v>
      </c>
      <c r="D17" t="s">
        <v>891</v>
      </c>
      <c r="E17" t="s">
        <v>892</v>
      </c>
      <c r="F17" t="s">
        <v>890</v>
      </c>
      <c r="I17">
        <v>2745</v>
      </c>
      <c r="J17" t="s">
        <v>877</v>
      </c>
      <c r="K17" s="122" t="s">
        <v>882</v>
      </c>
      <c r="Q17" t="s">
        <v>891</v>
      </c>
      <c r="R17" t="s">
        <v>898</v>
      </c>
    </row>
    <row r="18" spans="2:24">
      <c r="C18">
        <f t="shared" si="0"/>
        <v>4</v>
      </c>
      <c r="D18" t="s">
        <v>891</v>
      </c>
      <c r="E18" t="s">
        <v>893</v>
      </c>
      <c r="F18" t="s">
        <v>890</v>
      </c>
      <c r="I18">
        <v>2840</v>
      </c>
      <c r="J18" t="s">
        <v>877</v>
      </c>
      <c r="K18" s="122" t="s">
        <v>601</v>
      </c>
      <c r="R18" t="s">
        <v>899</v>
      </c>
    </row>
    <row r="19" spans="2:24">
      <c r="C19">
        <f t="shared" si="0"/>
        <v>5</v>
      </c>
      <c r="D19" t="s">
        <v>880</v>
      </c>
      <c r="E19" t="s">
        <v>894</v>
      </c>
      <c r="F19" t="s">
        <v>890</v>
      </c>
      <c r="H19" t="s">
        <v>895</v>
      </c>
      <c r="I19">
        <v>3700</v>
      </c>
      <c r="J19" t="s">
        <v>877</v>
      </c>
      <c r="K19" s="122" t="s">
        <v>568</v>
      </c>
      <c r="Q19" t="s">
        <v>900</v>
      </c>
      <c r="R19" t="s">
        <v>901</v>
      </c>
    </row>
    <row r="20" spans="2:24">
      <c r="C20">
        <f t="shared" si="0"/>
        <v>6</v>
      </c>
      <c r="D20" t="s">
        <v>944</v>
      </c>
      <c r="E20" t="s">
        <v>896</v>
      </c>
      <c r="F20" t="s">
        <v>890</v>
      </c>
      <c r="I20">
        <v>3600</v>
      </c>
      <c r="J20" t="s">
        <v>877</v>
      </c>
      <c r="K20" s="122" t="s">
        <v>593</v>
      </c>
      <c r="Q20" t="s">
        <v>786</v>
      </c>
      <c r="R20" t="s">
        <v>902</v>
      </c>
    </row>
    <row r="21" spans="2:24">
      <c r="C21">
        <f t="shared" si="0"/>
        <v>7</v>
      </c>
      <c r="D21" t="s">
        <v>880</v>
      </c>
      <c r="E21" t="s">
        <v>897</v>
      </c>
      <c r="I21">
        <v>3900</v>
      </c>
      <c r="J21" t="s">
        <v>880</v>
      </c>
      <c r="K21" s="122" t="s">
        <v>883</v>
      </c>
      <c r="N21" t="s">
        <v>884</v>
      </c>
      <c r="Q21" t="s">
        <v>469</v>
      </c>
      <c r="R21" t="s">
        <v>903</v>
      </c>
    </row>
    <row r="22" spans="2:24">
      <c r="C22">
        <f t="shared" si="0"/>
        <v>8</v>
      </c>
      <c r="D22" t="s">
        <v>880</v>
      </c>
      <c r="E22">
        <v>301</v>
      </c>
      <c r="I22">
        <v>3600</v>
      </c>
      <c r="J22" t="s">
        <v>880</v>
      </c>
      <c r="K22" s="122">
        <v>301</v>
      </c>
      <c r="P22" t="s">
        <v>887</v>
      </c>
      <c r="Q22" t="s">
        <v>786</v>
      </c>
      <c r="R22" t="s">
        <v>904</v>
      </c>
    </row>
    <row r="23" spans="2:24">
      <c r="D23" t="s">
        <v>891</v>
      </c>
      <c r="E23" t="s">
        <v>893</v>
      </c>
      <c r="I23">
        <v>2400</v>
      </c>
      <c r="J23" t="s">
        <v>885</v>
      </c>
      <c r="K23" s="122" t="s">
        <v>886</v>
      </c>
      <c r="N23" t="s">
        <v>887</v>
      </c>
      <c r="Q23" t="s">
        <v>905</v>
      </c>
      <c r="R23" t="s">
        <v>906</v>
      </c>
    </row>
    <row r="24" spans="2:24">
      <c r="D24" t="s">
        <v>891</v>
      </c>
      <c r="E24" t="s">
        <v>670</v>
      </c>
    </row>
    <row r="25" spans="2:24">
      <c r="D25" t="s">
        <v>459</v>
      </c>
      <c r="E25" t="s">
        <v>621</v>
      </c>
      <c r="F25" t="s">
        <v>460</v>
      </c>
      <c r="G25" t="s">
        <v>1198</v>
      </c>
      <c r="H25" t="s">
        <v>634</v>
      </c>
      <c r="I25" t="s">
        <v>1199</v>
      </c>
      <c r="J25" t="s">
        <v>1200</v>
      </c>
      <c r="K25" t="s">
        <v>1201</v>
      </c>
    </row>
    <row r="26" spans="2:24">
      <c r="C26" s="237" t="s">
        <v>1488</v>
      </c>
      <c r="D26" s="196">
        <v>7</v>
      </c>
      <c r="E26" s="196">
        <v>8.1999999999999993</v>
      </c>
      <c r="F26" s="196">
        <v>8.8000000000000007</v>
      </c>
      <c r="G26" s="196">
        <v>5</v>
      </c>
      <c r="H26" s="196">
        <v>5</v>
      </c>
      <c r="I26" s="196">
        <v>7.7</v>
      </c>
      <c r="J26" s="196">
        <v>8</v>
      </c>
      <c r="K26" s="196"/>
    </row>
    <row r="27" spans="2:24">
      <c r="C27" s="237" t="s">
        <v>1486</v>
      </c>
      <c r="D27" s="196">
        <v>8.5</v>
      </c>
      <c r="E27" s="196">
        <v>9</v>
      </c>
      <c r="F27" s="196">
        <v>9.5</v>
      </c>
      <c r="G27" s="196">
        <v>5</v>
      </c>
      <c r="H27" s="196">
        <v>8</v>
      </c>
      <c r="I27" s="196">
        <v>7</v>
      </c>
      <c r="J27" s="196">
        <v>6</v>
      </c>
      <c r="K27" s="196"/>
    </row>
    <row r="28" spans="2:24">
      <c r="C28" t="s">
        <v>849</v>
      </c>
      <c r="D28" s="196">
        <v>8.4</v>
      </c>
      <c r="E28" s="196">
        <v>9.3000000000000007</v>
      </c>
      <c r="F28" s="196">
        <v>8.6999999999999993</v>
      </c>
      <c r="G28" s="196">
        <v>8.1</v>
      </c>
      <c r="H28" s="196">
        <v>6.7</v>
      </c>
      <c r="I28" s="196">
        <v>7.9</v>
      </c>
      <c r="J28" s="196">
        <v>6</v>
      </c>
      <c r="K28" s="196">
        <v>7.6</v>
      </c>
    </row>
    <row r="30" spans="2:24">
      <c r="J30" t="s">
        <v>951</v>
      </c>
    </row>
    <row r="31" spans="2:24">
      <c r="D31" t="s">
        <v>459</v>
      </c>
      <c r="E31" t="s">
        <v>621</v>
      </c>
      <c r="F31" t="s">
        <v>460</v>
      </c>
      <c r="G31" t="s">
        <v>1198</v>
      </c>
      <c r="H31" t="s">
        <v>634</v>
      </c>
      <c r="I31" t="s">
        <v>1199</v>
      </c>
      <c r="J31" t="s">
        <v>1200</v>
      </c>
      <c r="K31" t="s">
        <v>1201</v>
      </c>
      <c r="R31" t="s">
        <v>954</v>
      </c>
      <c r="S31" t="s">
        <v>525</v>
      </c>
      <c r="V31" s="491" t="s">
        <v>682</v>
      </c>
      <c r="W31" s="326" t="s">
        <v>681</v>
      </c>
      <c r="X31" t="s">
        <v>343</v>
      </c>
    </row>
    <row r="32" spans="2:24">
      <c r="B32" t="s">
        <v>880</v>
      </c>
      <c r="C32" t="s">
        <v>849</v>
      </c>
      <c r="D32" s="318">
        <v>8.4</v>
      </c>
      <c r="E32" s="307">
        <v>9.3000000000000007</v>
      </c>
      <c r="F32" s="291">
        <v>8.6999999999999993</v>
      </c>
      <c r="G32" s="238">
        <v>8.1</v>
      </c>
      <c r="H32" s="238">
        <v>6.7</v>
      </c>
      <c r="I32" s="291">
        <v>7.9</v>
      </c>
      <c r="J32" s="318">
        <v>6</v>
      </c>
      <c r="K32" s="307">
        <v>7.6</v>
      </c>
      <c r="L32" s="238">
        <v>14</v>
      </c>
      <c r="M32" s="238">
        <v>6</v>
      </c>
      <c r="N32" s="499" t="s">
        <v>1228</v>
      </c>
      <c r="O32" s="196">
        <f>SUM(D32:F32)</f>
        <v>26.400000000000002</v>
      </c>
      <c r="P32">
        <f>SUM(D32:F32)/3</f>
        <v>8.8000000000000007</v>
      </c>
      <c r="R32" t="s">
        <v>598</v>
      </c>
      <c r="S32" t="s">
        <v>954</v>
      </c>
      <c r="U32" t="s">
        <v>955</v>
      </c>
      <c r="V32" s="491">
        <v>2</v>
      </c>
      <c r="W32" s="326">
        <v>2</v>
      </c>
      <c r="X32">
        <f>V32+W32</f>
        <v>4</v>
      </c>
    </row>
    <row r="33" spans="2:24">
      <c r="C33" t="s">
        <v>925</v>
      </c>
      <c r="D33" s="307">
        <v>8.1999999999999993</v>
      </c>
      <c r="E33" s="493">
        <v>9.6</v>
      </c>
      <c r="F33" s="493">
        <v>9.4</v>
      </c>
      <c r="G33" s="492">
        <v>9.3000000000000007</v>
      </c>
      <c r="H33" s="238">
        <v>6.7</v>
      </c>
      <c r="I33" s="307">
        <v>6.8</v>
      </c>
      <c r="J33" s="485">
        <v>5</v>
      </c>
      <c r="K33" s="318">
        <v>7.7</v>
      </c>
      <c r="L33">
        <v>18</v>
      </c>
      <c r="M33">
        <v>8</v>
      </c>
      <c r="O33" s="196">
        <f>SUM(D33:F33)</f>
        <v>27.199999999999996</v>
      </c>
      <c r="P33">
        <f>SUM(D33:F33)/3</f>
        <v>9.0666666666666647</v>
      </c>
      <c r="R33" t="s">
        <v>954</v>
      </c>
      <c r="S33" t="s">
        <v>868</v>
      </c>
      <c r="U33" t="s">
        <v>1229</v>
      </c>
      <c r="V33" s="491"/>
      <c r="W33" s="326">
        <v>2</v>
      </c>
      <c r="X33">
        <f>V33+W33</f>
        <v>2</v>
      </c>
    </row>
    <row r="34" spans="2:24">
      <c r="C34" t="s">
        <v>921</v>
      </c>
      <c r="D34" s="307">
        <v>8.5</v>
      </c>
      <c r="E34" s="318">
        <v>9.3000000000000007</v>
      </c>
      <c r="F34" s="318">
        <v>9</v>
      </c>
      <c r="G34" s="330">
        <v>8.1</v>
      </c>
      <c r="H34" s="499">
        <v>7.2</v>
      </c>
      <c r="I34" s="307">
        <v>7.8</v>
      </c>
      <c r="J34" s="485">
        <v>4.5</v>
      </c>
      <c r="K34" s="318">
        <v>7.7</v>
      </c>
      <c r="N34" s="499" t="s">
        <v>1228</v>
      </c>
      <c r="U34" t="s">
        <v>1013</v>
      </c>
      <c r="V34" s="491">
        <v>1</v>
      </c>
      <c r="W34" s="326">
        <v>1</v>
      </c>
      <c r="X34">
        <f>V34+W34</f>
        <v>2</v>
      </c>
    </row>
    <row r="35" spans="2:24">
      <c r="C35" t="s">
        <v>1202</v>
      </c>
      <c r="D35" s="291">
        <v>8.1</v>
      </c>
      <c r="E35" s="291">
        <v>8.9</v>
      </c>
      <c r="F35" s="307">
        <v>8.9</v>
      </c>
      <c r="G35" s="302">
        <v>8.4</v>
      </c>
      <c r="H35" s="302">
        <v>5.8</v>
      </c>
      <c r="I35" s="318">
        <v>4.9000000000000004</v>
      </c>
      <c r="J35" s="307">
        <v>5.0999999999999996</v>
      </c>
      <c r="K35" s="291">
        <v>6.8</v>
      </c>
      <c r="L35">
        <v>14</v>
      </c>
      <c r="M35">
        <v>4</v>
      </c>
      <c r="R35" t="s">
        <v>954</v>
      </c>
      <c r="S35" t="s">
        <v>954</v>
      </c>
      <c r="U35" t="s">
        <v>1230</v>
      </c>
      <c r="V35" s="491">
        <v>1</v>
      </c>
      <c r="W35" s="326"/>
      <c r="X35">
        <f t="shared" ref="X35:X36" si="1">V35+W35</f>
        <v>1</v>
      </c>
    </row>
    <row r="36" spans="2:24">
      <c r="B36" t="s">
        <v>880</v>
      </c>
      <c r="C36" t="s">
        <v>1206</v>
      </c>
      <c r="D36" s="291">
        <v>8.4</v>
      </c>
      <c r="E36" s="291">
        <v>9.3000000000000007</v>
      </c>
      <c r="F36" s="307">
        <v>8.6999999999999993</v>
      </c>
      <c r="G36" s="302">
        <v>8.1</v>
      </c>
      <c r="H36" s="302">
        <v>6.7</v>
      </c>
      <c r="I36" s="318">
        <v>7.9</v>
      </c>
      <c r="J36" s="307">
        <v>6</v>
      </c>
      <c r="K36" s="291">
        <v>7.6</v>
      </c>
      <c r="U36" t="s">
        <v>1231</v>
      </c>
      <c r="V36" s="491">
        <v>2</v>
      </c>
      <c r="W36" s="326">
        <v>2</v>
      </c>
      <c r="X36">
        <f t="shared" si="1"/>
        <v>4</v>
      </c>
    </row>
    <row r="37" spans="2:24" ht="15.75" thickBot="1">
      <c r="C37" s="237" t="s">
        <v>800</v>
      </c>
      <c r="D37" s="196">
        <v>8.1</v>
      </c>
      <c r="E37" s="196">
        <v>8.9</v>
      </c>
      <c r="F37" s="196">
        <v>8.6999999999999993</v>
      </c>
      <c r="G37">
        <v>8.1999999999999993</v>
      </c>
      <c r="H37" s="196">
        <v>7</v>
      </c>
      <c r="I37" s="196">
        <v>8.5</v>
      </c>
      <c r="J37" s="196">
        <v>5.5</v>
      </c>
      <c r="K37" s="196">
        <v>7.8</v>
      </c>
    </row>
    <row r="38" spans="2:24">
      <c r="B38" s="5" t="s">
        <v>1205</v>
      </c>
      <c r="C38" s="6" t="s">
        <v>511</v>
      </c>
      <c r="D38" s="631">
        <v>9.3000000000000007</v>
      </c>
      <c r="E38" s="631">
        <v>9.4</v>
      </c>
      <c r="F38" s="632">
        <v>8.3000000000000007</v>
      </c>
      <c r="G38" s="6">
        <v>2.2999999999999998</v>
      </c>
      <c r="H38" s="633">
        <v>6.5</v>
      </c>
      <c r="I38" s="633">
        <v>6.2</v>
      </c>
      <c r="J38" s="631">
        <v>7.5</v>
      </c>
      <c r="K38" s="633">
        <v>7.8</v>
      </c>
      <c r="L38" s="6"/>
      <c r="M38" s="634">
        <v>6</v>
      </c>
      <c r="X38">
        <f>SUM(X32:X36)</f>
        <v>13</v>
      </c>
    </row>
    <row r="39" spans="2:24" ht="15.75" thickBot="1">
      <c r="B39" s="275"/>
      <c r="C39" s="277" t="s">
        <v>1489</v>
      </c>
      <c r="D39" s="635">
        <v>9.1</v>
      </c>
      <c r="E39" s="635">
        <v>9.1999999999999993</v>
      </c>
      <c r="F39" s="636">
        <v>8.8000000000000007</v>
      </c>
      <c r="G39" s="277">
        <v>3</v>
      </c>
      <c r="H39" s="637">
        <v>5.4</v>
      </c>
      <c r="I39" s="637">
        <v>4.0999999999999996</v>
      </c>
      <c r="J39" s="635">
        <v>6</v>
      </c>
      <c r="K39" s="637"/>
      <c r="L39" s="277"/>
      <c r="M39" s="638"/>
    </row>
    <row r="40" spans="2:24">
      <c r="D40" s="307">
        <v>8.1999999999999993</v>
      </c>
      <c r="E40" s="493">
        <v>9.6</v>
      </c>
      <c r="F40" s="493">
        <v>9.4</v>
      </c>
      <c r="G40" s="492">
        <v>9.3000000000000007</v>
      </c>
      <c r="H40" s="238">
        <v>6.7</v>
      </c>
      <c r="I40" s="307">
        <v>6.8</v>
      </c>
      <c r="J40" s="291">
        <v>5</v>
      </c>
      <c r="K40" s="318">
        <v>7.7</v>
      </c>
      <c r="L40">
        <v>18</v>
      </c>
      <c r="M40">
        <v>8</v>
      </c>
    </row>
    <row r="41" spans="2:24">
      <c r="B41" t="s">
        <v>880</v>
      </c>
      <c r="C41" t="s">
        <v>1220</v>
      </c>
      <c r="D41" s="196">
        <v>8.5</v>
      </c>
      <c r="E41" s="196">
        <v>9.3000000000000007</v>
      </c>
      <c r="F41" s="196">
        <v>9.6999999999999993</v>
      </c>
      <c r="G41">
        <v>6.7</v>
      </c>
      <c r="H41" s="196">
        <v>7</v>
      </c>
      <c r="I41" s="196">
        <v>6.3</v>
      </c>
      <c r="J41" s="196">
        <v>2.7</v>
      </c>
      <c r="K41" s="196">
        <v>8</v>
      </c>
      <c r="R41" t="s">
        <v>1332</v>
      </c>
      <c r="S41" t="s">
        <v>1317</v>
      </c>
      <c r="U41" t="s">
        <v>1231</v>
      </c>
      <c r="V41" t="s">
        <v>1229</v>
      </c>
    </row>
    <row r="42" spans="2:24">
      <c r="C42" t="s">
        <v>925</v>
      </c>
      <c r="D42" s="307">
        <v>8.1999999999999993</v>
      </c>
      <c r="E42" s="493">
        <v>9.6</v>
      </c>
      <c r="F42" s="493">
        <v>9.4</v>
      </c>
      <c r="G42" s="492">
        <v>9.3000000000000007</v>
      </c>
      <c r="H42" s="238">
        <v>6.7</v>
      </c>
      <c r="I42" s="307">
        <v>6.8</v>
      </c>
      <c r="J42" s="485">
        <v>5</v>
      </c>
      <c r="K42" s="318">
        <v>7.7</v>
      </c>
      <c r="L42">
        <v>18</v>
      </c>
      <c r="M42">
        <v>8</v>
      </c>
      <c r="R42" t="s">
        <v>1332</v>
      </c>
      <c r="S42" t="s">
        <v>1321</v>
      </c>
      <c r="U42" t="s">
        <v>1231</v>
      </c>
      <c r="V42" t="s">
        <v>1229</v>
      </c>
    </row>
    <row r="43" spans="2:24">
      <c r="B43" t="s">
        <v>1205</v>
      </c>
      <c r="C43" t="s">
        <v>511</v>
      </c>
      <c r="D43" s="318">
        <v>9.3000000000000007</v>
      </c>
      <c r="E43" s="318">
        <v>9.4</v>
      </c>
      <c r="F43" s="485">
        <v>8.3000000000000007</v>
      </c>
      <c r="G43">
        <v>2.2999999999999998</v>
      </c>
      <c r="H43" s="196">
        <v>6.5</v>
      </c>
      <c r="I43" s="196">
        <v>6.2</v>
      </c>
      <c r="J43" s="318">
        <v>7.5</v>
      </c>
      <c r="K43" s="196">
        <v>7.8</v>
      </c>
      <c r="M43" s="196">
        <v>6</v>
      </c>
      <c r="R43" t="s">
        <v>1335</v>
      </c>
      <c r="S43" t="s">
        <v>1321</v>
      </c>
      <c r="U43" t="s">
        <v>1013</v>
      </c>
      <c r="V43" t="s">
        <v>1231</v>
      </c>
    </row>
    <row r="44" spans="2:24">
      <c r="C44" t="s">
        <v>1439</v>
      </c>
      <c r="D44" s="307">
        <v>8.8000000000000007</v>
      </c>
      <c r="E44" s="307">
        <v>9</v>
      </c>
      <c r="F44" s="307">
        <v>8.6</v>
      </c>
      <c r="I44" s="196"/>
      <c r="J44" s="196"/>
      <c r="K44" s="196"/>
      <c r="U44" t="s">
        <v>1013</v>
      </c>
      <c r="V44" t="s">
        <v>1231</v>
      </c>
    </row>
    <row r="45" spans="2:24">
      <c r="C45" t="s">
        <v>1440</v>
      </c>
      <c r="D45" s="196">
        <v>9.5</v>
      </c>
      <c r="E45" s="196">
        <v>9.3000000000000007</v>
      </c>
      <c r="F45" s="196">
        <v>8.6999999999999993</v>
      </c>
      <c r="I45" s="196"/>
      <c r="J45" s="196">
        <v>5.6</v>
      </c>
      <c r="O45" s="196">
        <f>SUM(D45:F45)</f>
        <v>27.5</v>
      </c>
      <c r="P45">
        <f>SUM(D45:F45)/3</f>
        <v>9.1666666666666661</v>
      </c>
    </row>
    <row r="46" spans="2:24">
      <c r="C46" s="216" t="s">
        <v>735</v>
      </c>
      <c r="D46" s="293">
        <v>9.1</v>
      </c>
      <c r="E46" s="293">
        <v>9.1999999999999993</v>
      </c>
      <c r="F46" s="293">
        <v>8.6999999999999993</v>
      </c>
      <c r="I46" s="196"/>
      <c r="J46" s="196">
        <v>5.8</v>
      </c>
    </row>
    <row r="47" spans="2:24">
      <c r="C47" s="216" t="s">
        <v>1478</v>
      </c>
      <c r="D47" s="293">
        <v>8.6999999999999993</v>
      </c>
      <c r="E47" s="293">
        <v>9</v>
      </c>
      <c r="F47" s="293">
        <v>9.1</v>
      </c>
      <c r="I47" s="196"/>
      <c r="J47" s="196">
        <v>4.5999999999999996</v>
      </c>
    </row>
    <row r="48" spans="2:24">
      <c r="C48" s="216" t="s">
        <v>770</v>
      </c>
      <c r="D48" s="293">
        <v>9</v>
      </c>
      <c r="E48" s="293">
        <v>8.5</v>
      </c>
      <c r="F48" s="293">
        <v>8.5</v>
      </c>
      <c r="I48" s="196"/>
      <c r="J48" s="196">
        <v>4.5</v>
      </c>
      <c r="U48" s="238" t="s">
        <v>1231</v>
      </c>
      <c r="V48" s="242" t="s">
        <v>1229</v>
      </c>
      <c r="W48" t="s">
        <v>598</v>
      </c>
      <c r="X48" t="s">
        <v>618</v>
      </c>
    </row>
    <row r="49" spans="2:24">
      <c r="C49" s="237" t="s">
        <v>1484</v>
      </c>
      <c r="D49" s="304">
        <v>9</v>
      </c>
      <c r="E49" s="304">
        <v>9.1999999999999993</v>
      </c>
      <c r="F49" s="304">
        <v>8.9</v>
      </c>
      <c r="G49" s="304">
        <v>2.8</v>
      </c>
      <c r="I49" s="196"/>
      <c r="J49" s="196">
        <v>5.5</v>
      </c>
      <c r="O49" s="196">
        <f>SUM(D49:F49)</f>
        <v>27.1</v>
      </c>
      <c r="P49">
        <f>SUM(D49:F49)/3</f>
        <v>9.0333333333333332</v>
      </c>
      <c r="U49" s="238"/>
      <c r="V49" s="242"/>
    </row>
    <row r="50" spans="2:24">
      <c r="C50" s="237" t="s">
        <v>1485</v>
      </c>
      <c r="D50" s="293">
        <v>8.6</v>
      </c>
      <c r="E50" s="293">
        <v>9.1999999999999993</v>
      </c>
      <c r="F50" s="196">
        <v>9</v>
      </c>
      <c r="I50" s="196"/>
      <c r="J50" s="196">
        <v>5.5</v>
      </c>
      <c r="O50" s="196">
        <f>SUM(D50:F50)</f>
        <v>26.799999999999997</v>
      </c>
      <c r="P50">
        <f>SUM(D50:F50)/3</f>
        <v>8.9333333333333318</v>
      </c>
      <c r="U50" s="238"/>
      <c r="V50" s="242"/>
    </row>
    <row r="51" spans="2:24">
      <c r="C51" s="237" t="s">
        <v>1488</v>
      </c>
      <c r="D51" s="293">
        <v>7</v>
      </c>
      <c r="E51" s="293">
        <v>8.1999999999999993</v>
      </c>
      <c r="F51" s="196">
        <v>8.8000000000000007</v>
      </c>
      <c r="G51" s="196">
        <v>5</v>
      </c>
      <c r="I51" s="196">
        <v>7.7</v>
      </c>
      <c r="J51" s="196">
        <v>8</v>
      </c>
      <c r="O51" s="196">
        <f>SUM(D51:F51)</f>
        <v>24</v>
      </c>
      <c r="P51">
        <f>SUM(D51:F51)/3</f>
        <v>8</v>
      </c>
      <c r="Q51" t="s">
        <v>1490</v>
      </c>
      <c r="U51" s="238"/>
      <c r="V51" s="242"/>
    </row>
    <row r="52" spans="2:24">
      <c r="C52" s="237" t="s">
        <v>1486</v>
      </c>
      <c r="D52" s="293">
        <v>8.5</v>
      </c>
      <c r="E52" s="293">
        <v>9</v>
      </c>
      <c r="F52" s="196">
        <v>9.5</v>
      </c>
      <c r="G52" s="196">
        <v>5</v>
      </c>
      <c r="I52" s="196">
        <v>7</v>
      </c>
      <c r="J52" s="196">
        <v>6</v>
      </c>
      <c r="O52" s="196">
        <f>SUM(D52:F52)</f>
        <v>27</v>
      </c>
      <c r="P52">
        <f>SUM(D52:F52)/3</f>
        <v>9</v>
      </c>
      <c r="Q52" t="s">
        <v>1491</v>
      </c>
      <c r="U52" s="238"/>
      <c r="V52" s="242"/>
    </row>
    <row r="53" spans="2:24">
      <c r="C53" s="237" t="s">
        <v>1498</v>
      </c>
      <c r="D53" s="293">
        <v>8.8000000000000007</v>
      </c>
      <c r="E53" s="293">
        <v>9.5</v>
      </c>
      <c r="F53" s="196">
        <v>9.1999999999999993</v>
      </c>
      <c r="J53" s="196"/>
      <c r="O53" s="196">
        <f>SUM(D53:F53)</f>
        <v>27.5</v>
      </c>
      <c r="P53">
        <f>SUM(D53:F53)/3</f>
        <v>9.1666666666666661</v>
      </c>
      <c r="Q53" t="s">
        <v>1492</v>
      </c>
      <c r="U53" s="238"/>
      <c r="V53" s="242"/>
    </row>
    <row r="54" spans="2:24">
      <c r="B54" t="s">
        <v>1166</v>
      </c>
      <c r="C54" t="s">
        <v>894</v>
      </c>
      <c r="D54" s="302" t="s">
        <v>598</v>
      </c>
      <c r="E54" s="302" t="s">
        <v>598</v>
      </c>
      <c r="F54" s="307" t="s">
        <v>1244</v>
      </c>
      <c r="G54" s="302">
        <v>10</v>
      </c>
      <c r="J54" s="307" t="s">
        <v>1009</v>
      </c>
      <c r="K54" s="307" t="s">
        <v>1257</v>
      </c>
      <c r="L54" s="302" t="s">
        <v>957</v>
      </c>
      <c r="P54">
        <v>1</v>
      </c>
      <c r="Q54" t="s">
        <v>1493</v>
      </c>
      <c r="U54" s="303" t="s">
        <v>1233</v>
      </c>
      <c r="V54" s="242" t="s">
        <v>1229</v>
      </c>
      <c r="W54" t="s">
        <v>955</v>
      </c>
      <c r="X54" t="s">
        <v>618</v>
      </c>
    </row>
    <row r="55" spans="2:24">
      <c r="D55" t="s">
        <v>598</v>
      </c>
      <c r="E55" t="s">
        <v>525</v>
      </c>
      <c r="F55" s="196" t="s">
        <v>1245</v>
      </c>
      <c r="G55" s="499">
        <v>44</v>
      </c>
      <c r="J55" s="307" t="s">
        <v>1005</v>
      </c>
      <c r="K55" s="307" t="s">
        <v>1013</v>
      </c>
      <c r="L55" s="302" t="s">
        <v>525</v>
      </c>
      <c r="M55" t="s">
        <v>1266</v>
      </c>
      <c r="P55">
        <v>1</v>
      </c>
      <c r="Q55" t="s">
        <v>1494</v>
      </c>
      <c r="R55" t="s">
        <v>1497</v>
      </c>
      <c r="U55" s="238" t="s">
        <v>1231</v>
      </c>
      <c r="V55" s="303" t="s">
        <v>1233</v>
      </c>
      <c r="W55" t="s">
        <v>598</v>
      </c>
      <c r="X55" t="s">
        <v>955</v>
      </c>
    </row>
    <row r="56" spans="2:24">
      <c r="D56" t="s">
        <v>598</v>
      </c>
      <c r="E56" t="s">
        <v>618</v>
      </c>
      <c r="F56" s="196" t="s">
        <v>1246</v>
      </c>
      <c r="G56" s="499">
        <v>36</v>
      </c>
      <c r="I56" s="305" t="s">
        <v>1166</v>
      </c>
      <c r="J56" s="306" t="s">
        <v>894</v>
      </c>
      <c r="K56" s="306" t="s">
        <v>598</v>
      </c>
      <c r="L56" s="305" t="s">
        <v>598</v>
      </c>
      <c r="P56">
        <v>1</v>
      </c>
      <c r="Q56" t="s">
        <v>1495</v>
      </c>
      <c r="R56" t="s">
        <v>1496</v>
      </c>
      <c r="U56" s="422" t="s">
        <v>1013</v>
      </c>
      <c r="V56" s="238" t="s">
        <v>1231</v>
      </c>
      <c r="W56" t="s">
        <v>954</v>
      </c>
      <c r="X56" t="s">
        <v>598</v>
      </c>
    </row>
    <row r="57" spans="2:24">
      <c r="D57" t="s">
        <v>598</v>
      </c>
      <c r="E57" t="s">
        <v>1233</v>
      </c>
      <c r="F57" s="485" t="s">
        <v>1247</v>
      </c>
      <c r="G57">
        <v>43</v>
      </c>
      <c r="J57" s="196" t="s">
        <v>1005</v>
      </c>
      <c r="K57" s="196" t="s">
        <v>598</v>
      </c>
      <c r="L57" t="s">
        <v>525</v>
      </c>
      <c r="U57" t="s">
        <v>525</v>
      </c>
      <c r="V57" s="238" t="s">
        <v>1231</v>
      </c>
      <c r="W57" t="s">
        <v>525</v>
      </c>
      <c r="X57" t="s">
        <v>598</v>
      </c>
    </row>
    <row r="58" spans="2:24">
      <c r="D58" t="s">
        <v>598</v>
      </c>
      <c r="E58" t="s">
        <v>1013</v>
      </c>
      <c r="F58" s="196" t="s">
        <v>1248</v>
      </c>
      <c r="G58" s="499">
        <v>22</v>
      </c>
      <c r="J58" s="307" t="s">
        <v>1005</v>
      </c>
      <c r="K58" s="307" t="s">
        <v>1186</v>
      </c>
      <c r="L58" s="302" t="s">
        <v>1257</v>
      </c>
      <c r="U58" s="303" t="s">
        <v>1233</v>
      </c>
      <c r="V58" s="422" t="s">
        <v>1013</v>
      </c>
      <c r="W58" t="s">
        <v>955</v>
      </c>
      <c r="X58" t="s">
        <v>954</v>
      </c>
    </row>
    <row r="59" spans="2:24">
      <c r="F59" s="196"/>
      <c r="I59" t="s">
        <v>1166</v>
      </c>
      <c r="J59" s="307" t="s">
        <v>870</v>
      </c>
      <c r="K59" s="307" t="s">
        <v>598</v>
      </c>
      <c r="L59" s="302" t="s">
        <v>525</v>
      </c>
      <c r="U59" t="s">
        <v>525</v>
      </c>
      <c r="V59" s="303" t="s">
        <v>1233</v>
      </c>
      <c r="W59" t="s">
        <v>525</v>
      </c>
      <c r="X59" t="s">
        <v>1233</v>
      </c>
    </row>
    <row r="60" spans="2:24">
      <c r="B60" t="s">
        <v>1166</v>
      </c>
      <c r="C60" t="s">
        <v>870</v>
      </c>
      <c r="D60" t="s">
        <v>598</v>
      </c>
      <c r="E60" t="s">
        <v>598</v>
      </c>
      <c r="F60" s="196">
        <v>20</v>
      </c>
      <c r="I60" t="s">
        <v>1166</v>
      </c>
      <c r="J60" s="307" t="s">
        <v>894</v>
      </c>
      <c r="K60" s="307" t="s">
        <v>598</v>
      </c>
      <c r="L60" s="302" t="s">
        <v>525</v>
      </c>
    </row>
    <row r="61" spans="2:24">
      <c r="D61" t="s">
        <v>598</v>
      </c>
      <c r="E61" t="s">
        <v>525</v>
      </c>
      <c r="F61" t="s">
        <v>1249</v>
      </c>
      <c r="G61">
        <v>6</v>
      </c>
      <c r="I61" t="s">
        <v>589</v>
      </c>
      <c r="J61" s="307" t="s">
        <v>956</v>
      </c>
      <c r="K61" s="307" t="s">
        <v>957</v>
      </c>
    </row>
    <row r="62" spans="2:24">
      <c r="D62" t="s">
        <v>598</v>
      </c>
      <c r="E62" t="s">
        <v>618</v>
      </c>
      <c r="F62">
        <v>5</v>
      </c>
      <c r="I62" t="s">
        <v>1270</v>
      </c>
      <c r="J62" s="196">
        <v>45</v>
      </c>
      <c r="K62" s="196"/>
      <c r="U62" t="s">
        <v>1231</v>
      </c>
      <c r="V62" t="s">
        <v>1231</v>
      </c>
    </row>
    <row r="63" spans="2:24">
      <c r="D63" t="s">
        <v>598</v>
      </c>
      <c r="E63" t="s">
        <v>1233</v>
      </c>
      <c r="F63" t="s">
        <v>1250</v>
      </c>
      <c r="G63">
        <v>9</v>
      </c>
      <c r="I63" t="s">
        <v>880</v>
      </c>
      <c r="J63" s="318" t="s">
        <v>1005</v>
      </c>
      <c r="K63" s="318" t="s">
        <v>1013</v>
      </c>
      <c r="L63" s="330" t="s">
        <v>525</v>
      </c>
      <c r="N63" t="s">
        <v>957</v>
      </c>
      <c r="O63" t="s">
        <v>1013</v>
      </c>
      <c r="U63" t="s">
        <v>1231</v>
      </c>
      <c r="V63" t="s">
        <v>1013</v>
      </c>
    </row>
    <row r="64" spans="2:24">
      <c r="D64" t="s">
        <v>598</v>
      </c>
      <c r="E64" t="s">
        <v>1013</v>
      </c>
      <c r="I64" t="s">
        <v>880</v>
      </c>
      <c r="J64" s="307" t="s">
        <v>1005</v>
      </c>
      <c r="K64" s="302" t="s">
        <v>1257</v>
      </c>
      <c r="L64" s="307" t="s">
        <v>1186</v>
      </c>
      <c r="U64" t="s">
        <v>1233</v>
      </c>
      <c r="V64" t="s">
        <v>1231</v>
      </c>
    </row>
    <row r="65" spans="2:32">
      <c r="I65" t="s">
        <v>880</v>
      </c>
      <c r="J65" s="318" t="s">
        <v>1009</v>
      </c>
      <c r="K65" s="318" t="s">
        <v>1257</v>
      </c>
      <c r="L65" s="330" t="s">
        <v>957</v>
      </c>
    </row>
    <row r="66" spans="2:32">
      <c r="B66" t="s">
        <v>1005</v>
      </c>
      <c r="D66" t="s">
        <v>1013</v>
      </c>
      <c r="E66" t="s">
        <v>525</v>
      </c>
      <c r="F66" t="s">
        <v>1251</v>
      </c>
      <c r="G66">
        <v>46</v>
      </c>
      <c r="I66" t="s">
        <v>1166</v>
      </c>
      <c r="J66" s="307" t="s">
        <v>870</v>
      </c>
      <c r="K66" s="302" t="s">
        <v>1257</v>
      </c>
      <c r="L66" s="302" t="s">
        <v>525</v>
      </c>
      <c r="M66" t="s">
        <v>1013</v>
      </c>
      <c r="U66" t="s">
        <v>598</v>
      </c>
    </row>
    <row r="67" spans="2:32">
      <c r="D67" t="s">
        <v>598</v>
      </c>
      <c r="E67" t="s">
        <v>598</v>
      </c>
      <c r="F67" t="s">
        <v>1252</v>
      </c>
      <c r="G67">
        <v>43</v>
      </c>
      <c r="I67" t="s">
        <v>1166</v>
      </c>
      <c r="J67" s="307" t="s">
        <v>894</v>
      </c>
      <c r="K67" s="307" t="s">
        <v>1257</v>
      </c>
      <c r="L67" s="302" t="s">
        <v>525</v>
      </c>
      <c r="M67" t="s">
        <v>957</v>
      </c>
      <c r="U67" t="s">
        <v>1230</v>
      </c>
    </row>
    <row r="68" spans="2:32">
      <c r="U68" s="422" t="s">
        <v>598</v>
      </c>
      <c r="V68" s="422" t="s">
        <v>618</v>
      </c>
    </row>
    <row r="69" spans="2:32">
      <c r="B69" t="s">
        <v>1148</v>
      </c>
      <c r="C69" t="s">
        <v>1254</v>
      </c>
      <c r="F69" t="s">
        <v>1258</v>
      </c>
      <c r="G69">
        <v>47</v>
      </c>
      <c r="I69" t="s">
        <v>880</v>
      </c>
      <c r="J69" s="318" t="s">
        <v>1005</v>
      </c>
      <c r="K69" s="318" t="s">
        <v>1013</v>
      </c>
      <c r="L69" s="330" t="s">
        <v>525</v>
      </c>
      <c r="U69" s="422" t="s">
        <v>598</v>
      </c>
      <c r="V69" s="422" t="s">
        <v>954</v>
      </c>
    </row>
    <row r="70" spans="2:32">
      <c r="B70" t="s">
        <v>1005</v>
      </c>
      <c r="C70" t="s">
        <v>1255</v>
      </c>
      <c r="F70" t="s">
        <v>1256</v>
      </c>
      <c r="G70">
        <v>35</v>
      </c>
      <c r="I70" t="s">
        <v>880</v>
      </c>
      <c r="J70" s="307" t="s">
        <v>1005</v>
      </c>
      <c r="K70" s="302" t="s">
        <v>1257</v>
      </c>
      <c r="L70" s="302" t="s">
        <v>957</v>
      </c>
      <c r="O70" t="s">
        <v>1013</v>
      </c>
      <c r="U70" s="422" t="s">
        <v>598</v>
      </c>
      <c r="V70" s="422" t="s">
        <v>955</v>
      </c>
    </row>
    <row r="71" spans="2:32">
      <c r="D71" s="302" t="s">
        <v>1186</v>
      </c>
      <c r="E71" s="302" t="s">
        <v>1257</v>
      </c>
      <c r="F71" s="302">
        <v>45</v>
      </c>
      <c r="G71" s="302"/>
      <c r="I71" t="s">
        <v>880</v>
      </c>
      <c r="J71" s="318" t="s">
        <v>1009</v>
      </c>
      <c r="K71" s="318" t="s">
        <v>1257</v>
      </c>
      <c r="L71" s="330" t="s">
        <v>957</v>
      </c>
      <c r="U71" s="422" t="s">
        <v>598</v>
      </c>
      <c r="V71" s="422" t="s">
        <v>525</v>
      </c>
    </row>
    <row r="72" spans="2:32">
      <c r="D72" t="s">
        <v>525</v>
      </c>
      <c r="E72" t="s">
        <v>525</v>
      </c>
      <c r="F72" t="s">
        <v>1260</v>
      </c>
      <c r="G72">
        <v>24</v>
      </c>
      <c r="I72" t="s">
        <v>1166</v>
      </c>
      <c r="J72" s="307" t="s">
        <v>870</v>
      </c>
      <c r="K72" s="302" t="s">
        <v>1257</v>
      </c>
      <c r="L72" s="302" t="s">
        <v>525</v>
      </c>
      <c r="U72" s="423" t="s">
        <v>618</v>
      </c>
      <c r="V72" s="423" t="s">
        <v>954</v>
      </c>
    </row>
    <row r="73" spans="2:32">
      <c r="D73" s="302" t="s">
        <v>525</v>
      </c>
      <c r="E73" s="302" t="s">
        <v>598</v>
      </c>
      <c r="F73" s="302">
        <v>61</v>
      </c>
      <c r="G73" s="302" t="s">
        <v>1265</v>
      </c>
      <c r="I73" t="s">
        <v>1166</v>
      </c>
      <c r="J73" s="307" t="s">
        <v>894</v>
      </c>
      <c r="K73" s="307" t="s">
        <v>1257</v>
      </c>
      <c r="L73" s="307" t="s">
        <v>1186</v>
      </c>
      <c r="U73" s="423" t="s">
        <v>618</v>
      </c>
      <c r="V73" s="422" t="s">
        <v>955</v>
      </c>
    </row>
    <row r="74" spans="2:32">
      <c r="U74" s="423"/>
      <c r="V74" s="422"/>
    </row>
    <row r="75" spans="2:32">
      <c r="B75" t="s">
        <v>1259</v>
      </c>
      <c r="D75" t="s">
        <v>525</v>
      </c>
      <c r="E75" t="s">
        <v>525</v>
      </c>
      <c r="F75" t="s">
        <v>1261</v>
      </c>
      <c r="G75">
        <v>58</v>
      </c>
      <c r="K75" s="122" t="s">
        <v>1186</v>
      </c>
      <c r="L75" s="302" t="s">
        <v>618</v>
      </c>
      <c r="U75" s="422" t="s">
        <v>618</v>
      </c>
      <c r="V75" s="422" t="s">
        <v>525</v>
      </c>
    </row>
    <row r="76" spans="2:32">
      <c r="B76" t="s">
        <v>1097</v>
      </c>
      <c r="D76" t="s">
        <v>525</v>
      </c>
      <c r="E76" t="s">
        <v>525</v>
      </c>
      <c r="F76" t="s">
        <v>1262</v>
      </c>
      <c r="G76">
        <v>10</v>
      </c>
      <c r="I76" t="s">
        <v>1268</v>
      </c>
      <c r="K76" s="122" t="s">
        <v>1272</v>
      </c>
      <c r="L76">
        <v>57</v>
      </c>
      <c r="U76" s="422" t="s">
        <v>954</v>
      </c>
      <c r="V76" s="422" t="s">
        <v>955</v>
      </c>
    </row>
    <row r="77" spans="2:32">
      <c r="B77" t="s">
        <v>1263</v>
      </c>
      <c r="D77" t="s">
        <v>525</v>
      </c>
      <c r="E77" t="s">
        <v>525</v>
      </c>
      <c r="F77">
        <v>43</v>
      </c>
      <c r="I77" t="s">
        <v>880</v>
      </c>
      <c r="J77" s="318" t="s">
        <v>1005</v>
      </c>
      <c r="K77" s="318" t="s">
        <v>1013</v>
      </c>
      <c r="L77" s="330" t="s">
        <v>525</v>
      </c>
      <c r="U77" s="423" t="s">
        <v>954</v>
      </c>
      <c r="V77" t="s">
        <v>525</v>
      </c>
    </row>
    <row r="78" spans="2:32">
      <c r="I78" t="s">
        <v>880</v>
      </c>
      <c r="J78" s="318" t="s">
        <v>1009</v>
      </c>
      <c r="K78" s="318" t="s">
        <v>1257</v>
      </c>
      <c r="L78" s="330" t="s">
        <v>957</v>
      </c>
      <c r="U78" s="422" t="s">
        <v>955</v>
      </c>
      <c r="V78" t="s">
        <v>525</v>
      </c>
    </row>
    <row r="79" spans="2:32">
      <c r="D79" t="s">
        <v>525</v>
      </c>
      <c r="E79" t="s">
        <v>598</v>
      </c>
      <c r="F79" t="s">
        <v>1435</v>
      </c>
      <c r="I79" t="s">
        <v>1166</v>
      </c>
      <c r="J79" s="307" t="s">
        <v>870</v>
      </c>
      <c r="K79" s="302" t="s">
        <v>1257</v>
      </c>
      <c r="L79" s="302" t="s">
        <v>1267</v>
      </c>
      <c r="X79" t="s">
        <v>682</v>
      </c>
      <c r="Y79" t="s">
        <v>681</v>
      </c>
      <c r="AB79" s="196" t="s">
        <v>460</v>
      </c>
      <c r="AF79" s="196" t="s">
        <v>621</v>
      </c>
    </row>
    <row r="80" spans="2:32">
      <c r="D80" t="s">
        <v>525</v>
      </c>
      <c r="E80" t="s">
        <v>1013</v>
      </c>
      <c r="F80" t="s">
        <v>1436</v>
      </c>
      <c r="I80" t="s">
        <v>1166</v>
      </c>
      <c r="J80" s="307" t="s">
        <v>894</v>
      </c>
      <c r="K80" s="307" t="s">
        <v>1257</v>
      </c>
      <c r="L80" s="302" t="s">
        <v>864</v>
      </c>
      <c r="U80" s="422" t="s">
        <v>598</v>
      </c>
      <c r="V80" s="410" t="s">
        <v>1229</v>
      </c>
      <c r="X80" s="238" t="s">
        <v>598</v>
      </c>
      <c r="Y80" s="303" t="s">
        <v>618</v>
      </c>
      <c r="Z80" s="196">
        <v>8.6999999999999993</v>
      </c>
      <c r="AA80" s="196">
        <v>9</v>
      </c>
      <c r="AB80" s="196">
        <f>Z80+AA80</f>
        <v>17.7</v>
      </c>
      <c r="AC80">
        <v>3</v>
      </c>
    </row>
    <row r="81" spans="4:32">
      <c r="D81" t="s">
        <v>525</v>
      </c>
      <c r="E81" t="s">
        <v>525</v>
      </c>
      <c r="F81" t="s">
        <v>1437</v>
      </c>
      <c r="I81" t="s">
        <v>877</v>
      </c>
      <c r="J81" t="s">
        <v>589</v>
      </c>
      <c r="K81" s="307" t="s">
        <v>956</v>
      </c>
      <c r="L81" s="307" t="s">
        <v>957</v>
      </c>
      <c r="S81" t="s">
        <v>1235</v>
      </c>
      <c r="U81" s="422" t="s">
        <v>598</v>
      </c>
      <c r="V81" s="302" t="s">
        <v>1013</v>
      </c>
      <c r="X81" s="238" t="s">
        <v>598</v>
      </c>
      <c r="Y81" s="312" t="s">
        <v>1013</v>
      </c>
      <c r="Z81" s="196">
        <v>8.6999999999999993</v>
      </c>
      <c r="AA81" s="196">
        <v>9.4</v>
      </c>
      <c r="AB81" s="307">
        <f t="shared" ref="AB81:AB90" si="2">Z81+AA81</f>
        <v>18.100000000000001</v>
      </c>
      <c r="AC81">
        <v>1</v>
      </c>
    </row>
    <row r="82" spans="4:32">
      <c r="I82" t="s">
        <v>1269</v>
      </c>
      <c r="J82">
        <v>2</v>
      </c>
      <c r="K82" s="122" t="s">
        <v>1271</v>
      </c>
      <c r="L82">
        <v>64</v>
      </c>
      <c r="U82" s="312" t="s">
        <v>1233</v>
      </c>
      <c r="V82" s="422" t="s">
        <v>598</v>
      </c>
      <c r="X82" s="500" t="s">
        <v>1233</v>
      </c>
      <c r="Y82" s="238" t="s">
        <v>598</v>
      </c>
      <c r="Z82" s="196">
        <v>8.9</v>
      </c>
      <c r="AA82" s="196">
        <v>8.6999999999999993</v>
      </c>
      <c r="AB82" s="196">
        <f t="shared" si="2"/>
        <v>17.600000000000001</v>
      </c>
      <c r="AC82">
        <v>4</v>
      </c>
    </row>
    <row r="83" spans="4:32">
      <c r="I83" t="s">
        <v>880</v>
      </c>
      <c r="J83" s="318" t="s">
        <v>1005</v>
      </c>
      <c r="K83" s="318" t="s">
        <v>1013</v>
      </c>
      <c r="L83" s="330" t="s">
        <v>525</v>
      </c>
      <c r="U83" s="499" t="s">
        <v>525</v>
      </c>
      <c r="V83" s="422" t="s">
        <v>598</v>
      </c>
      <c r="X83" s="499" t="s">
        <v>525</v>
      </c>
      <c r="Y83" s="238" t="s">
        <v>598</v>
      </c>
      <c r="Z83" s="196">
        <v>8.3000000000000007</v>
      </c>
      <c r="AA83" s="196">
        <v>8.6999999999999993</v>
      </c>
      <c r="AB83" s="485">
        <f t="shared" si="2"/>
        <v>17</v>
      </c>
      <c r="AC83">
        <v>6</v>
      </c>
    </row>
    <row r="84" spans="4:32">
      <c r="I84" t="s">
        <v>880</v>
      </c>
      <c r="J84" s="318" t="s">
        <v>1009</v>
      </c>
      <c r="K84" s="318" t="s">
        <v>1257</v>
      </c>
      <c r="L84" s="330" t="s">
        <v>957</v>
      </c>
      <c r="U84" s="312" t="s">
        <v>1233</v>
      </c>
      <c r="V84" s="410" t="s">
        <v>1229</v>
      </c>
      <c r="X84" s="500" t="s">
        <v>1233</v>
      </c>
      <c r="Y84" s="303" t="s">
        <v>618</v>
      </c>
      <c r="Z84" s="196">
        <v>8.9</v>
      </c>
      <c r="AA84" s="196">
        <v>9</v>
      </c>
      <c r="AB84" s="196">
        <f t="shared" si="2"/>
        <v>17.899999999999999</v>
      </c>
      <c r="AC84">
        <v>2</v>
      </c>
    </row>
    <row r="85" spans="4:32">
      <c r="I85" t="s">
        <v>1166</v>
      </c>
      <c r="J85" s="307" t="s">
        <v>870</v>
      </c>
      <c r="K85" s="302" t="s">
        <v>1257</v>
      </c>
      <c r="L85" s="302" t="s">
        <v>957</v>
      </c>
      <c r="S85" t="s">
        <v>1234</v>
      </c>
      <c r="U85" s="302" t="s">
        <v>1013</v>
      </c>
      <c r="V85" s="499" t="s">
        <v>525</v>
      </c>
      <c r="X85" s="312" t="s">
        <v>1013</v>
      </c>
      <c r="Y85" s="499" t="s">
        <v>525</v>
      </c>
      <c r="Z85" s="196">
        <v>9.4</v>
      </c>
      <c r="AA85" s="196">
        <v>8.3000000000000007</v>
      </c>
      <c r="AB85" s="196">
        <f t="shared" si="2"/>
        <v>17.700000000000003</v>
      </c>
      <c r="AC85">
        <v>3</v>
      </c>
    </row>
    <row r="86" spans="4:32">
      <c r="I86" t="s">
        <v>1166</v>
      </c>
      <c r="J86" s="307" t="s">
        <v>894</v>
      </c>
      <c r="K86" s="307" t="s">
        <v>1257</v>
      </c>
      <c r="L86" s="302" t="s">
        <v>864</v>
      </c>
      <c r="AB86" s="196">
        <f t="shared" si="2"/>
        <v>0</v>
      </c>
    </row>
    <row r="87" spans="4:32">
      <c r="I87" t="s">
        <v>877</v>
      </c>
      <c r="J87" t="s">
        <v>589</v>
      </c>
      <c r="K87" s="307" t="s">
        <v>956</v>
      </c>
      <c r="L87" s="307" t="s">
        <v>957</v>
      </c>
      <c r="U87" s="499" t="s">
        <v>525</v>
      </c>
      <c r="V87" s="312" t="s">
        <v>1233</v>
      </c>
      <c r="X87" s="499" t="s">
        <v>525</v>
      </c>
      <c r="Y87" s="500" t="s">
        <v>1233</v>
      </c>
      <c r="Z87" s="196">
        <v>8.3000000000000007</v>
      </c>
      <c r="AA87" s="196">
        <v>8.9</v>
      </c>
      <c r="AB87" s="196">
        <f t="shared" si="2"/>
        <v>17.200000000000003</v>
      </c>
      <c r="AC87">
        <v>5</v>
      </c>
    </row>
    <row r="88" spans="4:32">
      <c r="K88" s="122" t="s">
        <v>775</v>
      </c>
      <c r="L88" t="s">
        <v>682</v>
      </c>
      <c r="U88" s="422" t="s">
        <v>1230</v>
      </c>
      <c r="V88" s="312" t="s">
        <v>1233</v>
      </c>
      <c r="X88" s="238" t="s">
        <v>1230</v>
      </c>
      <c r="Y88" s="500" t="s">
        <v>1233</v>
      </c>
      <c r="Z88" s="196">
        <v>8.6999999999999993</v>
      </c>
      <c r="AA88" s="196">
        <v>8.9</v>
      </c>
      <c r="AB88" s="196">
        <f t="shared" si="2"/>
        <v>17.600000000000001</v>
      </c>
      <c r="AC88">
        <v>4</v>
      </c>
    </row>
    <row r="89" spans="4:32">
      <c r="I89" t="s">
        <v>1425</v>
      </c>
      <c r="J89" t="s">
        <v>1424</v>
      </c>
      <c r="K89" s="122" t="s">
        <v>525</v>
      </c>
      <c r="L89" t="s">
        <v>598</v>
      </c>
      <c r="V89" s="305"/>
      <c r="AB89" s="196">
        <f t="shared" si="2"/>
        <v>0</v>
      </c>
    </row>
    <row r="90" spans="4:32">
      <c r="I90" t="s">
        <v>1205</v>
      </c>
      <c r="J90" s="216" t="s">
        <v>1409</v>
      </c>
      <c r="K90" s="626" t="s">
        <v>525</v>
      </c>
      <c r="L90" s="315" t="s">
        <v>598</v>
      </c>
      <c r="U90" s="499" t="s">
        <v>525</v>
      </c>
      <c r="V90" s="410" t="s">
        <v>1229</v>
      </c>
      <c r="X90" t="s">
        <v>1013</v>
      </c>
      <c r="Y90" t="s">
        <v>1237</v>
      </c>
      <c r="Z90" s="196">
        <v>9.4</v>
      </c>
      <c r="AA90" s="196">
        <v>8.9</v>
      </c>
      <c r="AB90" s="196">
        <f t="shared" si="2"/>
        <v>18.3</v>
      </c>
      <c r="AD90">
        <v>9.6</v>
      </c>
      <c r="AE90">
        <v>8.9</v>
      </c>
      <c r="AF90" s="196">
        <f>AD90+AE90</f>
        <v>18.5</v>
      </c>
    </row>
    <row r="91" spans="4:32">
      <c r="J91" s="216" t="s">
        <v>1409</v>
      </c>
      <c r="K91" s="625" t="s">
        <v>525</v>
      </c>
      <c r="L91" s="216" t="s">
        <v>954</v>
      </c>
    </row>
    <row r="92" spans="4:32">
      <c r="J92" s="216" t="s">
        <v>1409</v>
      </c>
      <c r="K92" s="216" t="s">
        <v>955</v>
      </c>
      <c r="L92" s="625" t="s">
        <v>598</v>
      </c>
      <c r="X92" s="238" t="s">
        <v>598</v>
      </c>
      <c r="Y92" s="303" t="s">
        <v>618</v>
      </c>
      <c r="Z92" s="196">
        <v>8.6999999999999993</v>
      </c>
      <c r="AA92" s="196">
        <v>9</v>
      </c>
      <c r="AB92" s="196">
        <f>Z92+AA92</f>
        <v>17.7</v>
      </c>
      <c r="AC92">
        <v>4</v>
      </c>
      <c r="AD92" s="196">
        <v>9.3000000000000007</v>
      </c>
      <c r="AE92" s="196">
        <v>9.3000000000000007</v>
      </c>
      <c r="AF92" s="307">
        <f>AD92+AE92</f>
        <v>18.600000000000001</v>
      </c>
    </row>
    <row r="93" spans="4:32">
      <c r="J93" s="216" t="s">
        <v>1409</v>
      </c>
      <c r="K93" s="315" t="s">
        <v>955</v>
      </c>
      <c r="L93" s="626" t="s">
        <v>954</v>
      </c>
      <c r="V93" t="s">
        <v>870</v>
      </c>
      <c r="W93" s="302" t="s">
        <v>1005</v>
      </c>
      <c r="X93" s="238" t="s">
        <v>598</v>
      </c>
      <c r="Y93" s="312" t="s">
        <v>1013</v>
      </c>
      <c r="Z93" s="196">
        <v>8.6999999999999993</v>
      </c>
      <c r="AA93" s="196">
        <v>9.4</v>
      </c>
      <c r="AB93" s="307">
        <f t="shared" ref="AB93:AB103" si="3">Z93+AA93</f>
        <v>18.100000000000001</v>
      </c>
      <c r="AC93">
        <v>2</v>
      </c>
      <c r="AD93">
        <v>9.3000000000000007</v>
      </c>
      <c r="AE93">
        <v>9.6</v>
      </c>
      <c r="AF93" s="307">
        <f>AD93+AE93</f>
        <v>18.899999999999999</v>
      </c>
    </row>
    <row r="94" spans="4:32">
      <c r="J94" s="216" t="s">
        <v>1426</v>
      </c>
      <c r="K94" s="122" t="s">
        <v>525</v>
      </c>
      <c r="L94" t="s">
        <v>598</v>
      </c>
      <c r="M94" t="s">
        <v>598</v>
      </c>
      <c r="N94" t="s">
        <v>954</v>
      </c>
      <c r="X94" s="500" t="s">
        <v>1233</v>
      </c>
      <c r="Y94" s="238" t="s">
        <v>598</v>
      </c>
      <c r="Z94" s="196">
        <v>8.9</v>
      </c>
      <c r="AA94" s="196">
        <v>8.6999999999999993</v>
      </c>
      <c r="AB94" s="196">
        <f t="shared" si="3"/>
        <v>17.600000000000001</v>
      </c>
      <c r="AC94">
        <v>5</v>
      </c>
    </row>
    <row r="95" spans="4:32">
      <c r="W95" t="s">
        <v>1191</v>
      </c>
      <c r="X95" s="499" t="s">
        <v>525</v>
      </c>
      <c r="Y95" s="238" t="s">
        <v>598</v>
      </c>
      <c r="Z95" s="196">
        <v>8.3000000000000007</v>
      </c>
      <c r="AA95" s="196">
        <v>8.6999999999999993</v>
      </c>
      <c r="AB95" s="485">
        <f t="shared" si="3"/>
        <v>17</v>
      </c>
      <c r="AC95">
        <v>6</v>
      </c>
    </row>
    <row r="96" spans="4:32">
      <c r="I96" t="s">
        <v>1397</v>
      </c>
      <c r="J96">
        <v>120</v>
      </c>
      <c r="X96" s="500" t="s">
        <v>1233</v>
      </c>
      <c r="Y96" s="303" t="s">
        <v>618</v>
      </c>
      <c r="Z96" s="196">
        <v>8.9</v>
      </c>
      <c r="AA96" s="196">
        <v>9</v>
      </c>
      <c r="AB96" s="196">
        <f t="shared" si="3"/>
        <v>17.899999999999999</v>
      </c>
      <c r="AC96">
        <v>3</v>
      </c>
    </row>
    <row r="97" spans="9:65">
      <c r="I97" t="s">
        <v>1398</v>
      </c>
      <c r="J97">
        <v>100</v>
      </c>
      <c r="W97" t="s">
        <v>1009</v>
      </c>
      <c r="X97" s="312" t="s">
        <v>1013</v>
      </c>
      <c r="Y97" s="500" t="s">
        <v>1233</v>
      </c>
      <c r="Z97" s="196">
        <v>9.4</v>
      </c>
      <c r="AA97" s="196">
        <v>8.9</v>
      </c>
      <c r="AB97" s="318">
        <f t="shared" si="3"/>
        <v>18.3</v>
      </c>
      <c r="AC97">
        <v>1</v>
      </c>
      <c r="AD97">
        <v>9.6</v>
      </c>
      <c r="AE97">
        <v>8.9</v>
      </c>
      <c r="AF97" s="196">
        <f>AD97+AE97</f>
        <v>18.5</v>
      </c>
    </row>
    <row r="98" spans="9:65">
      <c r="I98" t="s">
        <v>1399</v>
      </c>
      <c r="J98">
        <v>180</v>
      </c>
      <c r="AB98" s="196">
        <f t="shared" si="3"/>
        <v>0</v>
      </c>
    </row>
    <row r="99" spans="9:65">
      <c r="I99" t="s">
        <v>1400</v>
      </c>
      <c r="J99">
        <v>90</v>
      </c>
      <c r="X99" s="238" t="s">
        <v>1230</v>
      </c>
      <c r="Y99" s="500" t="s">
        <v>1233</v>
      </c>
      <c r="Z99" s="196">
        <v>8.6999999999999993</v>
      </c>
      <c r="AA99" s="196">
        <v>8.9</v>
      </c>
      <c r="AB99" s="196">
        <f t="shared" si="3"/>
        <v>17.600000000000001</v>
      </c>
      <c r="AC99">
        <v>5</v>
      </c>
    </row>
    <row r="100" spans="9:65">
      <c r="I100" t="s">
        <v>1401</v>
      </c>
      <c r="J100">
        <v>260</v>
      </c>
      <c r="AB100" s="196">
        <f t="shared" si="3"/>
        <v>0</v>
      </c>
    </row>
    <row r="101" spans="9:65">
      <c r="I101" t="s">
        <v>1402</v>
      </c>
      <c r="J101">
        <v>100</v>
      </c>
      <c r="W101" s="302" t="s">
        <v>1009</v>
      </c>
      <c r="X101" t="s">
        <v>618</v>
      </c>
      <c r="Y101" t="s">
        <v>1013</v>
      </c>
      <c r="Z101" s="196">
        <v>9</v>
      </c>
      <c r="AA101" s="196">
        <v>9.4</v>
      </c>
      <c r="AB101" s="501">
        <f t="shared" si="3"/>
        <v>18.399999999999999</v>
      </c>
      <c r="AC101">
        <v>1</v>
      </c>
      <c r="AD101">
        <v>9.3000000000000007</v>
      </c>
      <c r="AE101">
        <v>9.6</v>
      </c>
      <c r="AF101" s="307">
        <f>AD101+AE101</f>
        <v>18.899999999999999</v>
      </c>
    </row>
    <row r="102" spans="9:65">
      <c r="J102" t="s">
        <v>524</v>
      </c>
      <c r="K102" s="122" t="s">
        <v>523</v>
      </c>
      <c r="W102" t="s">
        <v>817</v>
      </c>
      <c r="X102" t="s">
        <v>1013</v>
      </c>
      <c r="Y102" t="s">
        <v>1013</v>
      </c>
      <c r="Z102" s="196">
        <v>9.4</v>
      </c>
      <c r="AA102" s="196">
        <v>9.4</v>
      </c>
      <c r="AB102" s="196">
        <f t="shared" si="3"/>
        <v>18.8</v>
      </c>
      <c r="AC102">
        <v>1</v>
      </c>
    </row>
    <row r="103" spans="9:65">
      <c r="J103" t="s">
        <v>681</v>
      </c>
      <c r="K103" s="122" t="s">
        <v>682</v>
      </c>
      <c r="W103" s="302" t="s">
        <v>1005</v>
      </c>
      <c r="X103" t="s">
        <v>1013</v>
      </c>
      <c r="Y103" t="s">
        <v>525</v>
      </c>
      <c r="Z103" s="196">
        <v>9.4</v>
      </c>
      <c r="AA103" s="196">
        <v>8.3000000000000007</v>
      </c>
      <c r="AB103" s="196">
        <f t="shared" si="3"/>
        <v>17.700000000000003</v>
      </c>
      <c r="AD103">
        <v>9.6</v>
      </c>
      <c r="AE103" s="196">
        <v>9.4</v>
      </c>
      <c r="AF103" s="307">
        <f>AD103+AE103</f>
        <v>19</v>
      </c>
    </row>
    <row r="104" spans="9:65" ht="15.75" thickBot="1">
      <c r="I104" t="s">
        <v>1438</v>
      </c>
      <c r="J104" t="s">
        <v>598</v>
      </c>
      <c r="K104" s="122" t="s">
        <v>954</v>
      </c>
    </row>
    <row r="105" spans="9:65">
      <c r="I105" s="364" t="s">
        <v>1438</v>
      </c>
      <c r="J105" s="365" t="s">
        <v>955</v>
      </c>
      <c r="K105" s="627" t="s">
        <v>954</v>
      </c>
    </row>
    <row r="106" spans="9:65">
      <c r="I106" s="367"/>
      <c r="J106" s="368" t="s">
        <v>525</v>
      </c>
      <c r="K106" s="628" t="s">
        <v>954</v>
      </c>
      <c r="X106" t="s">
        <v>598</v>
      </c>
      <c r="Y106" t="s">
        <v>618</v>
      </c>
      <c r="Z106" s="196">
        <v>8.6999999999999993</v>
      </c>
      <c r="AA106" s="196">
        <v>9</v>
      </c>
      <c r="AB106" s="196">
        <f>Z106+AA106</f>
        <v>17.7</v>
      </c>
      <c r="AC106">
        <v>4</v>
      </c>
      <c r="AD106" s="196">
        <v>9.3000000000000007</v>
      </c>
      <c r="AE106" s="196">
        <v>9.3000000000000007</v>
      </c>
      <c r="AF106" s="307">
        <f>AD106+AE106</f>
        <v>18.600000000000001</v>
      </c>
    </row>
    <row r="107" spans="9:65" ht="15.75" thickBot="1">
      <c r="I107" s="370"/>
      <c r="J107" s="371" t="s">
        <v>955</v>
      </c>
      <c r="K107" s="629" t="s">
        <v>598</v>
      </c>
      <c r="W107" t="s">
        <v>1005</v>
      </c>
      <c r="X107" t="s">
        <v>598</v>
      </c>
      <c r="Y107" t="s">
        <v>1013</v>
      </c>
      <c r="Z107" s="196">
        <v>8.6999999999999993</v>
      </c>
      <c r="AA107" s="196">
        <v>9.4</v>
      </c>
      <c r="AB107" s="307">
        <f t="shared" ref="AB107" si="4">Z107+AA107</f>
        <v>18.100000000000001</v>
      </c>
      <c r="AC107">
        <v>2</v>
      </c>
      <c r="AD107">
        <v>9.3000000000000007</v>
      </c>
      <c r="AE107">
        <v>9.6</v>
      </c>
      <c r="AF107" s="307">
        <f>AD107+AE107</f>
        <v>18.899999999999999</v>
      </c>
      <c r="BL107" t="s">
        <v>1166</v>
      </c>
      <c r="BM107" t="s">
        <v>870</v>
      </c>
    </row>
    <row r="108" spans="9:65">
      <c r="X108" t="s">
        <v>525</v>
      </c>
      <c r="Y108" t="s">
        <v>598</v>
      </c>
      <c r="Z108" s="196">
        <v>8.3000000000000007</v>
      </c>
      <c r="AA108" s="196">
        <v>8.6999999999999993</v>
      </c>
      <c r="AB108" s="196">
        <f>Z108+AA108</f>
        <v>17</v>
      </c>
      <c r="AD108">
        <v>9.4</v>
      </c>
      <c r="AE108" s="196">
        <v>9.3000000000000007</v>
      </c>
      <c r="AF108" s="196">
        <f>AD108+AE108</f>
        <v>18.700000000000003</v>
      </c>
      <c r="BL108" t="s">
        <v>1166</v>
      </c>
      <c r="BM108" t="s">
        <v>894</v>
      </c>
    </row>
    <row r="109" spans="9:65">
      <c r="W109" t="s">
        <v>1009</v>
      </c>
      <c r="X109" t="s">
        <v>618</v>
      </c>
      <c r="Y109" t="s">
        <v>1013</v>
      </c>
      <c r="Z109" s="196">
        <v>9</v>
      </c>
      <c r="AA109" s="196">
        <v>9.4</v>
      </c>
      <c r="AB109" s="501">
        <f t="shared" ref="AB109" si="5">Z109+AA109</f>
        <v>18.399999999999999</v>
      </c>
      <c r="AC109">
        <v>1</v>
      </c>
      <c r="AD109">
        <v>9.3000000000000007</v>
      </c>
      <c r="AE109">
        <v>9.6</v>
      </c>
      <c r="AF109" s="307">
        <f>AD109+AE109</f>
        <v>18.899999999999999</v>
      </c>
      <c r="BL109" t="s">
        <v>1205</v>
      </c>
      <c r="BM109" t="s">
        <v>670</v>
      </c>
    </row>
    <row r="110" spans="9:65">
      <c r="X110" s="499" t="s">
        <v>1013</v>
      </c>
      <c r="Y110" s="499" t="s">
        <v>1013</v>
      </c>
      <c r="BH110" t="s">
        <v>681</v>
      </c>
      <c r="BI110" t="s">
        <v>682</v>
      </c>
      <c r="BL110" t="s">
        <v>1205</v>
      </c>
      <c r="BM110" t="s">
        <v>670</v>
      </c>
    </row>
    <row r="111" spans="9:65" ht="15.75" thickBot="1">
      <c r="W111" t="s">
        <v>1005</v>
      </c>
      <c r="X111" t="s">
        <v>1013</v>
      </c>
      <c r="Y111" t="s">
        <v>525</v>
      </c>
      <c r="Z111" s="196">
        <v>9.4</v>
      </c>
      <c r="AA111" s="196">
        <v>8.3000000000000007</v>
      </c>
      <c r="AB111" s="196">
        <f t="shared" ref="AB111:AB112" si="6">Z111+AA111</f>
        <v>17.700000000000003</v>
      </c>
      <c r="AD111">
        <v>9.6</v>
      </c>
      <c r="AE111" s="196">
        <v>9.4</v>
      </c>
      <c r="AF111" s="307">
        <f>AD111+AE111</f>
        <v>19</v>
      </c>
      <c r="AX111" t="s">
        <v>1302</v>
      </c>
      <c r="AY111" t="s">
        <v>681</v>
      </c>
      <c r="AZ111" t="s">
        <v>682</v>
      </c>
      <c r="BB111" t="s">
        <v>1294</v>
      </c>
      <c r="BC111" t="s">
        <v>681</v>
      </c>
      <c r="BD111" t="s">
        <v>682</v>
      </c>
      <c r="BF111" t="s">
        <v>1013</v>
      </c>
      <c r="BG111" t="s">
        <v>1013</v>
      </c>
      <c r="BI111">
        <v>1</v>
      </c>
      <c r="BL111" t="s">
        <v>1205</v>
      </c>
      <c r="BM111" t="s">
        <v>670</v>
      </c>
    </row>
    <row r="112" spans="9:65">
      <c r="X112" t="s">
        <v>618</v>
      </c>
      <c r="Y112" t="s">
        <v>525</v>
      </c>
      <c r="Z112" s="196">
        <v>9</v>
      </c>
      <c r="AA112" s="196">
        <v>8.3000000000000007</v>
      </c>
      <c r="AB112" s="196">
        <f t="shared" si="6"/>
        <v>17.3</v>
      </c>
      <c r="AD112">
        <v>9.3000000000000007</v>
      </c>
      <c r="AE112">
        <v>9.4</v>
      </c>
      <c r="AF112" s="196">
        <f>AD112+AE112</f>
        <v>18.700000000000003</v>
      </c>
      <c r="AW112" t="s">
        <v>1009</v>
      </c>
      <c r="AX112" s="5" t="s">
        <v>1013</v>
      </c>
      <c r="AY112" s="551"/>
      <c r="AZ112" s="552">
        <v>1</v>
      </c>
      <c r="BC112">
        <v>1</v>
      </c>
      <c r="BD112">
        <v>2</v>
      </c>
      <c r="BF112" t="s">
        <v>598</v>
      </c>
      <c r="BG112" t="s">
        <v>1013</v>
      </c>
      <c r="BH112">
        <v>1</v>
      </c>
      <c r="BI112">
        <v>0</v>
      </c>
      <c r="BL112" t="s">
        <v>1205</v>
      </c>
      <c r="BM112" t="s">
        <v>1324</v>
      </c>
    </row>
    <row r="113" spans="2:71" ht="15.75" thickBot="1">
      <c r="D113" t="s">
        <v>459</v>
      </c>
      <c r="E113" t="s">
        <v>621</v>
      </c>
      <c r="F113" t="s">
        <v>460</v>
      </c>
      <c r="G113" t="s">
        <v>1198</v>
      </c>
      <c r="H113" t="s">
        <v>634</v>
      </c>
      <c r="I113" t="s">
        <v>1199</v>
      </c>
      <c r="J113" t="s">
        <v>1200</v>
      </c>
      <c r="K113" t="s">
        <v>1201</v>
      </c>
      <c r="W113" t="s">
        <v>894</v>
      </c>
      <c r="X113" t="s">
        <v>598</v>
      </c>
      <c r="Y113" t="s">
        <v>525</v>
      </c>
      <c r="AX113" s="275" t="s">
        <v>618</v>
      </c>
      <c r="AY113" s="553">
        <v>1</v>
      </c>
      <c r="AZ113" s="554"/>
      <c r="BF113" t="s">
        <v>618</v>
      </c>
      <c r="BG113" t="s">
        <v>1013</v>
      </c>
      <c r="BH113">
        <v>1</v>
      </c>
      <c r="BI113">
        <v>0</v>
      </c>
      <c r="BL113" t="s">
        <v>1205</v>
      </c>
      <c r="BM113" t="s">
        <v>1325</v>
      </c>
    </row>
    <row r="114" spans="2:71" ht="15.75" thickBot="1">
      <c r="B114" t="s">
        <v>880</v>
      </c>
      <c r="C114" t="s">
        <v>849</v>
      </c>
      <c r="D114" s="318">
        <v>8.4</v>
      </c>
      <c r="E114" s="307">
        <v>9.3000000000000007</v>
      </c>
      <c r="F114" s="291">
        <v>8.6999999999999993</v>
      </c>
      <c r="G114" s="238">
        <v>8.1</v>
      </c>
      <c r="H114" s="238">
        <v>6.7</v>
      </c>
      <c r="I114" s="291">
        <v>7.9</v>
      </c>
      <c r="J114" s="318">
        <v>6</v>
      </c>
      <c r="K114" s="307">
        <v>7.6</v>
      </c>
      <c r="M114" s="196">
        <f>SUM(D114:F114)</f>
        <v>26.400000000000002</v>
      </c>
      <c r="N114" s="474">
        <f>M114+J114</f>
        <v>32.400000000000006</v>
      </c>
      <c r="W114" t="s">
        <v>870</v>
      </c>
      <c r="X114" t="s">
        <v>598</v>
      </c>
      <c r="Y114" t="s">
        <v>525</v>
      </c>
      <c r="AW114" t="s">
        <v>1009</v>
      </c>
      <c r="AX114" s="555" t="s">
        <v>1013</v>
      </c>
      <c r="AY114" s="556"/>
      <c r="AZ114" s="557">
        <v>1</v>
      </c>
      <c r="BL114" t="s">
        <v>1205</v>
      </c>
      <c r="BM114" t="s">
        <v>1185</v>
      </c>
    </row>
    <row r="115" spans="2:71" ht="15.75" thickBot="1">
      <c r="C115" t="s">
        <v>925</v>
      </c>
      <c r="D115" s="307">
        <v>8.1999999999999993</v>
      </c>
      <c r="E115" s="493">
        <v>9.6</v>
      </c>
      <c r="F115" s="493">
        <v>9.4</v>
      </c>
      <c r="G115" s="492">
        <v>9.3000000000000007</v>
      </c>
      <c r="H115" s="238">
        <v>6.7</v>
      </c>
      <c r="I115" s="307">
        <v>6.8</v>
      </c>
      <c r="J115" s="485">
        <v>5</v>
      </c>
      <c r="K115" s="318">
        <v>7.7</v>
      </c>
      <c r="M115" s="196">
        <f>SUM(D115:F115)</f>
        <v>27.199999999999996</v>
      </c>
      <c r="N115" s="474">
        <f t="shared" ref="N115:N150" si="7">M115+J115</f>
        <v>32.199999999999996</v>
      </c>
      <c r="Z115" s="715" t="s">
        <v>460</v>
      </c>
      <c r="AA115" s="715"/>
      <c r="AB115" s="715"/>
      <c r="AD115" s="715" t="s">
        <v>621</v>
      </c>
      <c r="AE115" s="715"/>
      <c r="AF115" s="715"/>
      <c r="AI115" s="130"/>
      <c r="AJ115" s="130"/>
      <c r="AK115" s="130" t="s">
        <v>459</v>
      </c>
      <c r="AL115" s="130" t="s">
        <v>621</v>
      </c>
      <c r="AM115" s="130" t="s">
        <v>460</v>
      </c>
      <c r="AN115" s="130" t="s">
        <v>1198</v>
      </c>
      <c r="AO115" s="130" t="s">
        <v>634</v>
      </c>
      <c r="AP115" s="130" t="s">
        <v>1199</v>
      </c>
      <c r="AQ115" s="130" t="s">
        <v>1200</v>
      </c>
      <c r="AR115" s="130" t="s">
        <v>1201</v>
      </c>
      <c r="AS115" s="535"/>
      <c r="AT115" s="535"/>
      <c r="AU115" s="536"/>
      <c r="AX115" s="558" t="s">
        <v>1013</v>
      </c>
      <c r="AY115" s="559">
        <v>1</v>
      </c>
      <c r="AZ115" s="560"/>
      <c r="BL115" t="s">
        <v>1205</v>
      </c>
      <c r="BM115" t="s">
        <v>1185</v>
      </c>
    </row>
    <row r="116" spans="2:71">
      <c r="C116" t="s">
        <v>921</v>
      </c>
      <c r="D116" s="307">
        <v>8.5</v>
      </c>
      <c r="E116" s="318">
        <v>9.3000000000000007</v>
      </c>
      <c r="F116" s="318">
        <v>9</v>
      </c>
      <c r="G116" s="330">
        <v>8.1</v>
      </c>
      <c r="H116" s="499">
        <v>7.2</v>
      </c>
      <c r="I116" s="307">
        <v>7.8</v>
      </c>
      <c r="J116" s="485">
        <v>4.5</v>
      </c>
      <c r="K116" s="318">
        <v>7.7</v>
      </c>
      <c r="M116" s="196">
        <f>SUM(D116:F116)</f>
        <v>26.8</v>
      </c>
      <c r="N116" s="196">
        <f t="shared" si="7"/>
        <v>31.3</v>
      </c>
      <c r="X116" t="s">
        <v>618</v>
      </c>
      <c r="Y116" t="s">
        <v>618</v>
      </c>
      <c r="Z116" s="196">
        <v>9</v>
      </c>
      <c r="AA116" s="196">
        <v>9</v>
      </c>
      <c r="AB116" s="196">
        <f>Z116+AA116</f>
        <v>18</v>
      </c>
      <c r="AD116">
        <v>9.3000000000000007</v>
      </c>
      <c r="AE116" s="196">
        <v>9.3000000000000007</v>
      </c>
      <c r="AF116" s="196">
        <f t="shared" ref="AF116:AF122" si="8">AD116+AE116</f>
        <v>18.600000000000001</v>
      </c>
      <c r="AI116" s="544" t="s">
        <v>880</v>
      </c>
      <c r="AJ116" s="544" t="s">
        <v>587</v>
      </c>
      <c r="AK116" s="545">
        <v>8.4</v>
      </c>
      <c r="AL116" s="546">
        <v>9.3000000000000007</v>
      </c>
      <c r="AM116" s="547">
        <v>8.6999999999999993</v>
      </c>
      <c r="AN116" s="548">
        <v>8.1</v>
      </c>
      <c r="AO116" s="548">
        <v>6.7</v>
      </c>
      <c r="AP116" s="548">
        <v>7.9</v>
      </c>
      <c r="AQ116" s="545">
        <v>6</v>
      </c>
      <c r="AR116" s="549">
        <v>7.6</v>
      </c>
      <c r="AS116" s="548">
        <v>14</v>
      </c>
      <c r="AT116" s="548">
        <v>6</v>
      </c>
      <c r="AU116" s="550" t="s">
        <v>1228</v>
      </c>
      <c r="AW116" t="s">
        <v>1009</v>
      </c>
      <c r="AX116" s="555" t="s">
        <v>1013</v>
      </c>
      <c r="AY116" s="556">
        <v>1</v>
      </c>
      <c r="AZ116" s="557"/>
      <c r="BL116" t="s">
        <v>1205</v>
      </c>
      <c r="BM116" t="s">
        <v>1097</v>
      </c>
    </row>
    <row r="117" spans="2:71" ht="15.75" thickBot="1">
      <c r="C117" t="s">
        <v>1202</v>
      </c>
      <c r="D117" s="291">
        <v>8.1</v>
      </c>
      <c r="E117" s="291">
        <v>8.9</v>
      </c>
      <c r="F117" s="307">
        <v>8.9</v>
      </c>
      <c r="G117" s="302">
        <v>8.4</v>
      </c>
      <c r="H117" s="302">
        <v>5.8</v>
      </c>
      <c r="I117" s="318">
        <v>4.9000000000000004</v>
      </c>
      <c r="J117" s="307">
        <v>5.0999999999999996</v>
      </c>
      <c r="K117" s="291">
        <v>6.8</v>
      </c>
      <c r="M117" s="196">
        <f>SUM(D117:F117)</f>
        <v>25.9</v>
      </c>
      <c r="N117" s="196">
        <f t="shared" si="7"/>
        <v>31</v>
      </c>
      <c r="W117" t="s">
        <v>1005</v>
      </c>
      <c r="X117" t="s">
        <v>618</v>
      </c>
      <c r="Y117" t="s">
        <v>1013</v>
      </c>
      <c r="Z117" s="196">
        <v>9</v>
      </c>
      <c r="AA117" s="196">
        <v>9.4</v>
      </c>
      <c r="AB117" s="196">
        <f>Z117+AA117</f>
        <v>18.399999999999999</v>
      </c>
      <c r="AD117">
        <v>9.3000000000000007</v>
      </c>
      <c r="AE117">
        <v>9.6</v>
      </c>
      <c r="AF117" s="307">
        <f t="shared" si="8"/>
        <v>18.899999999999999</v>
      </c>
      <c r="AI117" s="466"/>
      <c r="AJ117" s="466" t="s">
        <v>1013</v>
      </c>
      <c r="AK117" s="517">
        <v>8.1999999999999993</v>
      </c>
      <c r="AL117" s="540">
        <v>9.6</v>
      </c>
      <c r="AM117" s="541">
        <v>9.4</v>
      </c>
      <c r="AN117" s="540">
        <v>9.3000000000000007</v>
      </c>
      <c r="AO117" s="538">
        <v>6.7</v>
      </c>
      <c r="AP117" s="537">
        <v>6.8</v>
      </c>
      <c r="AQ117" s="542">
        <v>5</v>
      </c>
      <c r="AR117" s="515">
        <v>7.7</v>
      </c>
      <c r="AS117" s="466">
        <v>18</v>
      </c>
      <c r="AT117" s="466">
        <v>8</v>
      </c>
      <c r="AU117" s="466"/>
      <c r="AX117" s="558" t="s">
        <v>598</v>
      </c>
      <c r="AY117" s="559"/>
      <c r="AZ117" s="560">
        <v>1</v>
      </c>
      <c r="BL117" t="s">
        <v>1205</v>
      </c>
      <c r="BM117" t="s">
        <v>1326</v>
      </c>
    </row>
    <row r="118" spans="2:71">
      <c r="B118" t="s">
        <v>880</v>
      </c>
      <c r="C118" t="s">
        <v>1206</v>
      </c>
      <c r="D118" s="291">
        <v>8.4</v>
      </c>
      <c r="E118" s="291">
        <v>9.3000000000000007</v>
      </c>
      <c r="F118" s="307">
        <v>8.6999999999999993</v>
      </c>
      <c r="G118" s="302">
        <v>8.1</v>
      </c>
      <c r="H118" s="302">
        <v>6.7</v>
      </c>
      <c r="I118" s="318">
        <v>7.9</v>
      </c>
      <c r="J118" s="307">
        <v>6</v>
      </c>
      <c r="K118" s="291">
        <v>7.6</v>
      </c>
      <c r="M118" s="196">
        <f>SUM(D118:F118)</f>
        <v>26.400000000000002</v>
      </c>
      <c r="N118" s="474">
        <f t="shared" si="7"/>
        <v>32.400000000000006</v>
      </c>
      <c r="W118" t="s">
        <v>1009</v>
      </c>
      <c r="X118" t="s">
        <v>954</v>
      </c>
      <c r="Y118" t="s">
        <v>954</v>
      </c>
      <c r="Z118" s="196">
        <v>9.4</v>
      </c>
      <c r="AA118" s="196">
        <v>9.4</v>
      </c>
      <c r="AB118" s="196">
        <f>Z118+AA118</f>
        <v>18.8</v>
      </c>
      <c r="AD118">
        <v>9.6</v>
      </c>
      <c r="AE118" s="196">
        <v>9.6</v>
      </c>
      <c r="AF118" s="307">
        <f t="shared" si="8"/>
        <v>19.2</v>
      </c>
      <c r="AI118" s="466"/>
      <c r="AJ118" s="466" t="s">
        <v>618</v>
      </c>
      <c r="AK118" s="517">
        <v>8.5</v>
      </c>
      <c r="AL118" s="480">
        <v>9.3000000000000007</v>
      </c>
      <c r="AM118" s="515">
        <v>9</v>
      </c>
      <c r="AN118" s="480">
        <v>8.1</v>
      </c>
      <c r="AO118" s="539">
        <v>7.2</v>
      </c>
      <c r="AP118" s="537">
        <v>7.8</v>
      </c>
      <c r="AQ118" s="542">
        <v>4.5</v>
      </c>
      <c r="AR118" s="515">
        <v>7.7</v>
      </c>
      <c r="AS118" s="466"/>
      <c r="AT118" s="466"/>
      <c r="AU118" s="539" t="s">
        <v>1228</v>
      </c>
      <c r="BL118" t="s">
        <v>1028</v>
      </c>
      <c r="BM118" t="s">
        <v>1030</v>
      </c>
    </row>
    <row r="119" spans="2:71" ht="15.75" thickBot="1">
      <c r="C119" s="237" t="s">
        <v>800</v>
      </c>
      <c r="D119" s="196">
        <v>8.1</v>
      </c>
      <c r="E119" s="196">
        <v>8.9</v>
      </c>
      <c r="F119" s="196">
        <v>8.6999999999999993</v>
      </c>
      <c r="G119">
        <v>8.1999999999999993</v>
      </c>
      <c r="H119" s="196">
        <v>7</v>
      </c>
      <c r="I119" s="196">
        <v>8.5</v>
      </c>
      <c r="J119" s="196">
        <v>5.5</v>
      </c>
      <c r="K119" s="196">
        <v>7.8</v>
      </c>
      <c r="M119" s="196">
        <f t="shared" ref="M119:M150" si="9">SUM(D119:F119)</f>
        <v>25.7</v>
      </c>
      <c r="N119" s="196">
        <f t="shared" si="7"/>
        <v>31.2</v>
      </c>
      <c r="W119" s="499" t="s">
        <v>1009</v>
      </c>
      <c r="X119" s="499" t="s">
        <v>1013</v>
      </c>
      <c r="Y119" s="499" t="s">
        <v>1233</v>
      </c>
      <c r="Z119" s="196">
        <v>9.4</v>
      </c>
      <c r="AA119" s="196">
        <v>8.9</v>
      </c>
      <c r="AB119" s="318">
        <f t="shared" ref="AB119" si="10">Z119+AA119</f>
        <v>18.3</v>
      </c>
      <c r="AC119">
        <v>1</v>
      </c>
      <c r="AD119">
        <v>9.6</v>
      </c>
      <c r="AE119">
        <v>8.9</v>
      </c>
      <c r="AF119" s="196">
        <f t="shared" si="8"/>
        <v>18.5</v>
      </c>
      <c r="AI119" s="466"/>
      <c r="AJ119" s="466" t="s">
        <v>1233</v>
      </c>
      <c r="AK119" s="516">
        <v>8.1</v>
      </c>
      <c r="AL119" s="538">
        <v>8.9</v>
      </c>
      <c r="AM119" s="517">
        <v>8.9</v>
      </c>
      <c r="AN119" s="537">
        <v>8.4</v>
      </c>
      <c r="AO119" s="537">
        <v>5.8</v>
      </c>
      <c r="AP119" s="480">
        <v>4.9000000000000004</v>
      </c>
      <c r="AQ119" s="517">
        <v>5.0999999999999996</v>
      </c>
      <c r="AR119" s="516">
        <v>6.8</v>
      </c>
      <c r="AS119" s="466">
        <v>14</v>
      </c>
      <c r="AT119" s="466">
        <v>4</v>
      </c>
      <c r="AU119" s="466"/>
      <c r="BL119" t="s">
        <v>1028</v>
      </c>
      <c r="BM119" t="s">
        <v>1030</v>
      </c>
    </row>
    <row r="120" spans="2:71" ht="15.75" thickBot="1">
      <c r="B120" s="5" t="s">
        <v>1205</v>
      </c>
      <c r="C120" s="6" t="s">
        <v>511</v>
      </c>
      <c r="D120" s="631">
        <v>9.3000000000000007</v>
      </c>
      <c r="E120" s="631">
        <v>9.4</v>
      </c>
      <c r="F120" s="632">
        <v>8.3000000000000007</v>
      </c>
      <c r="G120" s="6">
        <v>2.2999999999999998</v>
      </c>
      <c r="H120" s="633">
        <v>6.5</v>
      </c>
      <c r="I120" s="633">
        <v>6.2</v>
      </c>
      <c r="J120" s="631">
        <v>7.5</v>
      </c>
      <c r="K120" s="633">
        <v>7.8</v>
      </c>
      <c r="M120" s="196">
        <f>SUM(D120:F120)</f>
        <v>27.000000000000004</v>
      </c>
      <c r="N120" s="318">
        <f t="shared" si="7"/>
        <v>34.5</v>
      </c>
      <c r="W120" t="s">
        <v>1009</v>
      </c>
      <c r="X120" s="312" t="s">
        <v>1013</v>
      </c>
      <c r="Y120" s="500" t="s">
        <v>598</v>
      </c>
      <c r="Z120" s="196">
        <v>9.4</v>
      </c>
      <c r="AA120" s="196">
        <v>8.6999999999999993</v>
      </c>
      <c r="AB120" s="318">
        <f t="shared" ref="AB120" si="11">Z120+AA120</f>
        <v>18.100000000000001</v>
      </c>
      <c r="AC120">
        <v>1</v>
      </c>
      <c r="AD120">
        <v>9.6</v>
      </c>
      <c r="AE120">
        <v>9.3000000000000007</v>
      </c>
      <c r="AF120" s="318">
        <f t="shared" si="8"/>
        <v>18.899999999999999</v>
      </c>
      <c r="AI120" s="466" t="s">
        <v>880</v>
      </c>
      <c r="AJ120" s="466" t="s">
        <v>1298</v>
      </c>
      <c r="AK120" s="516">
        <v>8.4</v>
      </c>
      <c r="AL120" s="538">
        <v>9.3000000000000007</v>
      </c>
      <c r="AM120" s="517">
        <v>8.6999999999999993</v>
      </c>
      <c r="AN120" s="537">
        <v>8.1</v>
      </c>
      <c r="AO120" s="537">
        <v>6.7</v>
      </c>
      <c r="AP120" s="480">
        <v>7.9</v>
      </c>
      <c r="AQ120" s="517">
        <v>6</v>
      </c>
      <c r="AR120" s="516">
        <v>7.6</v>
      </c>
      <c r="AS120" s="466"/>
      <c r="AT120" s="466"/>
      <c r="AU120" s="466"/>
      <c r="BL120" t="s">
        <v>1028</v>
      </c>
      <c r="BM120" t="s">
        <v>1327</v>
      </c>
    </row>
    <row r="121" spans="2:71" ht="15.75" thickBot="1">
      <c r="B121" s="275"/>
      <c r="C121" s="277" t="s">
        <v>1489</v>
      </c>
      <c r="D121" s="635">
        <v>9.1</v>
      </c>
      <c r="E121" s="635">
        <v>9.1999999999999993</v>
      </c>
      <c r="F121" s="636">
        <v>8.8000000000000007</v>
      </c>
      <c r="G121" s="277">
        <v>3</v>
      </c>
      <c r="H121" s="637">
        <v>5.4</v>
      </c>
      <c r="I121" s="637">
        <v>4.0999999999999996</v>
      </c>
      <c r="J121" s="635">
        <v>6</v>
      </c>
      <c r="K121" s="637"/>
      <c r="M121" s="196">
        <f t="shared" si="9"/>
        <v>27.099999999999998</v>
      </c>
      <c r="N121" s="307">
        <f t="shared" si="7"/>
        <v>33.099999999999994</v>
      </c>
      <c r="X121" t="s">
        <v>618</v>
      </c>
      <c r="Y121" t="s">
        <v>525</v>
      </c>
      <c r="Z121" s="196">
        <v>9</v>
      </c>
      <c r="AA121" s="196">
        <v>8.3000000000000007</v>
      </c>
      <c r="AB121" s="196">
        <f t="shared" ref="AB121:AB122" si="12">Z121+AA121</f>
        <v>17.3</v>
      </c>
      <c r="AD121">
        <v>9.3000000000000007</v>
      </c>
      <c r="AE121">
        <v>9.4</v>
      </c>
      <c r="AF121" s="196">
        <f t="shared" si="8"/>
        <v>18.700000000000003</v>
      </c>
      <c r="AI121" s="466"/>
      <c r="AJ121" s="543" t="s">
        <v>598</v>
      </c>
      <c r="AK121" s="514">
        <v>8.1</v>
      </c>
      <c r="AL121" s="466">
        <v>8.9</v>
      </c>
      <c r="AM121" s="514">
        <v>8.6999999999999993</v>
      </c>
      <c r="AN121" s="466">
        <v>8.1999999999999993</v>
      </c>
      <c r="AO121" s="514">
        <v>7</v>
      </c>
      <c r="AP121" s="466">
        <v>8.5</v>
      </c>
      <c r="AQ121" s="514">
        <v>5.5</v>
      </c>
      <c r="AR121" s="514">
        <v>7.8</v>
      </c>
      <c r="AS121" s="466"/>
      <c r="AT121" s="466"/>
      <c r="AU121" s="466"/>
      <c r="AY121" s="130"/>
    </row>
    <row r="122" spans="2:71">
      <c r="C122" t="s">
        <v>925</v>
      </c>
      <c r="D122" s="307">
        <v>8.1999999999999993</v>
      </c>
      <c r="E122" s="493">
        <v>9.6</v>
      </c>
      <c r="F122" s="493">
        <v>9.4</v>
      </c>
      <c r="G122" s="492">
        <v>9.3000000000000007</v>
      </c>
      <c r="H122" s="238">
        <v>6.7</v>
      </c>
      <c r="I122" s="307">
        <v>6.8</v>
      </c>
      <c r="J122" s="291">
        <v>5</v>
      </c>
      <c r="K122" s="318">
        <v>7.7</v>
      </c>
      <c r="M122" s="196">
        <f t="shared" si="9"/>
        <v>27.199999999999996</v>
      </c>
      <c r="N122" s="474">
        <f t="shared" si="7"/>
        <v>32.199999999999996</v>
      </c>
      <c r="W122" t="s">
        <v>1005</v>
      </c>
      <c r="X122" t="s">
        <v>1013</v>
      </c>
      <c r="Y122" t="s">
        <v>525</v>
      </c>
      <c r="Z122" s="196">
        <v>9.4</v>
      </c>
      <c r="AA122" s="196">
        <v>8.3000000000000007</v>
      </c>
      <c r="AB122" s="196">
        <f t="shared" si="12"/>
        <v>17.700000000000003</v>
      </c>
      <c r="AD122">
        <v>9.6</v>
      </c>
      <c r="AE122" s="196">
        <v>9.4</v>
      </c>
      <c r="AF122" s="307">
        <f t="shared" si="8"/>
        <v>19</v>
      </c>
      <c r="AI122" s="466" t="s">
        <v>1205</v>
      </c>
      <c r="AJ122" s="466" t="s">
        <v>1299</v>
      </c>
      <c r="AK122" s="515">
        <v>9.3000000000000007</v>
      </c>
      <c r="AL122" s="480">
        <v>9.4</v>
      </c>
      <c r="AM122" s="542">
        <v>8.3000000000000007</v>
      </c>
      <c r="AN122" s="466">
        <v>2.2999999999999998</v>
      </c>
      <c r="AO122" s="514">
        <v>6.5</v>
      </c>
      <c r="AP122" s="466">
        <v>6.2</v>
      </c>
      <c r="AQ122" s="515">
        <v>7.5</v>
      </c>
      <c r="AR122" s="514">
        <v>7.8</v>
      </c>
      <c r="AS122" s="466"/>
      <c r="AT122" s="514">
        <v>6</v>
      </c>
      <c r="AU122" s="466"/>
    </row>
    <row r="123" spans="2:71">
      <c r="B123" t="s">
        <v>880</v>
      </c>
      <c r="C123" t="s">
        <v>1220</v>
      </c>
      <c r="D123" s="196">
        <v>8.5</v>
      </c>
      <c r="E123" s="196">
        <v>9.3000000000000007</v>
      </c>
      <c r="F123" s="196">
        <v>9.6999999999999993</v>
      </c>
      <c r="G123">
        <v>6.7</v>
      </c>
      <c r="H123" s="196">
        <v>7</v>
      </c>
      <c r="I123" s="196">
        <v>6.3</v>
      </c>
      <c r="J123" s="196">
        <v>2.7</v>
      </c>
      <c r="K123" s="196">
        <v>8</v>
      </c>
      <c r="M123" s="196">
        <f t="shared" si="9"/>
        <v>27.5</v>
      </c>
      <c r="N123" s="196">
        <f t="shared" si="7"/>
        <v>30.2</v>
      </c>
      <c r="W123" t="s">
        <v>894</v>
      </c>
      <c r="X123" t="s">
        <v>598</v>
      </c>
      <c r="Y123" t="s">
        <v>525</v>
      </c>
      <c r="AI123" s="466"/>
      <c r="AJ123" s="466" t="s">
        <v>1013</v>
      </c>
      <c r="AK123" s="517">
        <v>8.1999999999999993</v>
      </c>
      <c r="AL123" s="540">
        <v>9.6</v>
      </c>
      <c r="AM123" s="541">
        <v>9.4</v>
      </c>
      <c r="AN123" s="540">
        <v>9.3000000000000007</v>
      </c>
      <c r="AO123" s="538">
        <v>6.7</v>
      </c>
      <c r="AP123" s="537">
        <v>6.8</v>
      </c>
      <c r="AQ123" s="516">
        <v>5</v>
      </c>
      <c r="AR123" s="515">
        <v>7.7</v>
      </c>
      <c r="AS123" s="466">
        <v>18</v>
      </c>
      <c r="AT123" s="466">
        <v>8</v>
      </c>
      <c r="AU123" s="466"/>
    </row>
    <row r="124" spans="2:71">
      <c r="C124" t="s">
        <v>925</v>
      </c>
      <c r="D124" s="307">
        <v>8.1999999999999993</v>
      </c>
      <c r="E124" s="493">
        <v>9.6</v>
      </c>
      <c r="F124" s="493">
        <v>9.4</v>
      </c>
      <c r="G124" s="492">
        <v>9.3000000000000007</v>
      </c>
      <c r="H124" s="238">
        <v>6.7</v>
      </c>
      <c r="I124" s="307">
        <v>6.8</v>
      </c>
      <c r="J124" s="485">
        <v>5</v>
      </c>
      <c r="K124" s="318">
        <v>7.7</v>
      </c>
      <c r="M124" s="196">
        <f t="shared" si="9"/>
        <v>27.199999999999996</v>
      </c>
      <c r="N124" s="474">
        <f t="shared" si="7"/>
        <v>32.199999999999996</v>
      </c>
      <c r="W124" t="s">
        <v>1236</v>
      </c>
      <c r="X124" t="s">
        <v>598</v>
      </c>
      <c r="Y124" t="s">
        <v>525</v>
      </c>
      <c r="AI124" s="466" t="s">
        <v>880</v>
      </c>
      <c r="AJ124" s="466" t="s">
        <v>1220</v>
      </c>
      <c r="AK124" s="514">
        <v>8.5</v>
      </c>
      <c r="AL124" s="466">
        <v>9.3000000000000007</v>
      </c>
      <c r="AM124" s="514">
        <v>9.6999999999999993</v>
      </c>
      <c r="AN124" s="466">
        <v>6.7</v>
      </c>
      <c r="AO124" s="514">
        <v>7</v>
      </c>
      <c r="AP124" s="466">
        <v>6.3</v>
      </c>
      <c r="AQ124" s="514">
        <v>2.7</v>
      </c>
      <c r="AR124" s="514">
        <v>8</v>
      </c>
      <c r="AS124" s="466"/>
      <c r="AT124" s="466"/>
      <c r="AU124" s="466"/>
      <c r="BN124" s="466" t="s">
        <v>1330</v>
      </c>
      <c r="BO124" s="466" t="s">
        <v>1331</v>
      </c>
      <c r="BP124" s="466" t="s">
        <v>525</v>
      </c>
      <c r="BQ124" s="466" t="s">
        <v>1013</v>
      </c>
    </row>
    <row r="125" spans="2:71">
      <c r="B125" t="s">
        <v>1205</v>
      </c>
      <c r="C125" t="s">
        <v>511</v>
      </c>
      <c r="D125" s="318">
        <v>9.3000000000000007</v>
      </c>
      <c r="E125" s="318">
        <v>9.4</v>
      </c>
      <c r="F125" s="485">
        <v>8.3000000000000007</v>
      </c>
      <c r="G125">
        <v>2.2999999999999998</v>
      </c>
      <c r="H125" s="196">
        <v>6.5</v>
      </c>
      <c r="I125" s="196">
        <v>6.2</v>
      </c>
      <c r="J125" s="318">
        <v>7.5</v>
      </c>
      <c r="K125" s="196">
        <v>7.8</v>
      </c>
      <c r="M125" s="196">
        <f t="shared" si="9"/>
        <v>27.000000000000004</v>
      </c>
      <c r="N125" s="318">
        <f t="shared" si="7"/>
        <v>34.5</v>
      </c>
      <c r="W125" t="s">
        <v>817</v>
      </c>
      <c r="AI125" s="573" t="s">
        <v>1333</v>
      </c>
      <c r="AJ125" s="573" t="s">
        <v>1334</v>
      </c>
      <c r="AK125" s="196">
        <v>8.6999999999999993</v>
      </c>
      <c r="AL125" s="514">
        <v>9</v>
      </c>
      <c r="AM125" s="514">
        <v>9.1</v>
      </c>
      <c r="AN125" s="514">
        <v>2</v>
      </c>
      <c r="AO125" s="514">
        <v>3.4</v>
      </c>
      <c r="AP125" s="514"/>
      <c r="AQ125" s="514"/>
      <c r="AR125" s="514"/>
      <c r="AS125" s="514"/>
      <c r="AT125" s="514"/>
      <c r="AU125" s="514"/>
      <c r="BN125" s="538" t="s">
        <v>1330</v>
      </c>
      <c r="BO125" s="538" t="s">
        <v>1328</v>
      </c>
      <c r="BP125" s="538" t="s">
        <v>525</v>
      </c>
      <c r="BQ125" s="466" t="s">
        <v>1013</v>
      </c>
    </row>
    <row r="126" spans="2:71">
      <c r="C126" t="s">
        <v>1439</v>
      </c>
      <c r="D126" s="307">
        <v>8.8000000000000007</v>
      </c>
      <c r="E126" s="307">
        <v>9</v>
      </c>
      <c r="F126" s="307">
        <v>8.6</v>
      </c>
      <c r="I126" s="196"/>
      <c r="J126" s="196"/>
      <c r="K126" s="196"/>
      <c r="M126" s="196">
        <f t="shared" si="9"/>
        <v>26.4</v>
      </c>
      <c r="N126" s="196">
        <f t="shared" si="7"/>
        <v>26.4</v>
      </c>
      <c r="AV126" t="s">
        <v>1293</v>
      </c>
      <c r="BN126" s="538" t="s">
        <v>1329</v>
      </c>
      <c r="BO126" s="538" t="s">
        <v>1328</v>
      </c>
      <c r="BP126" s="538" t="s">
        <v>525</v>
      </c>
      <c r="BQ126" s="466" t="s">
        <v>1013</v>
      </c>
      <c r="BS126" s="238" t="s">
        <v>1297</v>
      </c>
    </row>
    <row r="127" spans="2:71">
      <c r="C127" t="s">
        <v>1440</v>
      </c>
      <c r="D127" s="196">
        <v>9.5</v>
      </c>
      <c r="E127" s="196">
        <v>9.3000000000000007</v>
      </c>
      <c r="F127" s="196">
        <v>8.6999999999999993</v>
      </c>
      <c r="I127" s="196"/>
      <c r="J127" s="196">
        <v>5.6</v>
      </c>
      <c r="M127" s="318">
        <f t="shared" si="9"/>
        <v>27.5</v>
      </c>
      <c r="N127" s="307">
        <f t="shared" si="7"/>
        <v>33.1</v>
      </c>
      <c r="AN127" t="s">
        <v>1293</v>
      </c>
      <c r="AO127" t="s">
        <v>1294</v>
      </c>
      <c r="AP127" t="s">
        <v>460</v>
      </c>
      <c r="AQ127">
        <f>(AP129+AP131)/2</f>
        <v>8.9499999999999993</v>
      </c>
      <c r="AS127" t="s">
        <v>598</v>
      </c>
      <c r="AT127" t="s">
        <v>618</v>
      </c>
      <c r="AU127" t="s">
        <v>1005</v>
      </c>
      <c r="AV127" t="s">
        <v>1009</v>
      </c>
      <c r="AW127" t="s">
        <v>1296</v>
      </c>
      <c r="BN127" s="538"/>
      <c r="BO127" s="538" t="s">
        <v>1319</v>
      </c>
      <c r="BP127" s="538" t="s">
        <v>525</v>
      </c>
      <c r="BQ127" s="538" t="s">
        <v>525</v>
      </c>
      <c r="BR127" s="466" t="s">
        <v>1013</v>
      </c>
    </row>
    <row r="128" spans="2:71">
      <c r="C128" s="216" t="s">
        <v>735</v>
      </c>
      <c r="D128" s="293">
        <v>9.1</v>
      </c>
      <c r="E128" s="293">
        <v>9.1999999999999993</v>
      </c>
      <c r="F128" s="293">
        <v>8.6999999999999993</v>
      </c>
      <c r="I128" s="196"/>
      <c r="J128" s="196">
        <v>5.8</v>
      </c>
      <c r="M128" s="196">
        <f t="shared" si="9"/>
        <v>26.999999999999996</v>
      </c>
      <c r="N128" s="474">
        <f t="shared" si="7"/>
        <v>32.799999999999997</v>
      </c>
      <c r="X128" t="s">
        <v>681</v>
      </c>
      <c r="Y128" t="s">
        <v>682</v>
      </c>
      <c r="AI128" s="330" t="s">
        <v>1296</v>
      </c>
      <c r="AJ128" t="s">
        <v>589</v>
      </c>
      <c r="AK128" s="315" t="s">
        <v>618</v>
      </c>
      <c r="AL128" s="315" t="s">
        <v>618</v>
      </c>
      <c r="AN128" t="s">
        <v>1005</v>
      </c>
      <c r="AO128" s="238" t="s">
        <v>1295</v>
      </c>
      <c r="AP128" s="534">
        <v>9</v>
      </c>
      <c r="AS128" t="s">
        <v>598</v>
      </c>
      <c r="AT128" t="s">
        <v>1013</v>
      </c>
      <c r="AU128" t="s">
        <v>1009</v>
      </c>
      <c r="AW128" t="s">
        <v>1297</v>
      </c>
      <c r="BN128" s="480"/>
      <c r="BO128" s="480" t="s">
        <v>1320</v>
      </c>
      <c r="BP128" s="480" t="s">
        <v>525</v>
      </c>
      <c r="BQ128" s="480" t="s">
        <v>1013</v>
      </c>
    </row>
    <row r="129" spans="3:71">
      <c r="C129" s="216" t="s">
        <v>1478</v>
      </c>
      <c r="D129" s="293">
        <v>8.6999999999999993</v>
      </c>
      <c r="E129" s="293">
        <v>9</v>
      </c>
      <c r="F129" s="293">
        <v>9.1</v>
      </c>
      <c r="I129" s="196"/>
      <c r="J129" s="196">
        <v>4.5999999999999996</v>
      </c>
      <c r="M129" s="196">
        <f t="shared" si="9"/>
        <v>26.799999999999997</v>
      </c>
      <c r="N129" s="196">
        <f t="shared" si="7"/>
        <v>31.4</v>
      </c>
      <c r="W129" t="s">
        <v>1280</v>
      </c>
      <c r="X129">
        <v>1</v>
      </c>
      <c r="Y129">
        <v>1</v>
      </c>
      <c r="AI129" s="175" t="s">
        <v>1297</v>
      </c>
      <c r="AJ129" t="s">
        <v>1005</v>
      </c>
      <c r="AK129" s="324" t="s">
        <v>598</v>
      </c>
      <c r="AL129" s="324" t="s">
        <v>598</v>
      </c>
      <c r="AN129" t="s">
        <v>1005</v>
      </c>
      <c r="AO129" s="423" t="s">
        <v>1005</v>
      </c>
      <c r="AP129" s="323">
        <v>8.6999999999999993</v>
      </c>
      <c r="AS129" t="s">
        <v>618</v>
      </c>
      <c r="AT129" t="s">
        <v>1013</v>
      </c>
      <c r="AU129" t="s">
        <v>1009</v>
      </c>
      <c r="AW129" t="s">
        <v>1297</v>
      </c>
      <c r="BN129" s="538"/>
      <c r="BO129" s="538" t="s">
        <v>1319</v>
      </c>
      <c r="BP129" s="538" t="s">
        <v>1013</v>
      </c>
      <c r="BQ129" s="538" t="s">
        <v>1013</v>
      </c>
    </row>
    <row r="130" spans="3:71">
      <c r="C130" s="216" t="s">
        <v>770</v>
      </c>
      <c r="D130" s="293">
        <v>9</v>
      </c>
      <c r="E130" s="293">
        <v>8.5</v>
      </c>
      <c r="F130" s="293">
        <v>8.5</v>
      </c>
      <c r="I130" s="196"/>
      <c r="J130" s="196">
        <v>4.5</v>
      </c>
      <c r="M130" s="196">
        <f t="shared" si="9"/>
        <v>26</v>
      </c>
      <c r="N130" s="196">
        <f t="shared" si="7"/>
        <v>30.5</v>
      </c>
      <c r="W130" t="s">
        <v>1281</v>
      </c>
      <c r="X130">
        <v>1</v>
      </c>
      <c r="Y130">
        <v>2</v>
      </c>
      <c r="AB130" s="196" t="s">
        <v>459</v>
      </c>
      <c r="AC130" t="s">
        <v>621</v>
      </c>
      <c r="AD130" t="s">
        <v>460</v>
      </c>
      <c r="AI130" s="175"/>
      <c r="AJ130" t="s">
        <v>1009</v>
      </c>
      <c r="AK130" s="324" t="s">
        <v>598</v>
      </c>
      <c r="AL130" s="324" t="s">
        <v>1013</v>
      </c>
      <c r="AN130" t="s">
        <v>1009</v>
      </c>
      <c r="AO130" s="330" t="s">
        <v>1009</v>
      </c>
      <c r="AP130" s="318">
        <v>9.0500000000000007</v>
      </c>
      <c r="AS130" t="s">
        <v>1013</v>
      </c>
      <c r="AT130" t="s">
        <v>1013</v>
      </c>
      <c r="AU130" t="s">
        <v>1009</v>
      </c>
      <c r="AW130" t="s">
        <v>1297</v>
      </c>
      <c r="BN130" s="479" t="s">
        <v>1329</v>
      </c>
      <c r="BO130" s="479" t="s">
        <v>1328</v>
      </c>
      <c r="BP130" s="479" t="s">
        <v>1013</v>
      </c>
      <c r="BQ130" s="479" t="s">
        <v>1013</v>
      </c>
    </row>
    <row r="131" spans="3:71">
      <c r="C131" s="237" t="s">
        <v>1484</v>
      </c>
      <c r="D131" s="304">
        <v>9</v>
      </c>
      <c r="E131" s="304">
        <v>9.1999999999999993</v>
      </c>
      <c r="F131" s="304">
        <v>8.9</v>
      </c>
      <c r="G131" s="304">
        <v>2.8</v>
      </c>
      <c r="I131" s="196"/>
      <c r="J131" s="196">
        <v>5.5</v>
      </c>
      <c r="M131" s="196">
        <f t="shared" si="9"/>
        <v>27.1</v>
      </c>
      <c r="N131" s="474">
        <f t="shared" si="7"/>
        <v>32.6</v>
      </c>
      <c r="W131" t="s">
        <v>1282</v>
      </c>
      <c r="X131">
        <v>1</v>
      </c>
      <c r="Y131">
        <v>1</v>
      </c>
      <c r="AA131" t="s">
        <v>587</v>
      </c>
      <c r="AB131" s="318">
        <v>8.4</v>
      </c>
      <c r="AC131" s="302">
        <v>9.3000000000000007</v>
      </c>
      <c r="AD131" s="291">
        <v>8.6999999999999993</v>
      </c>
      <c r="AI131" s="326"/>
      <c r="AJ131" t="s">
        <v>1009</v>
      </c>
      <c r="AK131" s="326" t="s">
        <v>1013</v>
      </c>
      <c r="AL131" s="326" t="s">
        <v>618</v>
      </c>
      <c r="AN131" t="s">
        <v>1009</v>
      </c>
      <c r="AO131" s="330" t="s">
        <v>1009</v>
      </c>
      <c r="AP131" s="318">
        <v>9.1999999999999993</v>
      </c>
      <c r="AS131" t="s">
        <v>598</v>
      </c>
      <c r="AT131" t="s">
        <v>598</v>
      </c>
      <c r="AU131" t="s">
        <v>1005</v>
      </c>
      <c r="AW131" t="s">
        <v>1297</v>
      </c>
      <c r="BO131" s="572" t="s">
        <v>1320</v>
      </c>
      <c r="BP131" s="572" t="s">
        <v>1332</v>
      </c>
      <c r="BQ131" t="s">
        <v>1321</v>
      </c>
    </row>
    <row r="132" spans="3:71" ht="15.75" thickBot="1">
      <c r="C132" s="237" t="s">
        <v>1485</v>
      </c>
      <c r="D132" s="293">
        <v>8.6</v>
      </c>
      <c r="E132" s="293">
        <v>9.1999999999999993</v>
      </c>
      <c r="F132" s="196">
        <v>9</v>
      </c>
      <c r="I132" s="196"/>
      <c r="J132" s="196">
        <v>5.5</v>
      </c>
      <c r="M132" s="196">
        <f t="shared" si="9"/>
        <v>26.799999999999997</v>
      </c>
      <c r="N132" s="474">
        <f t="shared" si="7"/>
        <v>32.299999999999997</v>
      </c>
      <c r="AA132" s="533" t="s">
        <v>1013</v>
      </c>
      <c r="AB132" s="307">
        <v>8.1999999999999993</v>
      </c>
      <c r="AC132" s="492">
        <v>9.6</v>
      </c>
      <c r="AD132" s="493">
        <v>9.4</v>
      </c>
      <c r="AI132" s="330" t="s">
        <v>1296</v>
      </c>
      <c r="AJ132" t="s">
        <v>1009</v>
      </c>
      <c r="AK132" s="315" t="s">
        <v>598</v>
      </c>
      <c r="AL132" s="315" t="s">
        <v>618</v>
      </c>
      <c r="AN132" t="s">
        <v>1009</v>
      </c>
      <c r="AO132" s="423" t="s">
        <v>1005</v>
      </c>
      <c r="AP132" s="323">
        <v>8.85</v>
      </c>
      <c r="AS132" t="s">
        <v>618</v>
      </c>
      <c r="AT132" t="s">
        <v>618</v>
      </c>
      <c r="AU132" t="s">
        <v>589</v>
      </c>
      <c r="AW132" t="s">
        <v>1296</v>
      </c>
      <c r="BC132" t="s">
        <v>1089</v>
      </c>
      <c r="BD132" s="330" t="s">
        <v>1318</v>
      </c>
      <c r="BE132" s="330" t="s">
        <v>1318</v>
      </c>
    </row>
    <row r="133" spans="3:71">
      <c r="C133" s="237" t="s">
        <v>1488</v>
      </c>
      <c r="D133" s="293">
        <v>7</v>
      </c>
      <c r="E133" s="293">
        <v>8.1999999999999993</v>
      </c>
      <c r="F133" s="196">
        <v>8.8000000000000007</v>
      </c>
      <c r="G133" s="196">
        <v>5</v>
      </c>
      <c r="I133" s="196">
        <v>7.7</v>
      </c>
      <c r="J133" s="196">
        <v>8</v>
      </c>
      <c r="M133" s="196">
        <f t="shared" si="9"/>
        <v>24</v>
      </c>
      <c r="N133" s="474">
        <f t="shared" si="7"/>
        <v>32</v>
      </c>
      <c r="V133" t="s">
        <v>1286</v>
      </c>
      <c r="W133" t="s">
        <v>1005</v>
      </c>
      <c r="X133" t="s">
        <v>1287</v>
      </c>
      <c r="Y133" t="s">
        <v>1287</v>
      </c>
      <c r="AA133" t="s">
        <v>618</v>
      </c>
      <c r="AB133" s="307">
        <v>8.5</v>
      </c>
      <c r="AC133" s="330">
        <v>9.3000000000000007</v>
      </c>
      <c r="AD133" s="318">
        <v>9</v>
      </c>
      <c r="AK133" t="s">
        <v>1013</v>
      </c>
      <c r="AL133" t="s">
        <v>1013</v>
      </c>
      <c r="AO133" t="s">
        <v>1009</v>
      </c>
      <c r="AP133">
        <v>9.4</v>
      </c>
      <c r="AX133" t="s">
        <v>1319</v>
      </c>
      <c r="AY133" t="s">
        <v>1315</v>
      </c>
      <c r="AZ133" t="s">
        <v>1315</v>
      </c>
      <c r="BC133" s="568" t="s">
        <v>1319</v>
      </c>
      <c r="BD133" s="415" t="s">
        <v>1315</v>
      </c>
      <c r="BE133" s="569" t="s">
        <v>1315</v>
      </c>
      <c r="BF133" s="417" t="s">
        <v>1322</v>
      </c>
      <c r="BG133" s="417" t="s">
        <v>1319</v>
      </c>
      <c r="BH133" s="506" t="s">
        <v>525</v>
      </c>
      <c r="BI133" s="506" t="s">
        <v>525</v>
      </c>
      <c r="BK133" s="417" t="s">
        <v>1320</v>
      </c>
      <c r="BL133" s="506" t="s">
        <v>525</v>
      </c>
      <c r="BM133" s="506" t="s">
        <v>525</v>
      </c>
      <c r="BO133" t="s">
        <v>1319</v>
      </c>
      <c r="BP133" s="5" t="s">
        <v>525</v>
      </c>
      <c r="BQ133" s="344" t="s">
        <v>525</v>
      </c>
    </row>
    <row r="134" spans="3:71">
      <c r="C134" s="237" t="s">
        <v>1486</v>
      </c>
      <c r="D134" s="293">
        <v>8.5</v>
      </c>
      <c r="E134" s="293">
        <v>9</v>
      </c>
      <c r="F134" s="196">
        <v>9.5</v>
      </c>
      <c r="G134" s="196">
        <v>5</v>
      </c>
      <c r="I134" s="196">
        <v>7</v>
      </c>
      <c r="J134" s="196">
        <v>6</v>
      </c>
      <c r="M134" s="196">
        <f t="shared" si="9"/>
        <v>27</v>
      </c>
      <c r="N134" s="307">
        <f t="shared" si="7"/>
        <v>33</v>
      </c>
      <c r="V134" t="s">
        <v>1285</v>
      </c>
      <c r="W134" t="s">
        <v>1009</v>
      </c>
      <c r="X134" t="s">
        <v>1284</v>
      </c>
      <c r="Y134" t="s">
        <v>1283</v>
      </c>
      <c r="AJ134" t="s">
        <v>1005</v>
      </c>
      <c r="AK134" t="s">
        <v>1013</v>
      </c>
      <c r="AL134" t="s">
        <v>525</v>
      </c>
      <c r="AX134" s="330" t="s">
        <v>1320</v>
      </c>
      <c r="AY134" s="330" t="s">
        <v>1315</v>
      </c>
      <c r="AZ134" s="330" t="s">
        <v>1316</v>
      </c>
      <c r="BC134" s="562" t="s">
        <v>1320</v>
      </c>
      <c r="BD134" s="563" t="s">
        <v>1315</v>
      </c>
      <c r="BE134" s="404" t="s">
        <v>1316</v>
      </c>
      <c r="BG134" s="563" t="s">
        <v>1320</v>
      </c>
      <c r="BH134" s="563" t="s">
        <v>525</v>
      </c>
      <c r="BI134" s="563" t="s">
        <v>1013</v>
      </c>
      <c r="BK134" s="563" t="s">
        <v>1320</v>
      </c>
      <c r="BL134" s="563" t="s">
        <v>525</v>
      </c>
      <c r="BM134" s="563" t="s">
        <v>1013</v>
      </c>
      <c r="BO134" t="s">
        <v>1319</v>
      </c>
      <c r="BP134" s="562" t="s">
        <v>525</v>
      </c>
      <c r="BQ134" s="404" t="s">
        <v>1013</v>
      </c>
    </row>
    <row r="135" spans="3:71" ht="15.75" thickBot="1">
      <c r="C135" s="237" t="s">
        <v>1498</v>
      </c>
      <c r="D135" s="293">
        <v>8.8000000000000007</v>
      </c>
      <c r="E135" s="293">
        <v>9.5</v>
      </c>
      <c r="F135" s="196">
        <v>9.1999999999999993</v>
      </c>
      <c r="J135" s="637">
        <v>6</v>
      </c>
      <c r="M135" s="318">
        <f>SUM(D135:F135)</f>
        <v>27.5</v>
      </c>
      <c r="N135" s="307">
        <f t="shared" si="7"/>
        <v>33.5</v>
      </c>
      <c r="V135" t="s">
        <v>1285</v>
      </c>
      <c r="W135" t="s">
        <v>870</v>
      </c>
      <c r="X135" t="s">
        <v>1283</v>
      </c>
      <c r="Y135" t="s">
        <v>1284</v>
      </c>
      <c r="AX135" t="s">
        <v>1319</v>
      </c>
      <c r="AY135" t="s">
        <v>1316</v>
      </c>
      <c r="AZ135" t="s">
        <v>1316</v>
      </c>
      <c r="BC135" s="275" t="s">
        <v>1319</v>
      </c>
      <c r="BD135" s="277" t="s">
        <v>1316</v>
      </c>
      <c r="BE135" s="300" t="s">
        <v>1316</v>
      </c>
      <c r="BG135" t="s">
        <v>1319</v>
      </c>
      <c r="BH135" s="312" t="s">
        <v>525</v>
      </c>
      <c r="BI135" s="570" t="s">
        <v>1233</v>
      </c>
      <c r="BK135" t="s">
        <v>1319</v>
      </c>
      <c r="BL135" s="312" t="s">
        <v>525</v>
      </c>
      <c r="BM135" s="570" t="s">
        <v>1233</v>
      </c>
      <c r="BO135" t="s">
        <v>1319</v>
      </c>
      <c r="BP135" s="275" t="s">
        <v>525</v>
      </c>
      <c r="BQ135" s="300" t="s">
        <v>1233</v>
      </c>
    </row>
    <row r="136" spans="3:71" ht="15.75" thickBot="1">
      <c r="C136" s="237"/>
      <c r="D136" t="s">
        <v>459</v>
      </c>
      <c r="E136" t="s">
        <v>621</v>
      </c>
      <c r="F136" t="s">
        <v>460</v>
      </c>
      <c r="G136" t="s">
        <v>1198</v>
      </c>
      <c r="H136" t="s">
        <v>634</v>
      </c>
      <c r="I136" t="s">
        <v>1199</v>
      </c>
      <c r="J136" t="s">
        <v>1200</v>
      </c>
      <c r="K136" t="s">
        <v>1201</v>
      </c>
      <c r="BC136" s="275"/>
      <c r="BD136" s="277"/>
      <c r="BE136" s="300"/>
      <c r="BH136" s="312"/>
      <c r="BI136" s="570"/>
      <c r="BL136" s="312"/>
      <c r="BM136" s="570"/>
      <c r="BP136" s="9"/>
      <c r="BQ136" s="10"/>
    </row>
    <row r="137" spans="3:71" ht="15.75" thickBot="1">
      <c r="C137" s="237" t="s">
        <v>1536</v>
      </c>
      <c r="D137" s="291">
        <v>8.1</v>
      </c>
      <c r="E137" s="291">
        <v>8.9</v>
      </c>
      <c r="F137" s="307">
        <v>8.9</v>
      </c>
      <c r="G137" s="302">
        <v>8.4</v>
      </c>
      <c r="H137" s="302">
        <v>5.8</v>
      </c>
      <c r="I137" s="318">
        <v>4.9000000000000004</v>
      </c>
      <c r="J137" s="307">
        <v>5.0999999999999996</v>
      </c>
      <c r="K137" s="291">
        <v>6.8</v>
      </c>
      <c r="M137" s="196">
        <f t="shared" si="9"/>
        <v>25.9</v>
      </c>
      <c r="BC137" s="275"/>
      <c r="BD137" s="277"/>
      <c r="BE137" s="300"/>
      <c r="BH137" s="312"/>
      <c r="BI137" s="570"/>
      <c r="BL137" s="312"/>
      <c r="BM137" s="570"/>
      <c r="BP137" s="9"/>
      <c r="BQ137" s="10"/>
    </row>
    <row r="138" spans="3:71" ht="15.75" thickBot="1">
      <c r="C138" t="s">
        <v>849</v>
      </c>
      <c r="D138" s="318">
        <v>8.4</v>
      </c>
      <c r="E138" s="307">
        <v>9.3000000000000007</v>
      </c>
      <c r="F138" s="291">
        <v>8.6999999999999993</v>
      </c>
      <c r="G138" s="238">
        <v>8.1</v>
      </c>
      <c r="H138" s="238">
        <v>6.7</v>
      </c>
      <c r="I138" s="291">
        <v>7.9</v>
      </c>
      <c r="J138" s="318">
        <v>6</v>
      </c>
      <c r="K138" s="307">
        <v>7.6</v>
      </c>
      <c r="L138" s="238">
        <v>14</v>
      </c>
      <c r="M138" s="196">
        <f t="shared" si="9"/>
        <v>26.400000000000002</v>
      </c>
      <c r="N138" s="307">
        <f>M138+J138</f>
        <v>32.400000000000006</v>
      </c>
      <c r="O138" s="639">
        <f>SUM(D138:F138)</f>
        <v>26.400000000000002</v>
      </c>
      <c r="P138">
        <f>SUM(D138:F138)/3</f>
        <v>8.8000000000000007</v>
      </c>
      <c r="BC138" s="275"/>
      <c r="BD138" s="277"/>
      <c r="BE138" s="300"/>
      <c r="BH138" s="312"/>
      <c r="BI138" s="570"/>
      <c r="BL138" s="312"/>
      <c r="BM138" s="570"/>
      <c r="BP138" s="9"/>
      <c r="BQ138" s="10"/>
    </row>
    <row r="139" spans="3:71" ht="15.75" thickBot="1">
      <c r="C139" t="s">
        <v>925</v>
      </c>
      <c r="D139" s="307">
        <v>8.1999999999999993</v>
      </c>
      <c r="E139" s="493">
        <v>9.6</v>
      </c>
      <c r="F139" s="493">
        <v>9.4</v>
      </c>
      <c r="G139" s="492">
        <v>9.3000000000000007</v>
      </c>
      <c r="H139" s="238">
        <v>6.7</v>
      </c>
      <c r="I139" s="307">
        <v>6.8</v>
      </c>
      <c r="J139" s="485">
        <v>5</v>
      </c>
      <c r="K139" s="318">
        <v>7.7</v>
      </c>
      <c r="L139">
        <v>18</v>
      </c>
      <c r="M139" s="196">
        <f t="shared" si="9"/>
        <v>27.199999999999996</v>
      </c>
      <c r="N139" s="307">
        <f t="shared" si="7"/>
        <v>32.199999999999996</v>
      </c>
      <c r="O139" s="484">
        <f>SUM(D139:F139)</f>
        <v>27.199999999999996</v>
      </c>
      <c r="P139">
        <f>SUM(D139:F139)/3</f>
        <v>9.0666666666666647</v>
      </c>
      <c r="AX139" t="s">
        <v>1319</v>
      </c>
      <c r="AY139" t="s">
        <v>1317</v>
      </c>
      <c r="AZ139" t="s">
        <v>1316</v>
      </c>
      <c r="BC139" s="565" t="s">
        <v>1319</v>
      </c>
      <c r="BD139" s="566" t="s">
        <v>1317</v>
      </c>
      <c r="BE139" s="567" t="s">
        <v>1318</v>
      </c>
      <c r="BG139" s="563" t="s">
        <v>1323</v>
      </c>
      <c r="BH139" s="506" t="s">
        <v>525</v>
      </c>
      <c r="BI139" s="506" t="s">
        <v>598</v>
      </c>
      <c r="BK139" s="563" t="s">
        <v>1319</v>
      </c>
      <c r="BL139" s="506" t="s">
        <v>525</v>
      </c>
      <c r="BM139" s="506" t="s">
        <v>598</v>
      </c>
      <c r="BO139" t="s">
        <v>1319</v>
      </c>
      <c r="BP139" s="555" t="s">
        <v>525</v>
      </c>
      <c r="BQ139" s="556" t="s">
        <v>598</v>
      </c>
      <c r="BR139" s="571" t="s">
        <v>1013</v>
      </c>
      <c r="BS139" s="505" t="s">
        <v>1013</v>
      </c>
    </row>
    <row r="140" spans="3:71">
      <c r="C140" s="237" t="s">
        <v>1488</v>
      </c>
      <c r="D140" s="293">
        <v>7</v>
      </c>
      <c r="E140" s="293">
        <v>8.1999999999999993</v>
      </c>
      <c r="F140" s="196">
        <v>8.8000000000000007</v>
      </c>
      <c r="G140" s="196">
        <v>5</v>
      </c>
      <c r="I140" s="196">
        <v>7.7</v>
      </c>
      <c r="J140" s="196">
        <v>8</v>
      </c>
      <c r="K140" s="318"/>
      <c r="M140" s="196">
        <f t="shared" si="9"/>
        <v>24</v>
      </c>
      <c r="N140" s="307">
        <f t="shared" si="7"/>
        <v>32</v>
      </c>
      <c r="O140" s="484"/>
      <c r="BC140" s="563"/>
      <c r="BD140" s="563"/>
      <c r="BE140" s="563"/>
      <c r="BG140" s="563"/>
      <c r="BH140" s="506"/>
      <c r="BI140" s="506"/>
      <c r="BK140" s="563"/>
      <c r="BL140" s="506"/>
      <c r="BM140" s="506"/>
      <c r="BP140" s="665"/>
      <c r="BQ140" s="564"/>
      <c r="BR140" s="562"/>
      <c r="BS140" s="404"/>
    </row>
    <row r="141" spans="3:71" ht="15.75" thickBot="1">
      <c r="C141" s="237" t="s">
        <v>1486</v>
      </c>
      <c r="D141" s="293">
        <v>8.5</v>
      </c>
      <c r="E141" s="293">
        <v>9</v>
      </c>
      <c r="F141" s="196">
        <v>9.5</v>
      </c>
      <c r="G141" s="196">
        <v>5</v>
      </c>
      <c r="I141" s="196">
        <v>7</v>
      </c>
      <c r="J141" s="196">
        <v>6</v>
      </c>
      <c r="K141" s="318"/>
      <c r="M141" s="196">
        <f t="shared" si="9"/>
        <v>27</v>
      </c>
      <c r="N141" s="307">
        <f t="shared" si="7"/>
        <v>33</v>
      </c>
      <c r="O141" s="484"/>
      <c r="BC141" s="563"/>
      <c r="BD141" s="563"/>
      <c r="BE141" s="563"/>
      <c r="BG141" s="563"/>
      <c r="BH141" s="506"/>
      <c r="BI141" s="506"/>
      <c r="BK141" s="563"/>
      <c r="BL141" s="506"/>
      <c r="BM141" s="506"/>
      <c r="BP141" s="665"/>
      <c r="BQ141" s="564"/>
      <c r="BR141" s="562"/>
      <c r="BS141" s="404"/>
    </row>
    <row r="142" spans="3:71" ht="15.75" thickBot="1">
      <c r="C142" s="640" t="s">
        <v>1484</v>
      </c>
      <c r="D142" s="641">
        <v>9</v>
      </c>
      <c r="E142" s="641">
        <v>9.1999999999999993</v>
      </c>
      <c r="F142" s="641">
        <v>8.9</v>
      </c>
      <c r="G142" s="641">
        <v>2.8</v>
      </c>
      <c r="H142" s="6"/>
      <c r="I142" s="633"/>
      <c r="J142" s="633">
        <v>5.5</v>
      </c>
      <c r="K142" s="642"/>
      <c r="L142" s="6" t="s">
        <v>1505</v>
      </c>
      <c r="M142" s="196">
        <f t="shared" si="9"/>
        <v>27.1</v>
      </c>
      <c r="N142" s="307">
        <f t="shared" si="7"/>
        <v>32.6</v>
      </c>
      <c r="O142" s="643">
        <f t="shared" ref="O142:O150" si="13">SUM(D142:F142)</f>
        <v>27.1</v>
      </c>
      <c r="P142" s="344">
        <f t="shared" ref="P142:P148" si="14">SUM(D142:F142)/3</f>
        <v>9.0333333333333332</v>
      </c>
      <c r="V142" t="s">
        <v>1286</v>
      </c>
      <c r="W142" t="s">
        <v>1005</v>
      </c>
      <c r="X142" t="s">
        <v>1280</v>
      </c>
      <c r="Y142" t="s">
        <v>1280</v>
      </c>
      <c r="AX142" s="330" t="s">
        <v>1319</v>
      </c>
      <c r="AY142" s="330" t="s">
        <v>1317</v>
      </c>
      <c r="AZ142" s="330" t="s">
        <v>1318</v>
      </c>
      <c r="BC142" s="564" t="s">
        <v>1320</v>
      </c>
      <c r="BD142" s="564" t="s">
        <v>1317</v>
      </c>
      <c r="BE142" s="564" t="s">
        <v>1321</v>
      </c>
      <c r="BG142" s="564" t="s">
        <v>1319</v>
      </c>
      <c r="BH142" s="506" t="s">
        <v>598</v>
      </c>
      <c r="BI142" s="506" t="s">
        <v>618</v>
      </c>
      <c r="BK142" s="564" t="s">
        <v>1319</v>
      </c>
      <c r="BL142" s="506" t="s">
        <v>598</v>
      </c>
      <c r="BM142" s="506" t="s">
        <v>618</v>
      </c>
      <c r="BO142" t="s">
        <v>1319</v>
      </c>
      <c r="BP142" s="558" t="s">
        <v>525</v>
      </c>
      <c r="BQ142" s="559" t="s">
        <v>618</v>
      </c>
      <c r="BR142" s="275" t="s">
        <v>1233</v>
      </c>
      <c r="BS142" s="300" t="s">
        <v>1233</v>
      </c>
    </row>
    <row r="143" spans="3:71" ht="15.75" thickBot="1">
      <c r="C143" s="608" t="s">
        <v>1485</v>
      </c>
      <c r="D143" s="297">
        <v>8.6</v>
      </c>
      <c r="E143" s="297">
        <v>9.1999999999999993</v>
      </c>
      <c r="F143" s="460">
        <v>9</v>
      </c>
      <c r="G143" s="10"/>
      <c r="H143" s="10"/>
      <c r="I143" s="460"/>
      <c r="J143" s="460">
        <v>5.5</v>
      </c>
      <c r="K143" s="124"/>
      <c r="L143" s="10" t="s">
        <v>1506</v>
      </c>
      <c r="M143" s="196">
        <f t="shared" si="9"/>
        <v>26.799999999999997</v>
      </c>
      <c r="N143" s="307">
        <f t="shared" si="7"/>
        <v>32.299999999999997</v>
      </c>
      <c r="O143" s="644">
        <f t="shared" si="13"/>
        <v>26.799999999999997</v>
      </c>
      <c r="P143" s="299">
        <f t="shared" si="14"/>
        <v>8.9333333333333318</v>
      </c>
      <c r="V143" t="s">
        <v>1285</v>
      </c>
      <c r="W143" t="s">
        <v>1009</v>
      </c>
      <c r="X143" t="s">
        <v>1284</v>
      </c>
      <c r="Y143" t="s">
        <v>1287</v>
      </c>
      <c r="BO143" s="339" t="s">
        <v>1319</v>
      </c>
      <c r="BP143" s="339" t="s">
        <v>1013</v>
      </c>
      <c r="BQ143" s="339" t="s">
        <v>1013</v>
      </c>
    </row>
    <row r="144" spans="3:71" ht="15.75" thickBot="1">
      <c r="C144" s="608" t="s">
        <v>1499</v>
      </c>
      <c r="D144" s="645">
        <v>9.4</v>
      </c>
      <c r="E144" s="645">
        <v>9.4</v>
      </c>
      <c r="F144" s="645">
        <v>8.9</v>
      </c>
      <c r="G144" s="645">
        <v>2.8</v>
      </c>
      <c r="H144" s="10"/>
      <c r="I144" s="460"/>
      <c r="J144" s="460">
        <v>4.3</v>
      </c>
      <c r="K144" s="124"/>
      <c r="L144" s="10" t="s">
        <v>1504</v>
      </c>
      <c r="M144" s="196">
        <f t="shared" si="9"/>
        <v>27.700000000000003</v>
      </c>
      <c r="N144" s="307">
        <f t="shared" si="7"/>
        <v>32</v>
      </c>
      <c r="O144" s="646">
        <f t="shared" si="13"/>
        <v>27.700000000000003</v>
      </c>
      <c r="P144" s="299">
        <f t="shared" si="14"/>
        <v>9.2333333333333343</v>
      </c>
      <c r="V144" t="s">
        <v>1285</v>
      </c>
      <c r="W144" t="s">
        <v>870</v>
      </c>
      <c r="X144" t="s">
        <v>1287</v>
      </c>
      <c r="Y144" t="s">
        <v>1284</v>
      </c>
      <c r="AE144" t="s">
        <v>1292</v>
      </c>
      <c r="AI144" s="680" t="s">
        <v>459</v>
      </c>
      <c r="AJ144" s="681"/>
      <c r="AK144" s="682"/>
      <c r="AL144" s="680" t="s">
        <v>460</v>
      </c>
      <c r="AM144" s="681"/>
      <c r="AN144" s="682"/>
      <c r="AO144" s="680" t="s">
        <v>621</v>
      </c>
      <c r="AP144" s="681"/>
      <c r="AQ144" s="682"/>
      <c r="AR144" s="680" t="s">
        <v>1200</v>
      </c>
      <c r="AS144" s="681"/>
      <c r="AT144" s="682"/>
      <c r="AU144" t="s">
        <v>459</v>
      </c>
      <c r="AV144" t="s">
        <v>460</v>
      </c>
      <c r="AW144" t="s">
        <v>621</v>
      </c>
      <c r="AX144" t="s">
        <v>1200</v>
      </c>
      <c r="AY144" t="s">
        <v>1300</v>
      </c>
      <c r="AZ144" t="s">
        <v>1301</v>
      </c>
      <c r="BK144" s="417" t="s">
        <v>1319</v>
      </c>
      <c r="BL144" s="506" t="s">
        <v>525</v>
      </c>
      <c r="BM144" s="506" t="s">
        <v>525</v>
      </c>
      <c r="BO144" s="339" t="s">
        <v>1319</v>
      </c>
      <c r="BP144" s="339" t="s">
        <v>1233</v>
      </c>
      <c r="BQ144" s="339" t="s">
        <v>1233</v>
      </c>
    </row>
    <row r="145" spans="3:69">
      <c r="C145" s="608" t="s">
        <v>1500</v>
      </c>
      <c r="D145" s="645">
        <v>9</v>
      </c>
      <c r="E145" s="645">
        <v>9</v>
      </c>
      <c r="F145" s="645">
        <v>9.1</v>
      </c>
      <c r="G145" s="645"/>
      <c r="H145" s="10"/>
      <c r="I145" s="10"/>
      <c r="J145" s="460">
        <v>4.7</v>
      </c>
      <c r="K145" s="124"/>
      <c r="L145" s="10" t="s">
        <v>1502</v>
      </c>
      <c r="M145" s="196">
        <f t="shared" si="9"/>
        <v>27.1</v>
      </c>
      <c r="N145" s="307">
        <f t="shared" si="7"/>
        <v>31.8</v>
      </c>
      <c r="O145" s="647">
        <f t="shared" si="13"/>
        <v>27.1</v>
      </c>
      <c r="P145" s="299">
        <f t="shared" si="14"/>
        <v>9.0333333333333332</v>
      </c>
      <c r="AE145" t="s">
        <v>1009</v>
      </c>
      <c r="AG145" s="175" t="s">
        <v>598</v>
      </c>
      <c r="AH145" s="175" t="s">
        <v>618</v>
      </c>
      <c r="AI145" s="518">
        <f>AB131</f>
        <v>8.4</v>
      </c>
      <c r="AJ145" s="519">
        <f>AB133</f>
        <v>8.5</v>
      </c>
      <c r="AK145" s="529">
        <f t="shared" ref="AK145:AK155" si="15">(AI145+AJ145)/2</f>
        <v>8.4499999999999993</v>
      </c>
      <c r="AL145" s="518">
        <f>AD131</f>
        <v>8.6999999999999993</v>
      </c>
      <c r="AM145" s="519">
        <f>AD133</f>
        <v>9</v>
      </c>
      <c r="AN145" s="520">
        <f t="shared" ref="AN145:AN155" si="16">(AL145+AM145)/2</f>
        <v>8.85</v>
      </c>
      <c r="AO145" s="526">
        <f>AC131</f>
        <v>9.3000000000000007</v>
      </c>
      <c r="AP145" s="519">
        <f>AC133</f>
        <v>9.3000000000000007</v>
      </c>
      <c r="AQ145" s="520">
        <f t="shared" ref="AQ145:AQ155" si="17">(AO145+AP145)/2</f>
        <v>9.3000000000000007</v>
      </c>
      <c r="AR145" s="526">
        <v>6</v>
      </c>
      <c r="AS145" s="519">
        <v>4.5</v>
      </c>
      <c r="AT145" s="520">
        <f t="shared" ref="AT145:AT155" si="18">(AR145+AS145)/2</f>
        <v>5.25</v>
      </c>
      <c r="AU145" s="561">
        <v>5</v>
      </c>
      <c r="AV145" s="561">
        <v>2</v>
      </c>
      <c r="AW145" s="561">
        <v>4</v>
      </c>
      <c r="AX145" s="561">
        <v>4</v>
      </c>
      <c r="AY145">
        <f t="shared" ref="AY145:AY155" si="19">SUM(AU145:AX145)</f>
        <v>15</v>
      </c>
      <c r="AZ145">
        <v>2</v>
      </c>
      <c r="BK145" s="563" t="s">
        <v>1320</v>
      </c>
      <c r="BL145" s="563" t="s">
        <v>525</v>
      </c>
      <c r="BM145" s="563" t="s">
        <v>1013</v>
      </c>
      <c r="BO145" s="563" t="s">
        <v>1319</v>
      </c>
      <c r="BP145" s="563" t="s">
        <v>1013</v>
      </c>
      <c r="BQ145" s="563" t="s">
        <v>1233</v>
      </c>
    </row>
    <row r="146" spans="3:69">
      <c r="C146" s="608" t="s">
        <v>1501</v>
      </c>
      <c r="D146" s="645">
        <v>8.3000000000000007</v>
      </c>
      <c r="E146" s="645">
        <v>8.6</v>
      </c>
      <c r="F146" s="645">
        <v>8.8000000000000007</v>
      </c>
      <c r="G146" s="10"/>
      <c r="H146" s="10"/>
      <c r="I146" s="10"/>
      <c r="J146" s="460">
        <v>5.6</v>
      </c>
      <c r="K146" s="124"/>
      <c r="L146" s="10" t="s">
        <v>1503</v>
      </c>
      <c r="M146" s="196">
        <f t="shared" si="9"/>
        <v>25.7</v>
      </c>
      <c r="N146" s="307">
        <f t="shared" si="7"/>
        <v>31.299999999999997</v>
      </c>
      <c r="O146" s="648">
        <f t="shared" si="13"/>
        <v>25.7</v>
      </c>
      <c r="P146" s="299">
        <f t="shared" si="14"/>
        <v>8.5666666666666664</v>
      </c>
      <c r="V146" t="s">
        <v>1286</v>
      </c>
      <c r="W146" t="s">
        <v>1005</v>
      </c>
      <c r="X146" t="s">
        <v>1287</v>
      </c>
      <c r="Y146" t="s">
        <v>1283</v>
      </c>
      <c r="AA146" s="196" t="s">
        <v>1288</v>
      </c>
      <c r="AB146" s="196">
        <v>35</v>
      </c>
      <c r="AE146" t="s">
        <v>1009</v>
      </c>
      <c r="AG146" s="492" t="s">
        <v>1013</v>
      </c>
      <c r="AH146" s="492" t="s">
        <v>598</v>
      </c>
      <c r="AI146" s="521">
        <f>AB132</f>
        <v>8.1999999999999993</v>
      </c>
      <c r="AJ146" s="514">
        <f>AB131</f>
        <v>8.4</v>
      </c>
      <c r="AK146" s="530">
        <f t="shared" si="15"/>
        <v>8.3000000000000007</v>
      </c>
      <c r="AL146" s="521">
        <f>AD132</f>
        <v>9.4</v>
      </c>
      <c r="AM146" s="514">
        <f>AD131</f>
        <v>8.6999999999999993</v>
      </c>
      <c r="AN146" s="532">
        <f t="shared" si="16"/>
        <v>9.0500000000000007</v>
      </c>
      <c r="AO146" s="527">
        <f>AC132</f>
        <v>9.6</v>
      </c>
      <c r="AP146" s="514">
        <f>AC131</f>
        <v>9.3000000000000007</v>
      </c>
      <c r="AQ146" s="522">
        <f t="shared" si="17"/>
        <v>9.4499999999999993</v>
      </c>
      <c r="AR146" s="527">
        <v>5</v>
      </c>
      <c r="AS146" s="514">
        <v>6</v>
      </c>
      <c r="AT146" s="522">
        <f t="shared" si="18"/>
        <v>5.5</v>
      </c>
      <c r="AU146" s="561">
        <v>2</v>
      </c>
      <c r="AV146" s="561">
        <v>6</v>
      </c>
      <c r="AW146" s="561">
        <v>7</v>
      </c>
      <c r="AX146" s="561">
        <v>5</v>
      </c>
      <c r="AY146">
        <f t="shared" si="19"/>
        <v>20</v>
      </c>
      <c r="AZ146">
        <v>1</v>
      </c>
      <c r="BK146" t="s">
        <v>1319</v>
      </c>
      <c r="BL146" s="312" t="s">
        <v>525</v>
      </c>
      <c r="BM146" s="570" t="s">
        <v>1233</v>
      </c>
      <c r="BO146" t="s">
        <v>1319</v>
      </c>
      <c r="BP146" t="s">
        <v>598</v>
      </c>
      <c r="BQ146" t="s">
        <v>618</v>
      </c>
    </row>
    <row r="147" spans="3:69">
      <c r="C147" s="608" t="s">
        <v>1539</v>
      </c>
      <c r="D147" s="645">
        <v>9.5</v>
      </c>
      <c r="E147" s="645">
        <v>9.6999999999999993</v>
      </c>
      <c r="F147" s="645">
        <v>8.5</v>
      </c>
      <c r="G147" s="10"/>
      <c r="H147" s="10"/>
      <c r="I147" s="10"/>
      <c r="J147" s="460"/>
      <c r="K147" s="124"/>
      <c r="L147" s="10"/>
      <c r="M147" s="196">
        <f t="shared" si="9"/>
        <v>27.7</v>
      </c>
      <c r="N147" s="307"/>
      <c r="O147" s="648">
        <f t="shared" si="13"/>
        <v>27.7</v>
      </c>
      <c r="P147" s="299">
        <f t="shared" si="14"/>
        <v>9.2333333333333325</v>
      </c>
      <c r="AG147" s="492"/>
      <c r="AH147" s="492"/>
      <c r="AI147" s="666"/>
      <c r="AJ147" s="667"/>
      <c r="AK147" s="668"/>
      <c r="AL147" s="666"/>
      <c r="AM147" s="667"/>
      <c r="AN147" s="669"/>
      <c r="AO147" s="670"/>
      <c r="AP147" s="667"/>
      <c r="AQ147" s="671"/>
      <c r="AR147" s="670"/>
      <c r="AS147" s="667"/>
      <c r="AT147" s="671"/>
      <c r="AU147" s="561"/>
      <c r="AV147" s="561"/>
      <c r="AW147" s="561"/>
      <c r="AX147" s="561"/>
      <c r="BL147" s="312"/>
      <c r="BM147" s="570"/>
    </row>
    <row r="148" spans="3:69" ht="15.75" thickBot="1">
      <c r="C148" s="649" t="s">
        <v>1498</v>
      </c>
      <c r="D148" s="650">
        <v>8.8000000000000007</v>
      </c>
      <c r="E148" s="650">
        <v>9.5</v>
      </c>
      <c r="F148" s="650">
        <v>9.1999999999999993</v>
      </c>
      <c r="G148" s="650">
        <v>6.3</v>
      </c>
      <c r="H148" s="650">
        <v>6.6</v>
      </c>
      <c r="I148" s="650">
        <v>7.7</v>
      </c>
      <c r="J148" s="637">
        <v>6</v>
      </c>
      <c r="K148" s="144" t="s">
        <v>1507</v>
      </c>
      <c r="L148" s="277"/>
      <c r="M148" s="196">
        <f>SUM(D148:F148)</f>
        <v>27.5</v>
      </c>
      <c r="N148" s="307">
        <f t="shared" si="7"/>
        <v>33.5</v>
      </c>
      <c r="O148" s="651">
        <f t="shared" si="13"/>
        <v>27.5</v>
      </c>
      <c r="P148" s="300">
        <f t="shared" si="14"/>
        <v>9.1666666666666661</v>
      </c>
      <c r="V148" t="s">
        <v>1285</v>
      </c>
      <c r="W148" t="s">
        <v>1009</v>
      </c>
      <c r="X148" t="s">
        <v>1283</v>
      </c>
      <c r="Y148" t="s">
        <v>1287</v>
      </c>
      <c r="AD148" s="175"/>
      <c r="AE148" s="489" t="s">
        <v>1009</v>
      </c>
      <c r="AF148" s="323"/>
      <c r="AG148" s="423" t="s">
        <v>618</v>
      </c>
      <c r="AH148" s="489" t="s">
        <v>1013</v>
      </c>
      <c r="AI148" s="523">
        <f>AB133</f>
        <v>8.5</v>
      </c>
      <c r="AJ148" s="524">
        <f>AB132</f>
        <v>8.1999999999999993</v>
      </c>
      <c r="AK148" s="531">
        <f t="shared" si="15"/>
        <v>8.35</v>
      </c>
      <c r="AL148" s="523">
        <f>AD133</f>
        <v>9</v>
      </c>
      <c r="AM148" s="524">
        <f>AD132</f>
        <v>9.4</v>
      </c>
      <c r="AN148" s="525">
        <f t="shared" si="16"/>
        <v>9.1999999999999993</v>
      </c>
      <c r="AO148" s="528">
        <f>AC133</f>
        <v>9.3000000000000007</v>
      </c>
      <c r="AP148" s="524">
        <f>AC132</f>
        <v>9.6</v>
      </c>
      <c r="AQ148" s="525">
        <f t="shared" si="17"/>
        <v>9.4499999999999993</v>
      </c>
      <c r="AR148" s="528">
        <v>4.5</v>
      </c>
      <c r="AS148" s="524">
        <v>5</v>
      </c>
      <c r="AT148" s="525">
        <f t="shared" si="18"/>
        <v>4.75</v>
      </c>
      <c r="AU148" s="561">
        <v>3</v>
      </c>
      <c r="AV148" s="561">
        <v>5</v>
      </c>
      <c r="AW148" s="561">
        <v>5</v>
      </c>
      <c r="AX148" s="561">
        <v>2</v>
      </c>
      <c r="AY148">
        <f t="shared" si="19"/>
        <v>15</v>
      </c>
      <c r="AZ148">
        <v>2</v>
      </c>
      <c r="BC148" s="175" t="s">
        <v>598</v>
      </c>
      <c r="BD148" s="175" t="s">
        <v>618</v>
      </c>
      <c r="BK148" s="563" t="s">
        <v>1320</v>
      </c>
      <c r="BL148" s="506" t="s">
        <v>525</v>
      </c>
      <c r="BM148" s="506" t="s">
        <v>598</v>
      </c>
    </row>
    <row r="149" spans="3:69" ht="15.75" thickBot="1">
      <c r="C149" s="608" t="s">
        <v>1534</v>
      </c>
      <c r="D149">
        <f>(D148+D114)/2</f>
        <v>8.6000000000000014</v>
      </c>
      <c r="E149">
        <f>(E148+E114)/2</f>
        <v>9.4</v>
      </c>
      <c r="F149">
        <f>(F148+F114)/2</f>
        <v>8.9499999999999993</v>
      </c>
      <c r="M149" s="196">
        <f t="shared" si="9"/>
        <v>26.95</v>
      </c>
      <c r="N149" s="307">
        <f t="shared" si="7"/>
        <v>26.95</v>
      </c>
      <c r="O149" s="651">
        <f t="shared" si="13"/>
        <v>26.95</v>
      </c>
      <c r="V149" t="s">
        <v>1285</v>
      </c>
      <c r="W149" t="s">
        <v>870</v>
      </c>
      <c r="X149" t="s">
        <v>1284</v>
      </c>
      <c r="Y149" t="s">
        <v>1284</v>
      </c>
      <c r="AE149" t="s">
        <v>1096</v>
      </c>
      <c r="AG149" s="492" t="s">
        <v>598</v>
      </c>
      <c r="AH149" s="492" t="s">
        <v>598</v>
      </c>
      <c r="AI149" s="518">
        <f>AB131</f>
        <v>8.4</v>
      </c>
      <c r="AJ149" s="518">
        <f>AI149</f>
        <v>8.4</v>
      </c>
      <c r="AK149" s="529">
        <f t="shared" si="15"/>
        <v>8.4</v>
      </c>
      <c r="AL149" s="518">
        <f>AD131</f>
        <v>8.6999999999999993</v>
      </c>
      <c r="AM149" s="519">
        <f>AL149</f>
        <v>8.6999999999999993</v>
      </c>
      <c r="AN149" s="520">
        <f t="shared" si="16"/>
        <v>8.6999999999999993</v>
      </c>
      <c r="AO149" s="526">
        <f>AC131</f>
        <v>9.3000000000000007</v>
      </c>
      <c r="AP149" s="519">
        <f>AO149</f>
        <v>9.3000000000000007</v>
      </c>
      <c r="AQ149" s="520">
        <f t="shared" si="17"/>
        <v>9.3000000000000007</v>
      </c>
      <c r="AR149" s="526">
        <v>6</v>
      </c>
      <c r="AS149" s="519">
        <f>AR149</f>
        <v>6</v>
      </c>
      <c r="AT149" s="520">
        <f t="shared" si="18"/>
        <v>6</v>
      </c>
      <c r="AU149" s="561">
        <v>4</v>
      </c>
      <c r="AV149" s="561">
        <v>1</v>
      </c>
      <c r="AW149" s="561">
        <v>4</v>
      </c>
      <c r="AX149" s="561">
        <v>6</v>
      </c>
      <c r="AY149">
        <f t="shared" si="19"/>
        <v>15</v>
      </c>
      <c r="AZ149">
        <v>2</v>
      </c>
      <c r="BC149" s="492" t="s">
        <v>1013</v>
      </c>
      <c r="BD149" s="492" t="s">
        <v>598</v>
      </c>
      <c r="BK149" s="564" t="s">
        <v>1320</v>
      </c>
      <c r="BL149" s="506" t="s">
        <v>525</v>
      </c>
      <c r="BM149" s="506" t="s">
        <v>618</v>
      </c>
    </row>
    <row r="150" spans="3:69" ht="15.75" thickBot="1">
      <c r="C150" s="608" t="s">
        <v>1533</v>
      </c>
      <c r="D150">
        <f>(D148+D115)/2</f>
        <v>8.5</v>
      </c>
      <c r="E150">
        <f>(E148+E115)/2</f>
        <v>9.5500000000000007</v>
      </c>
      <c r="F150">
        <f>(F148+F115)/2</f>
        <v>9.3000000000000007</v>
      </c>
      <c r="M150" s="196">
        <f t="shared" si="9"/>
        <v>27.35</v>
      </c>
      <c r="N150" s="307">
        <f t="shared" si="7"/>
        <v>27.35</v>
      </c>
      <c r="O150" s="651">
        <f t="shared" si="13"/>
        <v>27.35</v>
      </c>
      <c r="AE150" t="s">
        <v>1005</v>
      </c>
      <c r="AG150" t="s">
        <v>1013</v>
      </c>
      <c r="AH150" t="s">
        <v>525</v>
      </c>
      <c r="AI150" s="196">
        <v>8.1999999999999993</v>
      </c>
      <c r="AJ150" s="196">
        <v>9.3000000000000007</v>
      </c>
      <c r="AK150" s="529">
        <f t="shared" si="15"/>
        <v>8.75</v>
      </c>
      <c r="AL150" s="196">
        <v>9.4</v>
      </c>
      <c r="AM150" s="196">
        <v>8.3000000000000007</v>
      </c>
      <c r="AN150" s="520">
        <f t="shared" si="16"/>
        <v>8.8500000000000014</v>
      </c>
      <c r="AO150" s="196">
        <v>9.6</v>
      </c>
      <c r="AP150" s="196">
        <v>9.4</v>
      </c>
      <c r="AQ150" s="520">
        <f t="shared" si="17"/>
        <v>9.5</v>
      </c>
      <c r="AR150" s="196">
        <v>5</v>
      </c>
      <c r="AS150" s="196">
        <v>7.5</v>
      </c>
      <c r="AT150" s="520">
        <f t="shared" si="18"/>
        <v>6.25</v>
      </c>
      <c r="AU150" s="561">
        <v>7</v>
      </c>
      <c r="AV150" s="561">
        <v>4</v>
      </c>
      <c r="AW150" s="561">
        <v>7</v>
      </c>
      <c r="AX150" s="561">
        <v>7</v>
      </c>
      <c r="AY150" s="312">
        <f t="shared" si="19"/>
        <v>25</v>
      </c>
      <c r="AZ150" s="561">
        <v>1</v>
      </c>
      <c r="BC150" t="s">
        <v>618</v>
      </c>
      <c r="BD150" s="410" t="s">
        <v>1013</v>
      </c>
      <c r="BK150" t="s">
        <v>1319</v>
      </c>
      <c r="BL150" s="506" t="s">
        <v>598</v>
      </c>
      <c r="BM150" s="506" t="s">
        <v>618</v>
      </c>
    </row>
    <row r="151" spans="3:69" ht="15.75" thickBot="1">
      <c r="C151" s="237" t="s">
        <v>1488</v>
      </c>
      <c r="D151" s="293">
        <v>7</v>
      </c>
      <c r="E151" s="293">
        <v>8.1999999999999993</v>
      </c>
      <c r="F151" s="196">
        <v>8.8000000000000007</v>
      </c>
      <c r="G151" s="196">
        <v>5</v>
      </c>
      <c r="I151" s="196">
        <v>7.7</v>
      </c>
      <c r="J151" s="196">
        <v>8</v>
      </c>
      <c r="V151" t="s">
        <v>1286</v>
      </c>
      <c r="W151" t="s">
        <v>1005</v>
      </c>
      <c r="X151" t="s">
        <v>1283</v>
      </c>
      <c r="Y151" t="s">
        <v>1284</v>
      </c>
      <c r="AA151" s="196" t="s">
        <v>1289</v>
      </c>
      <c r="AG151" t="s">
        <v>618</v>
      </c>
      <c r="AH151" t="s">
        <v>618</v>
      </c>
      <c r="AI151" s="196">
        <v>8.5</v>
      </c>
      <c r="AJ151" s="196">
        <v>8.5</v>
      </c>
      <c r="AK151" s="529">
        <f t="shared" si="15"/>
        <v>8.5</v>
      </c>
      <c r="AL151" s="196">
        <v>9</v>
      </c>
      <c r="AM151" s="196">
        <v>9</v>
      </c>
      <c r="AN151" s="520">
        <f t="shared" si="16"/>
        <v>9</v>
      </c>
      <c r="AO151" s="196">
        <v>9.3000000000000007</v>
      </c>
      <c r="AP151" s="196">
        <v>9.3000000000000007</v>
      </c>
      <c r="AQ151" s="520">
        <f t="shared" si="17"/>
        <v>9.3000000000000007</v>
      </c>
      <c r="AR151" s="196">
        <v>4.5</v>
      </c>
      <c r="AS151" s="196">
        <v>4.5</v>
      </c>
      <c r="AT151" s="520">
        <f t="shared" si="18"/>
        <v>4.5</v>
      </c>
      <c r="AU151" s="561">
        <v>6</v>
      </c>
      <c r="AV151" s="561">
        <v>3</v>
      </c>
      <c r="AW151" s="561">
        <v>4</v>
      </c>
      <c r="AX151" s="561">
        <v>1</v>
      </c>
      <c r="AY151">
        <f t="shared" si="19"/>
        <v>14</v>
      </c>
      <c r="AZ151">
        <v>3</v>
      </c>
      <c r="BC151" s="492" t="s">
        <v>598</v>
      </c>
      <c r="BD151" s="492" t="s">
        <v>598</v>
      </c>
    </row>
    <row r="152" spans="3:69" ht="15.75" thickBot="1">
      <c r="C152" s="237" t="s">
        <v>1486</v>
      </c>
      <c r="D152" s="293">
        <v>8.5</v>
      </c>
      <c r="E152" s="293">
        <v>9</v>
      </c>
      <c r="F152" s="196">
        <v>9.5</v>
      </c>
      <c r="G152" s="196">
        <v>5</v>
      </c>
      <c r="I152" s="196">
        <v>7</v>
      </c>
      <c r="J152" s="196">
        <v>6</v>
      </c>
      <c r="V152" t="s">
        <v>1285</v>
      </c>
      <c r="W152" t="s">
        <v>1009</v>
      </c>
      <c r="X152" t="s">
        <v>1284</v>
      </c>
      <c r="Y152" t="s">
        <v>1283</v>
      </c>
      <c r="AG152" t="s">
        <v>1013</v>
      </c>
      <c r="AH152" t="s">
        <v>1013</v>
      </c>
      <c r="AI152" s="196">
        <v>8.1999999999999993</v>
      </c>
      <c r="AJ152" s="196">
        <v>8.1999999999999993</v>
      </c>
      <c r="AK152" s="529">
        <f t="shared" si="15"/>
        <v>8.1999999999999993</v>
      </c>
      <c r="AL152" s="196">
        <v>9.4</v>
      </c>
      <c r="AM152" s="196">
        <v>9.4</v>
      </c>
      <c r="AN152" s="520">
        <f t="shared" si="16"/>
        <v>9.4</v>
      </c>
      <c r="AO152" s="196">
        <v>9.6</v>
      </c>
      <c r="AP152" s="196">
        <v>9.6</v>
      </c>
      <c r="AQ152" s="520">
        <f t="shared" si="17"/>
        <v>9.6</v>
      </c>
      <c r="AR152" s="196">
        <v>5</v>
      </c>
      <c r="AS152" s="196">
        <v>5</v>
      </c>
      <c r="AT152" s="520">
        <f t="shared" si="18"/>
        <v>5</v>
      </c>
      <c r="AU152" s="561">
        <v>1</v>
      </c>
      <c r="AV152" s="561">
        <v>8</v>
      </c>
      <c r="AW152" s="561">
        <v>8</v>
      </c>
      <c r="AX152" s="561">
        <v>3</v>
      </c>
      <c r="AY152" s="242">
        <f>SUM(AU152:AX152)</f>
        <v>20</v>
      </c>
      <c r="AZ152">
        <v>1</v>
      </c>
      <c r="BK152" s="417" t="s">
        <v>1319</v>
      </c>
      <c r="BL152" s="506" t="s">
        <v>525</v>
      </c>
      <c r="BM152" s="506" t="s">
        <v>525</v>
      </c>
    </row>
    <row r="153" spans="3:69" ht="15.75" thickBot="1">
      <c r="C153" t="s">
        <v>511</v>
      </c>
      <c r="D153" s="318">
        <v>9.3000000000000007</v>
      </c>
      <c r="E153" s="318">
        <v>9.4</v>
      </c>
      <c r="F153" s="485">
        <v>8.3000000000000007</v>
      </c>
      <c r="G153">
        <v>2.2999999999999998</v>
      </c>
      <c r="H153" s="196">
        <v>6.5</v>
      </c>
      <c r="I153" s="196">
        <v>6.2</v>
      </c>
      <c r="J153" s="318">
        <v>7.5</v>
      </c>
      <c r="K153" s="196">
        <v>7.8</v>
      </c>
      <c r="O153" s="651">
        <f>SUM(D153:F153)</f>
        <v>27.000000000000004</v>
      </c>
      <c r="AI153" s="196"/>
      <c r="AJ153" s="196"/>
      <c r="AK153" s="529"/>
      <c r="AL153" s="196"/>
      <c r="AM153" s="196"/>
      <c r="AN153" s="520"/>
      <c r="AO153" s="196"/>
      <c r="AP153" s="196"/>
      <c r="AQ153" s="520"/>
      <c r="AR153" s="196"/>
      <c r="AS153" s="196"/>
      <c r="AT153" s="520"/>
      <c r="AU153" s="561"/>
      <c r="AV153" s="561"/>
      <c r="AW153" s="561"/>
      <c r="AX153" s="561"/>
      <c r="AY153" s="242"/>
      <c r="BK153" s="417"/>
      <c r="BL153" s="506"/>
      <c r="BM153" s="506"/>
    </row>
    <row r="154" spans="3:69" ht="15.75" thickBot="1">
      <c r="D154" t="s">
        <v>1509</v>
      </c>
      <c r="E154" t="s">
        <v>1515</v>
      </c>
      <c r="F154" t="s">
        <v>1510</v>
      </c>
      <c r="G154" t="s">
        <v>1511</v>
      </c>
      <c r="H154" t="s">
        <v>1518</v>
      </c>
      <c r="I154" t="s">
        <v>1512</v>
      </c>
      <c r="J154" t="s">
        <v>1513</v>
      </c>
      <c r="K154" s="122" t="s">
        <v>460</v>
      </c>
      <c r="L154" t="s">
        <v>1200</v>
      </c>
      <c r="R154" t="s">
        <v>1508</v>
      </c>
      <c r="S154" t="s">
        <v>598</v>
      </c>
      <c r="V154" t="s">
        <v>1285</v>
      </c>
      <c r="W154" t="s">
        <v>870</v>
      </c>
      <c r="X154" t="s">
        <v>1287</v>
      </c>
      <c r="Y154" t="s">
        <v>1287</v>
      </c>
      <c r="AE154">
        <f>SUM(AE157:AE168)</f>
        <v>10</v>
      </c>
      <c r="AG154" t="s">
        <v>525</v>
      </c>
      <c r="AH154" t="s">
        <v>525</v>
      </c>
      <c r="AI154" s="196">
        <v>9.3000000000000007</v>
      </c>
      <c r="AJ154" s="196">
        <v>9.3000000000000007</v>
      </c>
      <c r="AK154" s="529">
        <f t="shared" si="15"/>
        <v>9.3000000000000007</v>
      </c>
      <c r="AL154" s="196">
        <v>8.3000000000000007</v>
      </c>
      <c r="AM154" s="196">
        <v>8.3000000000000007</v>
      </c>
      <c r="AN154" s="520">
        <f t="shared" si="16"/>
        <v>8.3000000000000007</v>
      </c>
      <c r="AO154" s="196">
        <v>9.4</v>
      </c>
      <c r="AP154" s="196">
        <v>9.4</v>
      </c>
      <c r="AQ154" s="520">
        <f t="shared" si="17"/>
        <v>9.4</v>
      </c>
      <c r="AR154" s="196">
        <v>7.5</v>
      </c>
      <c r="AS154" s="196">
        <v>7.5</v>
      </c>
      <c r="AT154" s="520">
        <f t="shared" si="18"/>
        <v>7.5</v>
      </c>
      <c r="AU154" s="561">
        <v>8</v>
      </c>
      <c r="AV154" s="561">
        <v>1</v>
      </c>
      <c r="AW154" s="561">
        <v>4</v>
      </c>
      <c r="AX154" s="561">
        <v>8</v>
      </c>
      <c r="AY154" s="242">
        <f t="shared" si="19"/>
        <v>21</v>
      </c>
      <c r="AZ154" s="561">
        <v>1</v>
      </c>
      <c r="BK154" s="563" t="s">
        <v>1320</v>
      </c>
      <c r="BL154" s="563" t="s">
        <v>525</v>
      </c>
      <c r="BM154" s="563" t="s">
        <v>1013</v>
      </c>
    </row>
    <row r="155" spans="3:69" ht="15.75" thickBot="1">
      <c r="C155" s="5" t="s">
        <v>1484</v>
      </c>
      <c r="D155" s="653">
        <v>7</v>
      </c>
      <c r="E155" s="654">
        <v>7.5</v>
      </c>
      <c r="F155" s="653">
        <v>7.5</v>
      </c>
      <c r="G155" s="654">
        <v>9</v>
      </c>
      <c r="H155" s="654">
        <v>7.5</v>
      </c>
      <c r="I155" s="653">
        <v>8</v>
      </c>
      <c r="J155" s="653">
        <v>8</v>
      </c>
      <c r="K155" s="655">
        <v>9.5</v>
      </c>
      <c r="L155" s="656">
        <v>5.5</v>
      </c>
      <c r="M155" s="467">
        <f>SUM(D155:K155)</f>
        <v>64</v>
      </c>
      <c r="R155" t="s">
        <v>1508</v>
      </c>
      <c r="S155" t="s">
        <v>954</v>
      </c>
      <c r="AG155" t="s">
        <v>598</v>
      </c>
      <c r="AH155" t="s">
        <v>525</v>
      </c>
      <c r="AI155" s="518">
        <f>AB131</f>
        <v>8.4</v>
      </c>
      <c r="AJ155" s="196">
        <v>9.3000000000000007</v>
      </c>
      <c r="AK155" s="529">
        <f t="shared" si="15"/>
        <v>8.8500000000000014</v>
      </c>
      <c r="AL155" s="196">
        <f>AD131</f>
        <v>8.6999999999999993</v>
      </c>
      <c r="AM155" s="196">
        <v>8.3000000000000007</v>
      </c>
      <c r="AN155" s="520">
        <f t="shared" si="16"/>
        <v>8.5</v>
      </c>
      <c r="AO155" s="196">
        <f>AC131</f>
        <v>9.3000000000000007</v>
      </c>
      <c r="AP155" s="196">
        <v>9.4</v>
      </c>
      <c r="AQ155" s="520">
        <f t="shared" si="17"/>
        <v>9.3500000000000014</v>
      </c>
      <c r="AR155" s="561">
        <v>6</v>
      </c>
      <c r="AS155" s="196">
        <v>7.5</v>
      </c>
      <c r="AT155" s="574">
        <f t="shared" si="18"/>
        <v>6.75</v>
      </c>
      <c r="AU155" s="561">
        <v>7</v>
      </c>
      <c r="AV155" s="561">
        <v>2</v>
      </c>
      <c r="AW155" s="561">
        <v>3</v>
      </c>
      <c r="AX155" s="561">
        <v>7</v>
      </c>
      <c r="AY155" s="242">
        <f t="shared" si="19"/>
        <v>19</v>
      </c>
      <c r="BK155" t="s">
        <v>1319</v>
      </c>
      <c r="BL155" s="312" t="s">
        <v>525</v>
      </c>
      <c r="BM155" s="570" t="s">
        <v>1233</v>
      </c>
    </row>
    <row r="156" spans="3:69" ht="15.75" thickBot="1">
      <c r="C156" s="640" t="s">
        <v>1498</v>
      </c>
      <c r="D156" s="656">
        <v>8.8000000000000007</v>
      </c>
      <c r="E156" s="657">
        <v>6.5</v>
      </c>
      <c r="F156" s="656">
        <v>9</v>
      </c>
      <c r="G156" s="657">
        <v>8</v>
      </c>
      <c r="H156" s="657">
        <v>6</v>
      </c>
      <c r="I156" s="656">
        <v>8.5</v>
      </c>
      <c r="J156" s="657">
        <v>8</v>
      </c>
      <c r="K156" s="658">
        <v>9.1999999999999993</v>
      </c>
      <c r="L156" s="664">
        <v>6</v>
      </c>
      <c r="M156" s="467">
        <f t="shared" ref="M156:M160" si="20">SUM(D156:K156)</f>
        <v>64</v>
      </c>
      <c r="R156" t="s">
        <v>598</v>
      </c>
      <c r="S156" t="s">
        <v>954</v>
      </c>
      <c r="BK156" t="s">
        <v>1319</v>
      </c>
      <c r="BL156" s="506" t="s">
        <v>598</v>
      </c>
      <c r="BM156" s="506" t="s">
        <v>618</v>
      </c>
    </row>
    <row r="157" spans="3:69" ht="15.75" thickBot="1">
      <c r="C157" s="275" t="s">
        <v>800</v>
      </c>
      <c r="D157" s="659">
        <v>10</v>
      </c>
      <c r="E157" s="660">
        <v>5.5</v>
      </c>
      <c r="F157" s="659">
        <v>10</v>
      </c>
      <c r="G157" s="660">
        <v>7</v>
      </c>
      <c r="H157" s="660">
        <v>4</v>
      </c>
      <c r="I157" s="660">
        <v>7.5</v>
      </c>
      <c r="J157" s="659">
        <v>9</v>
      </c>
      <c r="K157" s="661">
        <v>9</v>
      </c>
      <c r="L157" s="664">
        <v>6</v>
      </c>
      <c r="M157" s="467">
        <f t="shared" si="20"/>
        <v>62</v>
      </c>
      <c r="T157" t="s">
        <v>21</v>
      </c>
      <c r="U157" t="s">
        <v>21</v>
      </c>
      <c r="V157" s="5" t="s">
        <v>877</v>
      </c>
      <c r="W157" s="6" t="s">
        <v>589</v>
      </c>
      <c r="X157" s="6" t="s">
        <v>957</v>
      </c>
      <c r="Y157" s="344" t="s">
        <v>956</v>
      </c>
      <c r="Z157" s="6" t="s">
        <v>589</v>
      </c>
      <c r="AA157" s="504" t="s">
        <v>618</v>
      </c>
      <c r="AB157" s="505" t="s">
        <v>618</v>
      </c>
      <c r="AD157" t="s">
        <v>618</v>
      </c>
      <c r="AE157">
        <v>3</v>
      </c>
      <c r="AF157" s="196">
        <v>1</v>
      </c>
      <c r="AH157" t="s">
        <v>618</v>
      </c>
      <c r="AI157">
        <v>4</v>
      </c>
      <c r="AJ157" s="196">
        <v>1</v>
      </c>
      <c r="BK157" t="s">
        <v>1320</v>
      </c>
    </row>
    <row r="158" spans="3:69">
      <c r="C158" s="5" t="s">
        <v>511</v>
      </c>
      <c r="D158" s="653">
        <v>9</v>
      </c>
      <c r="E158" s="654">
        <v>10</v>
      </c>
      <c r="F158" s="653">
        <v>8.5</v>
      </c>
      <c r="G158" s="654">
        <v>8.5</v>
      </c>
      <c r="H158" s="654">
        <v>10</v>
      </c>
      <c r="I158" s="653">
        <v>8.5</v>
      </c>
      <c r="J158" s="653">
        <v>8.5</v>
      </c>
      <c r="K158" s="662">
        <v>8</v>
      </c>
      <c r="L158" s="664">
        <v>7.5</v>
      </c>
      <c r="M158" s="467">
        <f t="shared" si="20"/>
        <v>71</v>
      </c>
      <c r="V158" s="9" t="s">
        <v>880</v>
      </c>
      <c r="W158" s="10" t="s">
        <v>1005</v>
      </c>
      <c r="X158" s="10" t="s">
        <v>1290</v>
      </c>
      <c r="Y158" s="299" t="s">
        <v>525</v>
      </c>
      <c r="Z158" s="10" t="s">
        <v>1005</v>
      </c>
      <c r="AA158" s="506" t="s">
        <v>1290</v>
      </c>
      <c r="AB158" s="503" t="s">
        <v>525</v>
      </c>
      <c r="AD158" t="s">
        <v>598</v>
      </c>
      <c r="AE158">
        <v>4</v>
      </c>
      <c r="AH158" t="s">
        <v>598</v>
      </c>
      <c r="AI158">
        <v>5</v>
      </c>
      <c r="AJ158" s="196"/>
    </row>
    <row r="159" spans="3:69" ht="15.75" thickBot="1">
      <c r="C159" s="275" t="s">
        <v>1516</v>
      </c>
      <c r="D159" s="659">
        <v>9.5</v>
      </c>
      <c r="E159" s="660">
        <v>8</v>
      </c>
      <c r="F159" s="659">
        <v>9.5</v>
      </c>
      <c r="G159" s="660">
        <v>8</v>
      </c>
      <c r="H159" s="660">
        <v>7.5</v>
      </c>
      <c r="I159" s="659">
        <v>9.5</v>
      </c>
      <c r="J159" s="659">
        <v>10</v>
      </c>
      <c r="K159" s="663">
        <v>8.5</v>
      </c>
      <c r="M159" s="467">
        <f t="shared" si="20"/>
        <v>70.5</v>
      </c>
      <c r="V159" s="275" t="s">
        <v>880</v>
      </c>
      <c r="W159" s="277" t="s">
        <v>1009</v>
      </c>
      <c r="X159" s="502" t="s">
        <v>957</v>
      </c>
      <c r="Y159" s="300" t="s">
        <v>1257</v>
      </c>
      <c r="Z159" s="10" t="s">
        <v>1009</v>
      </c>
      <c r="AA159" s="318" t="s">
        <v>618</v>
      </c>
      <c r="AB159" s="507" t="s">
        <v>598</v>
      </c>
      <c r="AD159" t="s">
        <v>1013</v>
      </c>
      <c r="AE159">
        <v>2</v>
      </c>
      <c r="AF159" s="196">
        <v>1</v>
      </c>
      <c r="AH159" t="s">
        <v>1013</v>
      </c>
      <c r="AI159">
        <v>3</v>
      </c>
      <c r="AJ159" s="196">
        <v>1</v>
      </c>
      <c r="AV159" t="s">
        <v>1307</v>
      </c>
      <c r="AW159" t="s">
        <v>1308</v>
      </c>
    </row>
    <row r="160" spans="3:69" ht="15.75" thickBot="1">
      <c r="C160" s="405" t="s">
        <v>1517</v>
      </c>
      <c r="D160" s="467">
        <v>8</v>
      </c>
      <c r="E160" s="652">
        <v>10</v>
      </c>
      <c r="F160" s="467">
        <v>7.8</v>
      </c>
      <c r="G160" s="652">
        <v>8.5</v>
      </c>
      <c r="H160" s="652">
        <v>10</v>
      </c>
      <c r="I160" s="467">
        <v>8</v>
      </c>
      <c r="J160" s="467">
        <v>7.8</v>
      </c>
      <c r="K160" s="467">
        <v>7.8</v>
      </c>
      <c r="M160" s="467">
        <f t="shared" si="20"/>
        <v>67.899999999999991</v>
      </c>
      <c r="V160" s="238" t="s">
        <v>880</v>
      </c>
      <c r="W160" s="238" t="s">
        <v>1005</v>
      </c>
      <c r="X160" s="238" t="s">
        <v>1257</v>
      </c>
      <c r="Y160" s="238" t="s">
        <v>1257</v>
      </c>
      <c r="Z160" s="508" t="s">
        <v>1009</v>
      </c>
      <c r="AA160" s="511" t="s">
        <v>1290</v>
      </c>
      <c r="AB160" s="512" t="s">
        <v>598</v>
      </c>
      <c r="AD160" t="s">
        <v>525</v>
      </c>
      <c r="AE160">
        <v>1</v>
      </c>
      <c r="AH160" t="s">
        <v>525</v>
      </c>
      <c r="AI160">
        <v>1</v>
      </c>
      <c r="AJ160" s="196"/>
      <c r="AV160" t="s">
        <v>1309</v>
      </c>
    </row>
    <row r="161" spans="3:53" ht="15.75" thickBot="1">
      <c r="D161" s="467"/>
      <c r="E161" s="467"/>
      <c r="F161" s="467"/>
      <c r="G161" s="467"/>
      <c r="H161" s="467"/>
      <c r="I161" s="467"/>
      <c r="J161" s="467"/>
      <c r="K161" s="467"/>
      <c r="V161" s="238" t="s">
        <v>880</v>
      </c>
      <c r="W161" s="238" t="s">
        <v>1005</v>
      </c>
      <c r="X161" s="302" t="s">
        <v>1290</v>
      </c>
      <c r="Y161" s="238" t="s">
        <v>1257</v>
      </c>
      <c r="Z161" s="508" t="s">
        <v>1009</v>
      </c>
      <c r="AA161" s="291" t="s">
        <v>1233</v>
      </c>
      <c r="AB161" s="507" t="s">
        <v>598</v>
      </c>
      <c r="AC161" s="499"/>
      <c r="AH161" t="s">
        <v>1233</v>
      </c>
      <c r="AI161">
        <v>1</v>
      </c>
      <c r="AV161" s="242" t="s">
        <v>1005</v>
      </c>
      <c r="AW161" s="242" t="s">
        <v>1013</v>
      </c>
      <c r="AX161" s="242" t="s">
        <v>1306</v>
      </c>
      <c r="AY161" s="242" t="s">
        <v>1296</v>
      </c>
    </row>
    <row r="162" spans="3:53" ht="15.75" thickBot="1">
      <c r="D162" s="467"/>
      <c r="E162" s="467"/>
      <c r="F162" s="467"/>
      <c r="G162" s="467"/>
      <c r="H162" s="467"/>
      <c r="I162" s="467"/>
      <c r="J162" s="467"/>
      <c r="K162" s="467"/>
      <c r="V162" t="s">
        <v>880</v>
      </c>
      <c r="W162" t="s">
        <v>1009</v>
      </c>
      <c r="X162" t="s">
        <v>1291</v>
      </c>
      <c r="Y162" s="302" t="s">
        <v>1290</v>
      </c>
      <c r="Z162" s="508" t="s">
        <v>1005</v>
      </c>
      <c r="AA162" s="513" t="s">
        <v>598</v>
      </c>
      <c r="AB162" s="512" t="s">
        <v>598</v>
      </c>
      <c r="AQ162" t="s">
        <v>589</v>
      </c>
      <c r="AR162" t="s">
        <v>618</v>
      </c>
      <c r="AS162" t="s">
        <v>618</v>
      </c>
      <c r="AV162" s="242" t="s">
        <v>589</v>
      </c>
      <c r="AW162" s="242" t="s">
        <v>618</v>
      </c>
      <c r="AX162" s="242" t="s">
        <v>618</v>
      </c>
      <c r="AY162" s="242" t="s">
        <v>1296</v>
      </c>
      <c r="AZ162" s="242" t="s">
        <v>1313</v>
      </c>
    </row>
    <row r="163" spans="3:53" ht="15.75" thickBot="1">
      <c r="C163">
        <v>2950</v>
      </c>
      <c r="D163" s="467">
        <v>2</v>
      </c>
      <c r="E163" s="467">
        <f>C163*D163</f>
        <v>5900</v>
      </c>
      <c r="F163" s="467"/>
      <c r="G163" s="467"/>
      <c r="H163" s="467"/>
      <c r="I163" s="467"/>
      <c r="J163" s="467"/>
      <c r="K163" s="467"/>
      <c r="V163" t="s">
        <v>880</v>
      </c>
      <c r="W163" t="s">
        <v>1009</v>
      </c>
      <c r="X163" t="s">
        <v>1291</v>
      </c>
      <c r="Y163" t="s">
        <v>1257</v>
      </c>
      <c r="Z163" s="508" t="s">
        <v>1005</v>
      </c>
      <c r="AA163" s="509" t="s">
        <v>618</v>
      </c>
      <c r="AB163" s="510" t="s">
        <v>1013</v>
      </c>
      <c r="AC163" s="499"/>
      <c r="AI163" t="s">
        <v>681</v>
      </c>
      <c r="AJ163" t="s">
        <v>682</v>
      </c>
      <c r="AQ163" s="315" t="s">
        <v>1009</v>
      </c>
      <c r="AR163" t="s">
        <v>598</v>
      </c>
      <c r="AS163" t="s">
        <v>1303</v>
      </c>
      <c r="AU163">
        <v>1</v>
      </c>
      <c r="AV163" s="242" t="s">
        <v>1009</v>
      </c>
      <c r="AW163" s="242" t="s">
        <v>598</v>
      </c>
      <c r="AX163" s="242" t="s">
        <v>618</v>
      </c>
      <c r="AY163" s="242" t="s">
        <v>1296</v>
      </c>
    </row>
    <row r="164" spans="3:53">
      <c r="C164">
        <v>2950</v>
      </c>
      <c r="D164" s="467">
        <v>3450</v>
      </c>
      <c r="E164" s="467">
        <f>C164+D164</f>
        <v>6400</v>
      </c>
      <c r="F164" s="467"/>
      <c r="G164" s="467"/>
      <c r="H164" s="467"/>
      <c r="I164" s="467"/>
      <c r="J164" s="467"/>
      <c r="K164" s="467"/>
      <c r="V164" s="9" t="s">
        <v>880</v>
      </c>
      <c r="W164" s="10" t="s">
        <v>1005</v>
      </c>
      <c r="X164" t="s">
        <v>1291</v>
      </c>
      <c r="Y164" t="s">
        <v>1257</v>
      </c>
      <c r="AA164" s="313" t="s">
        <v>1013</v>
      </c>
      <c r="AB164" s="313" t="s">
        <v>1013</v>
      </c>
      <c r="AG164">
        <v>2</v>
      </c>
      <c r="AH164" t="s">
        <v>1009</v>
      </c>
      <c r="AI164" t="s">
        <v>598</v>
      </c>
      <c r="AJ164" s="302" t="s">
        <v>1305</v>
      </c>
      <c r="AM164" t="s">
        <v>598</v>
      </c>
      <c r="AN164" t="s">
        <v>598</v>
      </c>
      <c r="AO164">
        <v>13</v>
      </c>
      <c r="AP164" s="310"/>
      <c r="AQ164" t="s">
        <v>1009</v>
      </c>
      <c r="AR164" s="339" t="s">
        <v>618</v>
      </c>
      <c r="AS164" s="339" t="s">
        <v>1304</v>
      </c>
      <c r="AT164">
        <v>3</v>
      </c>
      <c r="AV164" s="339" t="s">
        <v>1009</v>
      </c>
      <c r="AW164" s="339" t="s">
        <v>618</v>
      </c>
      <c r="AX164" s="339" t="s">
        <v>1013</v>
      </c>
      <c r="AY164" s="339" t="s">
        <v>21</v>
      </c>
      <c r="AZ164" s="339" t="s">
        <v>1312</v>
      </c>
      <c r="BA164">
        <v>4</v>
      </c>
    </row>
    <row r="165" spans="3:53">
      <c r="D165" s="467"/>
      <c r="E165" s="467"/>
      <c r="F165" s="467"/>
      <c r="G165" s="467"/>
      <c r="H165" s="467"/>
      <c r="I165" s="467"/>
      <c r="J165" s="467"/>
      <c r="K165" s="467"/>
      <c r="V165" t="s">
        <v>880</v>
      </c>
      <c r="W165" t="s">
        <v>817</v>
      </c>
      <c r="X165" t="s">
        <v>957</v>
      </c>
      <c r="Y165" t="s">
        <v>1257</v>
      </c>
      <c r="Z165" s="196" t="s">
        <v>817</v>
      </c>
      <c r="AG165">
        <v>3</v>
      </c>
      <c r="AH165" t="s">
        <v>1005</v>
      </c>
      <c r="AI165" t="s">
        <v>598</v>
      </c>
      <c r="AJ165" t="s">
        <v>598</v>
      </c>
      <c r="AM165" t="s">
        <v>618</v>
      </c>
      <c r="AN165" t="s">
        <v>618</v>
      </c>
      <c r="AO165">
        <v>12</v>
      </c>
      <c r="AQ165" s="315" t="s">
        <v>1009</v>
      </c>
      <c r="AR165" s="339" t="s">
        <v>598</v>
      </c>
      <c r="AS165" s="339" t="s">
        <v>1013</v>
      </c>
      <c r="AT165">
        <v>2</v>
      </c>
      <c r="AV165" s="315" t="s">
        <v>1009</v>
      </c>
      <c r="AW165" s="315" t="s">
        <v>598</v>
      </c>
      <c r="AX165" s="315" t="s">
        <v>1305</v>
      </c>
      <c r="AY165" s="315" t="s">
        <v>1297</v>
      </c>
      <c r="AZ165">
        <v>3</v>
      </c>
    </row>
    <row r="166" spans="3:53">
      <c r="D166" s="467"/>
      <c r="E166" s="467"/>
      <c r="F166" s="467"/>
      <c r="G166" s="467"/>
      <c r="H166" s="467"/>
      <c r="I166" s="467"/>
      <c r="J166" s="467"/>
      <c r="K166" s="467"/>
      <c r="V166" s="238" t="s">
        <v>880</v>
      </c>
      <c r="W166" s="238" t="s">
        <v>817</v>
      </c>
      <c r="X166" s="238" t="s">
        <v>1257</v>
      </c>
      <c r="Y166" s="238" t="s">
        <v>1257</v>
      </c>
      <c r="AM166" t="s">
        <v>1013</v>
      </c>
      <c r="AN166" t="s">
        <v>1013</v>
      </c>
      <c r="AO166">
        <v>16</v>
      </c>
      <c r="AQ166" s="330" t="s">
        <v>1009</v>
      </c>
      <c r="AR166" s="339" t="s">
        <v>1013</v>
      </c>
      <c r="AS166" s="339" t="s">
        <v>1013</v>
      </c>
      <c r="AT166">
        <v>1</v>
      </c>
      <c r="AU166" t="s">
        <v>1009</v>
      </c>
      <c r="AV166" s="339" t="s">
        <v>1009</v>
      </c>
      <c r="AW166" s="339" t="s">
        <v>1013</v>
      </c>
      <c r="AX166" s="339" t="s">
        <v>1013</v>
      </c>
      <c r="AY166" s="339"/>
      <c r="AZ166">
        <v>2</v>
      </c>
    </row>
    <row r="167" spans="3:53">
      <c r="D167" s="467"/>
      <c r="E167" s="467"/>
      <c r="F167" s="467"/>
      <c r="G167" s="467"/>
      <c r="H167" s="467"/>
      <c r="I167" s="467"/>
      <c r="J167" s="467"/>
      <c r="K167" s="467"/>
      <c r="V167" t="s">
        <v>880</v>
      </c>
      <c r="W167" s="238" t="s">
        <v>817</v>
      </c>
      <c r="X167" t="s">
        <v>1013</v>
      </c>
      <c r="Y167" t="s">
        <v>957</v>
      </c>
      <c r="AG167">
        <v>3</v>
      </c>
      <c r="AH167" t="s">
        <v>1009</v>
      </c>
      <c r="AI167" t="s">
        <v>618</v>
      </c>
      <c r="AJ167" t="s">
        <v>1013</v>
      </c>
      <c r="AQ167" s="315" t="s">
        <v>1005</v>
      </c>
      <c r="AR167" s="339" t="s">
        <v>598</v>
      </c>
      <c r="AS167" s="339" t="s">
        <v>598</v>
      </c>
      <c r="AV167" s="242" t="s">
        <v>1005</v>
      </c>
      <c r="AW167" s="315" t="s">
        <v>598</v>
      </c>
      <c r="AX167" s="315" t="s">
        <v>598</v>
      </c>
      <c r="AY167" s="315" t="s">
        <v>1297</v>
      </c>
    </row>
    <row r="168" spans="3:53">
      <c r="D168" s="467"/>
      <c r="E168" s="467"/>
      <c r="F168" s="467"/>
      <c r="G168" s="467"/>
      <c r="H168" s="467"/>
      <c r="I168" s="467"/>
      <c r="J168" s="467"/>
      <c r="K168" s="467"/>
      <c r="V168" t="s">
        <v>880</v>
      </c>
      <c r="W168" s="238" t="s">
        <v>817</v>
      </c>
      <c r="X168" t="s">
        <v>1013</v>
      </c>
      <c r="Y168" t="s">
        <v>1257</v>
      </c>
      <c r="AG168">
        <v>3</v>
      </c>
      <c r="AH168" t="s">
        <v>1096</v>
      </c>
      <c r="AI168" t="s">
        <v>598</v>
      </c>
      <c r="AJ168" t="s">
        <v>598</v>
      </c>
      <c r="AV168" s="339" t="s">
        <v>1005</v>
      </c>
      <c r="AW168" s="339" t="s">
        <v>618</v>
      </c>
      <c r="AX168" s="339" t="s">
        <v>618</v>
      </c>
      <c r="AY168" s="339" t="s">
        <v>1310</v>
      </c>
      <c r="AZ168" s="339" t="s">
        <v>1311</v>
      </c>
      <c r="BA168" s="339" t="s">
        <v>1314</v>
      </c>
    </row>
    <row r="169" spans="3:53">
      <c r="D169" s="467"/>
      <c r="E169" s="467"/>
      <c r="F169" s="467"/>
      <c r="G169" s="467"/>
      <c r="H169" s="467"/>
      <c r="I169" s="467"/>
      <c r="J169" s="467"/>
      <c r="K169" s="467"/>
    </row>
    <row r="172" spans="3:53">
      <c r="V172" t="s">
        <v>433</v>
      </c>
      <c r="W172" t="s">
        <v>1519</v>
      </c>
      <c r="X172" t="s">
        <v>634</v>
      </c>
      <c r="Y172" t="s">
        <v>1520</v>
      </c>
      <c r="Z172" s="196" t="s">
        <v>1521</v>
      </c>
      <c r="AA172" s="196" t="s">
        <v>1522</v>
      </c>
      <c r="AB172" s="196" t="s">
        <v>1523</v>
      </c>
      <c r="AC172" s="196" t="s">
        <v>1524</v>
      </c>
      <c r="AD172" s="196" t="s">
        <v>1525</v>
      </c>
      <c r="AE172" s="196" t="s">
        <v>1513</v>
      </c>
      <c r="AF172" s="196" t="s">
        <v>1526</v>
      </c>
      <c r="AG172" s="313" t="s">
        <v>1527</v>
      </c>
      <c r="AH172" s="196" t="s">
        <v>1528</v>
      </c>
      <c r="AI172" s="196" t="s">
        <v>1529</v>
      </c>
      <c r="AJ172" s="196" t="s">
        <v>1460</v>
      </c>
    </row>
    <row r="173" spans="3:53">
      <c r="U173" t="s">
        <v>1531</v>
      </c>
      <c r="V173">
        <v>60</v>
      </c>
      <c r="W173" t="s">
        <v>293</v>
      </c>
      <c r="X173">
        <v>48</v>
      </c>
      <c r="Y173" t="s">
        <v>1530</v>
      </c>
      <c r="Z173" s="196">
        <v>48</v>
      </c>
      <c r="AA173" s="196">
        <v>8.5</v>
      </c>
      <c r="AB173" s="196">
        <v>7</v>
      </c>
      <c r="AC173" s="196">
        <v>8</v>
      </c>
      <c r="AD173" s="313">
        <v>9</v>
      </c>
      <c r="AE173" s="196">
        <v>8.5</v>
      </c>
      <c r="AF173" s="196">
        <v>8.5</v>
      </c>
      <c r="AG173" s="313">
        <v>9.5</v>
      </c>
      <c r="AH173" s="196">
        <v>8.5</v>
      </c>
      <c r="AI173" s="313">
        <v>9.5</v>
      </c>
      <c r="AJ173" s="313">
        <v>9</v>
      </c>
      <c r="AL173" s="196">
        <f>SUM(AA173:AJ173)</f>
        <v>86</v>
      </c>
      <c r="AQ173" t="s">
        <v>1537</v>
      </c>
      <c r="AR173" t="s">
        <v>1013</v>
      </c>
      <c r="AS173" t="s">
        <v>1013</v>
      </c>
    </row>
    <row r="174" spans="3:53">
      <c r="C174" t="s">
        <v>1514</v>
      </c>
      <c r="U174" t="s">
        <v>1498</v>
      </c>
      <c r="V174">
        <v>52</v>
      </c>
      <c r="W174" t="s">
        <v>240</v>
      </c>
      <c r="X174">
        <v>52</v>
      </c>
      <c r="Y174" t="s">
        <v>1532</v>
      </c>
      <c r="Z174" s="196">
        <v>52</v>
      </c>
      <c r="AA174" s="313">
        <v>9</v>
      </c>
      <c r="AB174" s="313">
        <v>7.5</v>
      </c>
      <c r="AC174" s="313">
        <v>9.5</v>
      </c>
      <c r="AD174" s="196">
        <v>8</v>
      </c>
      <c r="AE174" s="313">
        <v>9.5</v>
      </c>
      <c r="AF174" s="313">
        <v>9</v>
      </c>
      <c r="AG174" s="196">
        <v>8</v>
      </c>
      <c r="AH174" s="313">
        <v>9.5</v>
      </c>
      <c r="AI174" s="196">
        <v>8</v>
      </c>
      <c r="AJ174" s="196">
        <v>8</v>
      </c>
      <c r="AL174" s="196">
        <f>SUM(AA174:AJ174)</f>
        <v>86</v>
      </c>
      <c r="AQ174" t="s">
        <v>1537</v>
      </c>
      <c r="AR174" t="s">
        <v>1498</v>
      </c>
      <c r="AS174" t="s">
        <v>1500</v>
      </c>
    </row>
    <row r="175" spans="3:53">
      <c r="AQ175" t="s">
        <v>1537</v>
      </c>
      <c r="AR175" t="s">
        <v>598</v>
      </c>
      <c r="AS175" t="s">
        <v>598</v>
      </c>
    </row>
    <row r="177" spans="3:47">
      <c r="X177" t="s">
        <v>524</v>
      </c>
      <c r="Y177" t="s">
        <v>523</v>
      </c>
      <c r="AQ177" t="s">
        <v>1538</v>
      </c>
      <c r="AR177" t="s">
        <v>1498</v>
      </c>
      <c r="AS177" t="s">
        <v>1500</v>
      </c>
      <c r="AT177" t="s">
        <v>598</v>
      </c>
      <c r="AU177" t="s">
        <v>598</v>
      </c>
    </row>
    <row r="178" spans="3:47">
      <c r="C178" t="s">
        <v>1228</v>
      </c>
      <c r="D178" t="s">
        <v>1324</v>
      </c>
      <c r="E178" t="s">
        <v>598</v>
      </c>
      <c r="F178" t="s">
        <v>598</v>
      </c>
      <c r="G178" t="s">
        <v>1556</v>
      </c>
      <c r="H178">
        <v>62</v>
      </c>
      <c r="U178" t="s">
        <v>1537</v>
      </c>
      <c r="V178" t="s">
        <v>954</v>
      </c>
      <c r="W178" t="s">
        <v>954</v>
      </c>
      <c r="X178" t="s">
        <v>1498</v>
      </c>
      <c r="Y178" t="s">
        <v>954</v>
      </c>
      <c r="AA178" s="196" t="s">
        <v>525</v>
      </c>
      <c r="AB178" s="196" t="s">
        <v>598</v>
      </c>
      <c r="AC178" s="196" t="s">
        <v>870</v>
      </c>
      <c r="AD178" s="196" t="s">
        <v>1232</v>
      </c>
      <c r="AQ178" t="s">
        <v>894</v>
      </c>
      <c r="AR178" t="s">
        <v>598</v>
      </c>
      <c r="AS178" t="s">
        <v>598</v>
      </c>
      <c r="AT178" t="s">
        <v>1498</v>
      </c>
      <c r="AU178" t="s">
        <v>1500</v>
      </c>
    </row>
    <row r="179" spans="3:47">
      <c r="D179" t="s">
        <v>670</v>
      </c>
      <c r="E179" t="s">
        <v>598</v>
      </c>
      <c r="F179" t="s">
        <v>598</v>
      </c>
      <c r="G179" t="s">
        <v>1557</v>
      </c>
      <c r="H179">
        <v>28</v>
      </c>
      <c r="U179" t="s">
        <v>1537</v>
      </c>
      <c r="V179" t="s">
        <v>1498</v>
      </c>
      <c r="W179" t="s">
        <v>598</v>
      </c>
      <c r="X179" t="s">
        <v>1498</v>
      </c>
      <c r="Y179" t="s">
        <v>598</v>
      </c>
      <c r="AA179" s="307" t="s">
        <v>525</v>
      </c>
      <c r="AB179" s="307" t="s">
        <v>954</v>
      </c>
      <c r="AC179" s="307" t="s">
        <v>870</v>
      </c>
      <c r="AD179" s="307" t="s">
        <v>1232</v>
      </c>
    </row>
    <row r="180" spans="3:47">
      <c r="D180" t="s">
        <v>1558</v>
      </c>
      <c r="E180" t="s">
        <v>598</v>
      </c>
      <c r="F180" t="s">
        <v>598</v>
      </c>
      <c r="G180" t="s">
        <v>1559</v>
      </c>
      <c r="H180">
        <v>57</v>
      </c>
      <c r="U180" t="s">
        <v>1537</v>
      </c>
      <c r="V180" t="s">
        <v>598</v>
      </c>
      <c r="W180" t="s">
        <v>598</v>
      </c>
      <c r="X180" t="s">
        <v>525</v>
      </c>
      <c r="Y180" t="s">
        <v>598</v>
      </c>
      <c r="AA180" s="323" t="s">
        <v>525</v>
      </c>
      <c r="AB180" s="323" t="s">
        <v>1549</v>
      </c>
      <c r="AD180" t="s">
        <v>1232</v>
      </c>
    </row>
    <row r="181" spans="3:47">
      <c r="D181" t="s">
        <v>894</v>
      </c>
      <c r="E181" t="s">
        <v>598</v>
      </c>
      <c r="F181" t="s">
        <v>598</v>
      </c>
      <c r="G181" t="s">
        <v>1560</v>
      </c>
      <c r="H181">
        <v>44</v>
      </c>
      <c r="X181" t="s">
        <v>525</v>
      </c>
      <c r="Y181" t="s">
        <v>954</v>
      </c>
      <c r="AA181" s="307" t="s">
        <v>598</v>
      </c>
      <c r="AB181" s="307" t="s">
        <v>954</v>
      </c>
      <c r="AC181" s="307" t="s">
        <v>870</v>
      </c>
    </row>
    <row r="182" spans="3:47">
      <c r="D182" t="s">
        <v>1561</v>
      </c>
      <c r="E182" t="s">
        <v>598</v>
      </c>
      <c r="F182" t="s">
        <v>598</v>
      </c>
      <c r="G182" t="s">
        <v>1562</v>
      </c>
      <c r="H182">
        <v>64</v>
      </c>
      <c r="X182" t="s">
        <v>525</v>
      </c>
      <c r="Y182" t="s">
        <v>525</v>
      </c>
      <c r="AA182" s="196" t="s">
        <v>598</v>
      </c>
      <c r="AB182" s="196" t="s">
        <v>1549</v>
      </c>
      <c r="AC182" s="196" t="s">
        <v>1117</v>
      </c>
    </row>
    <row r="183" spans="3:47">
      <c r="D183" t="s">
        <v>568</v>
      </c>
      <c r="E183" t="s">
        <v>598</v>
      </c>
      <c r="F183" t="s">
        <v>598</v>
      </c>
      <c r="G183">
        <v>39</v>
      </c>
      <c r="X183" t="s">
        <v>525</v>
      </c>
      <c r="Y183" t="s">
        <v>1498</v>
      </c>
      <c r="AA183" s="196" t="s">
        <v>954</v>
      </c>
      <c r="AB183" s="196" t="s">
        <v>1549</v>
      </c>
      <c r="AC183" s="196" t="s">
        <v>1117</v>
      </c>
      <c r="AD183" s="196"/>
    </row>
    <row r="184" spans="3:47">
      <c r="U184" t="s">
        <v>870</v>
      </c>
      <c r="V184" t="s">
        <v>525</v>
      </c>
      <c r="W184" t="s">
        <v>954</v>
      </c>
      <c r="X184" t="s">
        <v>525</v>
      </c>
      <c r="Y184" t="s">
        <v>954</v>
      </c>
      <c r="AA184" s="196" t="s">
        <v>525</v>
      </c>
      <c r="AB184" s="196" t="s">
        <v>598</v>
      </c>
      <c r="AC184" s="196" t="s">
        <v>1117</v>
      </c>
      <c r="AD184" s="196" t="s">
        <v>1232</v>
      </c>
    </row>
    <row r="185" spans="3:47">
      <c r="U185" t="s">
        <v>870</v>
      </c>
      <c r="V185" t="s">
        <v>598</v>
      </c>
      <c r="W185" t="s">
        <v>598</v>
      </c>
      <c r="X185" s="310" t="s">
        <v>525</v>
      </c>
      <c r="Y185" s="310" t="s">
        <v>598</v>
      </c>
    </row>
    <row r="186" spans="3:47">
      <c r="U186" t="s">
        <v>870</v>
      </c>
      <c r="V186" t="s">
        <v>954</v>
      </c>
      <c r="W186" t="s">
        <v>598</v>
      </c>
    </row>
    <row r="188" spans="3:47">
      <c r="U188" t="s">
        <v>1438</v>
      </c>
      <c r="V188" t="s">
        <v>954</v>
      </c>
      <c r="W188" t="s">
        <v>598</v>
      </c>
    </row>
    <row r="189" spans="3:47">
      <c r="U189" t="s">
        <v>1438</v>
      </c>
      <c r="V189" t="s">
        <v>598</v>
      </c>
      <c r="W189" t="s">
        <v>598</v>
      </c>
      <c r="X189" s="310" t="s">
        <v>525</v>
      </c>
      <c r="Y189" s="310" t="s">
        <v>598</v>
      </c>
    </row>
  </sheetData>
  <mergeCells count="6">
    <mergeCell ref="AR144:AT144"/>
    <mergeCell ref="Z115:AB115"/>
    <mergeCell ref="AD115:AF115"/>
    <mergeCell ref="AI144:AK144"/>
    <mergeCell ref="AL144:AN144"/>
    <mergeCell ref="AO144:AQ144"/>
  </mergeCell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dimension ref="B2:AK200"/>
  <sheetViews>
    <sheetView topLeftCell="M139" workbookViewId="0">
      <selection activeCell="R162" sqref="R162"/>
    </sheetView>
  </sheetViews>
  <sheetFormatPr defaultRowHeight="15"/>
  <cols>
    <col min="3" max="3" width="15.140625" customWidth="1"/>
    <col min="4" max="4" width="13.140625" customWidth="1"/>
    <col min="5" max="5" width="15.140625" customWidth="1"/>
    <col min="6" max="6" width="14.85546875" customWidth="1"/>
    <col min="7" max="7" width="11.85546875" customWidth="1"/>
    <col min="8" max="8" width="14.5703125" customWidth="1"/>
    <col min="9" max="9" width="11.42578125" customWidth="1"/>
    <col min="10" max="10" width="16.5703125" customWidth="1"/>
    <col min="11" max="11" width="13.140625" customWidth="1"/>
    <col min="12" max="12" width="11.5703125" customWidth="1"/>
    <col min="13" max="13" width="8.7109375" customWidth="1"/>
    <col min="16" max="16" width="8.5703125" customWidth="1"/>
    <col min="17" max="17" width="9.5703125" customWidth="1"/>
    <col min="21" max="22" width="8.42578125" customWidth="1"/>
    <col min="30" max="30" width="10.140625" customWidth="1"/>
  </cols>
  <sheetData>
    <row r="2" spans="2:26">
      <c r="R2" t="s">
        <v>1336</v>
      </c>
    </row>
    <row r="3" spans="2:26">
      <c r="D3" t="s">
        <v>459</v>
      </c>
      <c r="E3" t="s">
        <v>621</v>
      </c>
      <c r="F3" t="s">
        <v>460</v>
      </c>
      <c r="G3" t="s">
        <v>1198</v>
      </c>
      <c r="H3" t="s">
        <v>634</v>
      </c>
      <c r="I3" t="s">
        <v>1199</v>
      </c>
      <c r="J3" t="s">
        <v>1200</v>
      </c>
      <c r="K3" t="s">
        <v>1201</v>
      </c>
    </row>
    <row r="4" spans="2:26">
      <c r="B4" t="s">
        <v>880</v>
      </c>
      <c r="C4" t="s">
        <v>849</v>
      </c>
      <c r="D4" s="318">
        <v>8.4</v>
      </c>
      <c r="E4" s="302">
        <v>9.3000000000000007</v>
      </c>
      <c r="F4" s="291">
        <v>8.6999999999999993</v>
      </c>
      <c r="G4" s="238">
        <v>8.1</v>
      </c>
      <c r="H4" s="238">
        <v>6.7</v>
      </c>
      <c r="I4" s="238">
        <v>7.9</v>
      </c>
      <c r="J4" s="318">
        <v>6</v>
      </c>
      <c r="K4" s="307">
        <v>7.6</v>
      </c>
      <c r="L4" s="238">
        <v>14</v>
      </c>
      <c r="M4" s="238">
        <v>6</v>
      </c>
      <c r="N4" s="499" t="s">
        <v>1228</v>
      </c>
      <c r="R4" s="410" t="s">
        <v>525</v>
      </c>
      <c r="S4" s="410" t="s">
        <v>525</v>
      </c>
      <c r="U4" t="s">
        <v>1009</v>
      </c>
      <c r="V4" t="s">
        <v>1337</v>
      </c>
      <c r="W4" t="s">
        <v>1338</v>
      </c>
      <c r="X4" t="s">
        <v>1339</v>
      </c>
      <c r="Y4" t="s">
        <v>1340</v>
      </c>
      <c r="Z4" t="s">
        <v>1359</v>
      </c>
    </row>
    <row r="5" spans="2:26">
      <c r="C5" t="s">
        <v>925</v>
      </c>
      <c r="D5" s="307">
        <v>8.1999999999999993</v>
      </c>
      <c r="E5" s="492">
        <v>9.6</v>
      </c>
      <c r="F5" s="493">
        <v>9.4</v>
      </c>
      <c r="G5" s="492">
        <v>9.3000000000000007</v>
      </c>
      <c r="H5" s="238">
        <v>6.7</v>
      </c>
      <c r="I5" s="302">
        <v>6.8</v>
      </c>
      <c r="J5" s="485">
        <v>5</v>
      </c>
      <c r="K5" s="318">
        <v>7.7</v>
      </c>
      <c r="L5">
        <v>18</v>
      </c>
      <c r="M5">
        <v>8</v>
      </c>
      <c r="R5" s="410" t="s">
        <v>598</v>
      </c>
      <c r="S5" s="410" t="s">
        <v>598</v>
      </c>
      <c r="U5" t="s">
        <v>1009</v>
      </c>
      <c r="V5" t="s">
        <v>1342</v>
      </c>
    </row>
    <row r="6" spans="2:26">
      <c r="C6" t="s">
        <v>921</v>
      </c>
      <c r="D6" s="307">
        <v>8.5</v>
      </c>
      <c r="E6" s="330">
        <v>9.3000000000000007</v>
      </c>
      <c r="F6" s="318">
        <v>9</v>
      </c>
      <c r="G6" s="330">
        <v>8.1</v>
      </c>
      <c r="H6" s="499">
        <v>7.2</v>
      </c>
      <c r="I6" s="302">
        <v>7.8</v>
      </c>
      <c r="J6" s="485">
        <v>4.5</v>
      </c>
      <c r="K6" s="318">
        <v>7.7</v>
      </c>
      <c r="N6" s="499" t="s">
        <v>1228</v>
      </c>
      <c r="R6" s="410" t="s">
        <v>954</v>
      </c>
      <c r="S6" s="410" t="s">
        <v>954</v>
      </c>
      <c r="U6" t="s">
        <v>1009</v>
      </c>
      <c r="V6" t="s">
        <v>1341</v>
      </c>
    </row>
    <row r="7" spans="2:26">
      <c r="C7" t="s">
        <v>1202</v>
      </c>
      <c r="D7" s="291">
        <v>8.1</v>
      </c>
      <c r="E7" s="238">
        <v>8.9</v>
      </c>
      <c r="F7" s="307">
        <v>8.9</v>
      </c>
      <c r="G7" s="302">
        <v>8.4</v>
      </c>
      <c r="H7" s="302">
        <v>5.8</v>
      </c>
      <c r="I7" s="330">
        <v>4.9000000000000004</v>
      </c>
      <c r="J7" s="307">
        <v>5.0999999999999996</v>
      </c>
      <c r="K7" s="291">
        <v>6.8</v>
      </c>
      <c r="L7">
        <v>14</v>
      </c>
      <c r="M7">
        <v>4</v>
      </c>
      <c r="R7" s="238" t="s">
        <v>525</v>
      </c>
      <c r="S7" s="238" t="s">
        <v>598</v>
      </c>
      <c r="U7" t="s">
        <v>1009</v>
      </c>
      <c r="V7" t="s">
        <v>1345</v>
      </c>
    </row>
    <row r="8" spans="2:26">
      <c r="B8" t="s">
        <v>880</v>
      </c>
      <c r="C8" t="s">
        <v>1206</v>
      </c>
      <c r="D8" s="291">
        <v>8.4</v>
      </c>
      <c r="E8" s="238">
        <v>9.3000000000000007</v>
      </c>
      <c r="F8" s="307">
        <v>8.6999999999999993</v>
      </c>
      <c r="G8" s="302">
        <v>8.1</v>
      </c>
      <c r="H8" s="302">
        <v>6.7</v>
      </c>
      <c r="I8" s="330">
        <v>7.9</v>
      </c>
      <c r="J8" s="307">
        <v>6</v>
      </c>
      <c r="K8" s="291">
        <v>7.6</v>
      </c>
      <c r="Q8" t="s">
        <v>1005</v>
      </c>
      <c r="R8" s="242" t="s">
        <v>525</v>
      </c>
      <c r="S8" s="242" t="s">
        <v>954</v>
      </c>
      <c r="U8" t="s">
        <v>1009</v>
      </c>
    </row>
    <row r="9" spans="2:26">
      <c r="C9" s="237" t="s">
        <v>800</v>
      </c>
      <c r="D9" s="196">
        <v>8.1</v>
      </c>
      <c r="E9">
        <v>8.9</v>
      </c>
      <c r="F9" s="196">
        <v>8.6999999999999993</v>
      </c>
      <c r="G9">
        <v>8.1999999999999993</v>
      </c>
      <c r="H9" s="196">
        <v>7</v>
      </c>
      <c r="I9">
        <v>8.5</v>
      </c>
      <c r="J9" s="196">
        <v>5.5</v>
      </c>
      <c r="K9" s="196">
        <v>7.8</v>
      </c>
      <c r="R9" s="238" t="s">
        <v>954</v>
      </c>
      <c r="S9" s="238" t="s">
        <v>598</v>
      </c>
      <c r="U9" t="s">
        <v>1009</v>
      </c>
      <c r="V9" t="s">
        <v>1344</v>
      </c>
    </row>
    <row r="10" spans="2:26">
      <c r="B10" t="s">
        <v>1205</v>
      </c>
      <c r="C10" t="s">
        <v>511</v>
      </c>
      <c r="D10" s="318">
        <v>9.3000000000000007</v>
      </c>
      <c r="E10" s="330">
        <v>9.4</v>
      </c>
      <c r="F10" s="485">
        <v>8.3000000000000007</v>
      </c>
      <c r="G10">
        <v>2.2999999999999998</v>
      </c>
      <c r="H10" s="196">
        <v>6.5</v>
      </c>
      <c r="I10">
        <v>6.2</v>
      </c>
      <c r="J10" s="318">
        <v>7.5</v>
      </c>
      <c r="K10" s="196">
        <v>7.8</v>
      </c>
      <c r="M10" s="196">
        <v>6</v>
      </c>
    </row>
    <row r="11" spans="2:26">
      <c r="D11" s="307">
        <v>8.1999999999999993</v>
      </c>
      <c r="E11" s="492">
        <v>9.6</v>
      </c>
      <c r="F11" s="493">
        <v>9.4</v>
      </c>
      <c r="G11" s="492">
        <v>9.3000000000000007</v>
      </c>
      <c r="H11" s="238">
        <v>6.7</v>
      </c>
      <c r="I11" s="302">
        <v>6.8</v>
      </c>
      <c r="J11" s="291">
        <v>5</v>
      </c>
      <c r="K11" s="318">
        <v>7.7</v>
      </c>
      <c r="L11">
        <v>18</v>
      </c>
      <c r="M11">
        <v>8</v>
      </c>
      <c r="R11" s="410" t="s">
        <v>598</v>
      </c>
      <c r="S11" s="410" t="s">
        <v>598</v>
      </c>
      <c r="U11" t="s">
        <v>1005</v>
      </c>
      <c r="V11" t="s">
        <v>1343</v>
      </c>
    </row>
    <row r="12" spans="2:26">
      <c r="B12" t="s">
        <v>880</v>
      </c>
      <c r="C12" t="s">
        <v>1220</v>
      </c>
      <c r="D12" s="196">
        <v>8.5</v>
      </c>
      <c r="E12">
        <v>9.3000000000000007</v>
      </c>
      <c r="F12" s="196">
        <v>9.6999999999999993</v>
      </c>
      <c r="G12">
        <v>6.7</v>
      </c>
      <c r="H12" s="196">
        <v>7</v>
      </c>
      <c r="I12">
        <v>6.3</v>
      </c>
      <c r="J12" s="196">
        <v>2.7</v>
      </c>
      <c r="K12" s="196">
        <v>8</v>
      </c>
      <c r="Q12" t="s">
        <v>1009</v>
      </c>
      <c r="R12" s="242" t="s">
        <v>598</v>
      </c>
      <c r="S12" s="242" t="s">
        <v>618</v>
      </c>
    </row>
    <row r="13" spans="2:26">
      <c r="C13" t="s">
        <v>925</v>
      </c>
      <c r="D13" s="307">
        <v>8.1999999999999993</v>
      </c>
      <c r="E13" s="492">
        <v>9.6</v>
      </c>
      <c r="F13" s="493">
        <v>9.4</v>
      </c>
      <c r="G13" s="492">
        <v>9.3000000000000007</v>
      </c>
      <c r="H13" s="238">
        <v>6.7</v>
      </c>
      <c r="I13" s="302">
        <v>6.8</v>
      </c>
      <c r="J13" s="485">
        <v>5</v>
      </c>
      <c r="K13" s="318">
        <v>7.7</v>
      </c>
      <c r="L13">
        <v>18</v>
      </c>
      <c r="M13">
        <v>8</v>
      </c>
    </row>
    <row r="14" spans="2:26">
      <c r="B14" t="s">
        <v>1205</v>
      </c>
      <c r="C14" t="s">
        <v>511</v>
      </c>
      <c r="D14" s="318">
        <v>9.3000000000000007</v>
      </c>
      <c r="E14" s="330">
        <v>9.4</v>
      </c>
      <c r="F14" s="485">
        <v>8.3000000000000007</v>
      </c>
      <c r="G14">
        <v>2.2999999999999998</v>
      </c>
      <c r="H14" s="196">
        <v>6.5</v>
      </c>
      <c r="I14">
        <v>6.2</v>
      </c>
      <c r="J14" s="318">
        <v>7.5</v>
      </c>
      <c r="K14" s="196">
        <v>7.8</v>
      </c>
      <c r="M14" s="196">
        <v>6</v>
      </c>
      <c r="Q14" t="s">
        <v>1009</v>
      </c>
      <c r="R14" t="s">
        <v>525</v>
      </c>
      <c r="S14" t="s">
        <v>525</v>
      </c>
      <c r="T14" s="410" t="s">
        <v>525</v>
      </c>
      <c r="U14" s="410">
        <v>2</v>
      </c>
    </row>
    <row r="15" spans="2:26">
      <c r="B15" t="s">
        <v>1441</v>
      </c>
      <c r="C15" t="s">
        <v>1442</v>
      </c>
      <c r="D15">
        <v>8.1999999999999993</v>
      </c>
      <c r="E15">
        <v>9.1999999999999993</v>
      </c>
      <c r="F15">
        <v>8.6</v>
      </c>
      <c r="G15" s="492">
        <v>2</v>
      </c>
      <c r="H15" s="238">
        <v>4.5</v>
      </c>
      <c r="I15" s="302">
        <v>2.6</v>
      </c>
      <c r="J15">
        <v>5.9</v>
      </c>
      <c r="K15" s="318">
        <v>6.5</v>
      </c>
      <c r="R15" t="s">
        <v>598</v>
      </c>
      <c r="S15" t="s">
        <v>618</v>
      </c>
      <c r="T15" s="410" t="s">
        <v>598</v>
      </c>
      <c r="U15" s="410">
        <v>2</v>
      </c>
    </row>
    <row r="16" spans="2:26">
      <c r="R16" t="s">
        <v>598</v>
      </c>
      <c r="S16" t="s">
        <v>954</v>
      </c>
      <c r="T16" s="410" t="s">
        <v>618</v>
      </c>
      <c r="U16" s="410">
        <v>1</v>
      </c>
    </row>
    <row r="17" spans="3:27">
      <c r="H17" t="s">
        <v>870</v>
      </c>
      <c r="I17" t="s">
        <v>525</v>
      </c>
      <c r="J17" t="s">
        <v>598</v>
      </c>
      <c r="T17" s="410" t="s">
        <v>954</v>
      </c>
      <c r="U17" s="410">
        <v>1</v>
      </c>
    </row>
    <row r="18" spans="3:27">
      <c r="C18">
        <v>11</v>
      </c>
      <c r="D18" t="s">
        <v>1009</v>
      </c>
      <c r="E18" t="s">
        <v>525</v>
      </c>
      <c r="F18" t="s">
        <v>598</v>
      </c>
      <c r="G18">
        <v>13</v>
      </c>
      <c r="H18" t="s">
        <v>1009</v>
      </c>
      <c r="I18" t="s">
        <v>525</v>
      </c>
      <c r="J18" t="s">
        <v>525</v>
      </c>
      <c r="K18">
        <v>14</v>
      </c>
      <c r="L18" t="s">
        <v>1009</v>
      </c>
      <c r="M18" t="s">
        <v>525</v>
      </c>
      <c r="N18" t="s">
        <v>525</v>
      </c>
      <c r="Q18" t="s">
        <v>1009</v>
      </c>
      <c r="R18" t="s">
        <v>525</v>
      </c>
      <c r="S18" t="s">
        <v>525</v>
      </c>
      <c r="T18" s="410" t="s">
        <v>525</v>
      </c>
      <c r="U18" s="410">
        <v>3</v>
      </c>
    </row>
    <row r="19" spans="3:27">
      <c r="D19" t="s">
        <v>1009</v>
      </c>
      <c r="E19" t="s">
        <v>525</v>
      </c>
      <c r="F19" t="s">
        <v>954</v>
      </c>
      <c r="H19" t="s">
        <v>1009</v>
      </c>
      <c r="I19" t="s">
        <v>525</v>
      </c>
      <c r="J19" t="s">
        <v>954</v>
      </c>
      <c r="L19" t="s">
        <v>1009</v>
      </c>
      <c r="M19" t="s">
        <v>525</v>
      </c>
      <c r="N19" t="s">
        <v>598</v>
      </c>
      <c r="R19" t="s">
        <v>598</v>
      </c>
      <c r="S19" t="s">
        <v>618</v>
      </c>
      <c r="T19" s="410" t="s">
        <v>598</v>
      </c>
      <c r="U19" s="410">
        <v>2</v>
      </c>
    </row>
    <row r="20" spans="3:27">
      <c r="D20" t="s">
        <v>1009</v>
      </c>
      <c r="E20" t="s">
        <v>598</v>
      </c>
      <c r="F20" t="s">
        <v>954</v>
      </c>
      <c r="H20" t="s">
        <v>1009</v>
      </c>
      <c r="I20" t="s">
        <v>598</v>
      </c>
      <c r="J20" t="s">
        <v>954</v>
      </c>
      <c r="L20" t="s">
        <v>1009</v>
      </c>
      <c r="M20" t="s">
        <v>598</v>
      </c>
      <c r="N20" t="s">
        <v>954</v>
      </c>
      <c r="R20" t="s">
        <v>598</v>
      </c>
      <c r="S20" t="s">
        <v>525</v>
      </c>
      <c r="T20" s="410" t="s">
        <v>618</v>
      </c>
      <c r="U20" s="410">
        <v>1</v>
      </c>
    </row>
    <row r="21" spans="3:27">
      <c r="T21" s="410"/>
      <c r="U21" s="410"/>
    </row>
    <row r="22" spans="3:27">
      <c r="D22" t="s">
        <v>1005</v>
      </c>
      <c r="E22" t="s">
        <v>525</v>
      </c>
      <c r="F22" t="s">
        <v>954</v>
      </c>
      <c r="Q22" t="s">
        <v>1009</v>
      </c>
      <c r="R22" t="s">
        <v>525</v>
      </c>
      <c r="S22" t="s">
        <v>525</v>
      </c>
      <c r="T22" s="410" t="s">
        <v>525</v>
      </c>
      <c r="U22" s="410">
        <v>2</v>
      </c>
    </row>
    <row r="23" spans="3:27">
      <c r="D23" t="s">
        <v>1005</v>
      </c>
      <c r="E23" t="s">
        <v>598</v>
      </c>
      <c r="F23" t="s">
        <v>598</v>
      </c>
      <c r="R23" t="s">
        <v>598</v>
      </c>
      <c r="S23" t="s">
        <v>618</v>
      </c>
      <c r="T23" s="410" t="s">
        <v>598</v>
      </c>
      <c r="U23" s="410">
        <v>1</v>
      </c>
    </row>
    <row r="24" spans="3:27">
      <c r="R24" t="s">
        <v>954</v>
      </c>
      <c r="S24" t="s">
        <v>954</v>
      </c>
      <c r="T24" s="410" t="s">
        <v>954</v>
      </c>
      <c r="U24" s="410">
        <v>2</v>
      </c>
    </row>
    <row r="25" spans="3:27" ht="15.75" thickBot="1">
      <c r="D25" t="s">
        <v>525</v>
      </c>
      <c r="E25" t="s">
        <v>525</v>
      </c>
      <c r="G25">
        <v>15</v>
      </c>
      <c r="H25" t="s">
        <v>1009</v>
      </c>
      <c r="I25" t="s">
        <v>525</v>
      </c>
      <c r="J25" t="s">
        <v>525</v>
      </c>
      <c r="L25" t="s">
        <v>1009</v>
      </c>
      <c r="M25" t="s">
        <v>525</v>
      </c>
      <c r="N25" t="s">
        <v>598</v>
      </c>
      <c r="T25" s="410" t="s">
        <v>1303</v>
      </c>
      <c r="U25" s="410">
        <v>1</v>
      </c>
    </row>
    <row r="26" spans="3:27">
      <c r="D26" t="s">
        <v>525</v>
      </c>
      <c r="E26" t="s">
        <v>598</v>
      </c>
      <c r="H26" s="5" t="s">
        <v>1009</v>
      </c>
      <c r="I26" s="6" t="s">
        <v>525</v>
      </c>
      <c r="J26" s="344" t="s">
        <v>598</v>
      </c>
      <c r="L26" t="s">
        <v>1009</v>
      </c>
      <c r="M26" t="s">
        <v>525</v>
      </c>
      <c r="N26" t="s">
        <v>954</v>
      </c>
    </row>
    <row r="27" spans="3:27">
      <c r="D27" t="s">
        <v>525</v>
      </c>
      <c r="E27" t="s">
        <v>954</v>
      </c>
      <c r="H27" s="575" t="s">
        <v>1005</v>
      </c>
      <c r="I27" s="385" t="s">
        <v>525</v>
      </c>
      <c r="J27" s="390" t="s">
        <v>954</v>
      </c>
      <c r="L27" s="385" t="s">
        <v>1096</v>
      </c>
      <c r="M27" s="385" t="s">
        <v>525</v>
      </c>
      <c r="N27" s="385" t="s">
        <v>954</v>
      </c>
      <c r="Q27" t="s">
        <v>1009</v>
      </c>
      <c r="R27" t="s">
        <v>525</v>
      </c>
      <c r="S27" t="s">
        <v>525</v>
      </c>
      <c r="T27" s="410" t="s">
        <v>525</v>
      </c>
      <c r="U27" s="410">
        <v>3</v>
      </c>
      <c r="W27" t="s">
        <v>1009</v>
      </c>
      <c r="X27" t="s">
        <v>525</v>
      </c>
      <c r="Y27" t="s">
        <v>525</v>
      </c>
      <c r="Z27" s="410" t="s">
        <v>525</v>
      </c>
      <c r="AA27" s="410">
        <v>3</v>
      </c>
    </row>
    <row r="28" spans="3:27" ht="15.75" thickBot="1">
      <c r="D28" t="s">
        <v>598</v>
      </c>
      <c r="E28" t="s">
        <v>954</v>
      </c>
      <c r="H28" s="576" t="s">
        <v>1009</v>
      </c>
      <c r="I28" s="419" t="s">
        <v>598</v>
      </c>
      <c r="J28" s="495" t="s">
        <v>954</v>
      </c>
      <c r="L28" s="420" t="s">
        <v>1009</v>
      </c>
      <c r="M28" s="420" t="s">
        <v>598</v>
      </c>
      <c r="N28" s="420" t="s">
        <v>1303</v>
      </c>
      <c r="R28" t="s">
        <v>598</v>
      </c>
      <c r="S28" t="s">
        <v>618</v>
      </c>
      <c r="T28" s="410" t="s">
        <v>598</v>
      </c>
      <c r="U28" s="410">
        <v>4</v>
      </c>
      <c r="X28" t="s">
        <v>598</v>
      </c>
      <c r="Y28" t="s">
        <v>618</v>
      </c>
      <c r="Z28" s="410" t="s">
        <v>598</v>
      </c>
      <c r="AA28" s="410">
        <v>3</v>
      </c>
    </row>
    <row r="29" spans="3:27">
      <c r="H29" t="s">
        <v>1005</v>
      </c>
      <c r="I29" t="s">
        <v>598</v>
      </c>
      <c r="J29" t="s">
        <v>598</v>
      </c>
      <c r="L29" t="s">
        <v>1005</v>
      </c>
      <c r="M29" t="s">
        <v>598</v>
      </c>
      <c r="N29" t="s">
        <v>598</v>
      </c>
      <c r="R29" t="s">
        <v>598</v>
      </c>
      <c r="S29" t="s">
        <v>954</v>
      </c>
      <c r="T29" s="410" t="s">
        <v>954</v>
      </c>
      <c r="U29" s="410">
        <v>2</v>
      </c>
      <c r="X29" t="s">
        <v>598</v>
      </c>
      <c r="Y29" t="s">
        <v>954</v>
      </c>
      <c r="Z29" s="410" t="s">
        <v>954</v>
      </c>
      <c r="AA29" s="410">
        <v>3</v>
      </c>
    </row>
    <row r="30" spans="3:27">
      <c r="Q30" t="s">
        <v>1096</v>
      </c>
      <c r="R30" t="s">
        <v>525</v>
      </c>
      <c r="S30" t="s">
        <v>954</v>
      </c>
      <c r="T30" s="410" t="s">
        <v>1303</v>
      </c>
      <c r="U30" s="410">
        <v>1</v>
      </c>
      <c r="W30" t="s">
        <v>1096</v>
      </c>
      <c r="X30" t="s">
        <v>525</v>
      </c>
      <c r="Y30" t="s">
        <v>954</v>
      </c>
      <c r="Z30" s="410" t="s">
        <v>1303</v>
      </c>
      <c r="AA30" s="410">
        <v>1</v>
      </c>
    </row>
    <row r="31" spans="3:27" ht="15.75" thickBot="1">
      <c r="D31">
        <v>8.1999999999999993</v>
      </c>
      <c r="E31">
        <v>9.4</v>
      </c>
      <c r="G31">
        <v>16</v>
      </c>
      <c r="H31" t="s">
        <v>1009</v>
      </c>
      <c r="I31" t="s">
        <v>954</v>
      </c>
      <c r="J31" t="s">
        <v>954</v>
      </c>
      <c r="L31" t="s">
        <v>525</v>
      </c>
      <c r="M31">
        <v>4</v>
      </c>
      <c r="Q31" t="s">
        <v>1005</v>
      </c>
      <c r="R31" t="s">
        <v>598</v>
      </c>
      <c r="S31" t="s">
        <v>598</v>
      </c>
      <c r="W31" t="s">
        <v>1005</v>
      </c>
      <c r="X31" t="s">
        <v>598</v>
      </c>
      <c r="Y31" t="s">
        <v>954</v>
      </c>
    </row>
    <row r="32" spans="3:27">
      <c r="D32">
        <v>9.3000000000000007</v>
      </c>
      <c r="E32">
        <v>8.3000000000000007</v>
      </c>
      <c r="H32" s="5" t="s">
        <v>1009</v>
      </c>
      <c r="I32" s="6" t="s">
        <v>525</v>
      </c>
      <c r="J32" s="344" t="s">
        <v>598</v>
      </c>
      <c r="L32" t="s">
        <v>598</v>
      </c>
      <c r="M32">
        <v>4</v>
      </c>
    </row>
    <row r="33" spans="3:32">
      <c r="D33">
        <f>SUM(D31:D32)/2</f>
        <v>8.75</v>
      </c>
      <c r="E33">
        <f>SUM(E31:E32)/2</f>
        <v>8.8500000000000014</v>
      </c>
      <c r="H33" s="575" t="s">
        <v>1005</v>
      </c>
      <c r="I33" s="385" t="s">
        <v>525</v>
      </c>
      <c r="J33" s="390" t="s">
        <v>954</v>
      </c>
      <c r="L33" t="s">
        <v>954</v>
      </c>
      <c r="M33">
        <v>2</v>
      </c>
      <c r="Q33" t="s">
        <v>1009</v>
      </c>
      <c r="R33" t="s">
        <v>525</v>
      </c>
      <c r="S33" t="s">
        <v>525</v>
      </c>
      <c r="T33" s="410" t="s">
        <v>525</v>
      </c>
      <c r="U33" s="410">
        <v>3</v>
      </c>
    </row>
    <row r="34" spans="3:32" ht="15.75" thickBot="1">
      <c r="H34" s="576" t="s">
        <v>1009</v>
      </c>
      <c r="I34" s="419" t="s">
        <v>598</v>
      </c>
      <c r="J34" s="495" t="s">
        <v>954</v>
      </c>
      <c r="L34" t="s">
        <v>618</v>
      </c>
      <c r="M34">
        <v>1</v>
      </c>
      <c r="Q34" s="339" t="s">
        <v>1009</v>
      </c>
      <c r="R34" s="339" t="s">
        <v>598</v>
      </c>
      <c r="S34" s="339" t="s">
        <v>618</v>
      </c>
      <c r="T34" s="410" t="s">
        <v>598</v>
      </c>
      <c r="U34" s="410">
        <v>3</v>
      </c>
    </row>
    <row r="35" spans="3:32">
      <c r="H35" t="s">
        <v>1005</v>
      </c>
      <c r="I35" t="s">
        <v>598</v>
      </c>
      <c r="J35" t="s">
        <v>598</v>
      </c>
      <c r="Q35" t="s">
        <v>1009</v>
      </c>
      <c r="R35" t="s">
        <v>954</v>
      </c>
      <c r="S35" t="s">
        <v>954</v>
      </c>
      <c r="T35" s="410" t="s">
        <v>954</v>
      </c>
      <c r="U35" s="410">
        <v>3</v>
      </c>
    </row>
    <row r="36" spans="3:32">
      <c r="Q36" s="339" t="s">
        <v>1096</v>
      </c>
      <c r="R36" s="339" t="s">
        <v>525</v>
      </c>
      <c r="S36" s="339" t="s">
        <v>954</v>
      </c>
      <c r="T36" s="410" t="s">
        <v>1303</v>
      </c>
      <c r="U36" s="410">
        <v>1</v>
      </c>
    </row>
    <row r="37" spans="3:32">
      <c r="D37" t="s">
        <v>1355</v>
      </c>
      <c r="H37" t="s">
        <v>1358</v>
      </c>
      <c r="Q37" t="s">
        <v>1005</v>
      </c>
      <c r="R37" t="s">
        <v>598</v>
      </c>
      <c r="S37" t="s">
        <v>598</v>
      </c>
    </row>
    <row r="38" spans="3:32">
      <c r="D38" s="175" t="s">
        <v>525</v>
      </c>
      <c r="E38" s="175" t="s">
        <v>525</v>
      </c>
      <c r="F38" s="578">
        <v>43</v>
      </c>
      <c r="G38">
        <v>16</v>
      </c>
      <c r="H38" s="302" t="s">
        <v>525</v>
      </c>
      <c r="I38" s="302" t="s">
        <v>525</v>
      </c>
      <c r="J38" s="302" t="s">
        <v>1009</v>
      </c>
      <c r="L38" s="410" t="s">
        <v>525</v>
      </c>
      <c r="M38">
        <v>4</v>
      </c>
    </row>
    <row r="39" spans="3:32">
      <c r="D39" s="410" t="s">
        <v>598</v>
      </c>
      <c r="E39" s="410" t="s">
        <v>598</v>
      </c>
      <c r="F39" s="122">
        <v>62</v>
      </c>
      <c r="H39" s="302" t="s">
        <v>598</v>
      </c>
      <c r="I39" s="302" t="s">
        <v>598</v>
      </c>
      <c r="J39" s="302" t="s">
        <v>1005</v>
      </c>
      <c r="L39" s="410" t="s">
        <v>598</v>
      </c>
      <c r="M39">
        <v>5</v>
      </c>
      <c r="Q39" t="s">
        <v>1009</v>
      </c>
      <c r="R39" t="s">
        <v>525</v>
      </c>
      <c r="S39" t="s">
        <v>525</v>
      </c>
      <c r="T39" s="410" t="s">
        <v>525</v>
      </c>
      <c r="U39" s="410">
        <v>3</v>
      </c>
      <c r="W39" t="s">
        <v>1009</v>
      </c>
      <c r="X39" s="339" t="s">
        <v>525</v>
      </c>
      <c r="Y39" s="339" t="s">
        <v>525</v>
      </c>
    </row>
    <row r="40" spans="3:32">
      <c r="D40" s="410" t="s">
        <v>954</v>
      </c>
      <c r="E40" s="410" t="s">
        <v>954</v>
      </c>
      <c r="F40" s="122">
        <v>2</v>
      </c>
      <c r="H40" s="410" t="s">
        <v>954</v>
      </c>
      <c r="I40" s="410" t="s">
        <v>954</v>
      </c>
      <c r="L40" t="s">
        <v>954</v>
      </c>
      <c r="M40">
        <v>2</v>
      </c>
      <c r="Q40" s="339" t="s">
        <v>1009</v>
      </c>
      <c r="R40" s="339" t="s">
        <v>598</v>
      </c>
      <c r="S40" s="339" t="s">
        <v>618</v>
      </c>
      <c r="T40" s="410" t="s">
        <v>598</v>
      </c>
      <c r="U40" s="410">
        <v>3</v>
      </c>
      <c r="W40" t="s">
        <v>1009</v>
      </c>
      <c r="X40" s="339" t="s">
        <v>525</v>
      </c>
      <c r="Y40" s="339" t="s">
        <v>598</v>
      </c>
      <c r="AA40" t="s">
        <v>1009</v>
      </c>
      <c r="AB40" s="339" t="s">
        <v>525</v>
      </c>
      <c r="AC40" s="339" t="s">
        <v>598</v>
      </c>
    </row>
    <row r="41" spans="3:32" ht="15.75" thickBot="1">
      <c r="D41" s="238" t="s">
        <v>525</v>
      </c>
      <c r="E41" s="238" t="s">
        <v>598</v>
      </c>
      <c r="F41" s="122">
        <v>47</v>
      </c>
      <c r="H41" s="302" t="s">
        <v>525</v>
      </c>
      <c r="I41" s="302" t="s">
        <v>598</v>
      </c>
      <c r="J41" s="302" t="s">
        <v>1009</v>
      </c>
      <c r="L41" s="238" t="s">
        <v>1303</v>
      </c>
      <c r="M41">
        <v>1</v>
      </c>
      <c r="Q41" t="s">
        <v>1009</v>
      </c>
      <c r="R41" t="s">
        <v>954</v>
      </c>
      <c r="S41" t="s">
        <v>954</v>
      </c>
      <c r="T41" s="410" t="s">
        <v>954</v>
      </c>
      <c r="U41" s="410">
        <v>3</v>
      </c>
      <c r="W41" t="s">
        <v>1005</v>
      </c>
      <c r="X41" s="339" t="s">
        <v>525</v>
      </c>
      <c r="Y41" s="339" t="s">
        <v>954</v>
      </c>
      <c r="AA41" t="s">
        <v>1005</v>
      </c>
      <c r="AB41" s="339" t="s">
        <v>525</v>
      </c>
      <c r="AC41" s="339" t="s">
        <v>954</v>
      </c>
    </row>
    <row r="42" spans="3:32">
      <c r="C42" t="s">
        <v>1382</v>
      </c>
      <c r="D42" s="600" t="s">
        <v>525</v>
      </c>
      <c r="E42" s="266" t="s">
        <v>954</v>
      </c>
      <c r="F42" s="601" t="s">
        <v>1356</v>
      </c>
      <c r="H42" s="242" t="s">
        <v>525</v>
      </c>
      <c r="I42" s="242" t="s">
        <v>954</v>
      </c>
      <c r="J42" s="242" t="s">
        <v>1005</v>
      </c>
      <c r="Q42" s="339" t="s">
        <v>1096</v>
      </c>
      <c r="R42" s="339" t="s">
        <v>525</v>
      </c>
      <c r="S42" s="339" t="s">
        <v>954</v>
      </c>
      <c r="T42" s="410" t="s">
        <v>1303</v>
      </c>
      <c r="U42" s="410">
        <v>1</v>
      </c>
      <c r="W42" t="s">
        <v>1005</v>
      </c>
      <c r="X42" s="339" t="s">
        <v>598</v>
      </c>
      <c r="Y42" s="339" t="s">
        <v>598</v>
      </c>
    </row>
    <row r="43" spans="3:32" ht="15.75" thickBot="1">
      <c r="D43" s="602" t="s">
        <v>598</v>
      </c>
      <c r="E43" s="583" t="s">
        <v>954</v>
      </c>
      <c r="F43" s="603" t="s">
        <v>1357</v>
      </c>
      <c r="H43" s="302" t="s">
        <v>598</v>
      </c>
      <c r="I43" s="302" t="s">
        <v>954</v>
      </c>
      <c r="J43" s="302" t="s">
        <v>870</v>
      </c>
      <c r="Q43" t="s">
        <v>1005</v>
      </c>
      <c r="R43" t="s">
        <v>598</v>
      </c>
      <c r="S43" t="s">
        <v>598</v>
      </c>
      <c r="W43" t="s">
        <v>1005</v>
      </c>
      <c r="X43" s="339" t="s">
        <v>598</v>
      </c>
      <c r="Y43" s="339" t="s">
        <v>954</v>
      </c>
      <c r="AA43" t="s">
        <v>1005</v>
      </c>
      <c r="AB43" s="339" t="s">
        <v>598</v>
      </c>
      <c r="AC43" s="339" t="s">
        <v>954</v>
      </c>
    </row>
    <row r="44" spans="3:32">
      <c r="F44" s="122"/>
      <c r="H44" t="s">
        <v>598</v>
      </c>
      <c r="I44" t="s">
        <v>1303</v>
      </c>
      <c r="J44" t="s">
        <v>1009</v>
      </c>
      <c r="W44" t="s">
        <v>1009</v>
      </c>
      <c r="X44" s="339" t="s">
        <v>954</v>
      </c>
      <c r="Y44" s="339" t="s">
        <v>954</v>
      </c>
      <c r="AA44" t="s">
        <v>1009</v>
      </c>
      <c r="AB44" s="339" t="s">
        <v>954</v>
      </c>
      <c r="AC44" s="339" t="s">
        <v>954</v>
      </c>
    </row>
    <row r="45" spans="3:32">
      <c r="F45" s="122"/>
      <c r="I45" t="s">
        <v>525</v>
      </c>
      <c r="J45" t="s">
        <v>598</v>
      </c>
      <c r="K45" t="s">
        <v>954</v>
      </c>
      <c r="L45" t="s">
        <v>1303</v>
      </c>
      <c r="W45" t="s">
        <v>1009</v>
      </c>
      <c r="X45" t="s">
        <v>598</v>
      </c>
      <c r="Y45" t="s">
        <v>1303</v>
      </c>
      <c r="AA45" t="s">
        <v>1009</v>
      </c>
      <c r="AB45" t="s">
        <v>598</v>
      </c>
      <c r="AC45" t="s">
        <v>1303</v>
      </c>
    </row>
    <row r="46" spans="3:32">
      <c r="D46" s="410" t="s">
        <v>525</v>
      </c>
      <c r="E46" s="410" t="s">
        <v>525</v>
      </c>
      <c r="F46" s="122" t="s">
        <v>1009</v>
      </c>
      <c r="H46" t="s">
        <v>1009</v>
      </c>
      <c r="I46">
        <v>3</v>
      </c>
      <c r="J46">
        <v>2</v>
      </c>
      <c r="K46" t="s">
        <v>21</v>
      </c>
      <c r="L46">
        <v>1</v>
      </c>
      <c r="P46" t="s">
        <v>1347</v>
      </c>
      <c r="V46" t="s">
        <v>1348</v>
      </c>
      <c r="AD46" t="s">
        <v>1319</v>
      </c>
      <c r="AE46" t="s">
        <v>1320</v>
      </c>
      <c r="AF46" t="s">
        <v>1346</v>
      </c>
    </row>
    <row r="47" spans="3:32">
      <c r="D47" s="410" t="s">
        <v>598</v>
      </c>
      <c r="E47" s="410" t="s">
        <v>598</v>
      </c>
      <c r="F47" s="122" t="s">
        <v>1005</v>
      </c>
      <c r="H47" t="s">
        <v>1096</v>
      </c>
      <c r="I47">
        <v>1</v>
      </c>
      <c r="J47">
        <v>2</v>
      </c>
      <c r="K47">
        <v>1</v>
      </c>
      <c r="L47" t="s">
        <v>21</v>
      </c>
      <c r="Q47" t="s">
        <v>1009</v>
      </c>
      <c r="R47" t="s">
        <v>525</v>
      </c>
      <c r="S47" t="s">
        <v>598</v>
      </c>
      <c r="W47" t="s">
        <v>1009</v>
      </c>
      <c r="X47" s="339" t="s">
        <v>525</v>
      </c>
      <c r="Y47" s="339" t="s">
        <v>525</v>
      </c>
      <c r="AA47" t="s">
        <v>525</v>
      </c>
      <c r="AB47">
        <v>4</v>
      </c>
      <c r="AD47">
        <v>2</v>
      </c>
      <c r="AE47">
        <v>1</v>
      </c>
      <c r="AF47">
        <v>1</v>
      </c>
    </row>
    <row r="48" spans="3:32">
      <c r="D48" s="410" t="s">
        <v>954</v>
      </c>
      <c r="E48" s="410" t="s">
        <v>954</v>
      </c>
      <c r="F48" s="122"/>
      <c r="Q48" t="s">
        <v>1009</v>
      </c>
      <c r="R48" t="s">
        <v>525</v>
      </c>
      <c r="S48" t="s">
        <v>954</v>
      </c>
      <c r="W48" t="s">
        <v>870</v>
      </c>
      <c r="X48" s="339" t="s">
        <v>525</v>
      </c>
      <c r="Y48" s="339" t="s">
        <v>598</v>
      </c>
      <c r="AA48" t="s">
        <v>598</v>
      </c>
      <c r="AB48">
        <v>4</v>
      </c>
      <c r="AD48">
        <v>1</v>
      </c>
      <c r="AE48">
        <v>2</v>
      </c>
      <c r="AF48">
        <v>1</v>
      </c>
    </row>
    <row r="49" spans="4:34">
      <c r="D49" s="238" t="s">
        <v>525</v>
      </c>
      <c r="E49" s="238" t="s">
        <v>598</v>
      </c>
      <c r="F49" s="122" t="s">
        <v>1009</v>
      </c>
      <c r="Q49" t="s">
        <v>1009</v>
      </c>
      <c r="R49" t="s">
        <v>598</v>
      </c>
      <c r="S49" t="s">
        <v>954</v>
      </c>
      <c r="W49" t="s">
        <v>1005</v>
      </c>
      <c r="X49" s="339" t="s">
        <v>525</v>
      </c>
      <c r="Y49" s="339" t="s">
        <v>954</v>
      </c>
      <c r="AA49" t="s">
        <v>954</v>
      </c>
      <c r="AB49">
        <v>3</v>
      </c>
      <c r="AD49">
        <v>2</v>
      </c>
      <c r="AE49">
        <v>1</v>
      </c>
    </row>
    <row r="50" spans="4:34">
      <c r="D50" s="242" t="s">
        <v>525</v>
      </c>
      <c r="E50" s="242" t="s">
        <v>954</v>
      </c>
      <c r="F50" s="122" t="s">
        <v>1005</v>
      </c>
      <c r="W50" t="s">
        <v>1005</v>
      </c>
      <c r="X50" s="339" t="s">
        <v>598</v>
      </c>
      <c r="Y50" s="339" t="s">
        <v>598</v>
      </c>
      <c r="AA50" t="s">
        <v>1303</v>
      </c>
      <c r="AB50">
        <v>1</v>
      </c>
      <c r="AD50">
        <v>1</v>
      </c>
    </row>
    <row r="51" spans="4:34">
      <c r="D51" s="238" t="s">
        <v>598</v>
      </c>
      <c r="E51" s="238" t="s">
        <v>954</v>
      </c>
      <c r="F51" t="s">
        <v>870</v>
      </c>
      <c r="J51" t="s">
        <v>525</v>
      </c>
      <c r="K51" t="s">
        <v>598</v>
      </c>
      <c r="Q51" t="s">
        <v>870</v>
      </c>
      <c r="R51" t="s">
        <v>525</v>
      </c>
      <c r="S51" t="s">
        <v>598</v>
      </c>
      <c r="W51" t="s">
        <v>1009</v>
      </c>
      <c r="X51" s="339" t="s">
        <v>598</v>
      </c>
      <c r="Y51" s="339" t="s">
        <v>618</v>
      </c>
    </row>
    <row r="52" spans="4:34">
      <c r="D52" t="s">
        <v>598</v>
      </c>
      <c r="E52" t="s">
        <v>618</v>
      </c>
      <c r="F52" t="s">
        <v>1009</v>
      </c>
      <c r="J52" t="s">
        <v>525</v>
      </c>
      <c r="K52" t="s">
        <v>954</v>
      </c>
      <c r="Q52" t="s">
        <v>1005</v>
      </c>
      <c r="R52" t="s">
        <v>525</v>
      </c>
      <c r="S52" t="s">
        <v>954</v>
      </c>
      <c r="W52" t="s">
        <v>1009</v>
      </c>
      <c r="X52" s="339" t="s">
        <v>954</v>
      </c>
      <c r="Y52" s="339" t="s">
        <v>954</v>
      </c>
    </row>
    <row r="53" spans="4:34">
      <c r="J53" t="s">
        <v>598</v>
      </c>
      <c r="K53" t="s">
        <v>954</v>
      </c>
      <c r="Q53" t="s">
        <v>1005</v>
      </c>
      <c r="R53" t="s">
        <v>598</v>
      </c>
      <c r="S53" t="s">
        <v>954</v>
      </c>
    </row>
    <row r="54" spans="4:34">
      <c r="D54" s="410" t="s">
        <v>525</v>
      </c>
      <c r="E54" s="410" t="s">
        <v>525</v>
      </c>
      <c r="P54" t="s">
        <v>1349</v>
      </c>
      <c r="T54" t="s">
        <v>1351</v>
      </c>
      <c r="W54" t="s">
        <v>1350</v>
      </c>
      <c r="AA54" t="s">
        <v>1353</v>
      </c>
      <c r="AE54" t="s">
        <v>1354</v>
      </c>
    </row>
    <row r="55" spans="4:34">
      <c r="D55" s="410" t="s">
        <v>598</v>
      </c>
      <c r="E55" s="410" t="s">
        <v>598</v>
      </c>
      <c r="Q55" t="s">
        <v>1009</v>
      </c>
      <c r="R55" t="s">
        <v>525</v>
      </c>
      <c r="S55" t="s">
        <v>598</v>
      </c>
      <c r="T55" t="s">
        <v>1009</v>
      </c>
      <c r="U55" t="s">
        <v>598</v>
      </c>
      <c r="V55" t="s">
        <v>598</v>
      </c>
      <c r="X55" t="s">
        <v>1009</v>
      </c>
      <c r="Y55" s="339" t="s">
        <v>525</v>
      </c>
      <c r="Z55" t="s">
        <v>598</v>
      </c>
      <c r="AB55" t="s">
        <v>1009</v>
      </c>
      <c r="AC55" t="s">
        <v>525</v>
      </c>
      <c r="AD55" t="s">
        <v>598</v>
      </c>
      <c r="AF55" t="s">
        <v>1009</v>
      </c>
      <c r="AG55" t="s">
        <v>525</v>
      </c>
      <c r="AH55" t="s">
        <v>598</v>
      </c>
    </row>
    <row r="56" spans="4:34">
      <c r="D56" s="410" t="s">
        <v>954</v>
      </c>
      <c r="E56" s="410" t="s">
        <v>954</v>
      </c>
      <c r="Q56" t="s">
        <v>1009</v>
      </c>
      <c r="R56" t="s">
        <v>525</v>
      </c>
      <c r="S56" t="s">
        <v>954</v>
      </c>
      <c r="T56" t="s">
        <v>1009</v>
      </c>
      <c r="U56" t="s">
        <v>525</v>
      </c>
      <c r="V56" t="s">
        <v>525</v>
      </c>
      <c r="X56" t="s">
        <v>1009</v>
      </c>
      <c r="Y56" s="339" t="s">
        <v>525</v>
      </c>
      <c r="Z56" t="s">
        <v>954</v>
      </c>
      <c r="AB56" t="s">
        <v>1009</v>
      </c>
      <c r="AC56" t="s">
        <v>525</v>
      </c>
      <c r="AD56" t="s">
        <v>954</v>
      </c>
      <c r="AF56" t="s">
        <v>1009</v>
      </c>
      <c r="AG56" t="s">
        <v>525</v>
      </c>
      <c r="AH56" t="s">
        <v>954</v>
      </c>
    </row>
    <row r="57" spans="4:34">
      <c r="D57" s="238" t="s">
        <v>525</v>
      </c>
      <c r="E57" s="238" t="s">
        <v>598</v>
      </c>
      <c r="Q57" t="s">
        <v>1009</v>
      </c>
      <c r="R57" t="s">
        <v>598</v>
      </c>
      <c r="S57" t="s">
        <v>1303</v>
      </c>
      <c r="T57" t="s">
        <v>1009</v>
      </c>
      <c r="U57" t="s">
        <v>598</v>
      </c>
      <c r="V57" t="s">
        <v>954</v>
      </c>
      <c r="X57" t="s">
        <v>1009</v>
      </c>
      <c r="Y57" t="s">
        <v>598</v>
      </c>
      <c r="Z57" t="s">
        <v>954</v>
      </c>
      <c r="AB57" t="s">
        <v>1009</v>
      </c>
      <c r="AC57" t="s">
        <v>598</v>
      </c>
      <c r="AD57" t="s">
        <v>954</v>
      </c>
      <c r="AF57" t="s">
        <v>1009</v>
      </c>
      <c r="AG57" t="s">
        <v>598</v>
      </c>
      <c r="AH57" t="s">
        <v>954</v>
      </c>
    </row>
    <row r="58" spans="4:34">
      <c r="D58" s="242" t="s">
        <v>525</v>
      </c>
      <c r="E58" s="242" t="s">
        <v>954</v>
      </c>
      <c r="W58" t="s">
        <v>1352</v>
      </c>
    </row>
    <row r="59" spans="4:34">
      <c r="D59" s="238" t="s">
        <v>598</v>
      </c>
      <c r="E59" s="238" t="s">
        <v>954</v>
      </c>
      <c r="I59" t="s">
        <v>1009</v>
      </c>
      <c r="J59" t="s">
        <v>525</v>
      </c>
      <c r="K59" t="s">
        <v>598</v>
      </c>
      <c r="Q59" t="s">
        <v>870</v>
      </c>
      <c r="R59" t="s">
        <v>954</v>
      </c>
      <c r="S59" t="s">
        <v>954</v>
      </c>
      <c r="T59" t="s">
        <v>870</v>
      </c>
      <c r="X59" t="s">
        <v>870</v>
      </c>
    </row>
    <row r="60" spans="4:34">
      <c r="J60" t="s">
        <v>525</v>
      </c>
      <c r="K60" t="s">
        <v>954</v>
      </c>
      <c r="Q60" t="s">
        <v>1005</v>
      </c>
      <c r="R60" t="s">
        <v>525</v>
      </c>
      <c r="S60" t="s">
        <v>954</v>
      </c>
      <c r="T60" t="s">
        <v>1005</v>
      </c>
      <c r="U60" t="s">
        <v>525</v>
      </c>
      <c r="V60" t="s">
        <v>954</v>
      </c>
      <c r="X60" t="s">
        <v>1005</v>
      </c>
      <c r="Y60" t="s">
        <v>598</v>
      </c>
      <c r="Z60" t="s">
        <v>598</v>
      </c>
      <c r="AB60" t="s">
        <v>1005</v>
      </c>
      <c r="AC60" t="s">
        <v>525</v>
      </c>
      <c r="AD60" t="s">
        <v>598</v>
      </c>
      <c r="AF60" t="s">
        <v>1005</v>
      </c>
      <c r="AG60" t="s">
        <v>598</v>
      </c>
      <c r="AH60" t="s">
        <v>598</v>
      </c>
    </row>
    <row r="61" spans="4:34">
      <c r="J61" t="s">
        <v>598</v>
      </c>
      <c r="K61" t="s">
        <v>954</v>
      </c>
      <c r="Q61" t="s">
        <v>1005</v>
      </c>
      <c r="R61" t="s">
        <v>598</v>
      </c>
      <c r="S61" t="s">
        <v>598</v>
      </c>
      <c r="T61" t="s">
        <v>1005</v>
      </c>
      <c r="U61" t="s">
        <v>525</v>
      </c>
      <c r="V61" t="s">
        <v>598</v>
      </c>
      <c r="X61" t="s">
        <v>1005</v>
      </c>
      <c r="Y61" t="s">
        <v>525</v>
      </c>
      <c r="Z61" t="s">
        <v>954</v>
      </c>
      <c r="AB61" t="s">
        <v>1005</v>
      </c>
      <c r="AC61" t="s">
        <v>525</v>
      </c>
      <c r="AD61" t="s">
        <v>954</v>
      </c>
      <c r="AF61" t="s">
        <v>1005</v>
      </c>
      <c r="AG61" t="s">
        <v>525</v>
      </c>
      <c r="AH61" t="s">
        <v>954</v>
      </c>
    </row>
    <row r="62" spans="4:34">
      <c r="D62" t="s">
        <v>1009</v>
      </c>
      <c r="H62">
        <v>1</v>
      </c>
    </row>
    <row r="63" spans="4:34" ht="15.75" thickBot="1">
      <c r="D63" s="410" t="s">
        <v>525</v>
      </c>
      <c r="E63" s="410" t="s">
        <v>525</v>
      </c>
      <c r="F63" s="122" t="s">
        <v>1360</v>
      </c>
      <c r="I63" t="s">
        <v>1009</v>
      </c>
      <c r="J63" t="s">
        <v>525</v>
      </c>
      <c r="K63" t="s">
        <v>598</v>
      </c>
    </row>
    <row r="64" spans="4:34">
      <c r="D64" s="330" t="s">
        <v>598</v>
      </c>
      <c r="E64" s="330" t="s">
        <v>598</v>
      </c>
      <c r="F64" s="577" t="s">
        <v>1361</v>
      </c>
      <c r="J64" t="s">
        <v>525</v>
      </c>
      <c r="K64" t="s">
        <v>954</v>
      </c>
      <c r="Q64" s="5" t="s">
        <v>1009</v>
      </c>
      <c r="R64" s="579" t="s">
        <v>598</v>
      </c>
      <c r="S64" s="580" t="s">
        <v>598</v>
      </c>
    </row>
    <row r="65" spans="4:23">
      <c r="D65" s="410" t="s">
        <v>954</v>
      </c>
      <c r="E65" s="410" t="s">
        <v>954</v>
      </c>
      <c r="F65" s="122" t="s">
        <v>1362</v>
      </c>
      <c r="J65" t="s">
        <v>598</v>
      </c>
      <c r="K65" t="s">
        <v>954</v>
      </c>
      <c r="Q65" s="9"/>
      <c r="R65" s="581" t="s">
        <v>525</v>
      </c>
      <c r="S65" s="582" t="s">
        <v>954</v>
      </c>
    </row>
    <row r="66" spans="4:23" ht="15.75" thickBot="1">
      <c r="D66" s="238" t="s">
        <v>525</v>
      </c>
      <c r="E66" s="238" t="s">
        <v>598</v>
      </c>
      <c r="F66" s="122" t="s">
        <v>1363</v>
      </c>
      <c r="Q66" s="275"/>
      <c r="R66" s="583" t="s">
        <v>598</v>
      </c>
      <c r="S66" s="584" t="s">
        <v>954</v>
      </c>
    </row>
    <row r="67" spans="4:23">
      <c r="D67" s="330" t="s">
        <v>525</v>
      </c>
      <c r="E67" s="330" t="s">
        <v>954</v>
      </c>
      <c r="F67" s="577" t="s">
        <v>1364</v>
      </c>
      <c r="I67" t="s">
        <v>1005</v>
      </c>
      <c r="J67" t="s">
        <v>525</v>
      </c>
      <c r="K67" t="s">
        <v>525</v>
      </c>
      <c r="Q67" s="5" t="s">
        <v>1096</v>
      </c>
      <c r="R67" s="579" t="s">
        <v>525</v>
      </c>
      <c r="S67" s="580" t="s">
        <v>598</v>
      </c>
    </row>
    <row r="68" spans="4:23">
      <c r="D68" s="330" t="s">
        <v>598</v>
      </c>
      <c r="E68" s="330" t="s">
        <v>954</v>
      </c>
      <c r="F68" s="577" t="s">
        <v>1365</v>
      </c>
      <c r="J68" t="s">
        <v>598</v>
      </c>
      <c r="K68" t="s">
        <v>598</v>
      </c>
      <c r="Q68" s="9"/>
      <c r="R68" s="10" t="s">
        <v>525</v>
      </c>
      <c r="S68" s="299" t="s">
        <v>525</v>
      </c>
    </row>
    <row r="69" spans="4:23" ht="15.75" thickBot="1">
      <c r="Q69" s="9"/>
      <c r="R69" s="10" t="s">
        <v>954</v>
      </c>
      <c r="S69" s="299" t="s">
        <v>954</v>
      </c>
    </row>
    <row r="70" spans="4:23" ht="15.75" thickBot="1">
      <c r="D70" t="s">
        <v>1005</v>
      </c>
      <c r="H70" s="5">
        <v>1</v>
      </c>
      <c r="I70" s="6" t="s">
        <v>1009</v>
      </c>
      <c r="J70" s="6" t="s">
        <v>525</v>
      </c>
      <c r="K70" s="344" t="s">
        <v>525</v>
      </c>
      <c r="Q70" s="275"/>
      <c r="R70" s="277" t="s">
        <v>598</v>
      </c>
      <c r="S70" s="300" t="s">
        <v>954</v>
      </c>
    </row>
    <row r="71" spans="4:23" ht="15.75" thickBot="1">
      <c r="D71" s="330" t="s">
        <v>525</v>
      </c>
      <c r="E71" s="330" t="s">
        <v>525</v>
      </c>
      <c r="F71" s="122" t="s">
        <v>1366</v>
      </c>
      <c r="H71" s="9"/>
      <c r="I71" s="10" t="s">
        <v>1009</v>
      </c>
      <c r="J71" s="10" t="s">
        <v>598</v>
      </c>
      <c r="K71" s="299" t="s">
        <v>598</v>
      </c>
      <c r="Q71" s="585" t="s">
        <v>870</v>
      </c>
      <c r="R71" s="586" t="s">
        <v>598</v>
      </c>
      <c r="S71" s="587" t="s">
        <v>954</v>
      </c>
    </row>
    <row r="72" spans="4:23" ht="15.75" thickBot="1">
      <c r="D72" s="410" t="s">
        <v>598</v>
      </c>
      <c r="E72" s="410" t="s">
        <v>598</v>
      </c>
      <c r="F72" s="122" t="s">
        <v>1367</v>
      </c>
      <c r="H72" s="9"/>
      <c r="I72" s="10" t="s">
        <v>1009</v>
      </c>
      <c r="J72" s="10" t="s">
        <v>954</v>
      </c>
      <c r="K72" s="299" t="s">
        <v>954</v>
      </c>
    </row>
    <row r="73" spans="4:23">
      <c r="D73" s="330" t="s">
        <v>954</v>
      </c>
      <c r="E73" s="330" t="s">
        <v>954</v>
      </c>
      <c r="F73" s="122" t="s">
        <v>1368</v>
      </c>
      <c r="H73" s="9"/>
      <c r="I73" s="10"/>
      <c r="J73" s="10"/>
      <c r="K73" s="299"/>
      <c r="Q73" s="5" t="s">
        <v>1009</v>
      </c>
      <c r="R73" s="579" t="s">
        <v>598</v>
      </c>
      <c r="S73" s="580" t="s">
        <v>598</v>
      </c>
      <c r="U73" t="s">
        <v>598</v>
      </c>
      <c r="V73" t="s">
        <v>525</v>
      </c>
      <c r="W73" t="s">
        <v>954</v>
      </c>
    </row>
    <row r="74" spans="4:23">
      <c r="D74" s="175" t="s">
        <v>525</v>
      </c>
      <c r="E74" s="175" t="s">
        <v>598</v>
      </c>
      <c r="F74" s="578" t="s">
        <v>1357</v>
      </c>
      <c r="H74" s="9"/>
      <c r="I74" s="10" t="s">
        <v>1005</v>
      </c>
      <c r="J74" s="10" t="s">
        <v>525</v>
      </c>
      <c r="K74" s="299" t="s">
        <v>598</v>
      </c>
      <c r="Q74" s="9"/>
      <c r="R74" s="581" t="s">
        <v>525</v>
      </c>
      <c r="S74" s="582" t="s">
        <v>954</v>
      </c>
      <c r="U74">
        <v>3</v>
      </c>
      <c r="V74">
        <v>1</v>
      </c>
      <c r="W74">
        <v>2</v>
      </c>
    </row>
    <row r="75" spans="4:23" ht="15.75" thickBot="1">
      <c r="D75" s="242" t="s">
        <v>525</v>
      </c>
      <c r="E75" s="242" t="s">
        <v>954</v>
      </c>
      <c r="F75" s="122" t="s">
        <v>1369</v>
      </c>
      <c r="H75" s="275"/>
      <c r="I75" s="277" t="s">
        <v>1005</v>
      </c>
      <c r="J75" s="277" t="s">
        <v>525</v>
      </c>
      <c r="K75" s="300" t="s">
        <v>954</v>
      </c>
      <c r="Q75" s="275"/>
      <c r="R75" s="583" t="s">
        <v>598</v>
      </c>
      <c r="S75" s="495" t="s">
        <v>954</v>
      </c>
      <c r="T75" t="s">
        <v>618</v>
      </c>
    </row>
    <row r="76" spans="4:23" ht="15.75" thickBot="1">
      <c r="D76" s="330" t="s">
        <v>598</v>
      </c>
      <c r="E76" s="330" t="s">
        <v>954</v>
      </c>
      <c r="F76" s="122" t="s">
        <v>1370</v>
      </c>
      <c r="Q76" s="5" t="s">
        <v>1096</v>
      </c>
      <c r="R76" s="579" t="s">
        <v>525</v>
      </c>
      <c r="S76" s="580" t="s">
        <v>598</v>
      </c>
    </row>
    <row r="77" spans="4:23">
      <c r="H77" s="5">
        <v>2</v>
      </c>
      <c r="I77" s="6" t="s">
        <v>1005</v>
      </c>
      <c r="J77" s="6" t="s">
        <v>598</v>
      </c>
      <c r="K77" s="344" t="s">
        <v>525</v>
      </c>
      <c r="Q77" s="9"/>
      <c r="R77" s="10" t="s">
        <v>525</v>
      </c>
      <c r="S77" s="299" t="s">
        <v>525</v>
      </c>
    </row>
    <row r="78" spans="4:23">
      <c r="D78" t="s">
        <v>1005</v>
      </c>
      <c r="E78" t="s">
        <v>525</v>
      </c>
      <c r="F78" s="122" t="s">
        <v>598</v>
      </c>
      <c r="H78" s="9"/>
      <c r="I78" s="10" t="s">
        <v>1005</v>
      </c>
      <c r="J78" s="10" t="s">
        <v>598</v>
      </c>
      <c r="K78" s="299" t="s">
        <v>954</v>
      </c>
      <c r="Q78" s="9"/>
      <c r="R78" s="10" t="s">
        <v>954</v>
      </c>
      <c r="S78" s="299" t="s">
        <v>954</v>
      </c>
    </row>
    <row r="79" spans="4:23" ht="15.75" thickBot="1">
      <c r="D79" t="s">
        <v>1009</v>
      </c>
      <c r="E79" t="s">
        <v>525</v>
      </c>
      <c r="F79" s="122" t="s">
        <v>954</v>
      </c>
      <c r="H79" s="9"/>
      <c r="I79" s="10"/>
      <c r="J79" s="10"/>
      <c r="K79" s="299"/>
      <c r="Q79" s="275"/>
      <c r="R79" s="277" t="s">
        <v>598</v>
      </c>
      <c r="S79" s="300" t="s">
        <v>954</v>
      </c>
    </row>
    <row r="80" spans="4:23" ht="15.75" thickBot="1">
      <c r="D80" t="s">
        <v>1009</v>
      </c>
      <c r="E80" t="s">
        <v>598</v>
      </c>
      <c r="F80" s="588" t="s">
        <v>954</v>
      </c>
      <c r="H80" s="9"/>
      <c r="I80" s="10" t="s">
        <v>1009</v>
      </c>
      <c r="J80" s="10" t="s">
        <v>525</v>
      </c>
      <c r="K80" s="299" t="s">
        <v>525</v>
      </c>
      <c r="Q80" s="275"/>
      <c r="R80" s="419" t="s">
        <v>525</v>
      </c>
      <c r="S80" s="495" t="s">
        <v>954</v>
      </c>
    </row>
    <row r="81" spans="3:19" ht="15.75" thickBot="1">
      <c r="D81" t="s">
        <v>1005</v>
      </c>
      <c r="E81" t="s">
        <v>525</v>
      </c>
      <c r="F81" s="122" t="s">
        <v>954</v>
      </c>
      <c r="H81" s="9"/>
      <c r="I81" s="10" t="s">
        <v>1009</v>
      </c>
      <c r="J81" s="10" t="s">
        <v>598</v>
      </c>
      <c r="K81" s="299" t="s">
        <v>598</v>
      </c>
      <c r="Q81" s="585" t="s">
        <v>870</v>
      </c>
      <c r="R81" s="586" t="s">
        <v>598</v>
      </c>
      <c r="S81" s="587" t="s">
        <v>954</v>
      </c>
    </row>
    <row r="82" spans="3:19" ht="15.75" thickBot="1">
      <c r="D82" s="237" t="s">
        <v>1009</v>
      </c>
      <c r="E82" s="237" t="s">
        <v>598</v>
      </c>
      <c r="F82" s="588" t="s">
        <v>1303</v>
      </c>
      <c r="H82" s="275"/>
      <c r="I82" s="277" t="s">
        <v>1009</v>
      </c>
      <c r="J82" s="277" t="s">
        <v>954</v>
      </c>
      <c r="K82" s="300" t="s">
        <v>954</v>
      </c>
    </row>
    <row r="83" spans="3:19" ht="15.75" thickBot="1"/>
    <row r="84" spans="3:19">
      <c r="H84" s="5">
        <v>3</v>
      </c>
      <c r="I84" s="6" t="s">
        <v>1005</v>
      </c>
      <c r="J84" s="6" t="s">
        <v>954</v>
      </c>
      <c r="K84" s="344" t="s">
        <v>525</v>
      </c>
    </row>
    <row r="85" spans="3:19">
      <c r="D85" t="s">
        <v>1009</v>
      </c>
      <c r="E85" t="s">
        <v>540</v>
      </c>
      <c r="F85" t="s">
        <v>598</v>
      </c>
      <c r="H85" s="9"/>
      <c r="I85" s="10" t="s">
        <v>1005</v>
      </c>
      <c r="J85" s="10" t="s">
        <v>954</v>
      </c>
      <c r="K85" s="299" t="s">
        <v>598</v>
      </c>
    </row>
    <row r="86" spans="3:19">
      <c r="D86" t="s">
        <v>1009</v>
      </c>
      <c r="E86" t="s">
        <v>525</v>
      </c>
      <c r="F86" t="s">
        <v>954</v>
      </c>
      <c r="H86" s="9"/>
      <c r="I86" s="10"/>
      <c r="J86" s="10"/>
      <c r="K86" s="299"/>
    </row>
    <row r="87" spans="3:19">
      <c r="C87" t="s">
        <v>1005</v>
      </c>
      <c r="D87" t="s">
        <v>1009</v>
      </c>
      <c r="E87" t="s">
        <v>598</v>
      </c>
      <c r="F87" t="s">
        <v>954</v>
      </c>
      <c r="H87" s="9"/>
      <c r="I87" s="10" t="s">
        <v>1009</v>
      </c>
      <c r="J87" s="10" t="s">
        <v>525</v>
      </c>
      <c r="K87" s="299" t="s">
        <v>525</v>
      </c>
    </row>
    <row r="88" spans="3:19">
      <c r="D88" t="s">
        <v>1096</v>
      </c>
      <c r="E88" t="s">
        <v>525</v>
      </c>
      <c r="F88" t="s">
        <v>598</v>
      </c>
      <c r="H88" s="9"/>
      <c r="I88" s="10" t="s">
        <v>1009</v>
      </c>
      <c r="J88" s="10" t="s">
        <v>598</v>
      </c>
      <c r="K88" s="299" t="s">
        <v>598</v>
      </c>
    </row>
    <row r="89" spans="3:19" ht="15.75" thickBot="1">
      <c r="D89" t="s">
        <v>1005</v>
      </c>
      <c r="H89" s="275"/>
      <c r="I89" s="277" t="s">
        <v>1009</v>
      </c>
      <c r="J89" s="277" t="s">
        <v>954</v>
      </c>
      <c r="K89" s="300" t="s">
        <v>954</v>
      </c>
    </row>
    <row r="91" spans="3:19" ht="15.75" thickBot="1">
      <c r="L91" t="s">
        <v>870</v>
      </c>
      <c r="M91" t="s">
        <v>1166</v>
      </c>
      <c r="N91" t="s">
        <v>1372</v>
      </c>
      <c r="O91" t="s">
        <v>1218</v>
      </c>
      <c r="P91" t="s">
        <v>1376</v>
      </c>
      <c r="Q91" t="s">
        <v>1217</v>
      </c>
    </row>
    <row r="92" spans="3:19">
      <c r="C92">
        <v>1</v>
      </c>
      <c r="D92" s="5" t="s">
        <v>1009</v>
      </c>
      <c r="E92" s="6" t="s">
        <v>525</v>
      </c>
      <c r="F92" s="344" t="s">
        <v>598</v>
      </c>
      <c r="H92" s="595" t="s">
        <v>870</v>
      </c>
      <c r="I92" s="596" t="s">
        <v>1371</v>
      </c>
      <c r="J92" s="597" t="s">
        <v>525</v>
      </c>
      <c r="K92">
        <v>43</v>
      </c>
      <c r="L92" t="s">
        <v>1373</v>
      </c>
      <c r="M92" t="s">
        <v>1374</v>
      </c>
      <c r="N92" t="s">
        <v>1375</v>
      </c>
      <c r="O92">
        <v>62</v>
      </c>
      <c r="P92">
        <v>29</v>
      </c>
      <c r="Q92" t="s">
        <v>1377</v>
      </c>
    </row>
    <row r="93" spans="3:19">
      <c r="D93" s="9" t="s">
        <v>1009</v>
      </c>
      <c r="E93" s="10" t="s">
        <v>525</v>
      </c>
      <c r="F93" s="299" t="s">
        <v>954</v>
      </c>
      <c r="H93" s="589" t="s">
        <v>1009</v>
      </c>
      <c r="I93" s="581" t="s">
        <v>598</v>
      </c>
      <c r="J93" s="582" t="s">
        <v>598</v>
      </c>
      <c r="K93" s="577" t="s">
        <v>1361</v>
      </c>
      <c r="M93" s="581" t="s">
        <v>1378</v>
      </c>
    </row>
    <row r="94" spans="3:19">
      <c r="D94" s="9" t="s">
        <v>1009</v>
      </c>
      <c r="E94" s="10" t="s">
        <v>598</v>
      </c>
      <c r="F94" s="299" t="s">
        <v>954</v>
      </c>
      <c r="H94" s="9"/>
      <c r="I94" s="10" t="s">
        <v>954</v>
      </c>
      <c r="J94" s="299" t="s">
        <v>954</v>
      </c>
      <c r="M94">
        <v>32</v>
      </c>
    </row>
    <row r="95" spans="3:19">
      <c r="D95" s="9" t="s">
        <v>1005</v>
      </c>
      <c r="E95" s="10" t="s">
        <v>525</v>
      </c>
      <c r="F95" s="299" t="s">
        <v>525</v>
      </c>
      <c r="H95" s="589" t="s">
        <v>1005</v>
      </c>
      <c r="I95" s="581" t="s">
        <v>525</v>
      </c>
      <c r="J95" s="582" t="s">
        <v>598</v>
      </c>
      <c r="K95" s="330">
        <v>1</v>
      </c>
    </row>
    <row r="96" spans="3:19" ht="15.75" thickBot="1">
      <c r="D96" s="275" t="s">
        <v>1005</v>
      </c>
      <c r="E96" s="277" t="s">
        <v>598</v>
      </c>
      <c r="F96" s="300" t="s">
        <v>598</v>
      </c>
      <c r="H96" s="590" t="s">
        <v>1005</v>
      </c>
      <c r="I96" s="269" t="s">
        <v>525</v>
      </c>
      <c r="J96" s="591" t="s">
        <v>954</v>
      </c>
    </row>
    <row r="97" spans="3:19" ht="15.75" thickBot="1">
      <c r="H97" s="592" t="s">
        <v>1009</v>
      </c>
      <c r="I97" s="593" t="s">
        <v>598</v>
      </c>
      <c r="J97" s="594" t="s">
        <v>954</v>
      </c>
      <c r="K97" s="330">
        <v>55</v>
      </c>
      <c r="L97" s="175" t="s">
        <v>870</v>
      </c>
      <c r="M97" s="330">
        <v>1</v>
      </c>
    </row>
    <row r="98" spans="3:19">
      <c r="C98">
        <v>2</v>
      </c>
      <c r="D98" s="5" t="s">
        <v>1009</v>
      </c>
      <c r="E98" s="6" t="s">
        <v>525</v>
      </c>
      <c r="F98" s="344" t="s">
        <v>525</v>
      </c>
      <c r="H98" s="242" t="s">
        <v>1009</v>
      </c>
      <c r="I98" s="242" t="s">
        <v>598</v>
      </c>
      <c r="J98" s="242" t="s">
        <v>1303</v>
      </c>
    </row>
    <row r="99" spans="3:19">
      <c r="D99" s="9" t="s">
        <v>1009</v>
      </c>
      <c r="E99" s="10" t="s">
        <v>598</v>
      </c>
      <c r="F99" s="299" t="s">
        <v>598</v>
      </c>
      <c r="H99" s="324" t="s">
        <v>1005</v>
      </c>
      <c r="I99" s="324" t="s">
        <v>598</v>
      </c>
      <c r="J99" s="324" t="s">
        <v>954</v>
      </c>
      <c r="K99" s="122" t="s">
        <v>1370</v>
      </c>
    </row>
    <row r="100" spans="3:19">
      <c r="D100" s="9" t="s">
        <v>1009</v>
      </c>
      <c r="E100" s="10" t="s">
        <v>954</v>
      </c>
      <c r="F100" s="299" t="s">
        <v>954</v>
      </c>
    </row>
    <row r="101" spans="3:19">
      <c r="D101" s="9" t="s">
        <v>1005</v>
      </c>
      <c r="E101" s="10" t="s">
        <v>525</v>
      </c>
      <c r="F101" s="299" t="s">
        <v>954</v>
      </c>
      <c r="H101" s="330" t="s">
        <v>1328</v>
      </c>
      <c r="I101" s="330" t="s">
        <v>1317</v>
      </c>
      <c r="J101" s="330" t="s">
        <v>1316</v>
      </c>
      <c r="K101" s="330">
        <v>1</v>
      </c>
      <c r="P101" t="s">
        <v>1315</v>
      </c>
      <c r="Q101" t="s">
        <v>1317</v>
      </c>
      <c r="R101" t="s">
        <v>1316</v>
      </c>
      <c r="S101" t="s">
        <v>1318</v>
      </c>
    </row>
    <row r="102" spans="3:19" ht="15.75" thickBot="1">
      <c r="D102" s="275" t="s">
        <v>1005</v>
      </c>
      <c r="E102" s="277" t="s">
        <v>598</v>
      </c>
      <c r="F102" s="300" t="s">
        <v>954</v>
      </c>
      <c r="H102" s="330" t="s">
        <v>1328</v>
      </c>
      <c r="I102" s="330" t="s">
        <v>1315</v>
      </c>
      <c r="J102" s="330" t="s">
        <v>1315</v>
      </c>
      <c r="K102" s="330">
        <v>43</v>
      </c>
      <c r="P102">
        <v>4</v>
      </c>
      <c r="Q102">
        <v>6</v>
      </c>
      <c r="R102">
        <v>3</v>
      </c>
      <c r="S102">
        <v>1</v>
      </c>
    </row>
    <row r="103" spans="3:19" ht="15.75" thickBot="1">
      <c r="H103" s="330" t="s">
        <v>1319</v>
      </c>
      <c r="I103" s="330" t="s">
        <v>1317</v>
      </c>
      <c r="J103" s="330" t="s">
        <v>1317</v>
      </c>
      <c r="K103" s="330">
        <v>31.1</v>
      </c>
      <c r="L103" s="330" t="s">
        <v>1319</v>
      </c>
      <c r="M103" s="330" t="s">
        <v>1315</v>
      </c>
      <c r="N103" s="330" t="s">
        <v>1316</v>
      </c>
      <c r="O103" s="330" t="s">
        <v>1364</v>
      </c>
      <c r="P103">
        <v>5</v>
      </c>
      <c r="Q103">
        <v>4</v>
      </c>
      <c r="R103">
        <v>4</v>
      </c>
      <c r="S103">
        <v>1</v>
      </c>
    </row>
    <row r="104" spans="3:19">
      <c r="D104" s="5" t="s">
        <v>1009</v>
      </c>
      <c r="E104" s="6" t="s">
        <v>525</v>
      </c>
      <c r="F104" s="344" t="s">
        <v>525</v>
      </c>
      <c r="H104" s="330" t="s">
        <v>1319</v>
      </c>
      <c r="I104" s="330" t="s">
        <v>1317</v>
      </c>
      <c r="J104" s="330" t="s">
        <v>1316</v>
      </c>
      <c r="K104" s="330">
        <v>55</v>
      </c>
    </row>
    <row r="105" spans="3:19">
      <c r="D105" s="9" t="s">
        <v>1009</v>
      </c>
      <c r="E105" s="10" t="s">
        <v>598</v>
      </c>
      <c r="F105" s="299" t="s">
        <v>598</v>
      </c>
      <c r="H105" s="330" t="s">
        <v>1323</v>
      </c>
      <c r="I105" s="330" t="s">
        <v>1315</v>
      </c>
      <c r="J105" s="330" t="s">
        <v>1317</v>
      </c>
      <c r="K105" s="330">
        <v>1</v>
      </c>
    </row>
    <row r="106" spans="3:19">
      <c r="D106" s="9" t="s">
        <v>1009</v>
      </c>
      <c r="E106" s="10" t="s">
        <v>954</v>
      </c>
      <c r="F106" s="299" t="s">
        <v>954</v>
      </c>
      <c r="H106" s="315" t="s">
        <v>1320</v>
      </c>
      <c r="I106" s="315" t="s">
        <v>1315</v>
      </c>
      <c r="J106" s="315" t="s">
        <v>1316</v>
      </c>
      <c r="K106" s="315"/>
    </row>
    <row r="107" spans="3:19">
      <c r="D107" s="9" t="s">
        <v>1005</v>
      </c>
      <c r="E107" s="10" t="s">
        <v>525</v>
      </c>
      <c r="F107" s="299" t="s">
        <v>598</v>
      </c>
      <c r="H107" s="315" t="s">
        <v>1319</v>
      </c>
      <c r="I107" s="315" t="s">
        <v>1317</v>
      </c>
      <c r="J107" s="315" t="s">
        <v>1379</v>
      </c>
      <c r="K107" s="315"/>
    </row>
    <row r="108" spans="3:19" ht="15.75" thickBot="1">
      <c r="D108" s="275" t="s">
        <v>1005</v>
      </c>
      <c r="E108" s="277" t="s">
        <v>525</v>
      </c>
      <c r="F108" s="300" t="s">
        <v>954</v>
      </c>
    </row>
    <row r="109" spans="3:19">
      <c r="E109" s="393" t="s">
        <v>598</v>
      </c>
      <c r="F109" s="406" t="s">
        <v>954</v>
      </c>
      <c r="H109" t="s">
        <v>1315</v>
      </c>
      <c r="I109" t="s">
        <v>1317</v>
      </c>
    </row>
    <row r="110" spans="3:19">
      <c r="H110" t="s">
        <v>1317</v>
      </c>
      <c r="I110" t="s">
        <v>1316</v>
      </c>
    </row>
    <row r="111" spans="3:19">
      <c r="H111" t="s">
        <v>1315</v>
      </c>
      <c r="I111" t="s">
        <v>1316</v>
      </c>
    </row>
    <row r="113" spans="4:18">
      <c r="H113" t="s">
        <v>1317</v>
      </c>
      <c r="I113" t="s">
        <v>1317</v>
      </c>
    </row>
    <row r="114" spans="4:18">
      <c r="D114" t="s">
        <v>1315</v>
      </c>
      <c r="E114" t="s">
        <v>1315</v>
      </c>
      <c r="H114" t="s">
        <v>1315</v>
      </c>
      <c r="I114" t="s">
        <v>1315</v>
      </c>
    </row>
    <row r="115" spans="4:18">
      <c r="D115" t="s">
        <v>1317</v>
      </c>
      <c r="E115" t="s">
        <v>1317</v>
      </c>
      <c r="F115">
        <v>4</v>
      </c>
    </row>
    <row r="116" spans="4:18">
      <c r="D116" t="s">
        <v>1315</v>
      </c>
      <c r="E116" t="s">
        <v>1317</v>
      </c>
      <c r="F116">
        <v>1</v>
      </c>
    </row>
    <row r="117" spans="4:18">
      <c r="D117" s="339" t="s">
        <v>1315</v>
      </c>
      <c r="E117" s="339" t="s">
        <v>1316</v>
      </c>
      <c r="F117">
        <v>3</v>
      </c>
    </row>
    <row r="118" spans="4:18">
      <c r="D118" s="339" t="s">
        <v>1317</v>
      </c>
      <c r="E118" s="339" t="s">
        <v>1316</v>
      </c>
      <c r="F118">
        <v>2</v>
      </c>
    </row>
    <row r="120" spans="4:18">
      <c r="D120" s="315" t="s">
        <v>1319</v>
      </c>
      <c r="E120" s="315" t="s">
        <v>1317</v>
      </c>
      <c r="F120" s="315" t="s">
        <v>1318</v>
      </c>
      <c r="M120" s="339" t="s">
        <v>1319</v>
      </c>
      <c r="N120" s="339" t="s">
        <v>1317</v>
      </c>
      <c r="O120" s="339" t="s">
        <v>1317</v>
      </c>
      <c r="P120" s="339" t="s">
        <v>1315</v>
      </c>
      <c r="Q120" s="339" t="s">
        <v>1318</v>
      </c>
      <c r="R120" s="339" t="s">
        <v>1380</v>
      </c>
    </row>
    <row r="121" spans="4:18">
      <c r="D121" t="s">
        <v>1319</v>
      </c>
      <c r="E121" t="s">
        <v>1315</v>
      </c>
      <c r="F121" t="s">
        <v>1317</v>
      </c>
      <c r="M121" t="s">
        <v>1323</v>
      </c>
      <c r="N121" t="s">
        <v>1315</v>
      </c>
      <c r="O121" t="s">
        <v>1315</v>
      </c>
    </row>
    <row r="122" spans="4:18">
      <c r="D122" t="s">
        <v>1319</v>
      </c>
      <c r="E122" s="339" t="s">
        <v>1315</v>
      </c>
      <c r="F122" s="339" t="s">
        <v>1316</v>
      </c>
      <c r="G122" t="s">
        <v>1320</v>
      </c>
      <c r="M122" t="s">
        <v>1319</v>
      </c>
      <c r="N122" t="s">
        <v>1315</v>
      </c>
      <c r="O122" t="s">
        <v>1317</v>
      </c>
    </row>
    <row r="123" spans="4:18">
      <c r="D123" t="s">
        <v>1319</v>
      </c>
      <c r="E123" t="s">
        <v>1317</v>
      </c>
      <c r="F123" t="s">
        <v>1316</v>
      </c>
      <c r="M123" s="339" t="s">
        <v>1320</v>
      </c>
      <c r="N123" s="339" t="s">
        <v>1315</v>
      </c>
      <c r="O123" s="339" t="s">
        <v>1316</v>
      </c>
      <c r="P123" s="339" t="s">
        <v>1380</v>
      </c>
    </row>
    <row r="124" spans="4:18">
      <c r="D124" s="315" t="s">
        <v>1320</v>
      </c>
      <c r="E124" s="315" t="s">
        <v>1315</v>
      </c>
      <c r="F124" s="315" t="s">
        <v>1316</v>
      </c>
      <c r="M124" t="s">
        <v>1319</v>
      </c>
      <c r="N124" t="s">
        <v>1317</v>
      </c>
      <c r="O124" t="s">
        <v>1316</v>
      </c>
    </row>
    <row r="125" spans="4:18">
      <c r="D125" t="s">
        <v>1320</v>
      </c>
      <c r="E125" t="s">
        <v>1315</v>
      </c>
      <c r="F125" t="s">
        <v>1317</v>
      </c>
    </row>
    <row r="126" spans="4:18">
      <c r="D126" t="s">
        <v>1320</v>
      </c>
      <c r="E126" t="s">
        <v>1317</v>
      </c>
      <c r="F126" t="s">
        <v>1316</v>
      </c>
    </row>
    <row r="127" spans="4:18">
      <c r="M127">
        <v>14</v>
      </c>
      <c r="O127" t="s">
        <v>1318</v>
      </c>
    </row>
    <row r="128" spans="4:18" ht="15.75" thickBot="1">
      <c r="D128" s="339" t="s">
        <v>1319</v>
      </c>
      <c r="E128" s="339" t="s">
        <v>1317</v>
      </c>
      <c r="F128" s="339" t="s">
        <v>1318</v>
      </c>
      <c r="H128" s="339" t="s">
        <v>1319</v>
      </c>
      <c r="I128" s="339" t="s">
        <v>1317</v>
      </c>
      <c r="J128" s="339" t="s">
        <v>1316</v>
      </c>
      <c r="M128" s="339" t="s">
        <v>1319</v>
      </c>
      <c r="N128" s="339" t="s">
        <v>1317</v>
      </c>
      <c r="O128" s="339" t="s">
        <v>1317</v>
      </c>
      <c r="P128" s="339" t="s">
        <v>1315</v>
      </c>
      <c r="Q128" s="577" t="s">
        <v>1361</v>
      </c>
    </row>
    <row r="129" spans="4:33">
      <c r="D129" t="s">
        <v>1319</v>
      </c>
      <c r="E129" t="s">
        <v>1315</v>
      </c>
      <c r="F129" t="s">
        <v>1316</v>
      </c>
      <c r="G129" t="s">
        <v>1191</v>
      </c>
      <c r="H129" t="s">
        <v>1319</v>
      </c>
      <c r="I129" t="s">
        <v>1317</v>
      </c>
      <c r="J129" t="s">
        <v>1317</v>
      </c>
      <c r="M129" s="5" t="s">
        <v>1319</v>
      </c>
      <c r="N129" s="6" t="s">
        <v>1315</v>
      </c>
      <c r="O129" s="344" t="s">
        <v>1317</v>
      </c>
      <c r="P129" s="122" t="s">
        <v>1363</v>
      </c>
    </row>
    <row r="130" spans="4:33">
      <c r="D130" s="302" t="s">
        <v>1319</v>
      </c>
      <c r="E130" s="302" t="s">
        <v>1317</v>
      </c>
      <c r="F130" s="302" t="s">
        <v>1316</v>
      </c>
      <c r="G130" t="s">
        <v>1316</v>
      </c>
      <c r="H130" s="302" t="s">
        <v>1319</v>
      </c>
      <c r="I130" s="302" t="s">
        <v>1315</v>
      </c>
      <c r="J130" s="302" t="s">
        <v>1315</v>
      </c>
      <c r="M130" s="598" t="s">
        <v>1319</v>
      </c>
      <c r="N130" s="599" t="s">
        <v>1317</v>
      </c>
      <c r="O130" s="503" t="s">
        <v>1316</v>
      </c>
      <c r="P130">
        <v>55</v>
      </c>
    </row>
    <row r="131" spans="4:33" ht="15.75" thickBot="1">
      <c r="D131" s="339" t="s">
        <v>1323</v>
      </c>
      <c r="E131" s="339" t="s">
        <v>1315</v>
      </c>
      <c r="F131" s="339" t="s">
        <v>1316</v>
      </c>
      <c r="H131" s="339" t="s">
        <v>1323</v>
      </c>
      <c r="I131" s="339" t="s">
        <v>1315</v>
      </c>
      <c r="J131" s="339" t="s">
        <v>1316</v>
      </c>
      <c r="M131" s="558" t="s">
        <v>1323</v>
      </c>
      <c r="N131" s="559" t="s">
        <v>1315</v>
      </c>
      <c r="O131" s="560" t="s">
        <v>1316</v>
      </c>
      <c r="P131" s="122" t="s">
        <v>1369</v>
      </c>
    </row>
    <row r="132" spans="4:33">
      <c r="D132" s="302" t="s">
        <v>1320</v>
      </c>
      <c r="E132" s="302" t="s">
        <v>1315</v>
      </c>
      <c r="F132" s="302" t="s">
        <v>1317</v>
      </c>
      <c r="H132" s="302" t="s">
        <v>1320</v>
      </c>
      <c r="I132" s="302" t="s">
        <v>1315</v>
      </c>
      <c r="J132" s="302" t="s">
        <v>1317</v>
      </c>
      <c r="M132" s="302" t="s">
        <v>1320</v>
      </c>
      <c r="N132" s="302" t="s">
        <v>1315</v>
      </c>
      <c r="O132" s="302" t="s">
        <v>1315</v>
      </c>
      <c r="P132" s="122" t="s">
        <v>1366</v>
      </c>
    </row>
    <row r="134" spans="4:33">
      <c r="D134" t="s">
        <v>1381</v>
      </c>
      <c r="I134" s="330" t="s">
        <v>525</v>
      </c>
      <c r="J134" s="330" t="s">
        <v>954</v>
      </c>
      <c r="K134" s="577" t="s">
        <v>1364</v>
      </c>
    </row>
    <row r="135" spans="4:33" ht="15.75" thickBot="1">
      <c r="D135" t="s">
        <v>1315</v>
      </c>
      <c r="E135" t="s">
        <v>1317</v>
      </c>
      <c r="H135" s="339" t="s">
        <v>1319</v>
      </c>
      <c r="I135" s="339" t="s">
        <v>1317</v>
      </c>
      <c r="J135" s="339" t="s">
        <v>1318</v>
      </c>
      <c r="S135" t="s">
        <v>1315</v>
      </c>
      <c r="T135" t="s">
        <v>1317</v>
      </c>
      <c r="U135" t="s">
        <v>1316</v>
      </c>
    </row>
    <row r="136" spans="4:33">
      <c r="D136" t="s">
        <v>1315</v>
      </c>
      <c r="E136" t="s">
        <v>1316</v>
      </c>
      <c r="H136" t="s">
        <v>1319</v>
      </c>
      <c r="I136" t="s">
        <v>1317</v>
      </c>
      <c r="J136" t="s">
        <v>1317</v>
      </c>
      <c r="K136" s="577" t="s">
        <v>1361</v>
      </c>
      <c r="M136" t="s">
        <v>1320</v>
      </c>
      <c r="N136" s="5" t="s">
        <v>1315</v>
      </c>
      <c r="O136" s="344" t="s">
        <v>1317</v>
      </c>
      <c r="P136" s="606" t="s">
        <v>1315</v>
      </c>
      <c r="Q136" s="607" t="s">
        <v>1315</v>
      </c>
      <c r="R136" t="s">
        <v>1320</v>
      </c>
      <c r="S136">
        <v>4</v>
      </c>
      <c r="T136">
        <v>4</v>
      </c>
      <c r="U136">
        <v>2</v>
      </c>
    </row>
    <row r="137" spans="4:33">
      <c r="D137" t="s">
        <v>1317</v>
      </c>
      <c r="E137" t="s">
        <v>1316</v>
      </c>
      <c r="H137" s="302" t="s">
        <v>1319</v>
      </c>
      <c r="I137" s="302" t="s">
        <v>1317</v>
      </c>
      <c r="J137" s="302" t="s">
        <v>1316</v>
      </c>
      <c r="K137" s="577" t="s">
        <v>1365</v>
      </c>
      <c r="M137" t="s">
        <v>1319</v>
      </c>
      <c r="N137" s="608" t="s">
        <v>1317</v>
      </c>
      <c r="O137" s="609" t="s">
        <v>1383</v>
      </c>
      <c r="P137" s="608" t="s">
        <v>1317</v>
      </c>
      <c r="Q137" s="609" t="s">
        <v>1383</v>
      </c>
      <c r="R137" t="s">
        <v>1319</v>
      </c>
    </row>
    <row r="138" spans="4:33">
      <c r="H138" s="339" t="s">
        <v>1323</v>
      </c>
      <c r="I138" s="339" t="s">
        <v>1315</v>
      </c>
      <c r="J138" s="339" t="s">
        <v>1316</v>
      </c>
      <c r="M138" t="s">
        <v>1319</v>
      </c>
      <c r="N138" s="9" t="s">
        <v>1315</v>
      </c>
      <c r="O138" s="299" t="s">
        <v>1315</v>
      </c>
      <c r="P138" s="610" t="s">
        <v>1315</v>
      </c>
      <c r="Q138" s="611" t="s">
        <v>1317</v>
      </c>
      <c r="R138" t="s">
        <v>1319</v>
      </c>
    </row>
    <row r="139" spans="4:33">
      <c r="H139" s="302" t="s">
        <v>1320</v>
      </c>
      <c r="I139" s="302" t="s">
        <v>1315</v>
      </c>
      <c r="J139" s="302" t="s">
        <v>1317</v>
      </c>
      <c r="K139">
        <v>1</v>
      </c>
      <c r="M139" t="s">
        <v>1323</v>
      </c>
      <c r="N139" s="286" t="s">
        <v>1315</v>
      </c>
      <c r="O139" s="289" t="s">
        <v>1316</v>
      </c>
      <c r="P139" s="286" t="s">
        <v>1315</v>
      </c>
      <c r="Q139" s="289" t="s">
        <v>1316</v>
      </c>
      <c r="R139" t="s">
        <v>1323</v>
      </c>
    </row>
    <row r="140" spans="4:33" ht="15.75" thickBot="1">
      <c r="M140" t="s">
        <v>1319</v>
      </c>
      <c r="N140" s="612" t="s">
        <v>1317</v>
      </c>
      <c r="O140" s="613" t="s">
        <v>1316</v>
      </c>
      <c r="P140" s="612" t="s">
        <v>1317</v>
      </c>
      <c r="Q140" s="613" t="s">
        <v>1316</v>
      </c>
      <c r="R140" t="s">
        <v>1319</v>
      </c>
    </row>
    <row r="142" spans="4:33">
      <c r="D142" t="s">
        <v>1381</v>
      </c>
      <c r="O142" t="s">
        <v>1388</v>
      </c>
      <c r="R142" t="s">
        <v>598</v>
      </c>
      <c r="S142" t="s">
        <v>598</v>
      </c>
      <c r="T142" t="s">
        <v>525</v>
      </c>
      <c r="V142" t="s">
        <v>1386</v>
      </c>
      <c r="W142" t="s">
        <v>1387</v>
      </c>
      <c r="Y142" t="s">
        <v>598</v>
      </c>
      <c r="AA142" t="s">
        <v>1005</v>
      </c>
    </row>
    <row r="143" spans="4:33">
      <c r="D143" t="s">
        <v>525</v>
      </c>
      <c r="E143" t="s">
        <v>598</v>
      </c>
      <c r="H143" t="s">
        <v>1319</v>
      </c>
      <c r="I143" t="s">
        <v>1317</v>
      </c>
      <c r="J143" t="s">
        <v>1318</v>
      </c>
      <c r="L143" t="s">
        <v>1316</v>
      </c>
      <c r="M143" t="s">
        <v>1317</v>
      </c>
      <c r="N143" t="s">
        <v>1315</v>
      </c>
      <c r="O143" t="s">
        <v>1546</v>
      </c>
      <c r="P143" s="237" t="s">
        <v>1319</v>
      </c>
      <c r="Q143" s="237" t="s">
        <v>1317</v>
      </c>
      <c r="R143" s="237" t="s">
        <v>1318</v>
      </c>
      <c r="S143">
        <v>4</v>
      </c>
      <c r="T143">
        <v>3</v>
      </c>
      <c r="U143">
        <v>3</v>
      </c>
      <c r="W143" s="237" t="s">
        <v>1319</v>
      </c>
      <c r="X143" s="237" t="s">
        <v>1317</v>
      </c>
      <c r="Y143" s="237" t="s">
        <v>1318</v>
      </c>
      <c r="AA143" s="604" t="s">
        <v>1315</v>
      </c>
      <c r="AB143" s="604" t="s">
        <v>598</v>
      </c>
      <c r="AC143" t="s">
        <v>954</v>
      </c>
      <c r="AE143" t="s">
        <v>525</v>
      </c>
      <c r="AF143" t="s">
        <v>1317</v>
      </c>
      <c r="AG143" t="s">
        <v>954</v>
      </c>
    </row>
    <row r="144" spans="4:33">
      <c r="D144" t="s">
        <v>598</v>
      </c>
      <c r="E144" t="s">
        <v>1316</v>
      </c>
      <c r="H144" s="315" t="s">
        <v>1319</v>
      </c>
      <c r="I144" s="315" t="s">
        <v>1315</v>
      </c>
      <c r="J144" s="315" t="s">
        <v>1317</v>
      </c>
      <c r="L144">
        <v>4</v>
      </c>
      <c r="M144">
        <v>4</v>
      </c>
      <c r="N144">
        <v>4</v>
      </c>
      <c r="O144" t="s">
        <v>1546</v>
      </c>
      <c r="P144" s="605" t="s">
        <v>1319</v>
      </c>
      <c r="Q144" s="605" t="s">
        <v>1315</v>
      </c>
      <c r="R144" s="605" t="s">
        <v>1317</v>
      </c>
      <c r="W144" s="605" t="s">
        <v>1319</v>
      </c>
      <c r="X144" s="604" t="s">
        <v>1315</v>
      </c>
      <c r="Y144" s="604" t="s">
        <v>1315</v>
      </c>
      <c r="AA144">
        <v>2</v>
      </c>
      <c r="AB144">
        <v>1</v>
      </c>
      <c r="AC144">
        <v>1</v>
      </c>
      <c r="AE144">
        <v>4</v>
      </c>
      <c r="AF144">
        <v>4</v>
      </c>
      <c r="AG144">
        <v>2</v>
      </c>
    </row>
    <row r="145" spans="4:31">
      <c r="H145" s="237" t="s">
        <v>1319</v>
      </c>
      <c r="I145" s="237" t="s">
        <v>1315</v>
      </c>
      <c r="J145" s="237" t="s">
        <v>1316</v>
      </c>
      <c r="O145" t="s">
        <v>1546</v>
      </c>
      <c r="P145" s="488" t="s">
        <v>1319</v>
      </c>
      <c r="Q145" s="488" t="s">
        <v>1317</v>
      </c>
      <c r="R145" s="488" t="s">
        <v>1316</v>
      </c>
      <c r="W145" s="488" t="s">
        <v>1319</v>
      </c>
      <c r="X145" s="488" t="s">
        <v>1317</v>
      </c>
      <c r="Y145" s="488" t="s">
        <v>1316</v>
      </c>
      <c r="Z145">
        <v>2</v>
      </c>
      <c r="AE145" t="s">
        <v>21</v>
      </c>
    </row>
    <row r="146" spans="4:31">
      <c r="D146" t="s">
        <v>525</v>
      </c>
      <c r="E146" t="s">
        <v>598</v>
      </c>
      <c r="H146" s="315" t="s">
        <v>1319</v>
      </c>
      <c r="I146" s="315" t="s">
        <v>1317</v>
      </c>
      <c r="J146" s="315" t="s">
        <v>1316</v>
      </c>
      <c r="AA146" t="s">
        <v>1219</v>
      </c>
    </row>
    <row r="147" spans="4:31" ht="15.75" thickBot="1">
      <c r="D147" t="s">
        <v>598</v>
      </c>
      <c r="E147" t="s">
        <v>1316</v>
      </c>
      <c r="P147" s="604" t="s">
        <v>1320</v>
      </c>
      <c r="Q147" s="604" t="s">
        <v>1315</v>
      </c>
      <c r="R147" s="604" t="s">
        <v>1315</v>
      </c>
      <c r="S147" s="604" t="s">
        <v>525</v>
      </c>
      <c r="T147" s="604" t="s">
        <v>598</v>
      </c>
      <c r="U147">
        <v>1</v>
      </c>
      <c r="V147">
        <v>1</v>
      </c>
      <c r="W147" s="604" t="s">
        <v>1320</v>
      </c>
      <c r="X147" s="302" t="s">
        <v>1315</v>
      </c>
      <c r="Y147" s="302" t="s">
        <v>1317</v>
      </c>
      <c r="Z147">
        <v>2</v>
      </c>
      <c r="AA147" s="604" t="s">
        <v>1315</v>
      </c>
      <c r="AB147" s="604" t="s">
        <v>598</v>
      </c>
      <c r="AC147" t="s">
        <v>954</v>
      </c>
      <c r="AD147" t="s">
        <v>1385</v>
      </c>
    </row>
    <row r="148" spans="4:31" ht="15.75" thickBot="1">
      <c r="H148" t="s">
        <v>1320</v>
      </c>
      <c r="I148" t="s">
        <v>1315</v>
      </c>
      <c r="J148" t="s">
        <v>1316</v>
      </c>
      <c r="O148" t="s">
        <v>1546</v>
      </c>
      <c r="P148" s="290" t="s">
        <v>1320</v>
      </c>
      <c r="Q148" s="290" t="s">
        <v>1315</v>
      </c>
      <c r="R148" s="290" t="s">
        <v>1316</v>
      </c>
      <c r="S148" s="508">
        <v>3</v>
      </c>
      <c r="T148" s="535">
        <v>3</v>
      </c>
      <c r="U148" s="672" t="s">
        <v>1318</v>
      </c>
      <c r="V148" s="673" t="s">
        <v>1316</v>
      </c>
      <c r="W148" s="290" t="s">
        <v>1320</v>
      </c>
      <c r="X148" s="290" t="s">
        <v>1315</v>
      </c>
      <c r="Y148" s="290" t="s">
        <v>1316</v>
      </c>
      <c r="AA148">
        <v>2</v>
      </c>
      <c r="AB148" t="s">
        <v>1384</v>
      </c>
      <c r="AC148">
        <v>1</v>
      </c>
    </row>
    <row r="149" spans="4:31">
      <c r="D149" t="s">
        <v>525</v>
      </c>
      <c r="E149" t="s">
        <v>598</v>
      </c>
    </row>
    <row r="150" spans="4:31">
      <c r="D150" t="s">
        <v>598</v>
      </c>
      <c r="E150" t="s">
        <v>1316</v>
      </c>
      <c r="H150" s="315" t="s">
        <v>1328</v>
      </c>
      <c r="I150" s="315" t="s">
        <v>1315</v>
      </c>
      <c r="J150" s="315" t="s">
        <v>1317</v>
      </c>
      <c r="P150" t="s">
        <v>1381</v>
      </c>
      <c r="Q150" s="315" t="s">
        <v>1315</v>
      </c>
      <c r="R150" s="315" t="s">
        <v>1317</v>
      </c>
      <c r="W150" s="302" t="s">
        <v>870</v>
      </c>
      <c r="X150" s="302" t="s">
        <v>1315</v>
      </c>
      <c r="Y150" s="302" t="s">
        <v>1317</v>
      </c>
      <c r="Z150">
        <v>2</v>
      </c>
    </row>
    <row r="151" spans="4:31">
      <c r="H151" s="315"/>
      <c r="I151" s="315" t="s">
        <v>1315</v>
      </c>
      <c r="J151" s="315" t="s">
        <v>1316</v>
      </c>
      <c r="P151" t="s">
        <v>1381</v>
      </c>
      <c r="Q151" s="305" t="s">
        <v>1315</v>
      </c>
      <c r="R151" s="305" t="s">
        <v>1316</v>
      </c>
      <c r="S151" s="305" t="s">
        <v>1391</v>
      </c>
      <c r="W151" s="302" t="s">
        <v>870</v>
      </c>
      <c r="X151" s="488" t="s">
        <v>1317</v>
      </c>
      <c r="Y151" s="488" t="s">
        <v>1316</v>
      </c>
      <c r="Z151">
        <v>2</v>
      </c>
    </row>
    <row r="152" spans="4:31">
      <c r="H152" s="315"/>
      <c r="I152" s="315" t="s">
        <v>1317</v>
      </c>
      <c r="J152" s="315" t="s">
        <v>1316</v>
      </c>
      <c r="P152" t="s">
        <v>1381</v>
      </c>
      <c r="Q152" s="315" t="s">
        <v>1317</v>
      </c>
      <c r="R152" s="315" t="s">
        <v>1316</v>
      </c>
      <c r="W152" t="s">
        <v>870</v>
      </c>
      <c r="X152" t="s">
        <v>1317</v>
      </c>
      <c r="Y152" t="s">
        <v>1317</v>
      </c>
    </row>
    <row r="153" spans="4:31">
      <c r="P153" t="s">
        <v>1381</v>
      </c>
      <c r="Q153" t="s">
        <v>1317</v>
      </c>
      <c r="R153" t="s">
        <v>1317</v>
      </c>
      <c r="S153" t="s">
        <v>1389</v>
      </c>
      <c r="T153" s="605"/>
      <c r="W153" t="s">
        <v>870</v>
      </c>
      <c r="X153" t="s">
        <v>1316</v>
      </c>
      <c r="Y153" t="s">
        <v>1316</v>
      </c>
    </row>
    <row r="154" spans="4:31">
      <c r="P154" t="s">
        <v>1381</v>
      </c>
      <c r="Q154" s="315" t="s">
        <v>1316</v>
      </c>
      <c r="R154" s="315" t="s">
        <v>1316</v>
      </c>
      <c r="S154" t="s">
        <v>1390</v>
      </c>
      <c r="W154" t="s">
        <v>1236</v>
      </c>
      <c r="X154" t="s">
        <v>525</v>
      </c>
      <c r="Y154" t="s">
        <v>525</v>
      </c>
    </row>
    <row r="155" spans="4:31">
      <c r="P155" t="s">
        <v>1381</v>
      </c>
      <c r="Q155" t="s">
        <v>1315</v>
      </c>
      <c r="R155" t="s">
        <v>1315</v>
      </c>
    </row>
    <row r="156" spans="4:31">
      <c r="F156" t="s">
        <v>525</v>
      </c>
      <c r="G156" t="s">
        <v>598</v>
      </c>
      <c r="H156" t="s">
        <v>954</v>
      </c>
      <c r="S156" t="s">
        <v>525</v>
      </c>
      <c r="T156" t="s">
        <v>598</v>
      </c>
      <c r="U156" t="s">
        <v>1318</v>
      </c>
      <c r="V156" t="s">
        <v>1316</v>
      </c>
      <c r="W156" t="s">
        <v>1166</v>
      </c>
      <c r="X156" s="302" t="s">
        <v>1315</v>
      </c>
      <c r="Y156" s="302" t="s">
        <v>1317</v>
      </c>
    </row>
    <row r="157" spans="4:31">
      <c r="D157" t="s">
        <v>525</v>
      </c>
      <c r="E157" t="s">
        <v>1317</v>
      </c>
      <c r="F157">
        <v>4</v>
      </c>
      <c r="G157">
        <v>4</v>
      </c>
      <c r="H157">
        <v>4</v>
      </c>
      <c r="P157" s="539" t="s">
        <v>1496</v>
      </c>
      <c r="Q157" s="543"/>
      <c r="R157" s="543"/>
      <c r="S157" s="543">
        <v>1000</v>
      </c>
      <c r="T157" s="543">
        <v>1800</v>
      </c>
      <c r="U157" s="543">
        <v>1800</v>
      </c>
      <c r="V157" s="543">
        <v>1800</v>
      </c>
      <c r="W157" t="s">
        <v>1166</v>
      </c>
      <c r="X157" s="302" t="s">
        <v>1317</v>
      </c>
      <c r="Y157" s="302" t="s">
        <v>1316</v>
      </c>
    </row>
    <row r="158" spans="4:31">
      <c r="D158" t="s">
        <v>525</v>
      </c>
      <c r="E158" t="s">
        <v>1316</v>
      </c>
      <c r="F158">
        <v>2</v>
      </c>
      <c r="G158">
        <v>2</v>
      </c>
      <c r="H158">
        <v>2</v>
      </c>
      <c r="P158" s="543"/>
      <c r="Q158" s="543"/>
      <c r="R158" s="543"/>
      <c r="S158" s="543">
        <v>2</v>
      </c>
      <c r="T158" s="543">
        <v>3</v>
      </c>
      <c r="U158" s="543">
        <v>1</v>
      </c>
      <c r="V158" s="543">
        <v>2</v>
      </c>
      <c r="W158" t="s">
        <v>1166</v>
      </c>
      <c r="X158" t="s">
        <v>1317</v>
      </c>
      <c r="Y158" t="s">
        <v>1317</v>
      </c>
      <c r="Z158" t="s">
        <v>1392</v>
      </c>
    </row>
    <row r="159" spans="4:31">
      <c r="D159" t="s">
        <v>1317</v>
      </c>
      <c r="E159" t="s">
        <v>1316</v>
      </c>
      <c r="P159" s="543"/>
      <c r="Q159" s="543"/>
      <c r="R159" s="543">
        <f>SUM(S159:V159)</f>
        <v>12800</v>
      </c>
      <c r="S159" s="543">
        <f>S157*S158</f>
        <v>2000</v>
      </c>
      <c r="T159" s="543">
        <f>T157*T158</f>
        <v>5400</v>
      </c>
      <c r="U159" s="543">
        <f>U157*U158</f>
        <v>1800</v>
      </c>
      <c r="V159" s="543">
        <f>V157*V158</f>
        <v>3600</v>
      </c>
      <c r="W159" t="s">
        <v>1166</v>
      </c>
      <c r="X159" t="s">
        <v>1316</v>
      </c>
      <c r="Y159" t="s">
        <v>1316</v>
      </c>
      <c r="Z159">
        <v>8</v>
      </c>
    </row>
    <row r="160" spans="4:31">
      <c r="D160" t="s">
        <v>525</v>
      </c>
      <c r="E160" t="s">
        <v>525</v>
      </c>
      <c r="P160" s="543"/>
      <c r="Q160" s="543" t="s">
        <v>1547</v>
      </c>
      <c r="R160" s="543">
        <v>8000</v>
      </c>
      <c r="S160" s="543"/>
      <c r="T160" s="543"/>
      <c r="U160" s="543"/>
      <c r="V160" s="543"/>
      <c r="W160" t="s">
        <v>1166</v>
      </c>
      <c r="X160" t="s">
        <v>525</v>
      </c>
      <c r="Y160" t="s">
        <v>525</v>
      </c>
    </row>
    <row r="161" spans="4:37">
      <c r="D161" t="s">
        <v>1317</v>
      </c>
      <c r="E161" t="s">
        <v>1317</v>
      </c>
      <c r="P161" s="543"/>
      <c r="Q161" s="543" t="s">
        <v>1548</v>
      </c>
      <c r="R161" s="543">
        <v>1800</v>
      </c>
      <c r="S161" s="543">
        <v>2000</v>
      </c>
      <c r="T161" s="543"/>
      <c r="U161" s="543"/>
      <c r="V161" s="543"/>
    </row>
    <row r="162" spans="4:37">
      <c r="D162" t="s">
        <v>1316</v>
      </c>
      <c r="E162" t="s">
        <v>1316</v>
      </c>
      <c r="P162">
        <f>SUM(R159:R162)</f>
        <v>24600</v>
      </c>
      <c r="Q162" t="s">
        <v>1555</v>
      </c>
      <c r="R162">
        <v>2000</v>
      </c>
      <c r="W162" t="s">
        <v>1324</v>
      </c>
      <c r="X162" t="s">
        <v>525</v>
      </c>
      <c r="Y162" t="s">
        <v>525</v>
      </c>
      <c r="Z162" s="423" t="s">
        <v>1393</v>
      </c>
    </row>
    <row r="163" spans="4:37">
      <c r="Q163" t="s">
        <v>1315</v>
      </c>
      <c r="R163" t="s">
        <v>1315</v>
      </c>
      <c r="T163" s="614"/>
      <c r="W163" t="s">
        <v>1324</v>
      </c>
      <c r="X163" t="s">
        <v>525</v>
      </c>
      <c r="Y163" t="s">
        <v>598</v>
      </c>
      <c r="Z163" s="326" t="s">
        <v>1394</v>
      </c>
    </row>
    <row r="164" spans="4:37">
      <c r="Q164" t="s">
        <v>1317</v>
      </c>
      <c r="R164" t="s">
        <v>1317</v>
      </c>
      <c r="S164" s="238"/>
      <c r="T164" s="238" t="s">
        <v>1404</v>
      </c>
      <c r="W164" t="s">
        <v>1324</v>
      </c>
      <c r="X164" t="s">
        <v>525</v>
      </c>
      <c r="Y164" t="s">
        <v>954</v>
      </c>
      <c r="Z164" s="330" t="s">
        <v>1395</v>
      </c>
    </row>
    <row r="165" spans="4:37">
      <c r="Q165" t="s">
        <v>1316</v>
      </c>
      <c r="R165" t="s">
        <v>1316</v>
      </c>
      <c r="S165" s="238"/>
      <c r="T165" s="238" t="s">
        <v>1404</v>
      </c>
      <c r="W165" t="s">
        <v>1324</v>
      </c>
      <c r="X165" t="s">
        <v>598</v>
      </c>
      <c r="Y165" t="s">
        <v>954</v>
      </c>
      <c r="Z165" s="330" t="s">
        <v>1396</v>
      </c>
    </row>
    <row r="166" spans="4:37">
      <c r="Q166" t="s">
        <v>1315</v>
      </c>
      <c r="R166" t="s">
        <v>1317</v>
      </c>
      <c r="S166" s="330" t="s">
        <v>1403</v>
      </c>
      <c r="T166" s="238" t="s">
        <v>1404</v>
      </c>
      <c r="W166" t="s">
        <v>1324</v>
      </c>
      <c r="X166" t="s">
        <v>954</v>
      </c>
      <c r="Y166" t="s">
        <v>954</v>
      </c>
    </row>
    <row r="167" spans="4:37">
      <c r="Q167" t="s">
        <v>1315</v>
      </c>
      <c r="R167" t="s">
        <v>1316</v>
      </c>
      <c r="S167" s="330" t="s">
        <v>1328</v>
      </c>
      <c r="T167" s="238" t="s">
        <v>1404</v>
      </c>
      <c r="W167" t="s">
        <v>1324</v>
      </c>
      <c r="X167" t="s">
        <v>598</v>
      </c>
      <c r="Y167" t="s">
        <v>598</v>
      </c>
    </row>
    <row r="168" spans="4:37">
      <c r="D168" t="s">
        <v>1409</v>
      </c>
      <c r="G168" t="s">
        <v>1414</v>
      </c>
      <c r="H168" t="s">
        <v>1413</v>
      </c>
      <c r="I168" t="s">
        <v>1416</v>
      </c>
      <c r="Q168" t="s">
        <v>1317</v>
      </c>
      <c r="R168" t="s">
        <v>1316</v>
      </c>
      <c r="S168" s="330" t="s">
        <v>1403</v>
      </c>
      <c r="T168" s="330" t="s">
        <v>1404</v>
      </c>
      <c r="W168" t="s">
        <v>1324</v>
      </c>
      <c r="X168" t="s">
        <v>525</v>
      </c>
      <c r="Y168" t="s">
        <v>955</v>
      </c>
      <c r="Z168" t="s">
        <v>1422</v>
      </c>
    </row>
    <row r="169" spans="4:37">
      <c r="E169">
        <v>422</v>
      </c>
      <c r="F169" t="s">
        <v>1410</v>
      </c>
      <c r="G169" t="s">
        <v>1411</v>
      </c>
      <c r="H169" t="s">
        <v>1394</v>
      </c>
      <c r="I169">
        <v>10</v>
      </c>
      <c r="Q169" t="s">
        <v>1315</v>
      </c>
      <c r="R169" t="s">
        <v>1317</v>
      </c>
      <c r="S169" s="330" t="s">
        <v>1404</v>
      </c>
      <c r="T169" s="238"/>
      <c r="W169" t="s">
        <v>1324</v>
      </c>
      <c r="X169" t="s">
        <v>955</v>
      </c>
      <c r="Y169" t="s">
        <v>955</v>
      </c>
      <c r="Z169" t="s">
        <v>1423</v>
      </c>
    </row>
    <row r="170" spans="4:37">
      <c r="E170">
        <v>436</v>
      </c>
      <c r="F170" t="s">
        <v>1410</v>
      </c>
      <c r="G170" t="s">
        <v>1412</v>
      </c>
      <c r="Q170" t="s">
        <v>1315</v>
      </c>
      <c r="R170" t="s">
        <v>1316</v>
      </c>
      <c r="S170" s="330" t="s">
        <v>1404</v>
      </c>
      <c r="T170" s="238"/>
    </row>
    <row r="171" spans="4:37">
      <c r="Q171" t="s">
        <v>1317</v>
      </c>
      <c r="R171" t="s">
        <v>1316</v>
      </c>
      <c r="S171" s="302" t="s">
        <v>1404</v>
      </c>
      <c r="T171" s="302" t="s">
        <v>1404</v>
      </c>
    </row>
    <row r="173" spans="4:37">
      <c r="T173" t="s">
        <v>1315</v>
      </c>
      <c r="U173" t="s">
        <v>1317</v>
      </c>
      <c r="V173" t="s">
        <v>1316</v>
      </c>
      <c r="AA173" t="s">
        <v>1315</v>
      </c>
      <c r="AB173" t="s">
        <v>1317</v>
      </c>
      <c r="AC173" t="s">
        <v>1316</v>
      </c>
      <c r="AH173" t="s">
        <v>1315</v>
      </c>
      <c r="AI173" t="s">
        <v>1317</v>
      </c>
      <c r="AJ173" t="s">
        <v>1316</v>
      </c>
    </row>
    <row r="174" spans="4:37">
      <c r="Q174" s="302" t="s">
        <v>1315</v>
      </c>
      <c r="R174" s="302" t="s">
        <v>1315</v>
      </c>
      <c r="S174" s="302" t="s">
        <v>1404</v>
      </c>
      <c r="T174">
        <v>4</v>
      </c>
      <c r="U174">
        <v>2</v>
      </c>
      <c r="V174">
        <v>2</v>
      </c>
      <c r="X174" s="302" t="s">
        <v>1315</v>
      </c>
      <c r="Y174" s="302" t="s">
        <v>1315</v>
      </c>
      <c r="Z174" s="302" t="s">
        <v>1404</v>
      </c>
      <c r="AA174">
        <v>2</v>
      </c>
      <c r="AB174">
        <v>3</v>
      </c>
      <c r="AC174">
        <v>3</v>
      </c>
      <c r="AE174" s="302" t="s">
        <v>1315</v>
      </c>
      <c r="AF174" s="302" t="s">
        <v>1315</v>
      </c>
      <c r="AG174" s="302" t="s">
        <v>1404</v>
      </c>
      <c r="AH174">
        <v>4</v>
      </c>
      <c r="AI174">
        <v>2</v>
      </c>
      <c r="AJ174">
        <v>2</v>
      </c>
    </row>
    <row r="175" spans="4:37">
      <c r="Q175" t="s">
        <v>1317</v>
      </c>
      <c r="R175" t="s">
        <v>1317</v>
      </c>
      <c r="S175" t="s">
        <v>1404</v>
      </c>
      <c r="X175" s="302" t="s">
        <v>1317</v>
      </c>
      <c r="Y175" s="302" t="s">
        <v>1317</v>
      </c>
      <c r="Z175" s="302" t="s">
        <v>1404</v>
      </c>
      <c r="AA175">
        <v>-1</v>
      </c>
      <c r="AB175">
        <v>2</v>
      </c>
      <c r="AC175">
        <v>2</v>
      </c>
      <c r="AE175" s="305" t="s">
        <v>1317</v>
      </c>
      <c r="AF175" s="305" t="s">
        <v>1317</v>
      </c>
      <c r="AG175" s="305" t="s">
        <v>1404</v>
      </c>
      <c r="AH175">
        <v>1</v>
      </c>
      <c r="AI175">
        <v>1</v>
      </c>
      <c r="AJ175">
        <v>1</v>
      </c>
      <c r="AK175" t="s">
        <v>1239</v>
      </c>
    </row>
    <row r="176" spans="4:37">
      <c r="Q176" t="s">
        <v>1316</v>
      </c>
      <c r="R176" t="s">
        <v>1316</v>
      </c>
      <c r="S176" t="s">
        <v>1404</v>
      </c>
      <c r="X176" s="302" t="s">
        <v>1316</v>
      </c>
      <c r="Y176" s="302" t="s">
        <v>1316</v>
      </c>
      <c r="Z176" s="302" t="s">
        <v>1404</v>
      </c>
      <c r="AE176" s="305" t="s">
        <v>1316</v>
      </c>
      <c r="AF176" s="305" t="s">
        <v>1316</v>
      </c>
      <c r="AG176" s="305" t="s">
        <v>1404</v>
      </c>
    </row>
    <row r="177" spans="4:36">
      <c r="Q177" s="302" t="s">
        <v>1315</v>
      </c>
      <c r="R177" s="302" t="s">
        <v>1317</v>
      </c>
      <c r="S177" s="302"/>
      <c r="X177" s="305" t="s">
        <v>1315</v>
      </c>
      <c r="Y177" s="305" t="s">
        <v>1317</v>
      </c>
      <c r="Z177" s="305"/>
      <c r="AE177" s="302" t="s">
        <v>1315</v>
      </c>
      <c r="AF177" s="302" t="s">
        <v>1317</v>
      </c>
      <c r="AG177" s="302"/>
    </row>
    <row r="178" spans="4:36">
      <c r="Q178" s="302" t="s">
        <v>1315</v>
      </c>
      <c r="R178" s="302" t="s">
        <v>1316</v>
      </c>
      <c r="S178" s="302"/>
      <c r="X178" s="305" t="s">
        <v>1315</v>
      </c>
      <c r="Y178" s="305" t="s">
        <v>1316</v>
      </c>
      <c r="Z178" s="305"/>
      <c r="AE178" s="302" t="s">
        <v>1315</v>
      </c>
      <c r="AF178" s="302" t="s">
        <v>1316</v>
      </c>
      <c r="AG178" s="302"/>
    </row>
    <row r="179" spans="4:36">
      <c r="Q179" s="302" t="s">
        <v>1317</v>
      </c>
      <c r="R179" s="302" t="s">
        <v>1316</v>
      </c>
      <c r="S179" s="302" t="s">
        <v>1404</v>
      </c>
      <c r="X179" s="302" t="s">
        <v>1317</v>
      </c>
      <c r="Y179" s="302" t="s">
        <v>1316</v>
      </c>
      <c r="Z179" s="302" t="s">
        <v>1404</v>
      </c>
      <c r="AE179" s="330" t="s">
        <v>1317</v>
      </c>
      <c r="AF179" s="330" t="s">
        <v>1316</v>
      </c>
      <c r="AG179" s="330" t="s">
        <v>1404</v>
      </c>
    </row>
    <row r="180" spans="4:36" ht="15.75" thickBot="1"/>
    <row r="181" spans="4:36">
      <c r="E181" t="s">
        <v>1417</v>
      </c>
      <c r="X181" s="305" t="s">
        <v>1315</v>
      </c>
      <c r="Y181" s="305" t="s">
        <v>1315</v>
      </c>
      <c r="Z181" s="305" t="s">
        <v>870</v>
      </c>
      <c r="AA181">
        <v>2</v>
      </c>
      <c r="AB181">
        <v>2</v>
      </c>
      <c r="AC181">
        <v>2</v>
      </c>
      <c r="AD181" t="s">
        <v>1406</v>
      </c>
      <c r="AE181" s="616" t="s">
        <v>1315</v>
      </c>
      <c r="AF181" s="617" t="s">
        <v>1315</v>
      </c>
      <c r="AG181" s="618" t="s">
        <v>1404</v>
      </c>
      <c r="AH181">
        <v>4</v>
      </c>
      <c r="AI181">
        <v>4</v>
      </c>
      <c r="AJ181">
        <v>4</v>
      </c>
    </row>
    <row r="182" spans="4:36">
      <c r="D182" t="s">
        <v>1475</v>
      </c>
      <c r="E182" t="s">
        <v>1476</v>
      </c>
      <c r="F182" t="s">
        <v>1477</v>
      </c>
      <c r="X182" s="305" t="s">
        <v>1317</v>
      </c>
      <c r="Y182" s="305" t="s">
        <v>1317</v>
      </c>
      <c r="Z182" s="305" t="s">
        <v>870</v>
      </c>
      <c r="AE182" s="619" t="s">
        <v>1317</v>
      </c>
      <c r="AF182" s="402" t="s">
        <v>1317</v>
      </c>
      <c r="AG182" s="620" t="s">
        <v>1404</v>
      </c>
      <c r="AH182">
        <v>1</v>
      </c>
      <c r="AI182">
        <v>3</v>
      </c>
      <c r="AJ182">
        <v>3</v>
      </c>
    </row>
    <row r="183" spans="4:36">
      <c r="D183" t="s">
        <v>525</v>
      </c>
      <c r="E183" t="s">
        <v>525</v>
      </c>
      <c r="F183" t="s">
        <v>1418</v>
      </c>
      <c r="G183" t="s">
        <v>1445</v>
      </c>
      <c r="H183" t="s">
        <v>1474</v>
      </c>
      <c r="X183" s="305" t="s">
        <v>1316</v>
      </c>
      <c r="Y183" s="305" t="s">
        <v>1316</v>
      </c>
      <c r="Z183" s="305" t="s">
        <v>870</v>
      </c>
      <c r="AE183" s="619" t="s">
        <v>1316</v>
      </c>
      <c r="AF183" s="402" t="s">
        <v>1316</v>
      </c>
      <c r="AG183" s="620" t="s">
        <v>1404</v>
      </c>
    </row>
    <row r="184" spans="4:36">
      <c r="D184" t="s">
        <v>598</v>
      </c>
      <c r="E184" t="s">
        <v>954</v>
      </c>
      <c r="F184" t="s">
        <v>1419</v>
      </c>
      <c r="G184" t="s">
        <v>1446</v>
      </c>
      <c r="H184">
        <v>9</v>
      </c>
      <c r="I184" t="s">
        <v>1472</v>
      </c>
      <c r="J184" t="s">
        <v>1480</v>
      </c>
      <c r="X184" s="615" t="s">
        <v>1315</v>
      </c>
      <c r="Y184" s="615" t="s">
        <v>1317</v>
      </c>
      <c r="Z184" s="615" t="s">
        <v>870</v>
      </c>
      <c r="AE184" s="619" t="s">
        <v>1315</v>
      </c>
      <c r="AF184" s="402" t="s">
        <v>1317</v>
      </c>
      <c r="AG184" s="620" t="s">
        <v>1404</v>
      </c>
    </row>
    <row r="185" spans="4:36">
      <c r="D185" t="s">
        <v>598</v>
      </c>
      <c r="E185" t="s">
        <v>598</v>
      </c>
      <c r="F185" t="s">
        <v>1420</v>
      </c>
      <c r="I185" t="s">
        <v>1473</v>
      </c>
      <c r="J185" t="s">
        <v>1481</v>
      </c>
      <c r="X185" s="615" t="s">
        <v>1315</v>
      </c>
      <c r="Y185" s="615" t="s">
        <v>1316</v>
      </c>
      <c r="Z185" s="615" t="s">
        <v>870</v>
      </c>
      <c r="AE185" s="619" t="s">
        <v>1315</v>
      </c>
      <c r="AF185" s="402" t="s">
        <v>1316</v>
      </c>
      <c r="AG185" s="620" t="s">
        <v>1404</v>
      </c>
    </row>
    <row r="186" spans="4:36" ht="15.75" thickBot="1">
      <c r="D186" t="s">
        <v>954</v>
      </c>
      <c r="E186" t="s">
        <v>954</v>
      </c>
      <c r="F186" t="s">
        <v>1467</v>
      </c>
      <c r="G186" t="s">
        <v>1468</v>
      </c>
      <c r="H186" t="s">
        <v>1471</v>
      </c>
      <c r="I186" t="s">
        <v>1479</v>
      </c>
      <c r="J186" t="s">
        <v>1482</v>
      </c>
      <c r="X186" s="302" t="s">
        <v>1317</v>
      </c>
      <c r="Y186" s="302" t="s">
        <v>1316</v>
      </c>
      <c r="Z186" s="302" t="s">
        <v>870</v>
      </c>
      <c r="AE186" s="621" t="s">
        <v>1317</v>
      </c>
      <c r="AF186" s="502" t="s">
        <v>1316</v>
      </c>
      <c r="AG186" s="622" t="s">
        <v>1404</v>
      </c>
    </row>
    <row r="187" spans="4:36" ht="15.75" thickBot="1">
      <c r="D187" t="s">
        <v>1233</v>
      </c>
      <c r="E187" t="s">
        <v>954</v>
      </c>
      <c r="F187" t="s">
        <v>1469</v>
      </c>
      <c r="G187">
        <v>8</v>
      </c>
      <c r="H187" t="s">
        <v>1470</v>
      </c>
      <c r="J187" t="s">
        <v>1483</v>
      </c>
    </row>
    <row r="188" spans="4:36">
      <c r="D188" t="s">
        <v>735</v>
      </c>
      <c r="E188" t="s">
        <v>1478</v>
      </c>
      <c r="F188" t="s">
        <v>1467</v>
      </c>
      <c r="AD188" t="s">
        <v>1405</v>
      </c>
      <c r="AE188" s="616" t="s">
        <v>1315</v>
      </c>
      <c r="AF188" s="617" t="s">
        <v>1315</v>
      </c>
      <c r="AG188" s="618" t="s">
        <v>1404</v>
      </c>
      <c r="AH188">
        <v>2</v>
      </c>
      <c r="AI188">
        <v>3</v>
      </c>
      <c r="AJ188">
        <v>3</v>
      </c>
    </row>
    <row r="189" spans="4:36">
      <c r="G189">
        <v>787</v>
      </c>
      <c r="H189">
        <f>G189*3/4</f>
        <v>590.25</v>
      </c>
      <c r="J189">
        <v>600</v>
      </c>
      <c r="K189">
        <v>800</v>
      </c>
      <c r="AE189" s="619" t="s">
        <v>1317</v>
      </c>
      <c r="AF189" s="402" t="s">
        <v>1317</v>
      </c>
      <c r="AG189" s="620" t="s">
        <v>1404</v>
      </c>
      <c r="AH189">
        <v>-1</v>
      </c>
      <c r="AI189">
        <v>2</v>
      </c>
      <c r="AJ189">
        <v>2</v>
      </c>
    </row>
    <row r="190" spans="4:36">
      <c r="D190" t="s">
        <v>598</v>
      </c>
      <c r="E190" t="s">
        <v>1486</v>
      </c>
      <c r="F190" t="s">
        <v>1487</v>
      </c>
      <c r="AE190" s="619" t="s">
        <v>1316</v>
      </c>
      <c r="AF190" s="402" t="s">
        <v>1316</v>
      </c>
      <c r="AG190" s="620" t="s">
        <v>1404</v>
      </c>
    </row>
    <row r="191" spans="4:36">
      <c r="AE191" s="405" t="s">
        <v>1315</v>
      </c>
      <c r="AF191" s="393" t="s">
        <v>1317</v>
      </c>
      <c r="AG191" s="406" t="s">
        <v>1404</v>
      </c>
    </row>
    <row r="192" spans="4:36">
      <c r="D192" t="s">
        <v>1453</v>
      </c>
      <c r="E192" s="630" t="s">
        <v>1454</v>
      </c>
      <c r="G192">
        <v>104000</v>
      </c>
      <c r="H192">
        <v>0.15</v>
      </c>
      <c r="I192">
        <f>-G192*H192+G192</f>
        <v>88400</v>
      </c>
      <c r="J192">
        <v>5275</v>
      </c>
      <c r="K192">
        <f>I192-J192</f>
        <v>83125</v>
      </c>
      <c r="L192">
        <v>83550</v>
      </c>
      <c r="AE192" s="405" t="s">
        <v>1315</v>
      </c>
      <c r="AF192" s="393" t="s">
        <v>1316</v>
      </c>
      <c r="AG192" s="406" t="s">
        <v>1404</v>
      </c>
    </row>
    <row r="193" spans="30:36" ht="15.75" thickBot="1">
      <c r="AE193" s="621" t="s">
        <v>1317</v>
      </c>
      <c r="AF193" s="502" t="s">
        <v>1316</v>
      </c>
      <c r="AG193" s="622" t="s">
        <v>1404</v>
      </c>
    </row>
    <row r="194" spans="30:36" ht="15.75" thickBot="1"/>
    <row r="195" spans="30:36">
      <c r="AD195" t="s">
        <v>1407</v>
      </c>
      <c r="AE195" s="616" t="s">
        <v>1315</v>
      </c>
      <c r="AF195" s="617" t="s">
        <v>1315</v>
      </c>
      <c r="AG195" s="618" t="s">
        <v>1404</v>
      </c>
      <c r="AH195">
        <v>4</v>
      </c>
      <c r="AI195">
        <v>2</v>
      </c>
      <c r="AJ195">
        <v>2</v>
      </c>
    </row>
    <row r="196" spans="30:36">
      <c r="AD196" t="s">
        <v>1408</v>
      </c>
      <c r="AE196" s="405" t="s">
        <v>1317</v>
      </c>
      <c r="AF196" s="393" t="s">
        <v>1317</v>
      </c>
      <c r="AG196" s="406" t="s">
        <v>1404</v>
      </c>
      <c r="AH196">
        <v>1</v>
      </c>
      <c r="AI196">
        <v>1</v>
      </c>
      <c r="AJ196">
        <v>1</v>
      </c>
    </row>
    <row r="197" spans="30:36">
      <c r="AE197" s="405" t="s">
        <v>1316</v>
      </c>
      <c r="AF197" s="393" t="s">
        <v>1316</v>
      </c>
      <c r="AG197" s="406" t="s">
        <v>1404</v>
      </c>
    </row>
    <row r="198" spans="30:36">
      <c r="AE198" s="619" t="s">
        <v>1315</v>
      </c>
      <c r="AF198" s="402" t="s">
        <v>1317</v>
      </c>
      <c r="AG198" s="620" t="s">
        <v>1404</v>
      </c>
    </row>
    <row r="199" spans="30:36">
      <c r="AE199" s="619" t="s">
        <v>1315</v>
      </c>
      <c r="AF199" s="402" t="s">
        <v>1316</v>
      </c>
      <c r="AG199" s="620" t="s">
        <v>1404</v>
      </c>
    </row>
    <row r="200" spans="30:36" ht="15.75" thickBot="1">
      <c r="AE200" s="621" t="s">
        <v>1317</v>
      </c>
      <c r="AF200" s="502" t="s">
        <v>1316</v>
      </c>
      <c r="AG200" s="622" t="s">
        <v>1404</v>
      </c>
    </row>
  </sheetData>
  <pageMargins left="0.7" right="0.7" top="0.75" bottom="0.75" header="0.3" footer="0.3"/>
  <pageSetup paperSize="9" orientation="portrait" r:id="rId1"/>
  <ignoredErrors>
    <ignoredError sqref="F43" numberStoredAsText="1"/>
  </ignoredErrors>
</worksheet>
</file>

<file path=xl/worksheets/sheet46.xml><?xml version="1.0" encoding="utf-8"?>
<worksheet xmlns="http://schemas.openxmlformats.org/spreadsheetml/2006/main" xmlns:r="http://schemas.openxmlformats.org/officeDocument/2006/relationships">
  <dimension ref="B2:C6"/>
  <sheetViews>
    <sheetView workbookViewId="0">
      <selection activeCell="C3" sqref="C3"/>
    </sheetView>
  </sheetViews>
  <sheetFormatPr defaultRowHeight="15"/>
  <cols>
    <col min="2" max="2" width="29" customWidth="1"/>
    <col min="4" max="4" width="9.140625" customWidth="1"/>
  </cols>
  <sheetData>
    <row r="2" spans="2:3">
      <c r="B2" t="s">
        <v>852</v>
      </c>
      <c r="C2" t="s">
        <v>853</v>
      </c>
    </row>
    <row r="3" spans="2:3">
      <c r="B3" t="s">
        <v>718</v>
      </c>
      <c r="C3" t="s">
        <v>854</v>
      </c>
    </row>
    <row r="4" spans="2:3">
      <c r="B4" t="s">
        <v>855</v>
      </c>
      <c r="C4" t="s">
        <v>856</v>
      </c>
    </row>
    <row r="5" spans="2:3">
      <c r="B5" t="s">
        <v>857</v>
      </c>
      <c r="C5" t="s">
        <v>858</v>
      </c>
    </row>
    <row r="6" spans="2:3">
      <c r="B6" t="s">
        <v>860</v>
      </c>
      <c r="C6" t="s">
        <v>861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C2:D2"/>
  <sheetViews>
    <sheetView topLeftCell="B1" workbookViewId="0">
      <selection activeCell="C3" sqref="C3"/>
    </sheetView>
  </sheetViews>
  <sheetFormatPr defaultRowHeight="15"/>
  <sheetData>
    <row r="2" spans="3:4">
      <c r="C2" t="s">
        <v>797</v>
      </c>
      <c r="D2" t="s">
        <v>875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B1:K125"/>
  <sheetViews>
    <sheetView topLeftCell="D9" zoomScale="115" zoomScaleNormal="115" workbookViewId="0">
      <selection activeCell="K3" sqref="K3"/>
    </sheetView>
  </sheetViews>
  <sheetFormatPr defaultRowHeight="15.75" thickBottom="1"/>
  <cols>
    <col min="2" max="2" width="35.140625" style="424" customWidth="1"/>
    <col min="3" max="3" width="8.5703125" style="424" customWidth="1"/>
    <col min="4" max="4" width="8.140625" style="424" customWidth="1"/>
    <col min="5" max="5" width="10.140625" style="450" customWidth="1"/>
    <col min="6" max="6" width="9.140625" style="435"/>
    <col min="7" max="7" width="9.140625" style="456"/>
    <col min="8" max="8" width="9.140625" style="461"/>
    <col min="9" max="9" width="8.42578125" style="461" customWidth="1"/>
    <col min="10" max="10" width="47.5703125" style="425" customWidth="1"/>
    <col min="11" max="11" width="64.42578125" style="425" customWidth="1"/>
  </cols>
  <sheetData>
    <row r="1" spans="2:11" thickBot="1">
      <c r="E1" s="446"/>
      <c r="G1" s="451"/>
    </row>
    <row r="2" spans="2:11" s="426" customFormat="1" ht="77.25" thickBot="1">
      <c r="B2" s="429" t="s">
        <v>909</v>
      </c>
      <c r="C2" s="441" t="s">
        <v>917</v>
      </c>
      <c r="D2" s="430"/>
      <c r="E2" s="447" t="s">
        <v>908</v>
      </c>
      <c r="F2" s="436">
        <v>210.215</v>
      </c>
      <c r="G2" s="452">
        <v>6000</v>
      </c>
      <c r="H2" s="461"/>
      <c r="I2" s="461"/>
      <c r="J2" s="441" t="s">
        <v>912</v>
      </c>
      <c r="K2" s="431" t="s">
        <v>931</v>
      </c>
    </row>
    <row r="3" spans="2:11" s="426" customFormat="1" ht="144" customHeight="1" thickBot="1">
      <c r="B3" s="432" t="s">
        <v>953</v>
      </c>
      <c r="C3" s="442" t="s">
        <v>917</v>
      </c>
      <c r="D3" s="433" t="s">
        <v>624</v>
      </c>
      <c r="E3" s="448" t="s">
        <v>911</v>
      </c>
      <c r="F3" s="437">
        <v>210</v>
      </c>
      <c r="G3" s="453">
        <v>5750</v>
      </c>
      <c r="H3" s="461"/>
      <c r="I3" s="461" t="s">
        <v>958</v>
      </c>
      <c r="J3" s="442" t="s">
        <v>910</v>
      </c>
      <c r="K3" s="434" t="s">
        <v>932</v>
      </c>
    </row>
    <row r="4" spans="2:11" s="426" customFormat="1" ht="96.75" customHeight="1" thickBot="1">
      <c r="B4" s="432" t="s">
        <v>915</v>
      </c>
      <c r="C4" s="442" t="s">
        <v>917</v>
      </c>
      <c r="D4" s="433" t="s">
        <v>624</v>
      </c>
      <c r="E4" s="448" t="s">
        <v>908</v>
      </c>
      <c r="F4" s="437">
        <v>210.215</v>
      </c>
      <c r="G4" s="453">
        <v>5200</v>
      </c>
      <c r="H4" s="461"/>
      <c r="I4" s="461"/>
      <c r="J4" s="442" t="s">
        <v>916</v>
      </c>
      <c r="K4" s="434" t="s">
        <v>977</v>
      </c>
    </row>
    <row r="5" spans="2:11" s="428" customFormat="1" ht="97.5" customHeight="1" thickBot="1">
      <c r="B5" s="429" t="s">
        <v>922</v>
      </c>
      <c r="C5" s="441"/>
      <c r="D5" s="430" t="s">
        <v>625</v>
      </c>
      <c r="E5" s="447" t="s">
        <v>913</v>
      </c>
      <c r="F5" s="436" t="s">
        <v>914</v>
      </c>
      <c r="G5" s="452">
        <v>5750</v>
      </c>
      <c r="H5" s="461"/>
      <c r="I5" s="461"/>
      <c r="J5" s="442" t="s">
        <v>918</v>
      </c>
      <c r="K5" s="434" t="s">
        <v>934</v>
      </c>
    </row>
    <row r="6" spans="2:11" s="428" customFormat="1" ht="90" thickBot="1">
      <c r="B6" s="429" t="s">
        <v>923</v>
      </c>
      <c r="C6" s="441"/>
      <c r="D6" s="430" t="s">
        <v>624</v>
      </c>
      <c r="E6" s="447" t="s">
        <v>908</v>
      </c>
      <c r="F6" s="436" t="s">
        <v>920</v>
      </c>
      <c r="G6" s="452">
        <v>4400</v>
      </c>
      <c r="H6" s="461"/>
      <c r="I6" s="461"/>
      <c r="J6" s="442" t="s">
        <v>919</v>
      </c>
      <c r="K6" s="434" t="s">
        <v>933</v>
      </c>
    </row>
    <row r="7" spans="2:11" s="427" customFormat="1" ht="123.75" customHeight="1" thickBot="1">
      <c r="B7" s="438" t="s">
        <v>921</v>
      </c>
      <c r="C7" s="445"/>
      <c r="D7" s="439"/>
      <c r="E7" s="449" t="s">
        <v>908</v>
      </c>
      <c r="F7" s="440" t="s">
        <v>920</v>
      </c>
      <c r="G7" s="454">
        <v>2750</v>
      </c>
      <c r="H7" s="461"/>
      <c r="I7" s="461" t="s">
        <v>523</v>
      </c>
      <c r="J7" s="442" t="s">
        <v>924</v>
      </c>
      <c r="K7" s="434" t="s">
        <v>935</v>
      </c>
    </row>
    <row r="8" spans="2:11" s="425" customFormat="1" ht="312.75" customHeight="1" thickBot="1">
      <c r="B8" s="432" t="s">
        <v>925</v>
      </c>
      <c r="C8" s="442"/>
      <c r="D8" s="433"/>
      <c r="E8" s="442" t="s">
        <v>926</v>
      </c>
      <c r="F8" s="433" t="s">
        <v>927</v>
      </c>
      <c r="G8" s="455">
        <v>3000</v>
      </c>
      <c r="H8" s="461"/>
      <c r="I8" s="461" t="s">
        <v>961</v>
      </c>
      <c r="J8" s="442" t="s">
        <v>928</v>
      </c>
      <c r="K8" s="434" t="s">
        <v>959</v>
      </c>
    </row>
    <row r="9" spans="2:11" ht="132.75" customHeight="1" thickBot="1">
      <c r="B9" s="432" t="s">
        <v>800</v>
      </c>
      <c r="C9" s="432"/>
      <c r="D9" s="432"/>
      <c r="E9" s="432" t="s">
        <v>908</v>
      </c>
      <c r="F9" s="432" t="s">
        <v>930</v>
      </c>
      <c r="G9" s="432">
        <v>2650</v>
      </c>
      <c r="H9" s="462" t="s">
        <v>960</v>
      </c>
      <c r="J9" s="442" t="s">
        <v>929</v>
      </c>
      <c r="K9" s="434" t="s">
        <v>952</v>
      </c>
    </row>
    <row r="10" spans="2:11" ht="150" customHeight="1" thickBot="1">
      <c r="B10" s="432" t="s">
        <v>936</v>
      </c>
      <c r="C10" s="442"/>
      <c r="D10" s="433"/>
      <c r="E10" s="442" t="s">
        <v>937</v>
      </c>
      <c r="F10" s="433" t="s">
        <v>927</v>
      </c>
      <c r="G10" s="455">
        <v>2300</v>
      </c>
      <c r="I10" s="461" t="s">
        <v>958</v>
      </c>
      <c r="J10" s="442" t="s">
        <v>938</v>
      </c>
      <c r="K10" s="442" t="s">
        <v>939</v>
      </c>
    </row>
    <row r="11" spans="2:11" thickBot="1">
      <c r="D11" s="457"/>
      <c r="E11" s="458"/>
      <c r="F11" s="459"/>
      <c r="G11" s="460"/>
      <c r="J11" s="443"/>
    </row>
    <row r="12" spans="2:11" thickBot="1">
      <c r="D12" s="457"/>
      <c r="E12" s="458"/>
      <c r="F12" s="459"/>
      <c r="G12" s="460"/>
      <c r="J12" s="443"/>
    </row>
    <row r="13" spans="2:11" thickBot="1">
      <c r="D13" s="457"/>
      <c r="E13" s="458"/>
      <c r="F13" s="459"/>
      <c r="G13" s="460"/>
      <c r="J13" s="443"/>
    </row>
    <row r="14" spans="2:11" thickBot="1">
      <c r="D14" s="457"/>
      <c r="E14" s="458"/>
      <c r="F14" s="459"/>
      <c r="G14" s="460"/>
      <c r="J14" s="443"/>
    </row>
    <row r="15" spans="2:11" thickBot="1">
      <c r="D15" s="457"/>
      <c r="E15" s="458"/>
      <c r="F15" s="459"/>
      <c r="G15" s="460"/>
      <c r="J15" s="443"/>
    </row>
    <row r="16" spans="2:11" thickBot="1">
      <c r="D16" s="457"/>
      <c r="E16" s="458"/>
      <c r="F16" s="459"/>
      <c r="G16" s="460"/>
      <c r="J16" s="443"/>
    </row>
    <row r="17" spans="4:10" thickBot="1">
      <c r="D17" s="457"/>
      <c r="E17" s="458"/>
      <c r="F17" s="459"/>
      <c r="G17" s="460"/>
      <c r="J17" s="443"/>
    </row>
    <row r="18" spans="4:10" thickBot="1">
      <c r="D18" s="457"/>
      <c r="E18" s="458"/>
      <c r="F18" s="459"/>
      <c r="G18" s="460"/>
      <c r="J18" s="443"/>
    </row>
    <row r="19" spans="4:10" thickBot="1">
      <c r="D19" s="457"/>
      <c r="E19" s="458"/>
      <c r="F19" s="459"/>
      <c r="G19" s="460"/>
      <c r="J19" s="443"/>
    </row>
    <row r="20" spans="4:10" thickBot="1">
      <c r="D20" s="457"/>
      <c r="E20" s="458"/>
      <c r="F20" s="459"/>
      <c r="G20" s="460"/>
      <c r="J20" s="443"/>
    </row>
    <row r="21" spans="4:10" thickBot="1">
      <c r="D21" s="457"/>
      <c r="E21" s="458"/>
      <c r="F21" s="459"/>
      <c r="G21" s="460"/>
      <c r="J21" s="443"/>
    </row>
    <row r="22" spans="4:10" thickBot="1">
      <c r="D22" s="457"/>
      <c r="E22" s="458"/>
      <c r="F22" s="459"/>
      <c r="G22" s="460"/>
      <c r="J22" s="443"/>
    </row>
    <row r="23" spans="4:10" thickBot="1">
      <c r="D23" s="457"/>
      <c r="E23" s="458"/>
      <c r="F23" s="459"/>
      <c r="G23" s="460"/>
      <c r="J23" s="443"/>
    </row>
    <row r="24" spans="4:10" thickBot="1">
      <c r="D24" s="457"/>
      <c r="E24" s="458"/>
      <c r="F24" s="459"/>
      <c r="G24" s="460"/>
      <c r="J24" s="443"/>
    </row>
    <row r="25" spans="4:10" thickBot="1">
      <c r="D25" s="457"/>
      <c r="E25" s="458"/>
      <c r="F25" s="459"/>
      <c r="G25" s="460"/>
      <c r="J25" s="443"/>
    </row>
    <row r="26" spans="4:10" thickBot="1">
      <c r="D26" s="457"/>
      <c r="E26" s="458"/>
      <c r="F26" s="459"/>
      <c r="G26" s="460"/>
      <c r="J26" s="443"/>
    </row>
    <row r="27" spans="4:10" thickBot="1">
      <c r="D27" s="457"/>
      <c r="E27" s="458"/>
      <c r="F27" s="459"/>
      <c r="G27" s="460"/>
      <c r="J27" s="443"/>
    </row>
    <row r="28" spans="4:10" thickBot="1">
      <c r="D28" s="457"/>
      <c r="E28" s="458"/>
      <c r="F28" s="459"/>
      <c r="G28" s="460"/>
      <c r="J28" s="443"/>
    </row>
    <row r="29" spans="4:10" thickBot="1">
      <c r="D29" s="457"/>
      <c r="E29" s="458"/>
      <c r="F29" s="459"/>
      <c r="G29" s="460"/>
      <c r="J29" s="443"/>
    </row>
    <row r="30" spans="4:10" thickBot="1">
      <c r="D30" s="457"/>
      <c r="E30" s="458"/>
      <c r="F30" s="459"/>
      <c r="G30" s="460"/>
      <c r="J30" s="443"/>
    </row>
    <row r="31" spans="4:10" thickBot="1">
      <c r="D31" s="457"/>
      <c r="E31" s="458"/>
      <c r="F31" s="459"/>
      <c r="G31" s="460"/>
      <c r="J31" s="443"/>
    </row>
    <row r="32" spans="4:10" thickBot="1">
      <c r="D32" s="457"/>
      <c r="E32" s="458"/>
      <c r="F32" s="459"/>
      <c r="G32" s="460"/>
      <c r="J32" s="443"/>
    </row>
    <row r="33" spans="4:10" thickBot="1">
      <c r="D33" s="457"/>
      <c r="E33" s="458"/>
      <c r="F33" s="459"/>
      <c r="G33" s="460"/>
      <c r="J33" s="443"/>
    </row>
    <row r="34" spans="4:10" thickBot="1">
      <c r="D34" s="457"/>
      <c r="E34" s="458"/>
      <c r="F34" s="459"/>
      <c r="G34" s="460"/>
      <c r="J34" s="443"/>
    </row>
    <row r="35" spans="4:10" thickBot="1">
      <c r="D35" s="457"/>
      <c r="E35" s="458"/>
      <c r="F35" s="459"/>
      <c r="G35" s="460"/>
      <c r="J35" s="443"/>
    </row>
    <row r="36" spans="4:10" thickBot="1">
      <c r="D36" s="457"/>
      <c r="E36" s="458"/>
      <c r="F36" s="459"/>
      <c r="G36" s="460"/>
      <c r="J36" s="443"/>
    </row>
    <row r="37" spans="4:10" thickBot="1">
      <c r="D37" s="457"/>
      <c r="E37" s="458"/>
      <c r="F37" s="459"/>
      <c r="G37" s="460"/>
      <c r="J37" s="443"/>
    </row>
    <row r="38" spans="4:10" thickBot="1">
      <c r="D38" s="457"/>
      <c r="E38" s="458"/>
      <c r="F38" s="459"/>
      <c r="G38" s="460"/>
      <c r="J38" s="443"/>
    </row>
    <row r="39" spans="4:10" thickBot="1">
      <c r="D39" s="457"/>
      <c r="E39" s="458"/>
      <c r="F39" s="459"/>
      <c r="G39" s="460"/>
      <c r="J39" s="443"/>
    </row>
    <row r="40" spans="4:10" thickBot="1">
      <c r="D40" s="457"/>
      <c r="E40" s="458"/>
      <c r="F40" s="459"/>
      <c r="G40" s="460"/>
      <c r="J40" s="443"/>
    </row>
    <row r="41" spans="4:10" thickBot="1">
      <c r="D41" s="457"/>
      <c r="E41" s="458"/>
      <c r="F41" s="459"/>
      <c r="G41" s="460"/>
      <c r="J41" s="443"/>
    </row>
    <row r="42" spans="4:10" thickBot="1">
      <c r="D42" s="457"/>
      <c r="E42" s="458"/>
      <c r="F42" s="459"/>
      <c r="G42" s="460"/>
      <c r="J42" s="443"/>
    </row>
    <row r="43" spans="4:10" thickBot="1">
      <c r="D43" s="457"/>
      <c r="E43" s="458"/>
      <c r="F43" s="459"/>
      <c r="G43" s="460"/>
      <c r="J43" s="443"/>
    </row>
    <row r="44" spans="4:10" thickBot="1">
      <c r="D44" s="457"/>
      <c r="E44" s="458"/>
      <c r="F44" s="459"/>
      <c r="G44" s="460"/>
      <c r="J44" s="443"/>
    </row>
    <row r="45" spans="4:10" thickBot="1">
      <c r="D45" s="457"/>
      <c r="E45" s="458"/>
      <c r="F45" s="459"/>
      <c r="G45" s="460"/>
      <c r="J45" s="443"/>
    </row>
    <row r="46" spans="4:10" thickBot="1">
      <c r="D46" s="457"/>
      <c r="E46" s="458"/>
      <c r="F46" s="459"/>
      <c r="G46" s="460"/>
      <c r="J46" s="443"/>
    </row>
    <row r="47" spans="4:10" thickBot="1">
      <c r="D47" s="457"/>
      <c r="E47" s="458"/>
      <c r="F47" s="459"/>
      <c r="G47" s="460"/>
      <c r="J47" s="443"/>
    </row>
    <row r="48" spans="4:10" thickBot="1">
      <c r="D48" s="457"/>
      <c r="E48" s="458"/>
      <c r="F48" s="459"/>
      <c r="G48" s="460"/>
      <c r="J48" s="443"/>
    </row>
    <row r="49" spans="4:10" thickBot="1">
      <c r="D49" s="457"/>
      <c r="E49" s="458"/>
      <c r="F49" s="459"/>
      <c r="G49" s="460"/>
      <c r="J49" s="443"/>
    </row>
    <row r="50" spans="4:10" thickBot="1">
      <c r="D50" s="457"/>
      <c r="E50" s="458"/>
      <c r="F50" s="459"/>
      <c r="G50" s="460"/>
      <c r="J50" s="443"/>
    </row>
    <row r="51" spans="4:10" thickBot="1">
      <c r="D51" s="457"/>
      <c r="E51" s="458"/>
      <c r="F51" s="459"/>
      <c r="G51" s="460"/>
      <c r="J51" s="443"/>
    </row>
    <row r="52" spans="4:10" thickBot="1">
      <c r="D52" s="457"/>
      <c r="E52" s="458"/>
      <c r="F52" s="459"/>
      <c r="G52" s="460"/>
      <c r="J52" s="443"/>
    </row>
    <row r="53" spans="4:10" thickBot="1">
      <c r="D53" s="457"/>
      <c r="E53" s="458"/>
      <c r="F53" s="459"/>
      <c r="G53" s="460"/>
      <c r="J53" s="443"/>
    </row>
    <row r="54" spans="4:10" thickBot="1">
      <c r="D54" s="457"/>
      <c r="E54" s="458"/>
      <c r="F54" s="459"/>
      <c r="G54" s="460"/>
      <c r="J54" s="443"/>
    </row>
    <row r="55" spans="4:10" thickBot="1">
      <c r="D55" s="457"/>
      <c r="E55" s="458"/>
      <c r="F55" s="459"/>
      <c r="G55" s="460"/>
      <c r="J55" s="443"/>
    </row>
    <row r="56" spans="4:10" thickBot="1">
      <c r="D56" s="457"/>
      <c r="E56" s="458"/>
      <c r="F56" s="459"/>
      <c r="G56" s="460"/>
      <c r="J56" s="443"/>
    </row>
    <row r="57" spans="4:10" thickBot="1">
      <c r="D57" s="457"/>
      <c r="E57" s="458"/>
      <c r="F57" s="459"/>
      <c r="G57" s="460"/>
      <c r="J57" s="443"/>
    </row>
    <row r="58" spans="4:10" thickBot="1">
      <c r="D58" s="457"/>
      <c r="E58" s="458"/>
      <c r="F58" s="459"/>
      <c r="G58" s="460"/>
      <c r="J58" s="443"/>
    </row>
    <row r="59" spans="4:10" thickBot="1">
      <c r="D59" s="457"/>
      <c r="E59" s="458"/>
      <c r="F59" s="459"/>
      <c r="G59" s="460"/>
      <c r="J59" s="443"/>
    </row>
    <row r="60" spans="4:10" thickBot="1">
      <c r="D60" s="457"/>
      <c r="E60" s="458"/>
      <c r="F60" s="459"/>
      <c r="G60" s="460"/>
      <c r="J60" s="443"/>
    </row>
    <row r="61" spans="4:10" thickBot="1">
      <c r="D61" s="457"/>
      <c r="E61" s="458"/>
      <c r="F61" s="459"/>
      <c r="G61" s="460"/>
      <c r="J61" s="443"/>
    </row>
    <row r="62" spans="4:10" thickBot="1">
      <c r="D62" s="457"/>
      <c r="E62" s="458"/>
      <c r="F62" s="459"/>
      <c r="G62" s="460"/>
      <c r="J62" s="443"/>
    </row>
    <row r="63" spans="4:10" thickBot="1">
      <c r="D63" s="457"/>
      <c r="E63" s="458"/>
      <c r="F63" s="459"/>
      <c r="G63" s="460"/>
      <c r="J63" s="443"/>
    </row>
    <row r="64" spans="4:10" thickBot="1">
      <c r="D64" s="457"/>
      <c r="E64" s="458"/>
      <c r="F64" s="459"/>
      <c r="G64" s="460"/>
      <c r="J64" s="443"/>
    </row>
    <row r="65" spans="4:10" thickBot="1">
      <c r="D65" s="457"/>
      <c r="E65" s="458"/>
      <c r="F65" s="459"/>
      <c r="G65" s="460"/>
      <c r="J65" s="443"/>
    </row>
    <row r="66" spans="4:10" thickBot="1">
      <c r="D66" s="457"/>
      <c r="E66" s="458"/>
      <c r="F66" s="459"/>
      <c r="G66" s="460"/>
      <c r="J66" s="443"/>
    </row>
    <row r="67" spans="4:10" thickBot="1">
      <c r="D67" s="457"/>
      <c r="E67" s="458"/>
      <c r="F67" s="459"/>
      <c r="G67" s="460"/>
      <c r="J67" s="443"/>
    </row>
    <row r="68" spans="4:10" thickBot="1">
      <c r="D68" s="457"/>
      <c r="E68" s="458"/>
      <c r="F68" s="459"/>
      <c r="G68" s="460"/>
      <c r="J68" s="443"/>
    </row>
    <row r="69" spans="4:10" thickBot="1">
      <c r="D69" s="457"/>
      <c r="E69" s="458"/>
      <c r="F69" s="459"/>
      <c r="G69" s="460"/>
      <c r="J69" s="443"/>
    </row>
    <row r="70" spans="4:10" thickBot="1">
      <c r="D70" s="457"/>
      <c r="E70" s="458"/>
      <c r="F70" s="459"/>
      <c r="G70" s="460"/>
      <c r="J70" s="443"/>
    </row>
    <row r="71" spans="4:10" thickBot="1">
      <c r="D71" s="457"/>
      <c r="E71" s="458"/>
      <c r="F71" s="459"/>
      <c r="G71" s="460"/>
      <c r="J71" s="443"/>
    </row>
    <row r="72" spans="4:10" thickBot="1">
      <c r="D72" s="457"/>
      <c r="E72" s="458"/>
      <c r="F72" s="459"/>
      <c r="G72" s="460"/>
      <c r="J72" s="443"/>
    </row>
    <row r="73" spans="4:10" thickBot="1">
      <c r="D73" s="457"/>
      <c r="E73" s="458"/>
      <c r="F73" s="459"/>
      <c r="G73" s="460"/>
      <c r="J73" s="443"/>
    </row>
    <row r="74" spans="4:10" thickBot="1">
      <c r="D74" s="457"/>
      <c r="E74" s="458"/>
      <c r="F74" s="459"/>
      <c r="G74" s="460"/>
      <c r="J74" s="443"/>
    </row>
    <row r="75" spans="4:10" thickBot="1">
      <c r="D75" s="457"/>
      <c r="E75" s="458"/>
      <c r="F75" s="459"/>
      <c r="G75" s="460"/>
      <c r="J75" s="443"/>
    </row>
    <row r="76" spans="4:10" thickBot="1">
      <c r="D76" s="457"/>
      <c r="E76" s="458"/>
      <c r="F76" s="459"/>
      <c r="G76" s="460"/>
      <c r="J76" s="443"/>
    </row>
    <row r="77" spans="4:10" thickBot="1">
      <c r="D77" s="457"/>
      <c r="E77" s="458"/>
      <c r="F77" s="459"/>
      <c r="G77" s="460"/>
      <c r="J77" s="443"/>
    </row>
    <row r="78" spans="4:10" thickBot="1">
      <c r="D78" s="457"/>
      <c r="E78" s="458"/>
      <c r="F78" s="459"/>
      <c r="G78" s="460"/>
      <c r="J78" s="443"/>
    </row>
    <row r="79" spans="4:10" thickBot="1">
      <c r="D79" s="457"/>
      <c r="E79" s="458"/>
      <c r="F79" s="459"/>
      <c r="G79" s="460"/>
      <c r="J79" s="443"/>
    </row>
    <row r="80" spans="4:10" thickBot="1">
      <c r="D80" s="457"/>
      <c r="E80" s="458"/>
      <c r="F80" s="459"/>
      <c r="G80" s="460"/>
      <c r="J80" s="443"/>
    </row>
    <row r="81" spans="4:10" thickBot="1">
      <c r="D81" s="457"/>
      <c r="E81" s="458"/>
      <c r="F81" s="459"/>
      <c r="G81" s="460"/>
      <c r="J81" s="443"/>
    </row>
    <row r="82" spans="4:10" thickBot="1">
      <c r="D82" s="457"/>
      <c r="E82" s="458"/>
      <c r="F82" s="459"/>
      <c r="G82" s="460"/>
      <c r="J82" s="443"/>
    </row>
    <row r="83" spans="4:10" thickBot="1">
      <c r="D83" s="457"/>
      <c r="E83" s="458"/>
      <c r="F83" s="459"/>
      <c r="G83" s="460"/>
      <c r="J83" s="443"/>
    </row>
    <row r="84" spans="4:10" thickBot="1">
      <c r="D84" s="457"/>
      <c r="E84" s="458"/>
      <c r="F84" s="459"/>
      <c r="G84" s="460"/>
      <c r="J84" s="443"/>
    </row>
    <row r="85" spans="4:10" thickBot="1">
      <c r="D85" s="457"/>
      <c r="E85" s="458"/>
      <c r="F85" s="459"/>
      <c r="G85" s="460"/>
      <c r="J85" s="443"/>
    </row>
    <row r="86" spans="4:10" thickBot="1">
      <c r="D86" s="457"/>
      <c r="E86" s="458"/>
      <c r="F86" s="459"/>
      <c r="G86" s="460"/>
      <c r="J86" s="443"/>
    </row>
    <row r="87" spans="4:10" thickBot="1">
      <c r="D87" s="457"/>
      <c r="E87" s="458"/>
      <c r="F87" s="459"/>
      <c r="G87" s="460"/>
      <c r="J87" s="443"/>
    </row>
    <row r="88" spans="4:10" thickBot="1">
      <c r="D88" s="457"/>
      <c r="E88" s="458"/>
      <c r="F88" s="459"/>
      <c r="G88" s="460"/>
      <c r="J88" s="443"/>
    </row>
    <row r="89" spans="4:10" thickBot="1">
      <c r="D89" s="457"/>
      <c r="E89" s="458"/>
      <c r="F89" s="459"/>
      <c r="G89" s="460"/>
      <c r="J89" s="443"/>
    </row>
    <row r="90" spans="4:10" thickBot="1">
      <c r="D90" s="457"/>
      <c r="E90" s="458"/>
      <c r="F90" s="459"/>
      <c r="G90" s="460"/>
      <c r="J90" s="443"/>
    </row>
    <row r="91" spans="4:10" thickBot="1">
      <c r="D91" s="457"/>
      <c r="E91" s="458"/>
      <c r="F91" s="459"/>
      <c r="G91" s="460"/>
      <c r="J91" s="443"/>
    </row>
    <row r="92" spans="4:10" thickBot="1">
      <c r="D92" s="457"/>
      <c r="E92" s="458"/>
      <c r="F92" s="459"/>
      <c r="G92" s="460"/>
      <c r="J92" s="443"/>
    </row>
    <row r="93" spans="4:10" thickBot="1">
      <c r="D93" s="457"/>
      <c r="E93" s="458"/>
      <c r="F93" s="459"/>
      <c r="G93" s="460"/>
      <c r="J93" s="443"/>
    </row>
    <row r="94" spans="4:10" thickBot="1">
      <c r="D94" s="457"/>
      <c r="E94" s="458"/>
      <c r="F94" s="459"/>
      <c r="G94" s="460"/>
      <c r="J94" s="443"/>
    </row>
    <row r="95" spans="4:10" thickBot="1">
      <c r="D95" s="457"/>
      <c r="E95" s="458"/>
      <c r="F95" s="459"/>
      <c r="G95" s="460"/>
      <c r="J95" s="443"/>
    </row>
    <row r="96" spans="4:10" thickBot="1">
      <c r="D96" s="457"/>
      <c r="E96" s="458"/>
      <c r="F96" s="459"/>
      <c r="G96" s="460"/>
      <c r="J96" s="443"/>
    </row>
    <row r="97" spans="4:10" thickBot="1">
      <c r="D97" s="457"/>
      <c r="E97" s="458"/>
      <c r="F97" s="459"/>
      <c r="G97" s="460"/>
      <c r="J97" s="443"/>
    </row>
    <row r="98" spans="4:10" thickBot="1">
      <c r="D98" s="457"/>
      <c r="E98" s="458"/>
      <c r="F98" s="459"/>
      <c r="G98" s="460"/>
      <c r="J98" s="443"/>
    </row>
    <row r="99" spans="4:10" thickBot="1">
      <c r="D99" s="457"/>
      <c r="E99" s="458"/>
      <c r="F99" s="459"/>
      <c r="G99" s="460"/>
      <c r="J99" s="443"/>
    </row>
    <row r="100" spans="4:10" thickBot="1">
      <c r="D100" s="457"/>
      <c r="E100" s="458"/>
      <c r="F100" s="459"/>
      <c r="G100" s="460"/>
      <c r="J100" s="443"/>
    </row>
    <row r="101" spans="4:10" thickBot="1">
      <c r="D101" s="457"/>
      <c r="E101" s="458"/>
      <c r="F101" s="459"/>
      <c r="G101" s="460"/>
      <c r="J101" s="443"/>
    </row>
    <row r="102" spans="4:10" thickBot="1">
      <c r="D102" s="457"/>
      <c r="E102" s="458"/>
      <c r="F102" s="459"/>
      <c r="G102" s="460"/>
      <c r="J102" s="443"/>
    </row>
    <row r="103" spans="4:10" thickBot="1">
      <c r="D103" s="457"/>
      <c r="E103" s="458"/>
      <c r="F103" s="459"/>
      <c r="G103" s="460"/>
      <c r="J103" s="443"/>
    </row>
    <row r="104" spans="4:10" thickBot="1">
      <c r="D104" s="457"/>
      <c r="E104" s="458"/>
      <c r="F104" s="459"/>
      <c r="G104" s="460"/>
      <c r="J104" s="443"/>
    </row>
    <row r="105" spans="4:10" thickBot="1">
      <c r="D105" s="457"/>
      <c r="E105" s="458"/>
      <c r="F105" s="459"/>
      <c r="G105" s="460"/>
      <c r="J105" s="443"/>
    </row>
    <row r="106" spans="4:10" thickBot="1">
      <c r="D106" s="457"/>
      <c r="E106" s="458"/>
      <c r="F106" s="459"/>
      <c r="G106" s="460"/>
      <c r="J106" s="443"/>
    </row>
    <row r="107" spans="4:10" thickBot="1">
      <c r="D107" s="457"/>
      <c r="E107" s="458"/>
      <c r="F107" s="459"/>
      <c r="G107" s="460"/>
      <c r="J107" s="443"/>
    </row>
    <row r="108" spans="4:10" thickBot="1">
      <c r="J108" s="443"/>
    </row>
    <row r="109" spans="4:10" thickBot="1">
      <c r="J109" s="443"/>
    </row>
    <row r="110" spans="4:10" thickBot="1">
      <c r="J110" s="443"/>
    </row>
    <row r="111" spans="4:10" thickBot="1">
      <c r="J111" s="443"/>
    </row>
    <row r="112" spans="4:10" thickBot="1">
      <c r="J112" s="443"/>
    </row>
    <row r="113" spans="10:10" thickBot="1">
      <c r="J113" s="443"/>
    </row>
    <row r="114" spans="10:10" thickBot="1">
      <c r="J114" s="443"/>
    </row>
    <row r="115" spans="10:10" thickBot="1">
      <c r="J115" s="443"/>
    </row>
    <row r="116" spans="10:10" thickBot="1">
      <c r="J116" s="443"/>
    </row>
    <row r="117" spans="10:10" thickBot="1">
      <c r="J117" s="443"/>
    </row>
    <row r="118" spans="10:10" thickBot="1">
      <c r="J118" s="443"/>
    </row>
    <row r="119" spans="10:10" thickBot="1">
      <c r="J119" s="443"/>
    </row>
    <row r="120" spans="10:10" thickBot="1">
      <c r="J120" s="443"/>
    </row>
    <row r="121" spans="10:10" thickBot="1">
      <c r="J121" s="443"/>
    </row>
    <row r="122" spans="10:10" thickBot="1">
      <c r="J122" s="443"/>
    </row>
    <row r="123" spans="10:10" thickBot="1">
      <c r="J123" s="443"/>
    </row>
    <row r="124" spans="10:10" thickBot="1">
      <c r="J124" s="443"/>
    </row>
    <row r="125" spans="10:10" thickBot="1">
      <c r="J125" s="444"/>
    </row>
  </sheetData>
  <hyperlinks>
    <hyperlink ref="K8" r:id="rId1" display="https://hurricane-pro.ru/nakladki/dhs/dhs-hurricane-8-33/?sku=1549"/>
    <hyperlink ref="B3" r:id="rId2" display="https://hurricane-pro.ru/nakladki/elitnyy-kitay/dhs-hurricane-3-neo-provincial-37-for-backhandorange-sponge-25/"/>
  </hyperlinks>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2:J51"/>
  <sheetViews>
    <sheetView topLeftCell="A25" workbookViewId="0">
      <selection activeCell="D50" sqref="D50"/>
    </sheetView>
  </sheetViews>
  <sheetFormatPr defaultRowHeight="15"/>
  <cols>
    <col min="1" max="1" width="17.7109375" customWidth="1"/>
    <col min="2" max="2" width="39" customWidth="1"/>
    <col min="3" max="3" width="39.28515625" customWidth="1"/>
    <col min="4" max="4" width="40.5703125" customWidth="1"/>
    <col min="5" max="5" width="11.5703125" style="1" customWidth="1"/>
  </cols>
  <sheetData>
    <row r="2" spans="2:10">
      <c r="B2" t="s">
        <v>482</v>
      </c>
      <c r="C2" t="s">
        <v>499</v>
      </c>
      <c r="D2" t="s">
        <v>498</v>
      </c>
      <c r="G2" s="196"/>
      <c r="H2" t="s">
        <v>487</v>
      </c>
      <c r="I2" t="s">
        <v>484</v>
      </c>
    </row>
    <row r="3" spans="2:10">
      <c r="B3" s="237" t="s">
        <v>490</v>
      </c>
      <c r="C3" t="s">
        <v>483</v>
      </c>
      <c r="D3" t="s">
        <v>493</v>
      </c>
      <c r="F3" s="379" t="s">
        <v>491</v>
      </c>
      <c r="G3" s="196">
        <v>4810.72</v>
      </c>
      <c r="H3" t="s">
        <v>486</v>
      </c>
      <c r="I3" t="s">
        <v>485</v>
      </c>
      <c r="J3">
        <v>1</v>
      </c>
    </row>
    <row r="4" spans="2:10">
      <c r="B4" t="s">
        <v>489</v>
      </c>
      <c r="C4" t="s">
        <v>500</v>
      </c>
      <c r="D4" t="s">
        <v>488</v>
      </c>
      <c r="F4" s="379" t="s">
        <v>492</v>
      </c>
      <c r="G4" s="196" t="s">
        <v>21</v>
      </c>
      <c r="H4" t="s">
        <v>486</v>
      </c>
      <c r="I4" t="s">
        <v>493</v>
      </c>
    </row>
    <row r="5" spans="2:10">
      <c r="B5" s="237" t="s">
        <v>495</v>
      </c>
      <c r="C5" t="s">
        <v>496</v>
      </c>
      <c r="D5" t="s">
        <v>496</v>
      </c>
      <c r="F5" s="379" t="s">
        <v>497</v>
      </c>
      <c r="G5" s="196" t="s">
        <v>21</v>
      </c>
      <c r="H5" t="s">
        <v>486</v>
      </c>
      <c r="I5" t="s">
        <v>494</v>
      </c>
    </row>
    <row r="6" spans="2:10">
      <c r="B6" s="237" t="s">
        <v>490</v>
      </c>
      <c r="C6" t="s">
        <v>493</v>
      </c>
      <c r="D6" t="s">
        <v>493</v>
      </c>
      <c r="F6" s="379" t="s">
        <v>501</v>
      </c>
      <c r="G6" s="196">
        <v>4810.72</v>
      </c>
    </row>
    <row r="7" spans="2:10">
      <c r="B7" s="237" t="s">
        <v>503</v>
      </c>
      <c r="C7" t="s">
        <v>505</v>
      </c>
      <c r="D7" t="s">
        <v>502</v>
      </c>
      <c r="F7" s="379" t="s">
        <v>504</v>
      </c>
      <c r="G7" s="196">
        <v>5955.66</v>
      </c>
    </row>
    <row r="8" spans="2:10">
      <c r="B8" t="s">
        <v>507</v>
      </c>
      <c r="C8" t="s">
        <v>508</v>
      </c>
      <c r="D8" t="s">
        <v>509</v>
      </c>
      <c r="G8" s="196"/>
    </row>
    <row r="9" spans="2:10">
      <c r="B9" t="s">
        <v>510</v>
      </c>
      <c r="C9" s="330" t="s">
        <v>494</v>
      </c>
      <c r="D9" t="s">
        <v>511</v>
      </c>
      <c r="G9" s="196"/>
    </row>
    <row r="10" spans="2:10">
      <c r="B10" t="s">
        <v>514</v>
      </c>
      <c r="C10" t="s">
        <v>513</v>
      </c>
      <c r="D10" t="s">
        <v>512</v>
      </c>
      <c r="G10" s="196"/>
    </row>
    <row r="11" spans="2:10">
      <c r="C11" t="s">
        <v>516</v>
      </c>
      <c r="D11" t="s">
        <v>515</v>
      </c>
      <c r="G11" s="196"/>
    </row>
    <row r="12" spans="2:10">
      <c r="B12" t="s">
        <v>517</v>
      </c>
      <c r="C12" t="s">
        <v>519</v>
      </c>
      <c r="D12" t="s">
        <v>519</v>
      </c>
      <c r="G12" s="196"/>
    </row>
    <row r="13" spans="2:10">
      <c r="C13" t="s">
        <v>506</v>
      </c>
      <c r="D13" t="s">
        <v>506</v>
      </c>
      <c r="G13" s="196"/>
    </row>
    <row r="14" spans="2:10">
      <c r="B14" s="237" t="s">
        <v>552</v>
      </c>
      <c r="C14" t="s">
        <v>553</v>
      </c>
      <c r="D14" t="s">
        <v>554</v>
      </c>
      <c r="G14" s="196"/>
    </row>
    <row r="15" spans="2:10">
      <c r="B15" t="s">
        <v>593</v>
      </c>
      <c r="C15" t="s">
        <v>595</v>
      </c>
      <c r="D15" t="s">
        <v>594</v>
      </c>
      <c r="G15" s="196"/>
    </row>
    <row r="16" spans="2:10">
      <c r="C16" t="s">
        <v>597</v>
      </c>
      <c r="D16" t="s">
        <v>563</v>
      </c>
      <c r="G16" s="196"/>
      <c r="H16" s="196">
        <f>SUM(H40:H85)</f>
        <v>0</v>
      </c>
    </row>
    <row r="17" spans="2:8">
      <c r="C17" t="s">
        <v>559</v>
      </c>
      <c r="D17" t="s">
        <v>606</v>
      </c>
      <c r="G17" s="196"/>
      <c r="H17" s="196"/>
    </row>
    <row r="18" spans="2:8">
      <c r="C18" t="s">
        <v>610</v>
      </c>
      <c r="D18" t="s">
        <v>609</v>
      </c>
      <c r="G18" s="196"/>
      <c r="H18" s="196"/>
    </row>
    <row r="19" spans="2:8">
      <c r="B19" s="237" t="s">
        <v>552</v>
      </c>
      <c r="C19" t="s">
        <v>614</v>
      </c>
      <c r="D19" t="s">
        <v>616</v>
      </c>
      <c r="F19" t="s">
        <v>615</v>
      </c>
      <c r="G19" s="196"/>
      <c r="H19" s="196"/>
    </row>
    <row r="20" spans="2:8">
      <c r="C20" t="s">
        <v>614</v>
      </c>
      <c r="D20" t="s">
        <v>606</v>
      </c>
      <c r="G20" s="196"/>
      <c r="H20" s="196"/>
    </row>
    <row r="21" spans="2:8">
      <c r="C21" t="s">
        <v>667</v>
      </c>
      <c r="D21" t="s">
        <v>614</v>
      </c>
      <c r="G21" s="196"/>
      <c r="H21" s="196"/>
    </row>
    <row r="22" spans="2:8">
      <c r="C22" t="s">
        <v>614</v>
      </c>
      <c r="D22" t="s">
        <v>669</v>
      </c>
      <c r="G22" s="196"/>
      <c r="H22" s="196"/>
    </row>
    <row r="23" spans="2:8">
      <c r="B23" t="s">
        <v>552</v>
      </c>
      <c r="C23" t="s">
        <v>559</v>
      </c>
      <c r="D23" t="s">
        <v>709</v>
      </c>
      <c r="F23" s="411" t="s">
        <v>712</v>
      </c>
      <c r="G23" s="196"/>
      <c r="H23" s="196"/>
    </row>
    <row r="24" spans="2:8">
      <c r="C24" t="s">
        <v>710</v>
      </c>
      <c r="D24" t="s">
        <v>711</v>
      </c>
      <c r="G24" s="196"/>
      <c r="H24" s="196"/>
    </row>
    <row r="25" spans="2:8">
      <c r="C25" t="s">
        <v>559</v>
      </c>
      <c r="D25" t="s">
        <v>711</v>
      </c>
      <c r="G25" s="196"/>
      <c r="H25" s="196"/>
    </row>
    <row r="26" spans="2:8">
      <c r="C26" t="s">
        <v>713</v>
      </c>
      <c r="D26" t="s">
        <v>709</v>
      </c>
      <c r="G26" s="196"/>
      <c r="H26" s="196"/>
    </row>
    <row r="27" spans="2:8">
      <c r="C27" t="s">
        <v>714</v>
      </c>
      <c r="D27" t="s">
        <v>715</v>
      </c>
      <c r="G27" s="196"/>
      <c r="H27" s="196"/>
    </row>
    <row r="28" spans="2:8">
      <c r="C28" t="s">
        <v>535</v>
      </c>
      <c r="D28" t="s">
        <v>710</v>
      </c>
      <c r="G28" s="196"/>
      <c r="H28" s="196"/>
    </row>
    <row r="29" spans="2:8">
      <c r="C29" s="330" t="s">
        <v>723</v>
      </c>
      <c r="D29" t="s">
        <v>535</v>
      </c>
      <c r="F29" t="s">
        <v>722</v>
      </c>
      <c r="G29" s="196"/>
      <c r="H29" s="196"/>
    </row>
    <row r="30" spans="2:8">
      <c r="C30" s="490" t="s">
        <v>724</v>
      </c>
      <c r="D30" s="412" t="s">
        <v>725</v>
      </c>
      <c r="E30" s="463"/>
      <c r="G30" s="196"/>
      <c r="H30" s="196"/>
    </row>
    <row r="31" spans="2:8">
      <c r="C31" s="330" t="s">
        <v>493</v>
      </c>
      <c r="D31" t="s">
        <v>708</v>
      </c>
      <c r="G31" s="196"/>
      <c r="H31" s="196"/>
    </row>
    <row r="32" spans="2:8">
      <c r="B32" t="s">
        <v>786</v>
      </c>
      <c r="C32" s="330" t="s">
        <v>494</v>
      </c>
      <c r="D32" s="421" t="s">
        <v>787</v>
      </c>
      <c r="E32" s="464"/>
      <c r="F32" t="s">
        <v>788</v>
      </c>
      <c r="G32" s="196"/>
      <c r="H32" s="196"/>
    </row>
    <row r="33" spans="1:8">
      <c r="C33" t="s">
        <v>711</v>
      </c>
      <c r="D33" t="s">
        <v>711</v>
      </c>
      <c r="G33" s="196"/>
      <c r="H33" s="196"/>
    </row>
    <row r="34" spans="1:8">
      <c r="B34" s="330" t="s">
        <v>792</v>
      </c>
      <c r="C34" s="330" t="s">
        <v>789</v>
      </c>
      <c r="D34" s="330" t="s">
        <v>790</v>
      </c>
      <c r="E34" s="4"/>
      <c r="F34" t="s">
        <v>793</v>
      </c>
      <c r="G34" s="196"/>
      <c r="H34" s="196"/>
    </row>
    <row r="35" spans="1:8">
      <c r="C35" t="s">
        <v>791</v>
      </c>
      <c r="D35" t="s">
        <v>790</v>
      </c>
      <c r="G35" s="196"/>
      <c r="H35" s="196"/>
    </row>
    <row r="36" spans="1:8">
      <c r="C36" t="s">
        <v>794</v>
      </c>
      <c r="D36" t="s">
        <v>795</v>
      </c>
      <c r="G36" s="196"/>
      <c r="H36" s="196"/>
    </row>
    <row r="37" spans="1:8">
      <c r="A37" t="s">
        <v>880</v>
      </c>
      <c r="B37" t="s">
        <v>964</v>
      </c>
      <c r="C37" t="s">
        <v>494</v>
      </c>
      <c r="D37" t="s">
        <v>962</v>
      </c>
      <c r="E37" s="1">
        <v>5089</v>
      </c>
      <c r="F37" s="411" t="s">
        <v>963</v>
      </c>
    </row>
    <row r="38" spans="1:8">
      <c r="A38" t="s">
        <v>888</v>
      </c>
      <c r="B38" t="s">
        <v>965</v>
      </c>
      <c r="C38" t="s">
        <v>735</v>
      </c>
      <c r="D38" t="s">
        <v>966</v>
      </c>
      <c r="E38" s="1">
        <v>6582</v>
      </c>
      <c r="F38" s="411" t="s">
        <v>967</v>
      </c>
    </row>
    <row r="39" spans="1:8">
      <c r="A39" t="s">
        <v>880</v>
      </c>
      <c r="B39" t="s">
        <v>968</v>
      </c>
      <c r="C39" s="330" t="s">
        <v>494</v>
      </c>
      <c r="D39" t="s">
        <v>969</v>
      </c>
      <c r="E39" s="1">
        <v>7768</v>
      </c>
      <c r="F39" s="411" t="s">
        <v>970</v>
      </c>
    </row>
    <row r="40" spans="1:8">
      <c r="A40" t="s">
        <v>880</v>
      </c>
      <c r="B40" t="s">
        <v>971</v>
      </c>
      <c r="C40" s="330" t="s">
        <v>972</v>
      </c>
      <c r="D40" t="s">
        <v>973</v>
      </c>
      <c r="E40" s="1">
        <v>16128</v>
      </c>
      <c r="F40" s="411" t="s">
        <v>974</v>
      </c>
    </row>
    <row r="41" spans="1:8">
      <c r="A41" t="s">
        <v>880</v>
      </c>
      <c r="B41" t="s">
        <v>971</v>
      </c>
      <c r="C41" s="330" t="s">
        <v>975</v>
      </c>
      <c r="D41" t="s">
        <v>976</v>
      </c>
      <c r="E41" s="1">
        <v>18729</v>
      </c>
      <c r="F41" s="411" t="s">
        <v>974</v>
      </c>
    </row>
    <row r="42" spans="1:8">
      <c r="A42" t="s">
        <v>880</v>
      </c>
      <c r="B42" t="s">
        <v>718</v>
      </c>
      <c r="C42" s="330" t="s">
        <v>493</v>
      </c>
      <c r="D42" t="s">
        <v>708</v>
      </c>
      <c r="E42" s="1">
        <v>11064</v>
      </c>
      <c r="F42" s="411" t="s">
        <v>978</v>
      </c>
    </row>
    <row r="43" spans="1:8">
      <c r="A43" t="s">
        <v>990</v>
      </c>
      <c r="B43" t="s">
        <v>979</v>
      </c>
      <c r="C43" s="330" t="s">
        <v>980</v>
      </c>
      <c r="D43" t="s">
        <v>981</v>
      </c>
      <c r="E43" s="1">
        <v>4359</v>
      </c>
      <c r="F43" s="411" t="s">
        <v>982</v>
      </c>
    </row>
    <row r="44" spans="1:8">
      <c r="A44" t="s">
        <v>880</v>
      </c>
      <c r="B44" t="s">
        <v>983</v>
      </c>
      <c r="C44" s="330" t="s">
        <v>984</v>
      </c>
      <c r="D44" t="s">
        <v>985</v>
      </c>
      <c r="E44" s="1">
        <v>4667</v>
      </c>
      <c r="F44" s="411" t="s">
        <v>986</v>
      </c>
    </row>
    <row r="45" spans="1:8">
      <c r="A45" t="s">
        <v>990</v>
      </c>
      <c r="B45" t="s">
        <v>987</v>
      </c>
      <c r="C45" s="330" t="s">
        <v>980</v>
      </c>
      <c r="D45" t="s">
        <v>988</v>
      </c>
      <c r="E45" s="1">
        <v>3654</v>
      </c>
      <c r="F45" s="411" t="s">
        <v>989</v>
      </c>
    </row>
    <row r="46" spans="1:8">
      <c r="B46" t="s">
        <v>991</v>
      </c>
      <c r="C46" s="330" t="s">
        <v>997</v>
      </c>
      <c r="D46" t="s">
        <v>992</v>
      </c>
      <c r="E46" s="1">
        <v>5459</v>
      </c>
      <c r="F46" s="411" t="s">
        <v>993</v>
      </c>
    </row>
    <row r="47" spans="1:8">
      <c r="B47" t="s">
        <v>994</v>
      </c>
      <c r="C47" s="330" t="s">
        <v>995</v>
      </c>
      <c r="D47" t="s">
        <v>995</v>
      </c>
      <c r="E47" s="1">
        <v>6092</v>
      </c>
      <c r="F47" s="411" t="s">
        <v>996</v>
      </c>
    </row>
    <row r="48" spans="1:8">
      <c r="B48" t="s">
        <v>998</v>
      </c>
      <c r="C48" s="330" t="s">
        <v>980</v>
      </c>
      <c r="D48" t="s">
        <v>800</v>
      </c>
      <c r="E48" s="1">
        <v>5907</v>
      </c>
      <c r="F48" s="411" t="s">
        <v>999</v>
      </c>
    </row>
    <row r="49" spans="1:6">
      <c r="B49" t="s">
        <v>1000</v>
      </c>
      <c r="C49" s="330" t="s">
        <v>1001</v>
      </c>
      <c r="D49" s="330" t="s">
        <v>1001</v>
      </c>
      <c r="E49" s="1">
        <v>4479</v>
      </c>
      <c r="F49" t="s">
        <v>1002</v>
      </c>
    </row>
    <row r="50" spans="1:6">
      <c r="B50" t="s">
        <v>1003</v>
      </c>
      <c r="C50" s="330" t="s">
        <v>493</v>
      </c>
      <c r="D50" s="330" t="s">
        <v>493</v>
      </c>
      <c r="E50" s="1">
        <v>6513</v>
      </c>
      <c r="F50" t="s">
        <v>1004</v>
      </c>
    </row>
    <row r="51" spans="1:6">
      <c r="A51" t="s">
        <v>880</v>
      </c>
      <c r="B51" t="s">
        <v>1005</v>
      </c>
      <c r="C51" t="s">
        <v>1006</v>
      </c>
      <c r="D51" t="s">
        <v>1007</v>
      </c>
      <c r="F51" t="s">
        <v>1008</v>
      </c>
    </row>
  </sheetData>
  <hyperlinks>
    <hyperlink ref="F3" r:id="rId1"/>
    <hyperlink ref="F4" r:id="rId2"/>
    <hyperlink ref="F7" display="https://aliexpress.ru/item/4000204399767.html?pdp_npi=2%40dis%21RUB%216%C2%A0843%2C65%20%D1%80%D1%83%D0%B1.%216%C2%A0159%2C08%20%D1%80%D1%83%D0%B1.%21%21%21%21%21%4021135c3616675738714518792e8db1%2110000000779519258%21sh01&amp;spm=a2g0o.store_pc_home.productL"/>
    <hyperlink ref="F6"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dimension ref="B2:O39"/>
  <sheetViews>
    <sheetView topLeftCell="B1" workbookViewId="0">
      <selection activeCell="B12" sqref="B12"/>
    </sheetView>
  </sheetViews>
  <sheetFormatPr defaultRowHeight="15"/>
  <cols>
    <col min="2" max="2" width="12.140625" customWidth="1"/>
    <col min="3" max="3" width="12.28515625" customWidth="1"/>
    <col min="4" max="4" width="9.85546875" customWidth="1"/>
    <col min="5" max="5" width="12" style="122" customWidth="1"/>
    <col min="6" max="6" width="12.140625" customWidth="1"/>
    <col min="7" max="7" width="12.7109375" customWidth="1"/>
    <col min="8" max="8" width="12.42578125" customWidth="1"/>
    <col min="9" max="9" width="12.28515625" customWidth="1"/>
    <col min="10" max="10" width="12" customWidth="1"/>
    <col min="11" max="11" width="12.28515625" customWidth="1"/>
    <col min="12" max="12" width="12.42578125" customWidth="1"/>
    <col min="13" max="14" width="12.5703125" customWidth="1"/>
    <col min="15" max="15" width="11.5703125" customWidth="1"/>
  </cols>
  <sheetData>
    <row r="2" spans="2:15" ht="15.75" thickBot="1">
      <c r="B2" s="74" t="s">
        <v>14</v>
      </c>
      <c r="C2" s="74"/>
      <c r="D2" s="74"/>
      <c r="E2" s="118"/>
      <c r="F2" s="73" t="s">
        <v>13</v>
      </c>
      <c r="G2" s="74" t="s">
        <v>15</v>
      </c>
      <c r="H2" s="74" t="s">
        <v>16</v>
      </c>
      <c r="I2" s="74" t="s">
        <v>17</v>
      </c>
      <c r="J2" s="74" t="s">
        <v>18</v>
      </c>
      <c r="K2" s="74" t="s">
        <v>19</v>
      </c>
      <c r="L2" s="74" t="s">
        <v>22</v>
      </c>
      <c r="M2" s="74" t="s">
        <v>23</v>
      </c>
      <c r="N2" s="74" t="s">
        <v>24</v>
      </c>
      <c r="O2" s="74" t="s">
        <v>20</v>
      </c>
    </row>
    <row r="3" spans="2:15">
      <c r="B3" s="26">
        <f>SUM(F3:T3)</f>
        <v>334540</v>
      </c>
      <c r="C3" s="26">
        <f>AVERAGE(F3:T3)</f>
        <v>33454</v>
      </c>
      <c r="D3" s="26">
        <f>STDEV(F3:S3)</f>
        <v>11040.233693178781</v>
      </c>
      <c r="E3" s="119">
        <v>60</v>
      </c>
      <c r="F3" s="43">
        <v>35890</v>
      </c>
      <c r="G3" s="44">
        <v>18770</v>
      </c>
      <c r="H3" s="44">
        <v>21820</v>
      </c>
      <c r="I3" s="44">
        <v>31330</v>
      </c>
      <c r="J3" s="44">
        <v>42160</v>
      </c>
      <c r="K3" s="44">
        <v>17360</v>
      </c>
      <c r="L3" s="44">
        <v>36260</v>
      </c>
      <c r="M3" s="44">
        <v>41460</v>
      </c>
      <c r="N3" s="44">
        <v>50820</v>
      </c>
      <c r="O3" s="145">
        <v>38670</v>
      </c>
    </row>
    <row r="4" spans="2:15">
      <c r="B4" s="27">
        <f t="shared" ref="B4:B10" si="0">SUM(F4:T4)</f>
        <v>348180</v>
      </c>
      <c r="C4" s="27">
        <f t="shared" ref="C4:C10" si="1">AVERAGE(F4:T4)</f>
        <v>34818</v>
      </c>
      <c r="D4" s="27">
        <f t="shared" ref="D4:D10" si="2">STDEV(F4:S4)</f>
        <v>11060.176611007017</v>
      </c>
      <c r="E4" s="120">
        <v>120</v>
      </c>
      <c r="F4" s="47">
        <v>35100</v>
      </c>
      <c r="G4" s="48">
        <v>20920</v>
      </c>
      <c r="H4" s="48">
        <v>26250</v>
      </c>
      <c r="I4" s="48">
        <v>31710</v>
      </c>
      <c r="J4" s="48">
        <v>43040</v>
      </c>
      <c r="K4" s="48">
        <v>17280</v>
      </c>
      <c r="L4" s="48">
        <v>41960</v>
      </c>
      <c r="M4" s="48">
        <v>39220</v>
      </c>
      <c r="N4" s="48">
        <v>53870</v>
      </c>
      <c r="O4" s="146">
        <v>38830</v>
      </c>
    </row>
    <row r="5" spans="2:15">
      <c r="B5" s="27">
        <f t="shared" si="0"/>
        <v>323350</v>
      </c>
      <c r="C5" s="27">
        <f t="shared" si="1"/>
        <v>32335</v>
      </c>
      <c r="D5" s="27">
        <f t="shared" si="2"/>
        <v>12633.681833363806</v>
      </c>
      <c r="E5" s="120">
        <v>150</v>
      </c>
      <c r="F5" s="47">
        <v>32150</v>
      </c>
      <c r="G5" s="48">
        <v>16530</v>
      </c>
      <c r="H5" s="48">
        <v>22240</v>
      </c>
      <c r="I5" s="48">
        <v>30260</v>
      </c>
      <c r="J5" s="48">
        <v>39350</v>
      </c>
      <c r="K5" s="48">
        <v>13830</v>
      </c>
      <c r="L5" s="48">
        <v>41120</v>
      </c>
      <c r="M5" s="48">
        <v>32570</v>
      </c>
      <c r="N5" s="48">
        <v>56090</v>
      </c>
      <c r="O5" s="146">
        <v>39210</v>
      </c>
    </row>
    <row r="6" spans="2:15">
      <c r="B6" s="27">
        <f t="shared" si="0"/>
        <v>348830</v>
      </c>
      <c r="C6" s="27">
        <f t="shared" si="1"/>
        <v>34883</v>
      </c>
      <c r="D6" s="27">
        <f t="shared" si="2"/>
        <v>11831.495678907211</v>
      </c>
      <c r="E6" s="120">
        <v>180</v>
      </c>
      <c r="F6" s="47">
        <v>33880</v>
      </c>
      <c r="G6" s="48">
        <v>18720</v>
      </c>
      <c r="H6" s="48">
        <v>27290</v>
      </c>
      <c r="I6" s="48">
        <v>36870</v>
      </c>
      <c r="J6" s="48">
        <v>40820</v>
      </c>
      <c r="K6" s="51">
        <v>16600</v>
      </c>
      <c r="L6" s="51">
        <v>43580</v>
      </c>
      <c r="M6" s="48">
        <v>34520</v>
      </c>
      <c r="N6" s="48">
        <v>56400</v>
      </c>
      <c r="O6" s="146">
        <v>40150</v>
      </c>
    </row>
    <row r="7" spans="2:15">
      <c r="B7" s="34">
        <f t="shared" si="0"/>
        <v>343760</v>
      </c>
      <c r="C7" s="34">
        <f t="shared" si="1"/>
        <v>34376</v>
      </c>
      <c r="D7" s="34">
        <f t="shared" si="2"/>
        <v>12637.706542987404</v>
      </c>
      <c r="E7" s="121">
        <v>240</v>
      </c>
      <c r="F7" s="50">
        <v>40290</v>
      </c>
      <c r="G7" s="51">
        <v>19270</v>
      </c>
      <c r="H7" s="51">
        <v>20250</v>
      </c>
      <c r="I7" s="51">
        <v>25940</v>
      </c>
      <c r="J7" s="51">
        <v>43240</v>
      </c>
      <c r="K7" s="51">
        <v>18100</v>
      </c>
      <c r="L7" s="51">
        <v>37840</v>
      </c>
      <c r="M7" s="51">
        <v>42580</v>
      </c>
      <c r="N7" s="51">
        <v>55290</v>
      </c>
      <c r="O7" s="146">
        <v>40960</v>
      </c>
    </row>
    <row r="8" spans="2:15">
      <c r="B8" s="34">
        <f t="shared" si="0"/>
        <v>365600</v>
      </c>
      <c r="C8" s="34">
        <f t="shared" si="1"/>
        <v>36560</v>
      </c>
      <c r="D8" s="34">
        <f t="shared" si="2"/>
        <v>12977.74162856457</v>
      </c>
      <c r="E8" s="121">
        <v>300</v>
      </c>
      <c r="F8" s="50">
        <v>40190</v>
      </c>
      <c r="G8" s="51">
        <v>22740</v>
      </c>
      <c r="H8" s="51">
        <v>23530</v>
      </c>
      <c r="I8" s="51">
        <v>27700</v>
      </c>
      <c r="J8" s="51">
        <v>46490</v>
      </c>
      <c r="K8" s="48">
        <v>17480</v>
      </c>
      <c r="L8" s="48">
        <v>41930</v>
      </c>
      <c r="M8" s="51">
        <v>44780</v>
      </c>
      <c r="N8" s="51">
        <v>58200</v>
      </c>
      <c r="O8" s="146">
        <v>42560</v>
      </c>
    </row>
    <row r="9" spans="2:15">
      <c r="B9" s="27">
        <f t="shared" si="0"/>
        <v>332030</v>
      </c>
      <c r="C9" s="27">
        <f t="shared" si="1"/>
        <v>33203</v>
      </c>
      <c r="D9" s="27">
        <f t="shared" si="2"/>
        <v>14120.258142116241</v>
      </c>
      <c r="E9" s="120">
        <v>450</v>
      </c>
      <c r="F9" s="47">
        <v>36070</v>
      </c>
      <c r="G9" s="48">
        <v>16270</v>
      </c>
      <c r="H9" s="48">
        <v>18190</v>
      </c>
      <c r="I9" s="48">
        <v>23960</v>
      </c>
      <c r="J9" s="48">
        <v>41160</v>
      </c>
      <c r="K9" s="48">
        <v>12800</v>
      </c>
      <c r="L9" s="48">
        <v>40500</v>
      </c>
      <c r="M9" s="48">
        <v>46880</v>
      </c>
      <c r="N9" s="48">
        <v>51630</v>
      </c>
      <c r="O9" s="146">
        <v>44570</v>
      </c>
    </row>
    <row r="10" spans="2:15">
      <c r="B10" s="27">
        <f t="shared" si="0"/>
        <v>368760</v>
      </c>
      <c r="C10" s="27">
        <f t="shared" si="1"/>
        <v>36876</v>
      </c>
      <c r="D10" s="27">
        <f t="shared" si="2"/>
        <v>12353.656408799245</v>
      </c>
      <c r="E10" s="120">
        <v>600</v>
      </c>
      <c r="F10" s="47">
        <v>38460</v>
      </c>
      <c r="G10" s="48">
        <v>20490</v>
      </c>
      <c r="H10" s="48">
        <v>24240</v>
      </c>
      <c r="I10" s="48">
        <v>32640</v>
      </c>
      <c r="J10" s="48">
        <v>43770</v>
      </c>
      <c r="K10" s="48">
        <v>18100</v>
      </c>
      <c r="L10" s="48">
        <v>43750</v>
      </c>
      <c r="M10" s="48">
        <v>49620</v>
      </c>
      <c r="N10" s="48">
        <v>52630</v>
      </c>
      <c r="O10" s="146">
        <v>45060</v>
      </c>
    </row>
    <row r="11" spans="2:15" ht="15.75" thickBot="1">
      <c r="B11" s="4">
        <f>SUM(B3:B10)</f>
        <v>2765050</v>
      </c>
      <c r="C11" s="4">
        <f>AVERAGE(B3:B10)</f>
        <v>345631.25</v>
      </c>
      <c r="D11" s="4">
        <f>STDEV(B3:B10)</f>
        <v>15849.216688620834</v>
      </c>
      <c r="E11" s="120"/>
      <c r="F11" s="71">
        <f t="shared" ref="F11:O11" si="3">SUM(F3:F10)</f>
        <v>292030</v>
      </c>
      <c r="G11" s="185">
        <f t="shared" si="3"/>
        <v>153710</v>
      </c>
      <c r="H11" s="4">
        <f t="shared" si="3"/>
        <v>183810</v>
      </c>
      <c r="I11" s="71">
        <f t="shared" si="3"/>
        <v>240410</v>
      </c>
      <c r="J11" s="71">
        <f t="shared" si="3"/>
        <v>340030</v>
      </c>
      <c r="K11" s="185">
        <f t="shared" si="3"/>
        <v>131550</v>
      </c>
      <c r="L11" s="185">
        <f t="shared" si="3"/>
        <v>326940</v>
      </c>
      <c r="M11" s="185">
        <f t="shared" si="3"/>
        <v>331630</v>
      </c>
      <c r="N11" s="71">
        <f t="shared" si="3"/>
        <v>434930</v>
      </c>
      <c r="O11" s="71">
        <f t="shared" si="3"/>
        <v>330010</v>
      </c>
    </row>
    <row r="12" spans="2:15">
      <c r="B12" s="39">
        <f t="shared" ref="B12:B19" si="4">SUM(F12:T12)</f>
        <v>347560</v>
      </c>
      <c r="C12" s="39">
        <f t="shared" ref="C12:C19" si="5">AVERAGE(F12:T12)</f>
        <v>34756</v>
      </c>
      <c r="D12" s="39">
        <f t="shared" ref="D12:D19" si="6">STDEV(F12:S12)</f>
        <v>12629.995337379274</v>
      </c>
      <c r="E12" s="119" t="s">
        <v>32</v>
      </c>
      <c r="F12" s="56">
        <v>40410</v>
      </c>
      <c r="G12" s="56">
        <v>19140</v>
      </c>
      <c r="H12" s="56">
        <v>18860</v>
      </c>
      <c r="I12" s="56">
        <v>36620</v>
      </c>
      <c r="J12" s="56">
        <v>46100</v>
      </c>
      <c r="K12" s="56">
        <v>15110</v>
      </c>
      <c r="L12" s="56">
        <v>38440</v>
      </c>
      <c r="M12" s="54">
        <v>37470</v>
      </c>
      <c r="N12" s="54">
        <v>51750</v>
      </c>
      <c r="O12" s="116">
        <v>43660</v>
      </c>
    </row>
    <row r="13" spans="2:15">
      <c r="B13" s="28">
        <f t="shared" si="4"/>
        <v>362760</v>
      </c>
      <c r="C13" s="28">
        <f t="shared" si="5"/>
        <v>36276</v>
      </c>
      <c r="D13" s="28">
        <f t="shared" si="6"/>
        <v>12453.536936237118</v>
      </c>
      <c r="E13" s="121" t="s">
        <v>33</v>
      </c>
      <c r="F13" s="56">
        <v>41050</v>
      </c>
      <c r="G13" s="56">
        <v>23290</v>
      </c>
      <c r="H13" s="56">
        <v>19420</v>
      </c>
      <c r="I13" s="56">
        <v>34690</v>
      </c>
      <c r="J13" s="56">
        <v>48270</v>
      </c>
      <c r="K13" s="56">
        <v>16680</v>
      </c>
      <c r="L13" s="56">
        <v>43580</v>
      </c>
      <c r="M13" s="54">
        <v>38430</v>
      </c>
      <c r="N13" s="54">
        <v>52170</v>
      </c>
      <c r="O13" s="116">
        <v>45180</v>
      </c>
    </row>
    <row r="14" spans="2:15">
      <c r="B14" s="28">
        <f t="shared" si="4"/>
        <v>323480</v>
      </c>
      <c r="C14" s="28">
        <f t="shared" si="5"/>
        <v>32348</v>
      </c>
      <c r="D14" s="28">
        <f t="shared" si="6"/>
        <v>14316.119741202378</v>
      </c>
      <c r="E14" s="120" t="s">
        <v>34</v>
      </c>
      <c r="F14" s="56">
        <v>34870</v>
      </c>
      <c r="G14" s="56">
        <v>13970</v>
      </c>
      <c r="H14" s="56">
        <v>17100</v>
      </c>
      <c r="I14" s="56">
        <v>32050</v>
      </c>
      <c r="J14" s="56">
        <v>41170</v>
      </c>
      <c r="K14" s="56">
        <v>11950</v>
      </c>
      <c r="L14" s="56">
        <v>40470</v>
      </c>
      <c r="M14" s="54">
        <v>31400</v>
      </c>
      <c r="N14" s="54">
        <v>56000</v>
      </c>
      <c r="O14" s="116">
        <v>44500</v>
      </c>
    </row>
    <row r="15" spans="2:15" ht="15.75" thickBot="1">
      <c r="B15" s="36">
        <f t="shared" si="4"/>
        <v>357080</v>
      </c>
      <c r="C15" s="28">
        <f t="shared" si="5"/>
        <v>35708</v>
      </c>
      <c r="D15" s="28">
        <f>STDEV(F15:S15)</f>
        <v>13435.782903211193</v>
      </c>
      <c r="E15" s="120" t="s">
        <v>35</v>
      </c>
      <c r="F15" s="56">
        <v>38410</v>
      </c>
      <c r="G15" s="56">
        <v>18510</v>
      </c>
      <c r="H15" s="56">
        <v>19390</v>
      </c>
      <c r="I15" s="56">
        <v>35870</v>
      </c>
      <c r="J15" s="56">
        <v>46210</v>
      </c>
      <c r="K15" s="56">
        <v>16660</v>
      </c>
      <c r="L15" s="56">
        <v>44200</v>
      </c>
      <c r="M15" s="54">
        <v>35090</v>
      </c>
      <c r="N15" s="54">
        <v>54460</v>
      </c>
      <c r="O15" s="116">
        <v>48280</v>
      </c>
    </row>
    <row r="16" spans="2:15" ht="15.75" thickBot="1">
      <c r="B16" s="184">
        <f t="shared" si="4"/>
        <v>360460</v>
      </c>
      <c r="C16" s="28">
        <f t="shared" si="5"/>
        <v>36046</v>
      </c>
      <c r="D16" s="28">
        <f t="shared" si="6"/>
        <v>14619.134493304771</v>
      </c>
      <c r="E16" s="119" t="s">
        <v>36</v>
      </c>
      <c r="F16" s="56">
        <v>42830</v>
      </c>
      <c r="G16" s="56">
        <v>21150</v>
      </c>
      <c r="H16" s="56">
        <v>16250</v>
      </c>
      <c r="I16" s="56">
        <v>31950</v>
      </c>
      <c r="J16" s="56">
        <v>44950</v>
      </c>
      <c r="K16" s="56">
        <v>15980</v>
      </c>
      <c r="L16" s="56">
        <v>39150</v>
      </c>
      <c r="M16" s="54">
        <v>38500</v>
      </c>
      <c r="N16" s="54">
        <v>59440</v>
      </c>
      <c r="O16" s="57">
        <v>50260</v>
      </c>
    </row>
    <row r="17" spans="2:15">
      <c r="B17" s="37">
        <f t="shared" si="4"/>
        <v>376650</v>
      </c>
      <c r="C17" s="28">
        <f t="shared" si="5"/>
        <v>37665</v>
      </c>
      <c r="D17" s="28">
        <f t="shared" si="6"/>
        <v>14243.326897572459</v>
      </c>
      <c r="E17" s="121" t="s">
        <v>37</v>
      </c>
      <c r="F17" s="56">
        <v>42010</v>
      </c>
      <c r="G17" s="56">
        <v>26490</v>
      </c>
      <c r="H17" s="56">
        <v>17780</v>
      </c>
      <c r="I17" s="56">
        <v>31300</v>
      </c>
      <c r="J17" s="56">
        <v>43630</v>
      </c>
      <c r="K17" s="56">
        <v>17050</v>
      </c>
      <c r="L17" s="56">
        <v>45360</v>
      </c>
      <c r="M17" s="54">
        <v>41490</v>
      </c>
      <c r="N17" s="54">
        <v>61070</v>
      </c>
      <c r="O17" s="57">
        <v>50470</v>
      </c>
    </row>
    <row r="18" spans="2:15">
      <c r="B18" s="28">
        <f t="shared" si="4"/>
        <v>334600</v>
      </c>
      <c r="C18" s="28">
        <f t="shared" si="5"/>
        <v>33460</v>
      </c>
      <c r="D18" s="28">
        <f t="shared" si="6"/>
        <v>16565.974499289532</v>
      </c>
      <c r="E18" s="120" t="s">
        <v>38</v>
      </c>
      <c r="F18" s="56">
        <v>38680</v>
      </c>
      <c r="G18" s="56">
        <v>11450</v>
      </c>
      <c r="H18" s="56">
        <v>13720</v>
      </c>
      <c r="I18" s="56">
        <v>26900</v>
      </c>
      <c r="J18" s="56">
        <v>41380</v>
      </c>
      <c r="K18" s="56">
        <v>11170</v>
      </c>
      <c r="L18" s="56">
        <v>40630</v>
      </c>
      <c r="M18" s="54">
        <v>46510</v>
      </c>
      <c r="N18" s="54">
        <v>57120</v>
      </c>
      <c r="O18" s="57">
        <v>47040</v>
      </c>
    </row>
    <row r="19" spans="2:15">
      <c r="B19" s="28">
        <f t="shared" si="4"/>
        <v>379190</v>
      </c>
      <c r="C19" s="28">
        <f t="shared" si="5"/>
        <v>37919</v>
      </c>
      <c r="D19" s="28">
        <f t="shared" si="6"/>
        <v>15175.312883466722</v>
      </c>
      <c r="E19" s="120" t="s">
        <v>39</v>
      </c>
      <c r="F19" s="56">
        <v>42560</v>
      </c>
      <c r="G19" s="56">
        <v>18180</v>
      </c>
      <c r="H19" s="56">
        <v>18040</v>
      </c>
      <c r="I19" s="56">
        <v>33130</v>
      </c>
      <c r="J19" s="56">
        <v>46990</v>
      </c>
      <c r="K19" s="56">
        <v>16900</v>
      </c>
      <c r="L19" s="56">
        <v>46640</v>
      </c>
      <c r="M19" s="54">
        <v>50700</v>
      </c>
      <c r="N19" s="54">
        <v>56450</v>
      </c>
      <c r="O19" s="57">
        <v>49600</v>
      </c>
    </row>
    <row r="20" spans="2:15" ht="15.75" thickBot="1">
      <c r="B20" s="4">
        <f>SUM(B12:B19)</f>
        <v>2841780</v>
      </c>
      <c r="C20" s="4">
        <f>AVERAGE(B12:B19)</f>
        <v>355222.5</v>
      </c>
      <c r="D20" s="4">
        <f>STDEV(B12:B19)</f>
        <v>19320.093722044192</v>
      </c>
      <c r="E20" s="120"/>
      <c r="F20" s="185">
        <f t="shared" ref="F20:O20" si="7">SUM(F12:F19)</f>
        <v>320820</v>
      </c>
      <c r="G20" s="71">
        <f t="shared" si="7"/>
        <v>152180</v>
      </c>
      <c r="H20" s="71">
        <f t="shared" si="7"/>
        <v>140560</v>
      </c>
      <c r="I20" s="185">
        <f t="shared" si="7"/>
        <v>262510</v>
      </c>
      <c r="J20" s="4">
        <f t="shared" si="7"/>
        <v>358700</v>
      </c>
      <c r="K20" s="71">
        <f t="shared" si="7"/>
        <v>121500</v>
      </c>
      <c r="L20" s="4">
        <f t="shared" si="7"/>
        <v>338470</v>
      </c>
      <c r="M20" s="71">
        <f t="shared" si="7"/>
        <v>319590</v>
      </c>
      <c r="N20" s="185">
        <f t="shared" si="7"/>
        <v>448460</v>
      </c>
      <c r="O20" s="4">
        <f t="shared" si="7"/>
        <v>378990</v>
      </c>
    </row>
    <row r="21" spans="2:15">
      <c r="B21" s="37">
        <f t="shared" ref="B21:B28" si="8">SUM(F21:T21)</f>
        <v>356790</v>
      </c>
      <c r="C21" s="37">
        <f t="shared" ref="C21:C28" si="9">AVERAGE(F21:T21)</f>
        <v>35679</v>
      </c>
      <c r="D21" s="37">
        <f t="shared" ref="D21:D28" si="10">STDEV(F21:S21)</f>
        <v>11880.879550306403</v>
      </c>
      <c r="E21" s="119" t="s">
        <v>32</v>
      </c>
      <c r="F21" s="56">
        <v>42480</v>
      </c>
      <c r="G21" s="56">
        <v>21770</v>
      </c>
      <c r="H21" s="56">
        <v>21890</v>
      </c>
      <c r="I21" s="56">
        <v>40140</v>
      </c>
      <c r="J21" s="56">
        <v>40790</v>
      </c>
      <c r="K21" s="56">
        <v>16600</v>
      </c>
      <c r="L21" s="56">
        <v>34980</v>
      </c>
      <c r="M21" s="54">
        <v>41570</v>
      </c>
      <c r="N21" s="54">
        <v>54510</v>
      </c>
      <c r="O21" s="57">
        <v>42060</v>
      </c>
    </row>
    <row r="22" spans="2:15">
      <c r="B22" s="28">
        <f t="shared" si="8"/>
        <v>386580</v>
      </c>
      <c r="C22" s="28">
        <f t="shared" si="9"/>
        <v>38658</v>
      </c>
      <c r="D22" s="28">
        <f t="shared" si="10"/>
        <v>12389.686391870009</v>
      </c>
      <c r="E22" s="121" t="s">
        <v>33</v>
      </c>
      <c r="F22" s="56">
        <v>42300</v>
      </c>
      <c r="G22" s="56">
        <v>25690</v>
      </c>
      <c r="H22" s="56">
        <v>27890</v>
      </c>
      <c r="I22" s="56">
        <v>38510</v>
      </c>
      <c r="J22" s="56">
        <v>45030</v>
      </c>
      <c r="K22" s="56">
        <v>17420</v>
      </c>
      <c r="L22" s="56">
        <v>38840</v>
      </c>
      <c r="M22" s="54">
        <v>47570</v>
      </c>
      <c r="N22" s="54">
        <v>61010</v>
      </c>
      <c r="O22" s="57">
        <v>42320</v>
      </c>
    </row>
    <row r="23" spans="2:15">
      <c r="B23" s="28">
        <f t="shared" si="8"/>
        <v>334820</v>
      </c>
      <c r="C23" s="28">
        <f t="shared" si="9"/>
        <v>33482</v>
      </c>
      <c r="D23" s="28">
        <f t="shared" si="10"/>
        <v>12831.006542313386</v>
      </c>
      <c r="E23" s="120" t="s">
        <v>34</v>
      </c>
      <c r="F23" s="56">
        <v>36000</v>
      </c>
      <c r="G23" s="56">
        <v>19230</v>
      </c>
      <c r="H23" s="56">
        <v>16830</v>
      </c>
      <c r="I23" s="56">
        <v>34240</v>
      </c>
      <c r="J23" s="56">
        <v>40370</v>
      </c>
      <c r="K23" s="56">
        <v>15580</v>
      </c>
      <c r="L23" s="56">
        <v>34420</v>
      </c>
      <c r="M23" s="54">
        <v>38150</v>
      </c>
      <c r="N23" s="54">
        <v>55390</v>
      </c>
      <c r="O23" s="57">
        <v>44610</v>
      </c>
    </row>
    <row r="24" spans="2:15" ht="15.75" thickBot="1">
      <c r="B24" s="28">
        <f t="shared" si="8"/>
        <v>374340</v>
      </c>
      <c r="C24" s="28">
        <f t="shared" si="9"/>
        <v>37434</v>
      </c>
      <c r="D24" s="28">
        <f t="shared" si="10"/>
        <v>12568.915979068715</v>
      </c>
      <c r="E24" s="120" t="s">
        <v>35</v>
      </c>
      <c r="F24" s="56">
        <v>39190</v>
      </c>
      <c r="G24" s="56">
        <v>21260</v>
      </c>
      <c r="H24" s="56">
        <v>23540</v>
      </c>
      <c r="I24" s="56">
        <v>38120</v>
      </c>
      <c r="J24" s="56">
        <v>47780</v>
      </c>
      <c r="K24" s="56">
        <v>19350</v>
      </c>
      <c r="L24" s="56">
        <v>37320</v>
      </c>
      <c r="M24" s="54">
        <v>43890</v>
      </c>
      <c r="N24" s="54">
        <v>57720</v>
      </c>
      <c r="O24" s="57">
        <v>46170</v>
      </c>
    </row>
    <row r="25" spans="2:15">
      <c r="B25" s="28">
        <f t="shared" si="8"/>
        <v>363300</v>
      </c>
      <c r="C25" s="28">
        <f t="shared" si="9"/>
        <v>36330</v>
      </c>
      <c r="D25" s="28">
        <f t="shared" si="10"/>
        <v>11722.225803053692</v>
      </c>
      <c r="E25" s="119" t="s">
        <v>36</v>
      </c>
      <c r="F25" s="56">
        <v>44810</v>
      </c>
      <c r="G25" s="56">
        <v>22950</v>
      </c>
      <c r="H25" s="56">
        <v>21680</v>
      </c>
      <c r="I25" s="56">
        <v>38050</v>
      </c>
      <c r="J25" s="56">
        <v>45130</v>
      </c>
      <c r="K25" s="56">
        <v>17350</v>
      </c>
      <c r="L25" s="56">
        <v>34860</v>
      </c>
      <c r="M25" s="54">
        <v>41710</v>
      </c>
      <c r="N25" s="54">
        <v>50500</v>
      </c>
      <c r="O25" s="57">
        <v>46260</v>
      </c>
    </row>
    <row r="26" spans="2:15">
      <c r="B26" s="28">
        <f t="shared" si="8"/>
        <v>389930</v>
      </c>
      <c r="C26" s="28">
        <f t="shared" si="9"/>
        <v>38993</v>
      </c>
      <c r="D26" s="28">
        <f t="shared" si="10"/>
        <v>11998.115639086369</v>
      </c>
      <c r="E26" s="121" t="s">
        <v>37</v>
      </c>
      <c r="F26" s="56">
        <v>43350</v>
      </c>
      <c r="G26" s="56">
        <v>25930</v>
      </c>
      <c r="H26" s="56">
        <v>29320</v>
      </c>
      <c r="I26" s="56">
        <v>39910</v>
      </c>
      <c r="J26" s="56">
        <v>43730</v>
      </c>
      <c r="K26" s="56">
        <v>17450</v>
      </c>
      <c r="L26" s="56">
        <v>36840</v>
      </c>
      <c r="M26" s="54">
        <v>48690</v>
      </c>
      <c r="N26" s="54">
        <v>58240</v>
      </c>
      <c r="O26" s="57">
        <v>46470</v>
      </c>
    </row>
    <row r="27" spans="2:15">
      <c r="B27" s="28">
        <f t="shared" si="8"/>
        <v>338860</v>
      </c>
      <c r="C27" s="28">
        <f t="shared" si="9"/>
        <v>33886</v>
      </c>
      <c r="D27" s="28">
        <f t="shared" si="10"/>
        <v>14529.658709764046</v>
      </c>
      <c r="E27" s="120" t="s">
        <v>38</v>
      </c>
      <c r="F27" s="56">
        <v>37700</v>
      </c>
      <c r="G27" s="56">
        <v>17100</v>
      </c>
      <c r="H27" s="56">
        <v>14930</v>
      </c>
      <c r="I27" s="56">
        <v>28070</v>
      </c>
      <c r="J27" s="56">
        <v>39340</v>
      </c>
      <c r="K27" s="56">
        <v>14920</v>
      </c>
      <c r="L27" s="56">
        <v>37130</v>
      </c>
      <c r="M27" s="54">
        <v>49270</v>
      </c>
      <c r="N27" s="54">
        <v>54760</v>
      </c>
      <c r="O27" s="57">
        <v>45640</v>
      </c>
    </row>
    <row r="28" spans="2:15">
      <c r="B28" s="28">
        <f t="shared" si="8"/>
        <v>390350</v>
      </c>
      <c r="C28" s="28">
        <f t="shared" si="9"/>
        <v>39035</v>
      </c>
      <c r="D28" s="28">
        <f t="shared" si="10"/>
        <v>13868.092274474286</v>
      </c>
      <c r="E28" s="120" t="s">
        <v>39</v>
      </c>
      <c r="F28" s="56">
        <v>43240</v>
      </c>
      <c r="G28" s="56">
        <v>20810</v>
      </c>
      <c r="H28" s="56">
        <v>25060</v>
      </c>
      <c r="I28" s="56">
        <v>34430</v>
      </c>
      <c r="J28" s="56">
        <v>45900</v>
      </c>
      <c r="K28" s="56">
        <v>18810</v>
      </c>
      <c r="L28" s="56">
        <v>41750</v>
      </c>
      <c r="M28" s="54">
        <v>56330</v>
      </c>
      <c r="N28" s="54">
        <v>57720</v>
      </c>
      <c r="O28" s="57">
        <v>46300</v>
      </c>
    </row>
    <row r="29" spans="2:15">
      <c r="B29" s="4">
        <f>SUM(B21:B28)</f>
        <v>2934970</v>
      </c>
      <c r="C29" s="4">
        <f>AVERAGE(B21:B28)</f>
        <v>366871.25</v>
      </c>
      <c r="D29" s="4">
        <f>STDEV(B21:B28)</f>
        <v>22211.557118825713</v>
      </c>
      <c r="E29" s="120"/>
      <c r="F29" s="4">
        <f t="shared" ref="F29:O29" si="11">SUM(F21:F28)</f>
        <v>329070</v>
      </c>
      <c r="G29" s="4">
        <f t="shared" si="11"/>
        <v>174740</v>
      </c>
      <c r="H29" s="185">
        <f t="shared" si="11"/>
        <v>181140</v>
      </c>
      <c r="I29" s="4">
        <f t="shared" si="11"/>
        <v>291470</v>
      </c>
      <c r="J29" s="185">
        <f t="shared" si="11"/>
        <v>348070</v>
      </c>
      <c r="K29" s="4">
        <f t="shared" si="11"/>
        <v>137480</v>
      </c>
      <c r="L29" s="71">
        <f t="shared" si="11"/>
        <v>296140</v>
      </c>
      <c r="M29" s="4">
        <f t="shared" si="11"/>
        <v>367180</v>
      </c>
      <c r="N29" s="4">
        <f t="shared" si="11"/>
        <v>449850</v>
      </c>
      <c r="O29" s="185">
        <f t="shared" si="11"/>
        <v>359830</v>
      </c>
    </row>
    <row r="30" spans="2:15">
      <c r="B30" s="1">
        <f>SUM(F30:N30)</f>
        <v>7472970</v>
      </c>
      <c r="C30" s="1">
        <f>AVERAGE(F30:N30)</f>
        <v>830330</v>
      </c>
      <c r="D30" s="72">
        <f>STDEV(F30:N30)</f>
        <v>313714.22433482355</v>
      </c>
      <c r="F30" s="1">
        <f t="shared" ref="F30:O30" si="12">SUM(F3:F10,F12:F19,F21:F28)</f>
        <v>941920</v>
      </c>
      <c r="G30" s="1">
        <f t="shared" si="12"/>
        <v>480630</v>
      </c>
      <c r="H30" s="1">
        <f t="shared" si="12"/>
        <v>505510</v>
      </c>
      <c r="I30" s="1">
        <f t="shared" si="12"/>
        <v>794390</v>
      </c>
      <c r="J30" s="1">
        <f t="shared" si="12"/>
        <v>1046800</v>
      </c>
      <c r="K30" s="1">
        <f t="shared" si="12"/>
        <v>390530</v>
      </c>
      <c r="L30" s="1">
        <f t="shared" si="12"/>
        <v>961550</v>
      </c>
      <c r="M30" s="1">
        <f t="shared" si="12"/>
        <v>1018400</v>
      </c>
      <c r="N30" s="1">
        <f t="shared" si="12"/>
        <v>1333240</v>
      </c>
      <c r="O30" s="1">
        <f t="shared" si="12"/>
        <v>1068830</v>
      </c>
    </row>
    <row r="31" spans="2:15">
      <c r="B31" s="65">
        <f>SUM($B3:$B10,$B12:$B19,$B21:$B28)</f>
        <v>8541800</v>
      </c>
      <c r="C31" s="65">
        <f>AVERAGE($B3:$B10,$B12:$B19,$B21:$B28)</f>
        <v>355908.33333333331</v>
      </c>
      <c r="D31" s="65">
        <f>STDEV($B3:$B10,$B12:$B19,$B21:$B28)</f>
        <v>20467.273488620267</v>
      </c>
      <c r="F31" s="1">
        <f t="shared" ref="F31:O31" si="13">AVERAGE(F3:F10,F12:F19,F21:F28)</f>
        <v>39246.666666666664</v>
      </c>
      <c r="G31" s="1">
        <f t="shared" si="13"/>
        <v>20026.25</v>
      </c>
      <c r="H31" s="1">
        <f t="shared" si="13"/>
        <v>21062.916666666668</v>
      </c>
      <c r="I31" s="1">
        <f t="shared" si="13"/>
        <v>33099.583333333336</v>
      </c>
      <c r="J31" s="1">
        <f t="shared" si="13"/>
        <v>43616.666666666664</v>
      </c>
      <c r="K31" s="1">
        <f t="shared" si="13"/>
        <v>16272.083333333334</v>
      </c>
      <c r="L31" s="1">
        <f t="shared" si="13"/>
        <v>40064.583333333336</v>
      </c>
      <c r="M31" s="1">
        <f t="shared" si="13"/>
        <v>42433.333333333336</v>
      </c>
      <c r="N31" s="1">
        <f t="shared" si="13"/>
        <v>55551.666666666664</v>
      </c>
      <c r="O31" s="1">
        <f t="shared" si="13"/>
        <v>44534.583333333336</v>
      </c>
    </row>
    <row r="32" spans="2:15">
      <c r="F32" s="1">
        <f t="shared" ref="F32:O32" si="14">STDEV(F3:F10,F12:F19,F21:F28,)</f>
        <v>8543.2418319979679</v>
      </c>
      <c r="G32" s="1">
        <f t="shared" si="14"/>
        <v>5337.9514797345246</v>
      </c>
      <c r="H32" s="1">
        <f t="shared" si="14"/>
        <v>5899.1040845199532</v>
      </c>
      <c r="I32" s="1">
        <f t="shared" si="14"/>
        <v>7940.5468325550473</v>
      </c>
      <c r="J32" s="1">
        <f t="shared" si="14"/>
        <v>9109.5513061840757</v>
      </c>
      <c r="K32" s="1">
        <f t="shared" si="14"/>
        <v>3831.4339352258185</v>
      </c>
      <c r="L32" s="1">
        <f t="shared" si="14"/>
        <v>8696.4691110818076</v>
      </c>
      <c r="M32" s="1">
        <f t="shared" si="14"/>
        <v>10451.190123617502</v>
      </c>
      <c r="N32" s="1">
        <f t="shared" si="14"/>
        <v>11491.975635198676</v>
      </c>
      <c r="O32" s="1">
        <f t="shared" si="14"/>
        <v>9520.5631486097845</v>
      </c>
    </row>
    <row r="36" spans="2:7">
      <c r="B36">
        <v>1</v>
      </c>
      <c r="C36" s="75">
        <v>115000</v>
      </c>
      <c r="D36" s="1">
        <v>1.24</v>
      </c>
      <c r="E36" s="196">
        <f xml:space="preserve"> C36 * D36 *B36</f>
        <v>142600</v>
      </c>
      <c r="F36" s="1">
        <v>68000</v>
      </c>
      <c r="G36">
        <f xml:space="preserve"> E36 / F36</f>
        <v>2.0970588235294119</v>
      </c>
    </row>
    <row r="37" spans="2:7">
      <c r="B37">
        <v>2</v>
      </c>
      <c r="C37" s="75">
        <v>115000</v>
      </c>
      <c r="D37">
        <v>1.24</v>
      </c>
      <c r="E37" s="196">
        <f xml:space="preserve"> C37 * D37 *B37</f>
        <v>285200</v>
      </c>
      <c r="F37" s="1">
        <v>68000</v>
      </c>
      <c r="G37">
        <f xml:space="preserve"> E37 / F37</f>
        <v>4.1941176470588237</v>
      </c>
    </row>
    <row r="38" spans="2:7">
      <c r="B38">
        <v>2</v>
      </c>
      <c r="C38" s="75">
        <v>115000</v>
      </c>
      <c r="D38">
        <v>1.24</v>
      </c>
      <c r="E38" s="196">
        <f xml:space="preserve"> C38 * D38 *B38</f>
        <v>285200</v>
      </c>
      <c r="F38" s="1">
        <v>100000</v>
      </c>
      <c r="G38">
        <f xml:space="preserve"> E38 / F38</f>
        <v>2.8519999999999999</v>
      </c>
    </row>
    <row r="39" spans="2:7">
      <c r="B39">
        <v>2</v>
      </c>
      <c r="C39" s="75">
        <v>115000</v>
      </c>
      <c r="D39">
        <v>1.24</v>
      </c>
      <c r="E39" s="196">
        <f xml:space="preserve"> C39 * D39 *B39</f>
        <v>285200</v>
      </c>
      <c r="F39" s="1">
        <v>95000</v>
      </c>
      <c r="G39">
        <f xml:space="preserve"> E39 / F39</f>
        <v>3.0021052631578948</v>
      </c>
    </row>
  </sheetData>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dimension ref="C2:L11"/>
  <sheetViews>
    <sheetView workbookViewId="0">
      <selection activeCell="G11" sqref="G11"/>
    </sheetView>
  </sheetViews>
  <sheetFormatPr defaultRowHeight="15"/>
  <cols>
    <col min="3" max="3" width="8" customWidth="1"/>
    <col min="9" max="9" width="8.28515625" style="196" customWidth="1"/>
  </cols>
  <sheetData>
    <row r="2" spans="3:12">
      <c r="C2">
        <v>2132.7600000000002</v>
      </c>
      <c r="G2">
        <v>861</v>
      </c>
    </row>
    <row r="3" spans="3:12">
      <c r="C3">
        <v>1849.08</v>
      </c>
      <c r="G3">
        <v>321</v>
      </c>
    </row>
    <row r="4" spans="3:12">
      <c r="C4">
        <v>1849.08</v>
      </c>
    </row>
    <row r="5" spans="3:12">
      <c r="I5" s="196">
        <f>730.06*2</f>
        <v>1460.12</v>
      </c>
    </row>
    <row r="6" spans="3:12">
      <c r="I6" s="196">
        <f>694.95*2</f>
        <v>1389.9</v>
      </c>
    </row>
    <row r="7" spans="3:12">
      <c r="C7">
        <v>5500</v>
      </c>
      <c r="D7" t="s">
        <v>1085</v>
      </c>
      <c r="G7">
        <v>5500</v>
      </c>
      <c r="H7" t="s">
        <v>1088</v>
      </c>
      <c r="I7" s="196">
        <v>4667.71</v>
      </c>
    </row>
    <row r="8" spans="3:12">
      <c r="C8">
        <v>4900</v>
      </c>
      <c r="D8">
        <v>14</v>
      </c>
      <c r="G8">
        <v>5800</v>
      </c>
      <c r="H8" t="s">
        <v>1087</v>
      </c>
      <c r="I8" s="196">
        <v>3074.85</v>
      </c>
    </row>
    <row r="9" spans="3:12">
      <c r="C9">
        <v>3400</v>
      </c>
      <c r="D9" t="s">
        <v>1086</v>
      </c>
      <c r="G9">
        <v>4900</v>
      </c>
      <c r="H9" t="s">
        <v>1089</v>
      </c>
      <c r="I9" s="196">
        <v>4279.6000000000004</v>
      </c>
    </row>
    <row r="10" spans="3:12">
      <c r="C10">
        <v>5800</v>
      </c>
      <c r="D10" t="s">
        <v>1087</v>
      </c>
      <c r="G10">
        <f>SUM(G7:G9)</f>
        <v>16200</v>
      </c>
      <c r="I10" s="196">
        <f>SUM(I5:I9)</f>
        <v>14872.18</v>
      </c>
      <c r="K10" s="196">
        <f>G10-I10</f>
        <v>1327.8199999999997</v>
      </c>
    </row>
    <row r="11" spans="3:12">
      <c r="G11">
        <v>3500</v>
      </c>
      <c r="I11" s="196">
        <v>2459.48</v>
      </c>
      <c r="K11" s="196">
        <f>G11-I11</f>
        <v>1040.52</v>
      </c>
      <c r="L11" s="196">
        <f>K10+K11</f>
        <v>2368.3399999999997</v>
      </c>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dimension ref="A1:AK147"/>
  <sheetViews>
    <sheetView workbookViewId="0">
      <pane ySplit="1" topLeftCell="A2" activePane="bottomLeft" state="frozen"/>
      <selection pane="bottomLeft" activeCell="G19" sqref="G19"/>
    </sheetView>
  </sheetViews>
  <sheetFormatPr defaultRowHeight="15"/>
  <cols>
    <col min="3" max="3" width="32.42578125" customWidth="1"/>
    <col min="4" max="4" width="6.140625" style="467" customWidth="1"/>
    <col min="5" max="5" width="7.7109375" style="467" customWidth="1"/>
    <col min="6" max="6" width="8.5703125" customWidth="1"/>
    <col min="7" max="7" width="8.140625" style="238" customWidth="1"/>
    <col min="8" max="8" width="6.28515625" style="303" customWidth="1"/>
    <col min="9" max="9" width="8.140625" style="469" customWidth="1"/>
    <col min="10" max="10" width="9.7109375" style="468" customWidth="1"/>
    <col min="11" max="11" width="8.7109375" style="468" customWidth="1"/>
    <col min="12" max="12" width="9.5703125" style="474" customWidth="1"/>
    <col min="13" max="13" width="10" style="475" customWidth="1"/>
    <col min="14" max="14" width="13.5703125" style="196" customWidth="1"/>
    <col min="15" max="15" width="10.5703125" customWidth="1"/>
    <col min="17" max="17" width="16.5703125" customWidth="1"/>
    <col min="18" max="18" width="8.28515625" customWidth="1"/>
    <col min="19" max="19" width="7.7109375" customWidth="1"/>
    <col min="21" max="21" width="7.28515625" customWidth="1"/>
    <col min="23" max="23" width="11" customWidth="1"/>
    <col min="25" max="25" width="8.140625" customWidth="1"/>
    <col min="29" max="29" width="9.28515625" customWidth="1"/>
    <col min="32" max="32" width="10.5703125" customWidth="1"/>
  </cols>
  <sheetData>
    <row r="1" spans="2:18">
      <c r="D1" s="467" t="s">
        <v>459</v>
      </c>
      <c r="E1" s="467" t="s">
        <v>460</v>
      </c>
      <c r="F1" t="s">
        <v>942</v>
      </c>
      <c r="G1" s="238" t="s">
        <v>940</v>
      </c>
      <c r="H1" s="303" t="s">
        <v>1024</v>
      </c>
      <c r="I1" s="469" t="s">
        <v>433</v>
      </c>
      <c r="J1" s="468" t="s">
        <v>1033</v>
      </c>
      <c r="K1" s="468" t="s">
        <v>1081</v>
      </c>
      <c r="L1" s="474" t="s">
        <v>1540</v>
      </c>
      <c r="N1" s="196" t="s">
        <v>1554</v>
      </c>
    </row>
    <row r="2" spans="2:18">
      <c r="B2" t="s">
        <v>905</v>
      </c>
      <c r="C2" t="s">
        <v>906</v>
      </c>
      <c r="D2" s="467">
        <v>8.6</v>
      </c>
      <c r="E2" s="467">
        <v>8.4</v>
      </c>
      <c r="F2">
        <v>5.6</v>
      </c>
      <c r="G2" s="238">
        <v>6.2</v>
      </c>
      <c r="H2" s="303">
        <v>24</v>
      </c>
      <c r="I2" s="469">
        <v>55</v>
      </c>
      <c r="J2" s="318">
        <f t="shared" ref="J2:J7" si="0">E2/D2</f>
        <v>0.9767441860465117</v>
      </c>
      <c r="K2" s="318">
        <f t="shared" ref="K2:K7" si="1">F2+G2</f>
        <v>11.8</v>
      </c>
      <c r="L2" s="318">
        <f t="shared" ref="L2:L7" si="2">K2/2</f>
        <v>5.9</v>
      </c>
      <c r="M2" s="318">
        <f t="shared" ref="M2:M7" si="3">ABS(F2-G2)/(F2+G2)</f>
        <v>5.0847457627118689E-2</v>
      </c>
    </row>
    <row r="3" spans="2:18">
      <c r="B3" t="s">
        <v>905</v>
      </c>
      <c r="C3" t="s">
        <v>1535</v>
      </c>
      <c r="D3" s="467">
        <v>7.7</v>
      </c>
      <c r="E3" s="467">
        <v>8.3000000000000007</v>
      </c>
      <c r="F3">
        <v>4.7</v>
      </c>
      <c r="G3" s="238">
        <v>4.5</v>
      </c>
      <c r="H3" s="303">
        <v>27</v>
      </c>
      <c r="I3" s="469">
        <v>50</v>
      </c>
      <c r="J3" s="318">
        <f t="shared" si="0"/>
        <v>1.0779220779220779</v>
      </c>
      <c r="K3" s="318">
        <f t="shared" si="1"/>
        <v>9.1999999999999993</v>
      </c>
      <c r="L3" s="318">
        <f t="shared" si="2"/>
        <v>4.5999999999999996</v>
      </c>
      <c r="M3" s="318">
        <f t="shared" si="3"/>
        <v>2.1739130434782629E-2</v>
      </c>
    </row>
    <row r="4" spans="2:18">
      <c r="B4" t="s">
        <v>880</v>
      </c>
      <c r="C4" t="s">
        <v>1550</v>
      </c>
      <c r="D4" s="467">
        <v>9.4</v>
      </c>
      <c r="E4" s="467">
        <v>9.6999999999999993</v>
      </c>
      <c r="F4">
        <v>5.2</v>
      </c>
      <c r="G4" s="238">
        <v>5.9</v>
      </c>
      <c r="H4" s="303">
        <v>13</v>
      </c>
      <c r="I4" s="469">
        <v>800</v>
      </c>
      <c r="J4" s="318">
        <f t="shared" si="0"/>
        <v>1.0319148936170213</v>
      </c>
      <c r="K4" s="318">
        <f t="shared" si="1"/>
        <v>11.100000000000001</v>
      </c>
      <c r="L4" s="318">
        <f t="shared" si="2"/>
        <v>5.5500000000000007</v>
      </c>
      <c r="M4" s="318">
        <f t="shared" si="3"/>
        <v>6.3063063063063071E-2</v>
      </c>
      <c r="N4" s="196">
        <v>9.6999999999999993</v>
      </c>
    </row>
    <row r="5" spans="2:18">
      <c r="B5" t="s">
        <v>880</v>
      </c>
      <c r="C5" t="s">
        <v>1552</v>
      </c>
      <c r="D5" s="467">
        <v>9.5</v>
      </c>
      <c r="E5" s="467">
        <v>9.3000000000000007</v>
      </c>
      <c r="F5">
        <v>5.2</v>
      </c>
      <c r="G5" s="238">
        <v>6.3</v>
      </c>
      <c r="H5" s="303">
        <v>80</v>
      </c>
      <c r="I5" s="469">
        <v>190</v>
      </c>
      <c r="J5" s="318">
        <f t="shared" si="0"/>
        <v>0.97894736842105268</v>
      </c>
      <c r="K5" s="318">
        <f t="shared" si="1"/>
        <v>11.5</v>
      </c>
      <c r="L5" s="318">
        <f t="shared" si="2"/>
        <v>5.75</v>
      </c>
      <c r="M5" s="318">
        <f t="shared" si="3"/>
        <v>9.5652173913043453E-2</v>
      </c>
      <c r="N5" s="196">
        <v>9.5</v>
      </c>
    </row>
    <row r="6" spans="2:18">
      <c r="B6" t="s">
        <v>880</v>
      </c>
      <c r="C6" t="s">
        <v>1553</v>
      </c>
      <c r="D6" s="467">
        <v>9.6999999999999993</v>
      </c>
      <c r="E6" s="467">
        <v>9.4</v>
      </c>
      <c r="F6">
        <v>7.3</v>
      </c>
      <c r="G6" s="238">
        <v>7.2</v>
      </c>
      <c r="H6" s="303">
        <v>18</v>
      </c>
      <c r="I6" s="469">
        <v>800</v>
      </c>
      <c r="J6" s="318">
        <f t="shared" si="0"/>
        <v>0.96907216494845372</v>
      </c>
      <c r="K6" s="318">
        <f t="shared" si="1"/>
        <v>14.5</v>
      </c>
      <c r="L6" s="318">
        <f t="shared" si="2"/>
        <v>7.25</v>
      </c>
      <c r="M6" s="318">
        <f t="shared" si="3"/>
        <v>6.8965517241379067E-3</v>
      </c>
      <c r="N6" s="196">
        <v>9.5</v>
      </c>
    </row>
    <row r="7" spans="2:18" s="330" customFormat="1">
      <c r="B7" s="330" t="s">
        <v>880</v>
      </c>
      <c r="C7" s="330" t="s">
        <v>1023</v>
      </c>
      <c r="D7" s="471">
        <v>9.1</v>
      </c>
      <c r="E7" s="471">
        <v>9.4</v>
      </c>
      <c r="F7" s="471">
        <v>4.0999999999999996</v>
      </c>
      <c r="G7" s="471">
        <v>5.4</v>
      </c>
      <c r="H7" s="330">
        <v>87</v>
      </c>
      <c r="I7" s="318">
        <v>64</v>
      </c>
      <c r="J7" s="318">
        <f t="shared" si="0"/>
        <v>1.0329670329670331</v>
      </c>
      <c r="K7" s="318">
        <f t="shared" si="1"/>
        <v>9.5</v>
      </c>
      <c r="L7" s="318">
        <f t="shared" si="2"/>
        <v>4.75</v>
      </c>
      <c r="M7" s="318">
        <f t="shared" si="3"/>
        <v>0.13684210526315796</v>
      </c>
      <c r="N7" s="318"/>
    </row>
    <row r="8" spans="2:18" s="330" customFormat="1">
      <c r="B8" s="330" t="s">
        <v>880</v>
      </c>
      <c r="C8" s="330" t="s">
        <v>1027</v>
      </c>
      <c r="D8" s="471">
        <v>8.8000000000000007</v>
      </c>
      <c r="E8" s="471">
        <v>9.3000000000000007</v>
      </c>
      <c r="F8" s="471">
        <v>4.5</v>
      </c>
      <c r="G8" s="471">
        <v>6.3</v>
      </c>
      <c r="H8" s="330">
        <v>3</v>
      </c>
      <c r="I8" s="318">
        <v>60</v>
      </c>
      <c r="J8" s="318">
        <f t="shared" ref="J8:J104" si="4">E8/D8</f>
        <v>1.0568181818181819</v>
      </c>
      <c r="K8" s="318">
        <f t="shared" ref="K8:K104" si="5">F8+G8</f>
        <v>10.8</v>
      </c>
      <c r="L8" s="318">
        <f t="shared" ref="L8:L107" si="6">K8/2</f>
        <v>5.4</v>
      </c>
      <c r="M8" s="318">
        <f t="shared" ref="M8:M106" si="7">ABS(F8-G8)/(F8+G8)</f>
        <v>0.16666666666666663</v>
      </c>
      <c r="N8" s="318"/>
    </row>
    <row r="9" spans="2:18">
      <c r="B9" t="s">
        <v>880</v>
      </c>
      <c r="C9" t="s">
        <v>1041</v>
      </c>
      <c r="D9" s="467">
        <v>6.7</v>
      </c>
      <c r="E9" s="467">
        <v>8</v>
      </c>
      <c r="F9" s="467">
        <v>2.5</v>
      </c>
      <c r="G9" s="472">
        <v>6.7</v>
      </c>
      <c r="H9" s="303">
        <v>5</v>
      </c>
      <c r="I9" s="469">
        <v>38</v>
      </c>
      <c r="J9" s="468">
        <f t="shared" si="4"/>
        <v>1.1940298507462686</v>
      </c>
      <c r="K9" s="307">
        <f t="shared" si="5"/>
        <v>9.1999999999999993</v>
      </c>
      <c r="L9" s="474">
        <f t="shared" si="6"/>
        <v>4.5999999999999996</v>
      </c>
      <c r="M9" s="475">
        <f t="shared" si="7"/>
        <v>0.45652173913043481</v>
      </c>
      <c r="N9" s="196" t="s">
        <v>1079</v>
      </c>
    </row>
    <row r="10" spans="2:18">
      <c r="B10" t="s">
        <v>880</v>
      </c>
      <c r="C10" t="s">
        <v>1066</v>
      </c>
      <c r="D10" s="467">
        <v>7.9</v>
      </c>
      <c r="E10" s="467">
        <v>8.4</v>
      </c>
      <c r="F10" s="467">
        <v>3</v>
      </c>
      <c r="G10" s="472">
        <v>6.5</v>
      </c>
      <c r="H10" s="303">
        <v>7</v>
      </c>
      <c r="I10" s="469">
        <v>33</v>
      </c>
      <c r="J10" s="468">
        <f t="shared" ref="J10" si="8">E10/D10</f>
        <v>1.0632911392405062</v>
      </c>
      <c r="K10" s="307">
        <f t="shared" si="5"/>
        <v>9.5</v>
      </c>
      <c r="L10" s="474">
        <f t="shared" si="6"/>
        <v>4.75</v>
      </c>
      <c r="M10" s="475">
        <f t="shared" si="7"/>
        <v>0.36842105263157893</v>
      </c>
    </row>
    <row r="11" spans="2:18" s="482" customFormat="1">
      <c r="B11" s="482" t="s">
        <v>880</v>
      </c>
      <c r="C11" s="482" t="s">
        <v>1067</v>
      </c>
      <c r="D11" s="483">
        <v>8.4</v>
      </c>
      <c r="E11" s="483">
        <v>9.1</v>
      </c>
      <c r="F11" s="483">
        <v>4.7</v>
      </c>
      <c r="G11" s="483">
        <v>5.6</v>
      </c>
      <c r="H11" s="482">
        <v>19</v>
      </c>
      <c r="I11" s="484">
        <v>78</v>
      </c>
      <c r="J11" s="484">
        <f t="shared" si="4"/>
        <v>1.0833333333333333</v>
      </c>
      <c r="K11" s="484">
        <f t="shared" si="5"/>
        <v>10.3</v>
      </c>
      <c r="L11" s="486">
        <f t="shared" si="6"/>
        <v>5.15</v>
      </c>
      <c r="M11" s="484">
        <f t="shared" si="7"/>
        <v>8.7378640776698976E-2</v>
      </c>
      <c r="N11" s="484"/>
    </row>
    <row r="12" spans="2:18" s="482" customFormat="1">
      <c r="B12" s="482" t="s">
        <v>880</v>
      </c>
      <c r="C12" s="482" t="s">
        <v>1025</v>
      </c>
      <c r="D12" s="483">
        <v>8.6</v>
      </c>
      <c r="E12" s="483">
        <v>9.1999999999999993</v>
      </c>
      <c r="F12" s="483">
        <v>5</v>
      </c>
      <c r="G12" s="483">
        <v>6.2</v>
      </c>
      <c r="H12" s="482">
        <v>10</v>
      </c>
      <c r="I12" s="484">
        <v>40</v>
      </c>
      <c r="J12" s="484">
        <f>E12/D12</f>
        <v>1.069767441860465</v>
      </c>
      <c r="K12" s="484">
        <f t="shared" si="5"/>
        <v>11.2</v>
      </c>
      <c r="L12" s="486">
        <f t="shared" si="6"/>
        <v>5.6</v>
      </c>
      <c r="M12" s="484">
        <f t="shared" si="7"/>
        <v>0.10714285714285716</v>
      </c>
      <c r="N12" s="484"/>
    </row>
    <row r="13" spans="2:18">
      <c r="B13" t="s">
        <v>880</v>
      </c>
      <c r="C13" t="s">
        <v>1038</v>
      </c>
      <c r="D13" s="467">
        <v>9.1</v>
      </c>
      <c r="E13" s="467">
        <v>8.6999999999999993</v>
      </c>
      <c r="F13" s="467">
        <v>6.4</v>
      </c>
      <c r="G13" s="472">
        <v>6.8</v>
      </c>
      <c r="H13" s="303">
        <v>14</v>
      </c>
      <c r="I13" s="469">
        <v>30</v>
      </c>
      <c r="J13" s="468">
        <f t="shared" si="4"/>
        <v>0.95604395604395598</v>
      </c>
      <c r="K13" s="307">
        <f t="shared" si="5"/>
        <v>13.2</v>
      </c>
      <c r="L13" s="474">
        <f t="shared" si="6"/>
        <v>6.6</v>
      </c>
      <c r="M13" s="475">
        <f t="shared" si="7"/>
        <v>3.0303030303030266E-2</v>
      </c>
    </row>
    <row r="14" spans="2:18">
      <c r="B14" t="s">
        <v>880</v>
      </c>
      <c r="C14" t="s">
        <v>1039</v>
      </c>
      <c r="D14" s="467">
        <v>8.9</v>
      </c>
      <c r="E14" s="467">
        <v>8.9</v>
      </c>
      <c r="F14" s="467">
        <v>5.8</v>
      </c>
      <c r="G14" s="472">
        <v>6.4</v>
      </c>
      <c r="H14" s="303">
        <v>142</v>
      </c>
      <c r="I14" s="469">
        <v>30</v>
      </c>
      <c r="J14" s="468">
        <f t="shared" si="4"/>
        <v>1</v>
      </c>
      <c r="K14" s="307">
        <f t="shared" si="5"/>
        <v>12.2</v>
      </c>
      <c r="L14" s="474">
        <f t="shared" si="6"/>
        <v>6.1</v>
      </c>
      <c r="M14" s="475">
        <f t="shared" si="7"/>
        <v>4.9180327868852507E-2</v>
      </c>
    </row>
    <row r="15" spans="2:18">
      <c r="B15" t="s">
        <v>880</v>
      </c>
      <c r="C15" t="s">
        <v>1040</v>
      </c>
      <c r="D15" s="467">
        <v>7.8</v>
      </c>
      <c r="E15" s="467">
        <v>8.1999999999999993</v>
      </c>
      <c r="F15" s="467">
        <v>6.5</v>
      </c>
      <c r="G15" s="472">
        <v>7.5</v>
      </c>
      <c r="H15" s="303">
        <v>4</v>
      </c>
      <c r="I15" s="469">
        <v>30</v>
      </c>
      <c r="J15" s="468">
        <f t="shared" si="4"/>
        <v>1.0512820512820513</v>
      </c>
      <c r="K15" s="307">
        <f t="shared" si="5"/>
        <v>14</v>
      </c>
      <c r="L15" s="474">
        <f t="shared" si="6"/>
        <v>7</v>
      </c>
      <c r="M15" s="475">
        <f t="shared" si="7"/>
        <v>7.1428571428571425E-2</v>
      </c>
    </row>
    <row r="16" spans="2:18">
      <c r="F16" s="467"/>
      <c r="G16" s="472"/>
      <c r="K16" s="307">
        <f t="shared" si="5"/>
        <v>0</v>
      </c>
      <c r="L16" s="474">
        <f t="shared" si="6"/>
        <v>0</v>
      </c>
      <c r="R16" t="s">
        <v>1094</v>
      </c>
    </row>
    <row r="17" spans="2:18">
      <c r="B17" t="s">
        <v>880</v>
      </c>
      <c r="C17" t="s">
        <v>1093</v>
      </c>
      <c r="D17" s="467">
        <v>9.4</v>
      </c>
      <c r="E17" s="467">
        <v>9.1999999999999993</v>
      </c>
      <c r="F17" s="467">
        <v>5</v>
      </c>
      <c r="G17" s="472">
        <v>6.1</v>
      </c>
      <c r="H17" s="303">
        <v>15</v>
      </c>
      <c r="I17" s="469">
        <v>52</v>
      </c>
      <c r="J17" s="468">
        <f t="shared" ref="J17" si="9">E17/D17</f>
        <v>0.97872340425531901</v>
      </c>
      <c r="K17" s="307">
        <f t="shared" ref="K17" si="10">F17+G17</f>
        <v>11.1</v>
      </c>
      <c r="L17" s="474">
        <f t="shared" ref="L17" si="11">K17/2</f>
        <v>5.55</v>
      </c>
      <c r="M17" s="475">
        <f t="shared" ref="M17" si="12">ABS(F17-G17)/(F17+G17)</f>
        <v>9.9099099099099072E-2</v>
      </c>
      <c r="Q17" t="s">
        <v>1095</v>
      </c>
      <c r="R17" t="s">
        <v>1543</v>
      </c>
    </row>
    <row r="18" spans="2:18">
      <c r="B18" t="s">
        <v>880</v>
      </c>
      <c r="C18" t="s">
        <v>1092</v>
      </c>
      <c r="D18" s="467">
        <v>9.1</v>
      </c>
      <c r="E18" s="467">
        <v>9.3000000000000007</v>
      </c>
      <c r="F18" s="467">
        <v>5</v>
      </c>
      <c r="G18" s="472">
        <v>4.5</v>
      </c>
      <c r="H18" s="303">
        <v>2</v>
      </c>
      <c r="I18" s="469">
        <v>65</v>
      </c>
      <c r="J18" s="468">
        <f t="shared" ref="J18:J19" si="13">E18/D18</f>
        <v>1.0219780219780221</v>
      </c>
      <c r="K18" s="307">
        <f t="shared" ref="K18:K19" si="14">F18+G18</f>
        <v>9.5</v>
      </c>
      <c r="L18" s="474">
        <f t="shared" ref="L18:L19" si="15">K18/2</f>
        <v>4.75</v>
      </c>
      <c r="M18" s="475">
        <f t="shared" ref="M18:M19" si="16">ABS(F18-G18)/(F18+G18)</f>
        <v>5.2631578947368418E-2</v>
      </c>
    </row>
    <row r="19" spans="2:18">
      <c r="B19" t="s">
        <v>880</v>
      </c>
      <c r="C19" t="s">
        <v>1541</v>
      </c>
      <c r="D19" s="467">
        <v>9.3000000000000007</v>
      </c>
      <c r="E19" s="467">
        <v>9.3000000000000007</v>
      </c>
      <c r="F19" s="467">
        <v>7.1</v>
      </c>
      <c r="G19" s="472">
        <v>6.7</v>
      </c>
      <c r="H19" s="303">
        <v>14</v>
      </c>
      <c r="I19" s="469">
        <v>53</v>
      </c>
      <c r="J19" s="468">
        <f t="shared" si="13"/>
        <v>1</v>
      </c>
      <c r="K19" s="307">
        <f t="shared" si="14"/>
        <v>13.8</v>
      </c>
      <c r="L19" s="474">
        <f t="shared" si="15"/>
        <v>6.9</v>
      </c>
      <c r="M19" s="475">
        <f t="shared" si="16"/>
        <v>2.898550724637677E-2</v>
      </c>
      <c r="Q19" t="s">
        <v>1095</v>
      </c>
      <c r="R19" t="s">
        <v>1544</v>
      </c>
    </row>
    <row r="20" spans="2:18">
      <c r="B20" t="s">
        <v>880</v>
      </c>
      <c r="C20" t="s">
        <v>1542</v>
      </c>
      <c r="D20" s="467">
        <v>9.3000000000000007</v>
      </c>
      <c r="E20" s="467">
        <v>9</v>
      </c>
      <c r="F20" s="467">
        <v>5.4</v>
      </c>
      <c r="G20" s="472">
        <v>6.6</v>
      </c>
      <c r="H20" s="303">
        <v>30</v>
      </c>
      <c r="I20" s="469">
        <v>52</v>
      </c>
      <c r="J20" s="468">
        <f t="shared" ref="J20:J21" si="17">E20/D20</f>
        <v>0.96774193548387089</v>
      </c>
      <c r="K20" s="307">
        <f t="shared" ref="K20:K21" si="18">F20+G20</f>
        <v>12</v>
      </c>
      <c r="L20" s="474">
        <f t="shared" ref="L20:L21" si="19">K20/2</f>
        <v>6</v>
      </c>
      <c r="M20" s="475">
        <f t="shared" ref="M20:M21" si="20">ABS(F20-G20)/(F20+G20)</f>
        <v>9.9999999999999936E-2</v>
      </c>
      <c r="Q20" t="s">
        <v>1095</v>
      </c>
      <c r="R20" t="s">
        <v>1545</v>
      </c>
    </row>
    <row r="21" spans="2:18">
      <c r="B21" t="s">
        <v>880</v>
      </c>
      <c r="C21" t="s">
        <v>1551</v>
      </c>
      <c r="D21" s="467">
        <v>9</v>
      </c>
      <c r="E21" s="467">
        <v>10</v>
      </c>
      <c r="F21" s="467">
        <v>7</v>
      </c>
      <c r="G21" s="472">
        <v>8.1999999999999993</v>
      </c>
      <c r="H21" s="303">
        <v>1</v>
      </c>
      <c r="I21" s="469">
        <v>500</v>
      </c>
      <c r="J21" s="468">
        <f t="shared" si="17"/>
        <v>1.1111111111111112</v>
      </c>
      <c r="K21" s="307">
        <f t="shared" si="18"/>
        <v>15.2</v>
      </c>
      <c r="L21" s="474">
        <f t="shared" si="19"/>
        <v>7.6</v>
      </c>
      <c r="M21" s="475">
        <f t="shared" si="20"/>
        <v>7.8947368421052586E-2</v>
      </c>
    </row>
    <row r="22" spans="2:18">
      <c r="B22" t="s">
        <v>877</v>
      </c>
      <c r="C22" t="s">
        <v>1042</v>
      </c>
      <c r="D22" s="467">
        <v>9</v>
      </c>
      <c r="E22" s="467">
        <v>8.9</v>
      </c>
      <c r="F22" s="467">
        <v>6.3</v>
      </c>
      <c r="G22" s="472">
        <v>6.7</v>
      </c>
      <c r="H22" s="303">
        <v>9</v>
      </c>
      <c r="I22" s="469">
        <v>40</v>
      </c>
      <c r="J22" s="468">
        <f t="shared" si="4"/>
        <v>0.98888888888888893</v>
      </c>
      <c r="K22" s="307">
        <f t="shared" si="5"/>
        <v>13</v>
      </c>
      <c r="L22" s="474">
        <f t="shared" si="6"/>
        <v>6.5</v>
      </c>
      <c r="M22" s="475">
        <f t="shared" si="7"/>
        <v>3.0769230769230795E-2</v>
      </c>
      <c r="N22" s="196" t="s">
        <v>898</v>
      </c>
    </row>
    <row r="23" spans="2:18">
      <c r="B23" t="s">
        <v>877</v>
      </c>
      <c r="C23" t="s">
        <v>1061</v>
      </c>
      <c r="D23" s="467">
        <v>9.6</v>
      </c>
      <c r="E23" s="467">
        <v>8.8000000000000007</v>
      </c>
      <c r="F23" s="467">
        <v>7.8</v>
      </c>
      <c r="G23" s="472">
        <v>8.4</v>
      </c>
      <c r="H23" s="303">
        <v>18</v>
      </c>
      <c r="I23" s="469">
        <v>45</v>
      </c>
      <c r="J23" s="468">
        <f t="shared" si="4"/>
        <v>0.91666666666666674</v>
      </c>
      <c r="K23" s="307">
        <f t="shared" si="5"/>
        <v>16.2</v>
      </c>
      <c r="L23" s="474">
        <f t="shared" si="6"/>
        <v>8.1</v>
      </c>
      <c r="M23" s="475">
        <f t="shared" si="7"/>
        <v>3.703703703703707E-2</v>
      </c>
    </row>
    <row r="24" spans="2:18">
      <c r="B24" t="s">
        <v>877</v>
      </c>
      <c r="C24" t="s">
        <v>1043</v>
      </c>
      <c r="D24" s="467">
        <v>9.3000000000000007</v>
      </c>
      <c r="E24" s="467">
        <v>9.1</v>
      </c>
      <c r="F24" s="467">
        <v>6</v>
      </c>
      <c r="G24" s="472">
        <v>6</v>
      </c>
      <c r="H24" s="303">
        <v>27</v>
      </c>
      <c r="I24" s="469">
        <v>48</v>
      </c>
      <c r="J24" s="468">
        <f t="shared" si="4"/>
        <v>0.97849462365591389</v>
      </c>
      <c r="K24" s="307">
        <f t="shared" si="5"/>
        <v>12</v>
      </c>
      <c r="L24" s="474">
        <f t="shared" si="6"/>
        <v>6</v>
      </c>
      <c r="M24" s="475">
        <f t="shared" si="7"/>
        <v>0</v>
      </c>
    </row>
    <row r="25" spans="2:18">
      <c r="F25" s="467"/>
      <c r="G25" s="472"/>
      <c r="K25" s="307"/>
    </row>
    <row r="26" spans="2:18">
      <c r="B26" t="s">
        <v>877</v>
      </c>
      <c r="C26" t="s">
        <v>1060</v>
      </c>
      <c r="D26" s="467">
        <v>9.4</v>
      </c>
      <c r="E26" s="467">
        <v>8.6</v>
      </c>
      <c r="F26" s="467">
        <v>7</v>
      </c>
      <c r="G26" s="472">
        <v>6.7</v>
      </c>
      <c r="H26" s="303">
        <v>1</v>
      </c>
      <c r="I26" s="469">
        <v>24</v>
      </c>
      <c r="J26" s="468">
        <f t="shared" si="4"/>
        <v>0.91489361702127647</v>
      </c>
      <c r="K26" s="307">
        <f t="shared" si="5"/>
        <v>13.7</v>
      </c>
      <c r="L26" s="474">
        <f t="shared" si="6"/>
        <v>6.85</v>
      </c>
      <c r="M26" s="475">
        <f t="shared" si="7"/>
        <v>2.1897810218978089E-2</v>
      </c>
    </row>
    <row r="27" spans="2:18" s="302" customFormat="1">
      <c r="B27" s="302" t="s">
        <v>877</v>
      </c>
      <c r="C27" s="302" t="s">
        <v>552</v>
      </c>
      <c r="D27" s="470">
        <v>9.1</v>
      </c>
      <c r="E27" s="470">
        <v>9.3000000000000007</v>
      </c>
      <c r="F27" s="470">
        <v>5.2</v>
      </c>
      <c r="G27" s="472">
        <v>6.4</v>
      </c>
      <c r="H27" s="303">
        <v>11</v>
      </c>
      <c r="I27" s="307">
        <v>59</v>
      </c>
      <c r="J27" s="307">
        <f t="shared" si="4"/>
        <v>1.0219780219780221</v>
      </c>
      <c r="K27" s="307">
        <f t="shared" si="5"/>
        <v>11.600000000000001</v>
      </c>
      <c r="L27" s="474">
        <f t="shared" si="6"/>
        <v>5.8000000000000007</v>
      </c>
      <c r="M27" s="475">
        <f>ABS(F27-G27)/(F27+G27)</f>
        <v>0.10344827586206896</v>
      </c>
      <c r="N27" s="307"/>
    </row>
    <row r="28" spans="2:18">
      <c r="B28" t="s">
        <v>877</v>
      </c>
      <c r="C28" t="s">
        <v>1026</v>
      </c>
      <c r="D28" s="467">
        <v>9.1</v>
      </c>
      <c r="E28" s="467">
        <v>9.1</v>
      </c>
      <c r="F28" s="467">
        <v>6.2</v>
      </c>
      <c r="G28" s="472">
        <v>6.6</v>
      </c>
      <c r="H28" s="303">
        <v>44</v>
      </c>
      <c r="I28" s="469">
        <v>64</v>
      </c>
      <c r="J28" s="468">
        <f t="shared" si="4"/>
        <v>1</v>
      </c>
      <c r="K28" s="307">
        <f t="shared" si="5"/>
        <v>12.8</v>
      </c>
      <c r="L28" s="474">
        <f t="shared" si="6"/>
        <v>6.4</v>
      </c>
      <c r="M28" s="475">
        <f t="shared" si="7"/>
        <v>3.1249999999999958E-2</v>
      </c>
    </row>
    <row r="29" spans="2:18">
      <c r="F29" s="467"/>
      <c r="G29" s="472"/>
      <c r="K29" s="307"/>
    </row>
    <row r="30" spans="2:18" s="302" customFormat="1">
      <c r="B30" s="302" t="s">
        <v>877</v>
      </c>
      <c r="C30" s="302" t="s">
        <v>1063</v>
      </c>
      <c r="D30" s="470">
        <v>9.1</v>
      </c>
      <c r="E30" s="470">
        <v>9.3000000000000007</v>
      </c>
      <c r="F30" s="470">
        <v>6</v>
      </c>
      <c r="G30" s="472">
        <v>5.6</v>
      </c>
      <c r="H30" s="303">
        <v>4</v>
      </c>
      <c r="I30" s="307">
        <v>59</v>
      </c>
      <c r="J30" s="307">
        <f t="shared" si="4"/>
        <v>1.0219780219780221</v>
      </c>
      <c r="K30" s="307">
        <f t="shared" si="5"/>
        <v>11.6</v>
      </c>
      <c r="L30" s="474">
        <f t="shared" si="6"/>
        <v>5.8</v>
      </c>
      <c r="M30" s="475">
        <f t="shared" si="7"/>
        <v>3.4482758620689689E-2</v>
      </c>
      <c r="N30" s="307"/>
    </row>
    <row r="31" spans="2:18">
      <c r="C31" t="s">
        <v>1062</v>
      </c>
      <c r="D31" s="467">
        <v>9</v>
      </c>
      <c r="E31" s="467">
        <v>8.5</v>
      </c>
      <c r="F31" s="467">
        <v>5</v>
      </c>
      <c r="G31" s="472">
        <v>8.1999999999999993</v>
      </c>
      <c r="H31" s="303">
        <v>1</v>
      </c>
      <c r="I31" s="469">
        <v>100</v>
      </c>
      <c r="J31" s="468">
        <f t="shared" si="4"/>
        <v>0.94444444444444442</v>
      </c>
      <c r="K31" s="307">
        <f t="shared" si="5"/>
        <v>13.2</v>
      </c>
      <c r="L31" s="474">
        <f t="shared" si="6"/>
        <v>6.6</v>
      </c>
      <c r="M31" s="475">
        <f t="shared" si="7"/>
        <v>0.24242424242424238</v>
      </c>
    </row>
    <row r="32" spans="2:18">
      <c r="C32" t="s">
        <v>1064</v>
      </c>
      <c r="D32" s="467">
        <v>8.6</v>
      </c>
      <c r="E32" s="467">
        <v>9.3000000000000007</v>
      </c>
      <c r="F32" s="467">
        <v>6.5</v>
      </c>
      <c r="G32" s="472">
        <v>6.7</v>
      </c>
      <c r="H32" s="303">
        <v>5</v>
      </c>
      <c r="I32" s="469">
        <v>100</v>
      </c>
      <c r="J32" s="468">
        <f t="shared" si="4"/>
        <v>1.0813953488372094</v>
      </c>
      <c r="K32" s="307">
        <f t="shared" si="5"/>
        <v>13.2</v>
      </c>
      <c r="L32" s="474">
        <f t="shared" si="6"/>
        <v>6.6</v>
      </c>
      <c r="M32" s="475">
        <f t="shared" si="7"/>
        <v>1.5151515151515166E-2</v>
      </c>
    </row>
    <row r="33" spans="1:18">
      <c r="B33" t="s">
        <v>877</v>
      </c>
      <c r="C33" t="s">
        <v>1065</v>
      </c>
      <c r="D33" s="467">
        <v>9.1</v>
      </c>
      <c r="E33" s="467">
        <v>9.1</v>
      </c>
      <c r="F33" s="467">
        <v>6</v>
      </c>
      <c r="G33" s="472">
        <v>6</v>
      </c>
      <c r="H33" s="303">
        <v>2</v>
      </c>
      <c r="I33" s="469">
        <v>50</v>
      </c>
      <c r="J33" s="468">
        <f t="shared" si="4"/>
        <v>1</v>
      </c>
      <c r="K33" s="307">
        <f t="shared" si="5"/>
        <v>12</v>
      </c>
      <c r="L33" s="474">
        <f t="shared" si="6"/>
        <v>6</v>
      </c>
      <c r="M33" s="475">
        <f t="shared" si="7"/>
        <v>0</v>
      </c>
    </row>
    <row r="34" spans="1:18">
      <c r="F34" s="467"/>
      <c r="G34" s="472"/>
      <c r="K34" s="307">
        <f t="shared" si="5"/>
        <v>0</v>
      </c>
      <c r="L34" s="474">
        <f t="shared" si="6"/>
        <v>0</v>
      </c>
    </row>
    <row r="35" spans="1:18">
      <c r="F35" s="467"/>
      <c r="G35" s="472"/>
      <c r="K35" s="307">
        <f t="shared" si="5"/>
        <v>0</v>
      </c>
      <c r="L35" s="474">
        <f t="shared" si="6"/>
        <v>0</v>
      </c>
    </row>
    <row r="36" spans="1:18">
      <c r="B36" t="s">
        <v>877</v>
      </c>
      <c r="C36" t="s">
        <v>1072</v>
      </c>
      <c r="D36" s="467">
        <v>9</v>
      </c>
      <c r="E36" s="467">
        <v>7.6</v>
      </c>
      <c r="F36" s="467">
        <v>5.7</v>
      </c>
      <c r="G36" s="472">
        <v>7.3</v>
      </c>
      <c r="H36" s="303">
        <v>3</v>
      </c>
      <c r="I36" s="469">
        <v>24</v>
      </c>
      <c r="J36" s="468">
        <f t="shared" si="4"/>
        <v>0.84444444444444444</v>
      </c>
      <c r="K36" s="307">
        <f t="shared" si="5"/>
        <v>13</v>
      </c>
      <c r="L36" s="474">
        <f t="shared" si="6"/>
        <v>6.5</v>
      </c>
      <c r="M36" s="475">
        <f t="shared" si="7"/>
        <v>0.12307692307692306</v>
      </c>
    </row>
    <row r="37" spans="1:18">
      <c r="B37" t="s">
        <v>877</v>
      </c>
      <c r="C37" t="s">
        <v>1077</v>
      </c>
      <c r="F37" s="467"/>
      <c r="G37" s="472"/>
      <c r="I37" s="469">
        <v>27</v>
      </c>
      <c r="K37" s="307">
        <f t="shared" si="5"/>
        <v>0</v>
      </c>
      <c r="L37" s="474">
        <f t="shared" si="6"/>
        <v>0</v>
      </c>
    </row>
    <row r="38" spans="1:18" s="238" customFormat="1">
      <c r="B38" s="238" t="s">
        <v>877</v>
      </c>
      <c r="C38" s="238" t="s">
        <v>1073</v>
      </c>
      <c r="D38" s="472">
        <v>8.6</v>
      </c>
      <c r="E38" s="472">
        <v>9.1</v>
      </c>
      <c r="F38" s="472">
        <v>5.8</v>
      </c>
      <c r="G38" s="472">
        <v>6.3</v>
      </c>
      <c r="H38" s="303">
        <v>19</v>
      </c>
      <c r="I38" s="291">
        <v>15</v>
      </c>
      <c r="J38" s="291">
        <f t="shared" ref="J38" si="21">E38/D38</f>
        <v>1.058139534883721</v>
      </c>
      <c r="K38" s="307">
        <f>F38+G38</f>
        <v>12.1</v>
      </c>
      <c r="L38" s="474">
        <f t="shared" si="6"/>
        <v>6.05</v>
      </c>
      <c r="M38" s="475">
        <f t="shared" si="7"/>
        <v>4.1322314049586778E-2</v>
      </c>
      <c r="N38" s="291"/>
      <c r="O38" s="238" t="s">
        <v>711</v>
      </c>
      <c r="P38" s="238" t="s">
        <v>518</v>
      </c>
      <c r="R38" s="238" t="s">
        <v>1080</v>
      </c>
    </row>
    <row r="39" spans="1:18">
      <c r="B39" t="s">
        <v>877</v>
      </c>
      <c r="C39" t="s">
        <v>1074</v>
      </c>
      <c r="D39" s="467">
        <v>8.6</v>
      </c>
      <c r="E39" s="467">
        <v>8.5</v>
      </c>
      <c r="F39" s="467">
        <v>6</v>
      </c>
      <c r="G39" s="472">
        <v>6</v>
      </c>
      <c r="H39" s="303">
        <v>3</v>
      </c>
      <c r="I39" s="469">
        <v>22</v>
      </c>
      <c r="J39" s="468">
        <f t="shared" ref="J39:J40" si="22">E39/D39</f>
        <v>0.9883720930232559</v>
      </c>
      <c r="K39" s="307">
        <f t="shared" si="5"/>
        <v>12</v>
      </c>
      <c r="L39" s="474">
        <f t="shared" si="6"/>
        <v>6</v>
      </c>
      <c r="M39" s="475">
        <f t="shared" si="7"/>
        <v>0</v>
      </c>
    </row>
    <row r="40" spans="1:18" s="238" customFormat="1">
      <c r="B40" s="238" t="s">
        <v>877</v>
      </c>
      <c r="C40" s="238" t="s">
        <v>1075</v>
      </c>
      <c r="D40" s="472">
        <v>9</v>
      </c>
      <c r="E40" s="472">
        <v>8.9</v>
      </c>
      <c r="F40" s="471">
        <v>4.7</v>
      </c>
      <c r="G40" s="472">
        <v>5.7</v>
      </c>
      <c r="H40" s="303">
        <v>18</v>
      </c>
      <c r="I40" s="291">
        <v>22</v>
      </c>
      <c r="J40" s="291">
        <f t="shared" si="22"/>
        <v>0.98888888888888893</v>
      </c>
      <c r="K40" s="307">
        <f t="shared" si="5"/>
        <v>10.4</v>
      </c>
      <c r="L40" s="474">
        <f t="shared" si="6"/>
        <v>5.2</v>
      </c>
      <c r="M40" s="475">
        <f t="shared" si="7"/>
        <v>9.6153846153846145E-2</v>
      </c>
      <c r="N40" s="291"/>
      <c r="O40" s="238" t="s">
        <v>518</v>
      </c>
      <c r="P40" s="238" t="s">
        <v>1083</v>
      </c>
    </row>
    <row r="41" spans="1:18" s="315" customFormat="1">
      <c r="B41" s="315" t="s">
        <v>877</v>
      </c>
      <c r="C41" s="315" t="s">
        <v>1076</v>
      </c>
      <c r="D41" s="473">
        <v>9.4</v>
      </c>
      <c r="E41" s="473">
        <v>9.4</v>
      </c>
      <c r="F41" s="473">
        <v>5.5</v>
      </c>
      <c r="G41" s="472">
        <v>6.5</v>
      </c>
      <c r="H41" s="303">
        <v>9</v>
      </c>
      <c r="I41" s="316">
        <v>27</v>
      </c>
      <c r="J41" s="316">
        <f t="shared" ref="J41" si="23">E41/D41</f>
        <v>1</v>
      </c>
      <c r="K41" s="307">
        <f t="shared" si="5"/>
        <v>12</v>
      </c>
      <c r="L41" s="474">
        <f t="shared" si="6"/>
        <v>6</v>
      </c>
      <c r="M41" s="475">
        <f t="shared" si="7"/>
        <v>8.3333333333333329E-2</v>
      </c>
      <c r="N41" s="316"/>
      <c r="O41" s="315" t="s">
        <v>711</v>
      </c>
      <c r="P41" s="315" t="s">
        <v>1082</v>
      </c>
    </row>
    <row r="42" spans="1:18">
      <c r="F42" s="467"/>
      <c r="G42" s="472"/>
      <c r="K42" s="307">
        <f t="shared" si="5"/>
        <v>0</v>
      </c>
      <c r="L42" s="474">
        <f t="shared" si="6"/>
        <v>0</v>
      </c>
    </row>
    <row r="43" spans="1:18">
      <c r="B43" t="s">
        <v>1028</v>
      </c>
      <c r="C43" t="s">
        <v>1029</v>
      </c>
      <c r="D43" s="467">
        <v>9</v>
      </c>
      <c r="E43" s="467">
        <v>9.1999999999999993</v>
      </c>
      <c r="F43" s="467">
        <v>5.8</v>
      </c>
      <c r="G43" s="472">
        <v>6.1</v>
      </c>
      <c r="H43" s="303">
        <v>6</v>
      </c>
      <c r="J43" s="468">
        <f t="shared" si="4"/>
        <v>1.0222222222222221</v>
      </c>
      <c r="K43" s="307">
        <f t="shared" si="5"/>
        <v>11.899999999999999</v>
      </c>
      <c r="L43" s="474">
        <f t="shared" si="6"/>
        <v>5.9499999999999993</v>
      </c>
      <c r="M43" s="475">
        <f t="shared" si="7"/>
        <v>2.5210084033613432E-2</v>
      </c>
    </row>
    <row r="44" spans="1:18">
      <c r="B44" t="s">
        <v>1028</v>
      </c>
      <c r="C44" t="s">
        <v>1030</v>
      </c>
      <c r="D44" s="467">
        <v>8</v>
      </c>
      <c r="E44" s="467">
        <v>8</v>
      </c>
      <c r="F44" s="467">
        <v>6</v>
      </c>
      <c r="G44" s="472">
        <v>5.2</v>
      </c>
      <c r="H44" s="303">
        <v>3</v>
      </c>
      <c r="I44" s="469">
        <v>7</v>
      </c>
      <c r="J44" s="468">
        <f t="shared" si="4"/>
        <v>1</v>
      </c>
      <c r="K44" s="307">
        <f t="shared" si="5"/>
        <v>11.2</v>
      </c>
      <c r="L44" s="474">
        <f t="shared" si="6"/>
        <v>5.6</v>
      </c>
      <c r="M44" s="475">
        <f t="shared" si="7"/>
        <v>7.1428571428571411E-2</v>
      </c>
    </row>
    <row r="45" spans="1:18">
      <c r="B45" t="s">
        <v>1028</v>
      </c>
      <c r="C45" t="s">
        <v>1031</v>
      </c>
      <c r="D45" s="467">
        <v>8.5</v>
      </c>
      <c r="E45" s="467">
        <v>9.1999999999999993</v>
      </c>
      <c r="F45" s="467">
        <v>5</v>
      </c>
      <c r="G45" s="472">
        <v>5.2</v>
      </c>
      <c r="H45" s="303">
        <v>1</v>
      </c>
      <c r="I45" s="469">
        <v>6</v>
      </c>
      <c r="J45" s="468">
        <f t="shared" si="4"/>
        <v>1.0823529411764705</v>
      </c>
      <c r="K45" s="307">
        <f t="shared" si="5"/>
        <v>10.199999999999999</v>
      </c>
      <c r="L45" s="474">
        <f t="shared" si="6"/>
        <v>5.0999999999999996</v>
      </c>
      <c r="M45" s="475">
        <f t="shared" si="7"/>
        <v>1.9607843137254919E-2</v>
      </c>
    </row>
    <row r="46" spans="1:18">
      <c r="B46" t="s">
        <v>1028</v>
      </c>
      <c r="C46" t="s">
        <v>1032</v>
      </c>
      <c r="D46" s="467">
        <v>8.6</v>
      </c>
      <c r="E46" s="467">
        <v>9.3000000000000007</v>
      </c>
      <c r="F46" s="467">
        <v>5</v>
      </c>
      <c r="G46" s="472">
        <v>6.7</v>
      </c>
      <c r="H46" s="303">
        <v>1</v>
      </c>
      <c r="I46" s="469">
        <v>6</v>
      </c>
      <c r="J46" s="468">
        <f t="shared" si="4"/>
        <v>1.0813953488372094</v>
      </c>
      <c r="K46" s="307">
        <f t="shared" si="5"/>
        <v>11.7</v>
      </c>
      <c r="L46" s="474">
        <f t="shared" si="6"/>
        <v>5.85</v>
      </c>
      <c r="M46" s="475">
        <f t="shared" si="7"/>
        <v>0.14529914529914531</v>
      </c>
    </row>
    <row r="47" spans="1:18">
      <c r="F47" s="467"/>
      <c r="G47" s="472"/>
      <c r="K47" s="307">
        <f t="shared" si="5"/>
        <v>0</v>
      </c>
      <c r="L47" s="474">
        <f t="shared" si="6"/>
        <v>0</v>
      </c>
    </row>
    <row r="48" spans="1:18">
      <c r="A48" t="s">
        <v>1144</v>
      </c>
      <c r="B48" t="s">
        <v>891</v>
      </c>
      <c r="C48" t="s">
        <v>1122</v>
      </c>
      <c r="D48" s="467">
        <v>9</v>
      </c>
      <c r="E48" s="467">
        <v>9.3000000000000007</v>
      </c>
      <c r="F48" s="467">
        <v>6.5</v>
      </c>
      <c r="G48" s="472">
        <v>6.6</v>
      </c>
      <c r="H48" s="303">
        <v>12</v>
      </c>
      <c r="I48" s="469">
        <v>270</v>
      </c>
      <c r="J48" s="468">
        <f t="shared" ref="J48" si="24">E48/D48</f>
        <v>1.0333333333333334</v>
      </c>
      <c r="K48" s="307">
        <f t="shared" ref="K48" si="25">F48+G48</f>
        <v>13.1</v>
      </c>
      <c r="L48" s="474">
        <f t="shared" ref="L48" si="26">K48/2</f>
        <v>6.55</v>
      </c>
      <c r="M48" s="475">
        <f t="shared" ref="M48" si="27">ABS(F48-G48)/(F48+G48)</f>
        <v>7.6335877862595148E-3</v>
      </c>
    </row>
    <row r="49" spans="1:18">
      <c r="A49" t="s">
        <v>21</v>
      </c>
      <c r="B49" t="s">
        <v>891</v>
      </c>
      <c r="C49" t="s">
        <v>670</v>
      </c>
      <c r="D49" s="467">
        <v>9</v>
      </c>
      <c r="E49" s="467">
        <v>8.8000000000000007</v>
      </c>
      <c r="F49" s="467">
        <v>5.2</v>
      </c>
      <c r="G49" s="472">
        <v>5.7</v>
      </c>
      <c r="H49" s="303">
        <v>152</v>
      </c>
      <c r="I49" s="469">
        <v>185</v>
      </c>
      <c r="J49" s="468">
        <f t="shared" si="4"/>
        <v>0.97777777777777786</v>
      </c>
      <c r="K49" s="307">
        <f t="shared" si="5"/>
        <v>10.9</v>
      </c>
      <c r="L49" s="474">
        <f t="shared" si="6"/>
        <v>5.45</v>
      </c>
      <c r="M49" s="475">
        <f t="shared" si="7"/>
        <v>4.5871559633027519E-2</v>
      </c>
    </row>
    <row r="50" spans="1:18">
      <c r="A50" t="s">
        <v>1166</v>
      </c>
      <c r="C50" t="s">
        <v>670</v>
      </c>
      <c r="D50" s="467">
        <v>9.1999999999999993</v>
      </c>
      <c r="E50" s="467">
        <v>9.5</v>
      </c>
      <c r="F50" s="467">
        <v>5</v>
      </c>
      <c r="G50" s="472">
        <v>5.2</v>
      </c>
      <c r="J50" s="468">
        <f t="shared" si="4"/>
        <v>1.0326086956521741</v>
      </c>
      <c r="K50" s="307">
        <f t="shared" si="5"/>
        <v>10.199999999999999</v>
      </c>
      <c r="L50" s="474">
        <f t="shared" si="6"/>
        <v>5.0999999999999996</v>
      </c>
      <c r="M50" s="475">
        <f t="shared" si="7"/>
        <v>1.9607843137254919E-2</v>
      </c>
    </row>
    <row r="51" spans="1:18">
      <c r="F51" s="467"/>
      <c r="G51" s="472"/>
      <c r="K51" s="307"/>
    </row>
    <row r="52" spans="1:18">
      <c r="B52" t="s">
        <v>891</v>
      </c>
      <c r="C52" t="s">
        <v>1036</v>
      </c>
      <c r="D52" s="467">
        <v>8.9</v>
      </c>
      <c r="E52" s="467">
        <v>8.6999999999999993</v>
      </c>
      <c r="F52" s="467">
        <v>5.8</v>
      </c>
      <c r="G52" s="472">
        <v>6.2</v>
      </c>
      <c r="H52" s="303">
        <v>142</v>
      </c>
      <c r="I52" s="469">
        <v>185</v>
      </c>
      <c r="J52" s="468">
        <f t="shared" si="4"/>
        <v>0.97752808988764028</v>
      </c>
      <c r="K52" s="307">
        <f t="shared" si="5"/>
        <v>12</v>
      </c>
      <c r="L52" s="474">
        <f t="shared" si="6"/>
        <v>6</v>
      </c>
      <c r="M52" s="475">
        <f t="shared" si="7"/>
        <v>3.3333333333333361E-2</v>
      </c>
    </row>
    <row r="53" spans="1:18">
      <c r="B53" t="s">
        <v>891</v>
      </c>
      <c r="C53" t="s">
        <v>1034</v>
      </c>
      <c r="D53" s="467">
        <v>8.9</v>
      </c>
      <c r="E53" s="467">
        <v>9.3000000000000007</v>
      </c>
      <c r="F53" s="467">
        <v>5.2</v>
      </c>
      <c r="G53" s="472">
        <v>4.8</v>
      </c>
      <c r="H53" s="303">
        <v>48</v>
      </c>
      <c r="I53" s="469">
        <v>185</v>
      </c>
      <c r="J53" s="468">
        <f t="shared" si="4"/>
        <v>1.0449438202247192</v>
      </c>
      <c r="K53" s="307">
        <f t="shared" si="5"/>
        <v>10</v>
      </c>
      <c r="L53" s="474">
        <f t="shared" si="6"/>
        <v>5</v>
      </c>
      <c r="M53" s="475">
        <f t="shared" si="7"/>
        <v>4.0000000000000036E-2</v>
      </c>
    </row>
    <row r="54" spans="1:18">
      <c r="B54" t="s">
        <v>891</v>
      </c>
      <c r="C54" t="s">
        <v>1044</v>
      </c>
      <c r="D54" s="467">
        <v>8.6999999999999993</v>
      </c>
      <c r="E54" s="467">
        <v>9</v>
      </c>
      <c r="F54" s="467">
        <v>5.6</v>
      </c>
      <c r="G54" s="472">
        <v>3.8</v>
      </c>
      <c r="H54" s="303">
        <v>17</v>
      </c>
      <c r="I54" s="469">
        <v>200</v>
      </c>
      <c r="J54" s="468">
        <f t="shared" si="4"/>
        <v>1.0344827586206897</v>
      </c>
      <c r="K54" s="307">
        <f t="shared" si="5"/>
        <v>9.3999999999999986</v>
      </c>
      <c r="L54" s="474">
        <f t="shared" si="6"/>
        <v>4.6999999999999993</v>
      </c>
      <c r="M54" s="475">
        <f t="shared" si="7"/>
        <v>0.19148936170212766</v>
      </c>
    </row>
    <row r="55" spans="1:18">
      <c r="A55" t="s">
        <v>1144</v>
      </c>
      <c r="B55" t="s">
        <v>891</v>
      </c>
      <c r="C55" t="s">
        <v>1142</v>
      </c>
      <c r="D55" s="467">
        <v>9.4</v>
      </c>
      <c r="E55" s="467">
        <v>9.3000000000000007</v>
      </c>
      <c r="F55" s="467">
        <v>6.1</v>
      </c>
      <c r="G55" s="472">
        <v>6.7</v>
      </c>
      <c r="H55" s="303">
        <v>47</v>
      </c>
      <c r="I55" s="469">
        <v>600</v>
      </c>
      <c r="J55" s="468">
        <f t="shared" si="4"/>
        <v>0.98936170212765961</v>
      </c>
      <c r="K55" s="307">
        <f t="shared" si="5"/>
        <v>12.8</v>
      </c>
      <c r="L55" s="474">
        <f t="shared" si="6"/>
        <v>6.4</v>
      </c>
      <c r="M55" s="475">
        <f t="shared" si="7"/>
        <v>4.6875000000000042E-2</v>
      </c>
    </row>
    <row r="56" spans="1:18">
      <c r="B56" t="s">
        <v>891</v>
      </c>
      <c r="C56" t="s">
        <v>1035</v>
      </c>
      <c r="D56" s="467">
        <v>9.5</v>
      </c>
      <c r="E56" s="467">
        <v>8.9</v>
      </c>
      <c r="F56" s="467">
        <v>6</v>
      </c>
      <c r="G56" s="472">
        <v>6.7</v>
      </c>
      <c r="H56" s="303">
        <v>44</v>
      </c>
      <c r="I56" s="469">
        <v>249</v>
      </c>
      <c r="J56" s="468">
        <f t="shared" si="4"/>
        <v>0.93684210526315792</v>
      </c>
      <c r="K56" s="307">
        <f t="shared" si="5"/>
        <v>12.7</v>
      </c>
      <c r="L56" s="474">
        <f t="shared" si="6"/>
        <v>6.35</v>
      </c>
      <c r="M56" s="475">
        <f t="shared" si="7"/>
        <v>5.5118110236220492E-2</v>
      </c>
      <c r="R56" t="s">
        <v>1108</v>
      </c>
    </row>
    <row r="57" spans="1:18">
      <c r="A57" t="s">
        <v>1144</v>
      </c>
      <c r="B57" t="s">
        <v>891</v>
      </c>
      <c r="C57" t="s">
        <v>1044</v>
      </c>
      <c r="D57" s="467">
        <v>9.4</v>
      </c>
      <c r="E57" s="467">
        <v>8.6</v>
      </c>
      <c r="F57" s="467">
        <v>8</v>
      </c>
      <c r="G57" s="472">
        <v>7.8</v>
      </c>
      <c r="H57" s="303">
        <v>3</v>
      </c>
      <c r="I57" s="469">
        <v>38</v>
      </c>
      <c r="J57" s="468">
        <f t="shared" si="4"/>
        <v>0.91489361702127647</v>
      </c>
      <c r="K57" s="307">
        <f t="shared" si="5"/>
        <v>15.8</v>
      </c>
      <c r="L57" s="474">
        <f t="shared" si="6"/>
        <v>7.9</v>
      </c>
      <c r="M57" s="475">
        <f t="shared" si="7"/>
        <v>1.2658227848101276E-2</v>
      </c>
    </row>
    <row r="58" spans="1:18">
      <c r="F58" s="467"/>
      <c r="G58" s="472"/>
      <c r="K58" s="307"/>
    </row>
    <row r="59" spans="1:18" s="482" customFormat="1">
      <c r="A59" s="482" t="s">
        <v>21</v>
      </c>
      <c r="B59" s="482" t="s">
        <v>891</v>
      </c>
      <c r="C59" s="482" t="s">
        <v>1143</v>
      </c>
      <c r="D59" s="483">
        <v>9.3000000000000007</v>
      </c>
      <c r="E59" s="483">
        <v>9</v>
      </c>
      <c r="F59" s="483">
        <v>4.0999999999999996</v>
      </c>
      <c r="G59" s="483">
        <v>3.9</v>
      </c>
      <c r="H59" s="482">
        <v>25</v>
      </c>
      <c r="I59" s="484">
        <v>186</v>
      </c>
      <c r="J59" s="484">
        <f t="shared" si="4"/>
        <v>0.96774193548387089</v>
      </c>
      <c r="K59" s="484">
        <f t="shared" si="5"/>
        <v>8</v>
      </c>
      <c r="L59" s="485">
        <f t="shared" si="6"/>
        <v>4</v>
      </c>
      <c r="M59" s="484">
        <f t="shared" si="7"/>
        <v>2.4999999999999967E-2</v>
      </c>
      <c r="N59" s="484"/>
      <c r="R59" s="482" t="s">
        <v>1102</v>
      </c>
    </row>
    <row r="60" spans="1:18" s="482" customFormat="1">
      <c r="A60" s="482" t="s">
        <v>1144</v>
      </c>
      <c r="B60" s="482" t="s">
        <v>891</v>
      </c>
      <c r="C60" s="482" t="s">
        <v>1143</v>
      </c>
      <c r="D60" s="483">
        <v>9.3000000000000007</v>
      </c>
      <c r="E60" s="483">
        <v>9</v>
      </c>
      <c r="F60" s="483">
        <v>7</v>
      </c>
      <c r="G60" s="483">
        <v>5.2</v>
      </c>
      <c r="H60" s="482">
        <v>25</v>
      </c>
      <c r="I60" s="484">
        <v>186</v>
      </c>
      <c r="J60" s="484">
        <f t="shared" ref="J60" si="28">E60/D60</f>
        <v>0.96774193548387089</v>
      </c>
      <c r="K60" s="484">
        <f t="shared" ref="K60" si="29">F60+G60</f>
        <v>12.2</v>
      </c>
      <c r="L60" s="485">
        <f t="shared" ref="L60" si="30">K60/2</f>
        <v>6.1</v>
      </c>
      <c r="M60" s="484">
        <f t="shared" ref="M60" si="31">ABS(F60-G60)/(F60+G60)</f>
        <v>0.14754098360655737</v>
      </c>
      <c r="N60" s="484"/>
      <c r="R60" s="482" t="s">
        <v>1102</v>
      </c>
    </row>
    <row r="61" spans="1:18" s="482" customFormat="1">
      <c r="D61" s="483"/>
      <c r="E61" s="483"/>
      <c r="F61" s="483"/>
      <c r="G61" s="483"/>
      <c r="I61" s="484"/>
      <c r="J61" s="484"/>
      <c r="K61" s="484"/>
      <c r="L61" s="485"/>
      <c r="M61" s="484"/>
      <c r="N61" s="484"/>
    </row>
    <row r="62" spans="1:18" s="175" customFormat="1">
      <c r="A62" s="175" t="s">
        <v>1144</v>
      </c>
      <c r="B62" s="175" t="s">
        <v>891</v>
      </c>
      <c r="C62" s="175" t="s">
        <v>1146</v>
      </c>
      <c r="D62" s="478">
        <v>9</v>
      </c>
      <c r="E62" s="478">
        <v>9.1</v>
      </c>
      <c r="F62" s="478">
        <v>5</v>
      </c>
      <c r="G62" s="472">
        <v>6.2</v>
      </c>
      <c r="H62" s="175">
        <v>3</v>
      </c>
      <c r="I62" s="477">
        <v>185</v>
      </c>
      <c r="J62" s="477">
        <f t="shared" si="4"/>
        <v>1.0111111111111111</v>
      </c>
      <c r="K62" s="477">
        <f t="shared" si="5"/>
        <v>11.2</v>
      </c>
      <c r="L62" s="477">
        <f t="shared" si="6"/>
        <v>5.6</v>
      </c>
      <c r="M62" s="477">
        <f t="shared" si="7"/>
        <v>0.10714285714285716</v>
      </c>
      <c r="N62" s="477"/>
    </row>
    <row r="63" spans="1:18" s="175" customFormat="1">
      <c r="A63" s="330"/>
      <c r="B63" s="330"/>
      <c r="C63" s="330" t="s">
        <v>1176</v>
      </c>
      <c r="D63" s="471">
        <v>9</v>
      </c>
      <c r="E63" s="471">
        <v>9.3000000000000007</v>
      </c>
      <c r="F63" s="471">
        <v>4.5</v>
      </c>
      <c r="G63" s="471">
        <v>5.2</v>
      </c>
      <c r="H63" s="330">
        <v>46</v>
      </c>
      <c r="I63" s="318">
        <v>150</v>
      </c>
      <c r="J63" s="318">
        <f t="shared" si="4"/>
        <v>1.0333333333333334</v>
      </c>
      <c r="K63" s="318">
        <f t="shared" si="5"/>
        <v>9.6999999999999993</v>
      </c>
      <c r="L63" s="318">
        <f t="shared" si="6"/>
        <v>4.8499999999999996</v>
      </c>
      <c r="M63" s="318">
        <f t="shared" si="7"/>
        <v>7.2164948453608269E-2</v>
      </c>
      <c r="N63" s="477"/>
    </row>
    <row r="64" spans="1:18" s="482" customFormat="1">
      <c r="C64" s="482" t="s">
        <v>1133</v>
      </c>
      <c r="D64" s="483">
        <v>8.5</v>
      </c>
      <c r="E64" s="483">
        <v>9.5</v>
      </c>
      <c r="F64" s="483">
        <v>2.2999999999999998</v>
      </c>
      <c r="G64" s="483">
        <v>3</v>
      </c>
      <c r="H64" s="482">
        <v>49</v>
      </c>
      <c r="I64" s="484">
        <v>220</v>
      </c>
      <c r="J64" s="484">
        <f t="shared" si="4"/>
        <v>1.1176470588235294</v>
      </c>
      <c r="K64" s="484">
        <f t="shared" si="5"/>
        <v>5.3</v>
      </c>
      <c r="L64" s="485">
        <f t="shared" si="6"/>
        <v>2.65</v>
      </c>
      <c r="M64" s="484">
        <f t="shared" si="7"/>
        <v>0.13207547169811323</v>
      </c>
      <c r="N64" s="484"/>
    </row>
    <row r="65" spans="1:15" s="482" customFormat="1">
      <c r="C65" s="482" t="s">
        <v>1190</v>
      </c>
      <c r="D65" s="483">
        <v>9.1999999999999993</v>
      </c>
      <c r="E65" s="483">
        <v>8.9</v>
      </c>
      <c r="F65" s="483">
        <v>4.7</v>
      </c>
      <c r="G65" s="483">
        <v>5.6</v>
      </c>
      <c r="H65" s="482">
        <v>65</v>
      </c>
      <c r="I65" s="484">
        <v>251</v>
      </c>
      <c r="J65" s="484">
        <f t="shared" ref="J65" si="32">E65/D65</f>
        <v>0.96739130434782616</v>
      </c>
      <c r="K65" s="484">
        <f t="shared" ref="K65" si="33">F65+G65</f>
        <v>10.3</v>
      </c>
      <c r="L65" s="485">
        <f t="shared" ref="L65" si="34">K65/2</f>
        <v>5.15</v>
      </c>
      <c r="M65" s="484">
        <f t="shared" ref="M65" si="35">ABS(F65-G65)/(F65+G65)</f>
        <v>8.7378640776698976E-2</v>
      </c>
      <c r="N65" s="484"/>
    </row>
    <row r="66" spans="1:15" s="482" customFormat="1">
      <c r="D66" s="483"/>
      <c r="E66" s="483"/>
      <c r="F66" s="483"/>
      <c r="G66" s="483"/>
      <c r="I66" s="484"/>
      <c r="J66" s="484"/>
      <c r="K66" s="484"/>
      <c r="L66" s="485"/>
      <c r="M66" s="484"/>
      <c r="N66" s="484"/>
    </row>
    <row r="67" spans="1:15">
      <c r="A67" s="175" t="s">
        <v>1144</v>
      </c>
      <c r="B67" s="175" t="s">
        <v>891</v>
      </c>
      <c r="C67" s="330" t="s">
        <v>1193</v>
      </c>
      <c r="D67" s="467">
        <v>9</v>
      </c>
      <c r="E67" s="467">
        <v>9.4</v>
      </c>
      <c r="F67" s="467">
        <v>4.3</v>
      </c>
      <c r="G67" s="472">
        <v>4.9000000000000004</v>
      </c>
      <c r="H67" s="303">
        <v>29</v>
      </c>
      <c r="I67" s="469">
        <v>260</v>
      </c>
      <c r="J67" s="477">
        <f t="shared" ref="J67" si="36">E67/D67</f>
        <v>1.0444444444444445</v>
      </c>
      <c r="K67" s="477">
        <f t="shared" ref="K67" si="37">F67+G67</f>
        <v>9.1999999999999993</v>
      </c>
      <c r="L67" s="485">
        <f t="shared" ref="L67" si="38">K67/2</f>
        <v>4.5999999999999996</v>
      </c>
      <c r="M67" s="477">
        <f t="shared" ref="M67" si="39">ABS(F67-G67)/(F67+G67)</f>
        <v>6.5217391304347894E-2</v>
      </c>
    </row>
    <row r="68" spans="1:15">
      <c r="A68" s="175"/>
      <c r="B68" s="175"/>
      <c r="C68" s="330" t="s">
        <v>1192</v>
      </c>
      <c r="D68" s="467">
        <v>9.3000000000000007</v>
      </c>
      <c r="E68" s="467">
        <v>8.8000000000000007</v>
      </c>
      <c r="F68" s="467">
        <v>6.3</v>
      </c>
      <c r="G68" s="472">
        <v>6</v>
      </c>
      <c r="H68" s="303">
        <v>29</v>
      </c>
      <c r="I68" s="469">
        <v>269</v>
      </c>
      <c r="J68" s="477">
        <f t="shared" ref="J68" si="40">E68/D68</f>
        <v>0.94623655913978499</v>
      </c>
      <c r="K68" s="477">
        <f t="shared" ref="K68" si="41">F68+G68</f>
        <v>12.3</v>
      </c>
      <c r="L68" s="485">
        <f t="shared" ref="L68" si="42">K68/2</f>
        <v>6.15</v>
      </c>
      <c r="M68" s="477">
        <f t="shared" ref="M68" si="43">ABS(F68-G68)/(F68+G68)</f>
        <v>2.4390243902439008E-2</v>
      </c>
    </row>
    <row r="69" spans="1:15">
      <c r="F69" s="467"/>
      <c r="G69" s="472"/>
      <c r="K69" s="307"/>
    </row>
    <row r="70" spans="1:15">
      <c r="B70" t="s">
        <v>891</v>
      </c>
      <c r="C70" t="s">
        <v>1037</v>
      </c>
      <c r="D70" s="467">
        <v>8.3000000000000007</v>
      </c>
      <c r="E70" s="467">
        <v>8.6999999999999993</v>
      </c>
      <c r="F70" s="471">
        <v>4.8</v>
      </c>
      <c r="G70" s="472">
        <v>5.3</v>
      </c>
      <c r="H70" s="303">
        <v>108</v>
      </c>
      <c r="I70" s="469">
        <v>50</v>
      </c>
      <c r="J70" s="468">
        <f t="shared" si="4"/>
        <v>1.0481927710843373</v>
      </c>
      <c r="K70" s="307">
        <f t="shared" si="5"/>
        <v>10.1</v>
      </c>
      <c r="L70" s="318">
        <f t="shared" si="6"/>
        <v>5.05</v>
      </c>
      <c r="M70" s="475">
        <f t="shared" si="7"/>
        <v>4.9504950495049507E-2</v>
      </c>
    </row>
    <row r="71" spans="1:15">
      <c r="B71" t="s">
        <v>891</v>
      </c>
      <c r="C71" t="s">
        <v>898</v>
      </c>
      <c r="D71" s="467">
        <v>7.7</v>
      </c>
      <c r="E71" s="467">
        <v>8.8000000000000007</v>
      </c>
      <c r="F71" s="471">
        <v>4.5</v>
      </c>
      <c r="G71" s="472">
        <v>5</v>
      </c>
      <c r="H71" s="303">
        <v>84</v>
      </c>
      <c r="I71" s="469">
        <v>70</v>
      </c>
      <c r="J71" s="468">
        <f t="shared" si="4"/>
        <v>1.142857142857143</v>
      </c>
      <c r="K71" s="307">
        <f t="shared" si="5"/>
        <v>9.5</v>
      </c>
      <c r="L71" s="318">
        <f t="shared" si="6"/>
        <v>4.75</v>
      </c>
      <c r="M71" s="475">
        <f t="shared" si="7"/>
        <v>5.2631578947368418E-2</v>
      </c>
      <c r="O71" t="s">
        <v>1078</v>
      </c>
    </row>
    <row r="72" spans="1:15">
      <c r="F72" s="471"/>
      <c r="G72" s="472"/>
      <c r="K72" s="307"/>
    </row>
    <row r="73" spans="1:15" s="175" customFormat="1">
      <c r="A73" s="175" t="s">
        <v>1144</v>
      </c>
      <c r="B73" s="175" t="s">
        <v>891</v>
      </c>
      <c r="C73" s="175" t="s">
        <v>1097</v>
      </c>
      <c r="D73" s="478">
        <v>8.6999999999999993</v>
      </c>
      <c r="E73" s="478">
        <v>9.6999999999999993</v>
      </c>
      <c r="F73" s="478">
        <v>1.3</v>
      </c>
      <c r="G73" s="472">
        <v>1.7</v>
      </c>
      <c r="H73" s="175">
        <v>37</v>
      </c>
      <c r="I73" s="477">
        <v>369</v>
      </c>
      <c r="J73" s="477">
        <f t="shared" ref="J73" si="44">E73/D73</f>
        <v>1.1149425287356323</v>
      </c>
      <c r="K73" s="477">
        <f t="shared" ref="K73" si="45">F73+G73</f>
        <v>3</v>
      </c>
      <c r="L73" s="485">
        <f t="shared" ref="L73" si="46">K73/2</f>
        <v>1.5</v>
      </c>
      <c r="M73" s="477">
        <f t="shared" ref="M73" si="47">ABS(F73-G73)/(F73+G73)</f>
        <v>0.1333333333333333</v>
      </c>
      <c r="N73" s="477"/>
    </row>
    <row r="74" spans="1:15" s="175" customFormat="1">
      <c r="D74" s="478"/>
      <c r="E74" s="478"/>
      <c r="F74" s="478"/>
      <c r="G74" s="472"/>
      <c r="I74" s="477"/>
      <c r="J74" s="477"/>
      <c r="K74" s="477"/>
      <c r="L74" s="477"/>
      <c r="M74" s="477"/>
      <c r="N74" s="477"/>
    </row>
    <row r="75" spans="1:15">
      <c r="B75" s="175" t="s">
        <v>891</v>
      </c>
      <c r="C75" t="s">
        <v>1159</v>
      </c>
      <c r="D75" s="467">
        <v>9</v>
      </c>
      <c r="E75" s="467">
        <v>8.6999999999999993</v>
      </c>
      <c r="F75" s="471">
        <v>5.6</v>
      </c>
      <c r="G75" s="472">
        <v>5.4</v>
      </c>
      <c r="H75" s="303">
        <v>18</v>
      </c>
      <c r="I75" s="469">
        <v>399</v>
      </c>
      <c r="J75" s="477">
        <f t="shared" ref="J75" si="48">E75/D75</f>
        <v>0.96666666666666656</v>
      </c>
      <c r="K75" s="477">
        <f t="shared" ref="K75" si="49">F75+G75</f>
        <v>11</v>
      </c>
      <c r="L75" s="318">
        <f t="shared" ref="L75" si="50">K75/2</f>
        <v>5.5</v>
      </c>
      <c r="M75" s="477">
        <f t="shared" ref="M75" si="51">ABS(F75-G75)/(F75+G75)</f>
        <v>1.8181818181818118E-2</v>
      </c>
    </row>
    <row r="76" spans="1:15" s="482" customFormat="1">
      <c r="C76" s="482" t="s">
        <v>1177</v>
      </c>
      <c r="D76" s="483">
        <v>8.6</v>
      </c>
      <c r="E76" s="483">
        <v>9.5</v>
      </c>
      <c r="F76" s="483">
        <v>3</v>
      </c>
      <c r="G76" s="483">
        <v>3.7</v>
      </c>
      <c r="H76" s="482">
        <v>17</v>
      </c>
      <c r="I76" s="484">
        <v>270</v>
      </c>
      <c r="J76" s="484">
        <f t="shared" ref="J76" si="52">E76/D76</f>
        <v>1.1046511627906976</v>
      </c>
      <c r="K76" s="484">
        <f t="shared" ref="K76" si="53">F76+G76</f>
        <v>6.7</v>
      </c>
      <c r="L76" s="485">
        <f t="shared" ref="L76" si="54">K76/2</f>
        <v>3.35</v>
      </c>
      <c r="M76" s="484">
        <f t="shared" ref="M76" si="55">ABS(F76-G76)/(F76+G76)</f>
        <v>0.10447761194029853</v>
      </c>
      <c r="N76" s="484"/>
    </row>
    <row r="77" spans="1:15" s="482" customFormat="1">
      <c r="C77" s="482" t="s">
        <v>1178</v>
      </c>
      <c r="D77" s="483">
        <v>9</v>
      </c>
      <c r="E77" s="483">
        <v>9.3000000000000007</v>
      </c>
      <c r="F77" s="483">
        <v>6.5</v>
      </c>
      <c r="G77" s="483">
        <v>6.6</v>
      </c>
      <c r="H77" s="482">
        <v>12</v>
      </c>
      <c r="I77" s="484">
        <v>270</v>
      </c>
      <c r="J77" s="484">
        <f t="shared" ref="J77" si="56">E77/D77</f>
        <v>1.0333333333333334</v>
      </c>
      <c r="K77" s="484">
        <f t="shared" ref="K77" si="57">F77+G77</f>
        <v>13.1</v>
      </c>
      <c r="L77" s="318">
        <f t="shared" ref="L77" si="58">K77/2</f>
        <v>6.55</v>
      </c>
      <c r="M77" s="484">
        <f t="shared" ref="M77" si="59">ABS(F77-G77)/(F77+G77)</f>
        <v>7.6335877862595148E-3</v>
      </c>
      <c r="N77" s="484"/>
    </row>
    <row r="78" spans="1:15" s="482" customFormat="1">
      <c r="A78" s="482" t="s">
        <v>1144</v>
      </c>
      <c r="C78" s="482" t="s">
        <v>1203</v>
      </c>
      <c r="D78" s="483">
        <v>9.1999999999999993</v>
      </c>
      <c r="E78" s="483">
        <v>9.1999999999999993</v>
      </c>
      <c r="F78" s="483">
        <v>6</v>
      </c>
      <c r="G78" s="483">
        <v>5.2</v>
      </c>
      <c r="H78" s="482">
        <v>2</v>
      </c>
      <c r="I78" s="484">
        <v>44</v>
      </c>
      <c r="J78" s="484">
        <f t="shared" ref="J78" si="60">E78/D78</f>
        <v>1</v>
      </c>
      <c r="K78" s="484">
        <f t="shared" ref="K78" si="61">F78+G78</f>
        <v>11.2</v>
      </c>
      <c r="L78" s="318">
        <f t="shared" ref="L78" si="62">K78/2</f>
        <v>5.6</v>
      </c>
      <c r="M78" s="484">
        <f t="shared" ref="M78" si="63">ABS(F78-G78)/(F78+G78)</f>
        <v>7.1428571428571411E-2</v>
      </c>
      <c r="N78" s="484"/>
      <c r="O78" s="482" t="s">
        <v>1204</v>
      </c>
    </row>
    <row r="79" spans="1:15">
      <c r="F79" s="471"/>
      <c r="G79" s="472"/>
      <c r="K79" s="307"/>
    </row>
    <row r="80" spans="1:15">
      <c r="A80" t="s">
        <v>1144</v>
      </c>
      <c r="B80" t="s">
        <v>880</v>
      </c>
      <c r="C80" t="s">
        <v>732</v>
      </c>
      <c r="D80" s="467">
        <v>9.6</v>
      </c>
      <c r="E80" s="467">
        <v>9.3000000000000007</v>
      </c>
      <c r="F80" s="471">
        <v>5.2</v>
      </c>
      <c r="G80" s="472">
        <v>6.3</v>
      </c>
      <c r="H80" s="303">
        <v>77</v>
      </c>
      <c r="I80" s="469">
        <v>190</v>
      </c>
      <c r="J80" s="477">
        <f t="shared" ref="J80" si="64">E80/D80</f>
        <v>0.96875000000000011</v>
      </c>
      <c r="K80" s="477">
        <f t="shared" ref="K80" si="65">F80+G80</f>
        <v>11.5</v>
      </c>
      <c r="L80" s="477">
        <f t="shared" ref="L80" si="66">K80/2</f>
        <v>5.75</v>
      </c>
      <c r="M80" s="477">
        <f t="shared" ref="M80" si="67">ABS(F80-G80)/(F80+G80)</f>
        <v>9.5652173913043453E-2</v>
      </c>
    </row>
    <row r="81" spans="2:23">
      <c r="C81" t="s">
        <v>1171</v>
      </c>
      <c r="D81" s="467">
        <v>9.4</v>
      </c>
      <c r="E81" s="467">
        <v>9.6999999999999993</v>
      </c>
      <c r="F81" s="471">
        <v>5.2</v>
      </c>
      <c r="G81" s="472">
        <v>5.9</v>
      </c>
      <c r="H81" s="303">
        <v>13</v>
      </c>
      <c r="I81" s="469">
        <v>800</v>
      </c>
      <c r="J81" s="477">
        <f t="shared" ref="J81" si="68">E81/D81</f>
        <v>1.0319148936170213</v>
      </c>
      <c r="K81" s="477">
        <f t="shared" ref="K81" si="69">F81+G81</f>
        <v>11.100000000000001</v>
      </c>
      <c r="L81" s="477">
        <f t="shared" ref="L81" si="70">K81/2</f>
        <v>5.5500000000000007</v>
      </c>
      <c r="M81" s="477">
        <f t="shared" ref="M81" si="71">ABS(F81-G81)/(F81+G81)</f>
        <v>6.3063063063063071E-2</v>
      </c>
    </row>
    <row r="82" spans="2:23">
      <c r="F82" s="467"/>
      <c r="G82" s="472"/>
      <c r="K82" s="307">
        <f t="shared" si="5"/>
        <v>0</v>
      </c>
      <c r="L82" s="474">
        <f t="shared" si="6"/>
        <v>0</v>
      </c>
    </row>
    <row r="83" spans="2:23">
      <c r="B83" t="s">
        <v>786</v>
      </c>
      <c r="C83" t="s">
        <v>1053</v>
      </c>
      <c r="D83" s="467">
        <v>6.7</v>
      </c>
      <c r="E83" s="467">
        <v>8.9</v>
      </c>
      <c r="F83" s="467">
        <v>3.2</v>
      </c>
      <c r="G83" s="472">
        <v>4.5</v>
      </c>
      <c r="H83" s="303">
        <v>63</v>
      </c>
      <c r="I83" s="469">
        <v>46</v>
      </c>
      <c r="J83" s="468">
        <f t="shared" si="4"/>
        <v>1.3283582089552239</v>
      </c>
      <c r="K83" s="307">
        <f t="shared" si="5"/>
        <v>7.7</v>
      </c>
      <c r="L83" s="474">
        <f t="shared" si="6"/>
        <v>3.85</v>
      </c>
      <c r="M83" s="475">
        <f t="shared" si="7"/>
        <v>0.1688311688311688</v>
      </c>
    </row>
    <row r="84" spans="2:23">
      <c r="B84" t="s">
        <v>786</v>
      </c>
      <c r="C84" t="s">
        <v>1047</v>
      </c>
      <c r="D84" s="467">
        <v>7.6</v>
      </c>
      <c r="E84" s="467">
        <v>9</v>
      </c>
      <c r="F84" s="467">
        <v>4.9000000000000004</v>
      </c>
      <c r="G84" s="472">
        <v>5.2</v>
      </c>
      <c r="H84" s="303">
        <v>15</v>
      </c>
      <c r="I84" s="469">
        <v>55</v>
      </c>
      <c r="J84" s="468">
        <f>E84/D84</f>
        <v>1.1842105263157896</v>
      </c>
      <c r="K84" s="307">
        <f t="shared" si="5"/>
        <v>10.100000000000001</v>
      </c>
      <c r="L84" s="474">
        <f t="shared" si="6"/>
        <v>5.0500000000000007</v>
      </c>
      <c r="M84" s="475">
        <f t="shared" si="7"/>
        <v>2.9702970297029681E-2</v>
      </c>
    </row>
    <row r="85" spans="2:23">
      <c r="B85" t="s">
        <v>786</v>
      </c>
      <c r="C85" t="s">
        <v>1054</v>
      </c>
      <c r="D85" s="467">
        <v>7.4</v>
      </c>
      <c r="E85" s="467">
        <v>9.1999999999999993</v>
      </c>
      <c r="F85" s="467">
        <v>5.3</v>
      </c>
      <c r="G85" s="472">
        <v>5.2</v>
      </c>
      <c r="H85" s="303">
        <v>9</v>
      </c>
      <c r="I85" s="469">
        <v>47</v>
      </c>
      <c r="J85" s="468">
        <f>E85/D85</f>
        <v>1.243243243243243</v>
      </c>
      <c r="K85" s="307">
        <f t="shared" si="5"/>
        <v>10.5</v>
      </c>
      <c r="L85" s="474">
        <f t="shared" si="6"/>
        <v>5.25</v>
      </c>
      <c r="M85" s="475">
        <f t="shared" si="7"/>
        <v>9.52380952380949E-3</v>
      </c>
    </row>
    <row r="86" spans="2:23">
      <c r="B86" t="s">
        <v>786</v>
      </c>
      <c r="C86" t="s">
        <v>1055</v>
      </c>
      <c r="D86" s="467">
        <v>6.8</v>
      </c>
      <c r="E86" s="467">
        <v>8.8000000000000007</v>
      </c>
      <c r="F86" s="467">
        <v>3.5</v>
      </c>
      <c r="G86" s="472">
        <v>4.3</v>
      </c>
      <c r="H86" s="303">
        <v>25</v>
      </c>
      <c r="I86" s="469">
        <v>43</v>
      </c>
      <c r="J86" s="468">
        <f>E86/D86</f>
        <v>1.2941176470588236</v>
      </c>
      <c r="K86" s="307">
        <f t="shared" si="5"/>
        <v>7.8</v>
      </c>
      <c r="L86" s="474">
        <f t="shared" si="6"/>
        <v>3.9</v>
      </c>
      <c r="M86" s="475">
        <f t="shared" si="7"/>
        <v>0.10256410256410255</v>
      </c>
      <c r="Q86" t="s">
        <v>873</v>
      </c>
      <c r="R86">
        <v>5.0999999999999996</v>
      </c>
    </row>
    <row r="87" spans="2:23">
      <c r="B87" t="s">
        <v>786</v>
      </c>
      <c r="C87" t="s">
        <v>1056</v>
      </c>
      <c r="D87" s="467">
        <v>6.5</v>
      </c>
      <c r="E87" s="467">
        <v>8</v>
      </c>
      <c r="F87" s="467">
        <v>7</v>
      </c>
      <c r="G87" s="472">
        <v>6.7</v>
      </c>
      <c r="H87" s="303">
        <v>1</v>
      </c>
      <c r="I87" s="469">
        <v>45</v>
      </c>
      <c r="J87" s="468">
        <f>E87/D87</f>
        <v>1.2307692307692308</v>
      </c>
      <c r="K87" s="307">
        <f t="shared" si="5"/>
        <v>13.7</v>
      </c>
      <c r="L87" s="474">
        <f t="shared" si="6"/>
        <v>6.85</v>
      </c>
      <c r="M87" s="475">
        <f t="shared" si="7"/>
        <v>2.1897810218978089E-2</v>
      </c>
      <c r="O87">
        <v>2</v>
      </c>
      <c r="P87">
        <v>37</v>
      </c>
      <c r="Q87" s="488" t="s">
        <v>1182</v>
      </c>
      <c r="R87">
        <v>1.5</v>
      </c>
      <c r="S87" t="s">
        <v>1186</v>
      </c>
      <c r="T87" t="s">
        <v>525</v>
      </c>
    </row>
    <row r="88" spans="2:23">
      <c r="F88" s="467"/>
      <c r="G88" s="472"/>
      <c r="K88" s="307">
        <f t="shared" si="5"/>
        <v>0</v>
      </c>
      <c r="L88" s="474">
        <f t="shared" si="6"/>
        <v>0</v>
      </c>
      <c r="O88" s="487">
        <v>1</v>
      </c>
      <c r="P88" s="487">
        <v>65</v>
      </c>
      <c r="Q88" s="487" t="s">
        <v>1184</v>
      </c>
      <c r="R88" s="487">
        <v>2.65</v>
      </c>
      <c r="S88" s="487" t="s">
        <v>598</v>
      </c>
      <c r="T88" s="487" t="s">
        <v>525</v>
      </c>
      <c r="U88" s="487" t="s">
        <v>868</v>
      </c>
    </row>
    <row r="89" spans="2:23">
      <c r="B89" t="s">
        <v>786</v>
      </c>
      <c r="C89" t="s">
        <v>1046</v>
      </c>
      <c r="D89" s="467">
        <v>7.6</v>
      </c>
      <c r="E89" s="467">
        <v>8.3000000000000007</v>
      </c>
      <c r="F89" s="467">
        <v>3.8</v>
      </c>
      <c r="G89" s="472">
        <v>5.4</v>
      </c>
      <c r="H89" s="303">
        <v>43</v>
      </c>
      <c r="I89" s="469">
        <v>48</v>
      </c>
      <c r="J89" s="468">
        <f>E89/D89</f>
        <v>1.0921052631578949</v>
      </c>
      <c r="K89" s="307">
        <f t="shared" si="5"/>
        <v>9.1999999999999993</v>
      </c>
      <c r="L89" s="474">
        <f t="shared" si="6"/>
        <v>4.5999999999999996</v>
      </c>
      <c r="M89" s="475">
        <f t="shared" si="7"/>
        <v>0.17391304347826095</v>
      </c>
      <c r="O89">
        <v>6</v>
      </c>
      <c r="P89">
        <v>17</v>
      </c>
      <c r="Q89" s="488" t="s">
        <v>1183</v>
      </c>
      <c r="R89">
        <v>3.35</v>
      </c>
      <c r="S89" t="s">
        <v>598</v>
      </c>
      <c r="T89" t="s">
        <v>525</v>
      </c>
      <c r="U89" t="s">
        <v>868</v>
      </c>
    </row>
    <row r="90" spans="2:23">
      <c r="B90" t="s">
        <v>786</v>
      </c>
      <c r="C90" t="s">
        <v>1045</v>
      </c>
      <c r="D90" s="467">
        <v>8.1</v>
      </c>
      <c r="E90" s="467">
        <v>8.3000000000000007</v>
      </c>
      <c r="F90" s="467">
        <v>5.2</v>
      </c>
      <c r="G90" s="472">
        <v>6.1</v>
      </c>
      <c r="H90" s="303">
        <v>22</v>
      </c>
      <c r="I90" s="469">
        <v>60</v>
      </c>
      <c r="J90" s="468">
        <f t="shared" si="4"/>
        <v>1.0246913580246915</v>
      </c>
      <c r="K90" s="307">
        <f t="shared" si="5"/>
        <v>11.3</v>
      </c>
      <c r="L90" s="474">
        <f t="shared" si="6"/>
        <v>5.65</v>
      </c>
      <c r="M90" s="475">
        <f t="shared" si="7"/>
        <v>7.9646017699114988E-2</v>
      </c>
      <c r="O90">
        <v>4</v>
      </c>
      <c r="P90">
        <v>25</v>
      </c>
      <c r="Q90" s="488" t="s">
        <v>1185</v>
      </c>
      <c r="R90">
        <v>4</v>
      </c>
      <c r="S90" t="s">
        <v>598</v>
      </c>
      <c r="T90" t="s">
        <v>525</v>
      </c>
    </row>
    <row r="91" spans="2:23">
      <c r="B91" t="s">
        <v>786</v>
      </c>
      <c r="C91" t="s">
        <v>1057</v>
      </c>
      <c r="D91" s="467">
        <v>8.1</v>
      </c>
      <c r="E91" s="467">
        <v>8.3000000000000007</v>
      </c>
      <c r="F91">
        <v>3.3</v>
      </c>
      <c r="G91" s="238">
        <v>6.2</v>
      </c>
      <c r="H91" s="303">
        <v>10</v>
      </c>
      <c r="I91" s="469">
        <v>55</v>
      </c>
      <c r="J91" s="468">
        <f t="shared" si="4"/>
        <v>1.0246913580246915</v>
      </c>
      <c r="K91" s="307">
        <f t="shared" si="5"/>
        <v>9.5</v>
      </c>
      <c r="L91" s="474">
        <f t="shared" si="6"/>
        <v>4.75</v>
      </c>
      <c r="M91" s="475">
        <f t="shared" si="7"/>
        <v>0.3052631578947369</v>
      </c>
    </row>
    <row r="92" spans="2:23">
      <c r="B92" t="s">
        <v>786</v>
      </c>
      <c r="C92" t="s">
        <v>1058</v>
      </c>
      <c r="D92" s="467">
        <v>8.6</v>
      </c>
      <c r="E92" s="467">
        <v>8.8000000000000007</v>
      </c>
      <c r="F92" s="467">
        <v>4.4000000000000004</v>
      </c>
      <c r="G92" s="472">
        <v>6.7</v>
      </c>
      <c r="H92" s="303">
        <v>10</v>
      </c>
      <c r="I92" s="469">
        <v>55</v>
      </c>
      <c r="J92" s="468">
        <f t="shared" si="4"/>
        <v>1.0232558139534884</v>
      </c>
      <c r="K92" s="307">
        <f t="shared" si="5"/>
        <v>11.100000000000001</v>
      </c>
      <c r="L92" s="474">
        <f t="shared" si="6"/>
        <v>5.5500000000000007</v>
      </c>
      <c r="M92" s="475">
        <f t="shared" si="7"/>
        <v>0.20720720720720717</v>
      </c>
      <c r="O92">
        <v>5</v>
      </c>
      <c r="P92">
        <v>19</v>
      </c>
      <c r="Q92" s="488" t="s">
        <v>1005</v>
      </c>
      <c r="R92">
        <v>5.15</v>
      </c>
      <c r="S92" t="s">
        <v>598</v>
      </c>
      <c r="T92" t="s">
        <v>525</v>
      </c>
      <c r="U92" t="s">
        <v>868</v>
      </c>
    </row>
    <row r="93" spans="2:23">
      <c r="B93" t="s">
        <v>786</v>
      </c>
      <c r="C93" t="s">
        <v>1059</v>
      </c>
      <c r="D93" s="467">
        <v>8.4</v>
      </c>
      <c r="E93" s="467">
        <v>8.3000000000000007</v>
      </c>
      <c r="F93" s="467">
        <v>5.4</v>
      </c>
      <c r="G93" s="472">
        <v>6.6</v>
      </c>
      <c r="H93" s="303">
        <v>23</v>
      </c>
      <c r="I93" s="469">
        <v>90</v>
      </c>
      <c r="J93" s="468">
        <f t="shared" si="4"/>
        <v>0.98809523809523814</v>
      </c>
      <c r="K93" s="307">
        <f t="shared" si="5"/>
        <v>12</v>
      </c>
      <c r="L93" s="474">
        <f t="shared" si="6"/>
        <v>6</v>
      </c>
      <c r="M93" s="475">
        <f t="shared" si="7"/>
        <v>9.9999999999999936E-2</v>
      </c>
      <c r="O93">
        <v>7</v>
      </c>
      <c r="P93">
        <v>10</v>
      </c>
      <c r="Q93" s="488" t="s">
        <v>1009</v>
      </c>
      <c r="R93">
        <v>5.6</v>
      </c>
      <c r="S93" t="s">
        <v>954</v>
      </c>
      <c r="T93" t="s">
        <v>525</v>
      </c>
      <c r="U93" t="s">
        <v>868</v>
      </c>
    </row>
    <row r="94" spans="2:23">
      <c r="F94" s="467"/>
      <c r="G94" s="472"/>
      <c r="K94" s="307">
        <f t="shared" si="5"/>
        <v>0</v>
      </c>
      <c r="L94" s="474">
        <f t="shared" si="6"/>
        <v>0</v>
      </c>
    </row>
    <row r="95" spans="2:23">
      <c r="B95" t="s">
        <v>786</v>
      </c>
      <c r="C95" t="s">
        <v>1048</v>
      </c>
      <c r="D95" s="467">
        <v>8.6</v>
      </c>
      <c r="E95" s="467">
        <v>8.5</v>
      </c>
      <c r="F95" s="467">
        <v>5.8</v>
      </c>
      <c r="G95" s="472">
        <v>5.7</v>
      </c>
      <c r="H95" s="303">
        <v>51</v>
      </c>
      <c r="I95" s="469">
        <v>70</v>
      </c>
      <c r="J95" s="468">
        <f t="shared" si="4"/>
        <v>0.9883720930232559</v>
      </c>
      <c r="K95" s="307">
        <f t="shared" si="5"/>
        <v>11.5</v>
      </c>
      <c r="L95" s="474">
        <f t="shared" si="6"/>
        <v>5.75</v>
      </c>
      <c r="M95" s="475">
        <f t="shared" si="7"/>
        <v>8.6956521739130124E-3</v>
      </c>
      <c r="R95" t="s">
        <v>1188</v>
      </c>
      <c r="T95" t="s">
        <v>1189</v>
      </c>
      <c r="V95" t="s">
        <v>1187</v>
      </c>
    </row>
    <row r="96" spans="2:23">
      <c r="B96" t="s">
        <v>786</v>
      </c>
      <c r="C96" t="s">
        <v>1049</v>
      </c>
      <c r="D96" s="467">
        <v>9</v>
      </c>
      <c r="E96" s="467">
        <v>8.6</v>
      </c>
      <c r="F96" s="467">
        <v>6.3</v>
      </c>
      <c r="G96" s="472">
        <v>6.3</v>
      </c>
      <c r="I96" s="469">
        <v>77</v>
      </c>
      <c r="J96" s="468">
        <f t="shared" si="4"/>
        <v>0.95555555555555549</v>
      </c>
      <c r="K96" s="307">
        <f t="shared" si="5"/>
        <v>12.6</v>
      </c>
      <c r="L96" s="474">
        <f t="shared" si="6"/>
        <v>6.3</v>
      </c>
      <c r="M96" s="475">
        <f t="shared" si="7"/>
        <v>0</v>
      </c>
      <c r="Q96" t="s">
        <v>1182</v>
      </c>
      <c r="R96" s="488" t="s">
        <v>598</v>
      </c>
      <c r="S96" t="s">
        <v>525</v>
      </c>
      <c r="T96" t="s">
        <v>525</v>
      </c>
      <c r="U96" t="s">
        <v>525</v>
      </c>
      <c r="V96" t="s">
        <v>525</v>
      </c>
      <c r="W96" t="s">
        <v>525</v>
      </c>
    </row>
    <row r="97" spans="2:37">
      <c r="F97" s="467"/>
      <c r="G97" s="472"/>
      <c r="K97" s="307"/>
      <c r="Q97" t="s">
        <v>1185</v>
      </c>
      <c r="R97" s="488" t="s">
        <v>598</v>
      </c>
      <c r="S97" t="s">
        <v>525</v>
      </c>
    </row>
    <row r="98" spans="2:37">
      <c r="B98" t="s">
        <v>786</v>
      </c>
      <c r="C98" t="s">
        <v>1050</v>
      </c>
      <c r="D98" s="467">
        <v>8</v>
      </c>
      <c r="E98" s="467">
        <v>10</v>
      </c>
      <c r="F98" s="467">
        <v>5</v>
      </c>
      <c r="G98" s="472">
        <v>5.2</v>
      </c>
      <c r="H98" s="303">
        <v>1</v>
      </c>
      <c r="J98" s="468">
        <f t="shared" si="4"/>
        <v>1.25</v>
      </c>
      <c r="K98" s="307">
        <f t="shared" si="5"/>
        <v>10.199999999999999</v>
      </c>
      <c r="L98" s="474">
        <f t="shared" si="6"/>
        <v>5.0999999999999996</v>
      </c>
      <c r="M98" s="475">
        <f t="shared" si="7"/>
        <v>1.9607843137254919E-2</v>
      </c>
      <c r="Q98" t="s">
        <v>1183</v>
      </c>
      <c r="R98" s="488" t="s">
        <v>598</v>
      </c>
      <c r="S98" t="s">
        <v>525</v>
      </c>
    </row>
    <row r="99" spans="2:37">
      <c r="B99" t="s">
        <v>786</v>
      </c>
      <c r="C99" t="s">
        <v>1051</v>
      </c>
      <c r="D99" s="467">
        <v>8.6</v>
      </c>
      <c r="E99" s="467">
        <v>9.3000000000000007</v>
      </c>
      <c r="F99" s="467">
        <v>5.4</v>
      </c>
      <c r="G99" s="472">
        <v>5.5</v>
      </c>
      <c r="H99" s="303">
        <v>10</v>
      </c>
      <c r="I99" s="469">
        <v>138</v>
      </c>
      <c r="J99" s="468">
        <f t="shared" si="4"/>
        <v>1.0813953488372094</v>
      </c>
      <c r="K99" s="307">
        <f t="shared" si="5"/>
        <v>10.9</v>
      </c>
      <c r="L99" s="474">
        <f t="shared" si="6"/>
        <v>5.45</v>
      </c>
      <c r="M99" s="475">
        <f t="shared" si="7"/>
        <v>9.1743119266054721E-3</v>
      </c>
      <c r="P99" t="s">
        <v>1191</v>
      </c>
      <c r="Q99" s="487" t="s">
        <v>1124</v>
      </c>
      <c r="R99" t="s">
        <v>598</v>
      </c>
      <c r="S99" t="s">
        <v>525</v>
      </c>
    </row>
    <row r="100" spans="2:37">
      <c r="B100" t="s">
        <v>786</v>
      </c>
      <c r="C100" t="s">
        <v>1052</v>
      </c>
      <c r="D100" s="467">
        <v>9.5</v>
      </c>
      <c r="E100" s="467">
        <v>9.4</v>
      </c>
      <c r="F100" s="467">
        <v>6</v>
      </c>
      <c r="G100" s="472">
        <v>6</v>
      </c>
      <c r="H100" s="303">
        <v>3</v>
      </c>
      <c r="I100" s="469">
        <v>250</v>
      </c>
      <c r="J100" s="468">
        <f t="shared" si="4"/>
        <v>0.98947368421052639</v>
      </c>
      <c r="K100" s="307">
        <f t="shared" si="5"/>
        <v>12</v>
      </c>
      <c r="L100" s="474">
        <f t="shared" si="6"/>
        <v>6</v>
      </c>
      <c r="M100" s="475">
        <f t="shared" si="7"/>
        <v>0</v>
      </c>
      <c r="P100" t="s">
        <v>1191</v>
      </c>
      <c r="Q100" s="487" t="s">
        <v>1184</v>
      </c>
      <c r="R100" t="s">
        <v>954</v>
      </c>
      <c r="S100" s="175" t="s">
        <v>868</v>
      </c>
      <c r="V100" t="s">
        <v>525</v>
      </c>
      <c r="W100" t="s">
        <v>525</v>
      </c>
    </row>
    <row r="101" spans="2:37">
      <c r="K101" s="307">
        <f t="shared" si="5"/>
        <v>0</v>
      </c>
      <c r="L101" s="474">
        <f t="shared" si="6"/>
        <v>0</v>
      </c>
      <c r="Q101" t="s">
        <v>1005</v>
      </c>
      <c r="R101" s="488" t="s">
        <v>598</v>
      </c>
      <c r="S101" t="s">
        <v>868</v>
      </c>
    </row>
    <row r="102" spans="2:37">
      <c r="B102" t="s">
        <v>1068</v>
      </c>
      <c r="C102" t="s">
        <v>1069</v>
      </c>
      <c r="D102" s="467">
        <v>8.9</v>
      </c>
      <c r="E102" s="467">
        <v>8.8000000000000007</v>
      </c>
      <c r="F102" s="467">
        <v>5.7</v>
      </c>
      <c r="G102" s="472">
        <v>6.7</v>
      </c>
      <c r="H102" s="303">
        <v>7</v>
      </c>
      <c r="I102" s="469">
        <v>78</v>
      </c>
      <c r="J102" s="468">
        <f t="shared" si="4"/>
        <v>0.98876404494382031</v>
      </c>
      <c r="K102" s="307">
        <f t="shared" si="5"/>
        <v>12.4</v>
      </c>
      <c r="L102" s="474">
        <f t="shared" si="6"/>
        <v>6.2</v>
      </c>
      <c r="M102" s="475">
        <f t="shared" si="7"/>
        <v>8.0645161290322578E-2</v>
      </c>
      <c r="Q102" t="s">
        <v>1009</v>
      </c>
      <c r="R102" s="488" t="s">
        <v>954</v>
      </c>
      <c r="S102" t="s">
        <v>868</v>
      </c>
    </row>
    <row r="103" spans="2:37">
      <c r="K103" s="307">
        <f t="shared" si="5"/>
        <v>0</v>
      </c>
      <c r="L103" s="474">
        <f t="shared" si="6"/>
        <v>0</v>
      </c>
      <c r="Q103" t="s">
        <v>1185</v>
      </c>
      <c r="R103" t="s">
        <v>954</v>
      </c>
      <c r="S103" t="s">
        <v>868</v>
      </c>
    </row>
    <row r="104" spans="2:37">
      <c r="B104" t="s">
        <v>1070</v>
      </c>
      <c r="C104" t="s">
        <v>1071</v>
      </c>
      <c r="D104" s="467">
        <v>100</v>
      </c>
      <c r="E104" s="467">
        <v>7</v>
      </c>
      <c r="F104" s="467" t="s">
        <v>21</v>
      </c>
      <c r="H104" s="303">
        <v>1</v>
      </c>
      <c r="I104" s="469">
        <v>60</v>
      </c>
      <c r="J104" s="468">
        <f t="shared" si="4"/>
        <v>7.0000000000000007E-2</v>
      </c>
      <c r="K104" s="307" t="e">
        <f t="shared" si="5"/>
        <v>#VALUE!</v>
      </c>
      <c r="L104" s="474" t="e">
        <f t="shared" si="6"/>
        <v>#VALUE!</v>
      </c>
    </row>
    <row r="105" spans="2:37">
      <c r="Q105" s="326" t="s">
        <v>1185</v>
      </c>
      <c r="R105" s="326" t="s">
        <v>525</v>
      </c>
      <c r="S105" s="326" t="s">
        <v>525</v>
      </c>
    </row>
    <row r="106" spans="2:37">
      <c r="B106" t="s">
        <v>900</v>
      </c>
      <c r="C106" t="s">
        <v>901</v>
      </c>
      <c r="D106" s="467">
        <v>8.6</v>
      </c>
      <c r="E106" s="467">
        <v>9.1999999999999993</v>
      </c>
      <c r="F106">
        <v>4.4000000000000004</v>
      </c>
      <c r="G106" s="238">
        <v>4.9000000000000004</v>
      </c>
      <c r="H106" s="303">
        <v>89</v>
      </c>
      <c r="I106" s="469">
        <v>165</v>
      </c>
      <c r="J106" s="468">
        <f t="shared" ref="J106" si="72">E106/D106</f>
        <v>1.069767441860465</v>
      </c>
      <c r="K106" s="307">
        <f t="shared" ref="K106" si="73">F106+G106</f>
        <v>9.3000000000000007</v>
      </c>
      <c r="L106" s="474">
        <f t="shared" si="6"/>
        <v>4.6500000000000004</v>
      </c>
      <c r="M106" s="475">
        <f t="shared" si="7"/>
        <v>5.3763440860215048E-2</v>
      </c>
      <c r="Q106" t="s">
        <v>1185</v>
      </c>
      <c r="R106" t="s">
        <v>598</v>
      </c>
      <c r="S106" t="s">
        <v>868</v>
      </c>
    </row>
    <row r="107" spans="2:37">
      <c r="B107" t="s">
        <v>900</v>
      </c>
      <c r="C107" t="s">
        <v>1084</v>
      </c>
      <c r="D107" s="467">
        <v>9.3000000000000007</v>
      </c>
      <c r="E107" s="467">
        <v>9</v>
      </c>
      <c r="F107">
        <v>6.3</v>
      </c>
      <c r="G107" s="238">
        <v>6.5</v>
      </c>
      <c r="H107" s="303">
        <v>19</v>
      </c>
      <c r="I107" s="469">
        <v>186</v>
      </c>
      <c r="J107" s="468">
        <f t="shared" ref="J107" si="74">E107/D107</f>
        <v>0.96774193548387089</v>
      </c>
      <c r="K107" s="307">
        <f t="shared" ref="K107" si="75">F107+G107</f>
        <v>12.8</v>
      </c>
      <c r="L107" s="474">
        <f t="shared" si="6"/>
        <v>6.4</v>
      </c>
      <c r="M107" s="475">
        <f t="shared" ref="M107" si="76">ABS(F107-G107)/(F107+G107)</f>
        <v>1.5625000000000014E-2</v>
      </c>
      <c r="Q107" t="s">
        <v>1194</v>
      </c>
      <c r="R107" t="s">
        <v>598</v>
      </c>
      <c r="S107" t="s">
        <v>868</v>
      </c>
    </row>
    <row r="108" spans="2:37">
      <c r="Q108" t="s">
        <v>1182</v>
      </c>
      <c r="R108" t="s">
        <v>1195</v>
      </c>
      <c r="S108" t="s">
        <v>525</v>
      </c>
    </row>
    <row r="109" spans="2:37">
      <c r="B109" t="s">
        <v>1090</v>
      </c>
      <c r="C109" t="s">
        <v>889</v>
      </c>
      <c r="D109" s="467">
        <v>9</v>
      </c>
      <c r="E109" s="467">
        <v>8.5</v>
      </c>
      <c r="F109">
        <v>8</v>
      </c>
      <c r="G109" s="238">
        <v>7.3</v>
      </c>
      <c r="H109" s="303">
        <v>3</v>
      </c>
      <c r="I109" s="469">
        <v>33</v>
      </c>
      <c r="J109" s="468">
        <f t="shared" ref="J109" si="77">E109/D109</f>
        <v>0.94444444444444442</v>
      </c>
      <c r="K109" s="307">
        <f t="shared" ref="K109" si="78">F109+G109</f>
        <v>15.3</v>
      </c>
      <c r="L109" s="474">
        <f t="shared" ref="L109" si="79">K109/2</f>
        <v>7.65</v>
      </c>
      <c r="M109" s="475">
        <f t="shared" ref="M109" si="80">ABS(F109-G109)/(F109+G109)</f>
        <v>4.5751633986928116E-2</v>
      </c>
      <c r="Q109" t="s">
        <v>1005</v>
      </c>
      <c r="R109" t="s">
        <v>598</v>
      </c>
      <c r="S109" t="s">
        <v>868</v>
      </c>
    </row>
    <row r="110" spans="2:37">
      <c r="B110" t="s">
        <v>1090</v>
      </c>
      <c r="C110" t="s">
        <v>1091</v>
      </c>
      <c r="D110" s="467">
        <v>9.1999999999999993</v>
      </c>
      <c r="E110" s="467">
        <v>8.8000000000000007</v>
      </c>
      <c r="F110">
        <v>5.9</v>
      </c>
      <c r="G110" s="238">
        <v>6.2</v>
      </c>
      <c r="H110" s="303">
        <v>25</v>
      </c>
      <c r="I110" s="469">
        <v>50</v>
      </c>
      <c r="J110" s="468">
        <f t="shared" ref="J110" si="81">E110/D110</f>
        <v>0.95652173913043492</v>
      </c>
      <c r="K110" s="307">
        <f t="shared" ref="K110" si="82">F110+G110</f>
        <v>12.100000000000001</v>
      </c>
      <c r="L110" s="474">
        <f t="shared" ref="L110" si="83">K110/2</f>
        <v>6.0500000000000007</v>
      </c>
      <c r="M110" s="475">
        <f t="shared" ref="M110" si="84">ABS(F110-G110)/(F110+G110)</f>
        <v>2.4793388429752049E-2</v>
      </c>
      <c r="Q110" t="s">
        <v>1009</v>
      </c>
      <c r="R110" t="s">
        <v>598</v>
      </c>
      <c r="S110" t="s">
        <v>868</v>
      </c>
    </row>
    <row r="111" spans="2:37" ht="15.75" thickBot="1">
      <c r="J111" s="468" t="e">
        <f t="shared" ref="J111:J115" si="85">E111/D111</f>
        <v>#DIV/0!</v>
      </c>
      <c r="K111" s="307">
        <f t="shared" ref="K111:K115" si="86">F111+G111</f>
        <v>0</v>
      </c>
      <c r="L111" s="474">
        <f t="shared" ref="L111:L115" si="87">K111/2</f>
        <v>0</v>
      </c>
      <c r="M111" s="475" t="e">
        <f t="shared" ref="M111:M115" si="88">ABS(F111-G111)/(F111+G111)</f>
        <v>#DIV/0!</v>
      </c>
    </row>
    <row r="112" spans="2:37" ht="15.75" thickBot="1">
      <c r="B112" t="s">
        <v>1166</v>
      </c>
      <c r="C112" t="s">
        <v>886</v>
      </c>
      <c r="D112" s="467">
        <v>9</v>
      </c>
      <c r="E112" s="467">
        <v>9.4</v>
      </c>
      <c r="F112">
        <v>7</v>
      </c>
      <c r="G112" s="238">
        <v>7.5</v>
      </c>
      <c r="H112" s="303">
        <v>2</v>
      </c>
      <c r="I112" s="469">
        <v>40</v>
      </c>
      <c r="J112" s="468">
        <f t="shared" si="85"/>
        <v>1.0444444444444445</v>
      </c>
      <c r="K112" s="307">
        <f t="shared" si="86"/>
        <v>14.5</v>
      </c>
      <c r="L112" s="474">
        <f t="shared" si="87"/>
        <v>7.25</v>
      </c>
      <c r="M112" s="475">
        <f t="shared" si="88"/>
        <v>3.4482758620689655E-2</v>
      </c>
      <c r="N112" s="196">
        <v>2324</v>
      </c>
      <c r="P112" t="s">
        <v>1166</v>
      </c>
      <c r="Q112" t="s">
        <v>670</v>
      </c>
      <c r="R112" t="s">
        <v>1101</v>
      </c>
      <c r="S112" t="s">
        <v>598</v>
      </c>
      <c r="T112" t="s">
        <v>955</v>
      </c>
      <c r="U112" s="302">
        <v>5.0999999999999996</v>
      </c>
      <c r="V112" t="s">
        <v>954</v>
      </c>
      <c r="W112" t="s">
        <v>955</v>
      </c>
      <c r="Y112" t="s">
        <v>954</v>
      </c>
      <c r="Z112" t="s">
        <v>955</v>
      </c>
      <c r="AB112" t="s">
        <v>954</v>
      </c>
      <c r="AC112" t="s">
        <v>955</v>
      </c>
      <c r="AE112" s="10" t="s">
        <v>954</v>
      </c>
      <c r="AF112" s="10" t="s">
        <v>525</v>
      </c>
      <c r="AG112" s="10"/>
      <c r="AH112" s="31"/>
      <c r="AI112" s="496" t="s">
        <v>682</v>
      </c>
      <c r="AJ112" s="416" t="s">
        <v>681</v>
      </c>
      <c r="AK112" s="344" t="s">
        <v>343</v>
      </c>
    </row>
    <row r="113" spans="1:37">
      <c r="B113" t="s">
        <v>1166</v>
      </c>
      <c r="C113" s="238" t="s">
        <v>894</v>
      </c>
      <c r="D113" s="470">
        <v>9</v>
      </c>
      <c r="E113" s="470">
        <v>9.1</v>
      </c>
      <c r="F113" s="302">
        <v>5.4</v>
      </c>
      <c r="G113" s="302">
        <v>5.8</v>
      </c>
      <c r="H113" s="302">
        <v>5</v>
      </c>
      <c r="I113" s="307">
        <v>50</v>
      </c>
      <c r="J113" s="307">
        <f t="shared" si="85"/>
        <v>1.0111111111111111</v>
      </c>
      <c r="K113" s="307">
        <f t="shared" si="86"/>
        <v>11.2</v>
      </c>
      <c r="L113" s="307">
        <f t="shared" si="87"/>
        <v>5.6</v>
      </c>
      <c r="M113" s="307">
        <f t="shared" si="88"/>
        <v>3.5714285714285671E-2</v>
      </c>
      <c r="N113" s="196">
        <v>2091</v>
      </c>
      <c r="Q113" s="326" t="s">
        <v>1185</v>
      </c>
      <c r="R113" s="326" t="s">
        <v>1101</v>
      </c>
      <c r="S113" s="326" t="s">
        <v>598</v>
      </c>
      <c r="T113" s="326" t="s">
        <v>955</v>
      </c>
      <c r="U113" s="410">
        <v>4</v>
      </c>
      <c r="V113" s="326" t="s">
        <v>598</v>
      </c>
      <c r="W113" s="326" t="s">
        <v>955</v>
      </c>
      <c r="Y113" t="s">
        <v>598</v>
      </c>
      <c r="Z113" s="326" t="s">
        <v>955</v>
      </c>
      <c r="AB113" t="s">
        <v>598</v>
      </c>
      <c r="AC113" t="s">
        <v>954</v>
      </c>
      <c r="AE113" s="10" t="s">
        <v>598</v>
      </c>
      <c r="AF113" s="10" t="s">
        <v>954</v>
      </c>
      <c r="AG113" s="10"/>
      <c r="AH113" s="31" t="s">
        <v>955</v>
      </c>
      <c r="AI113" s="496">
        <v>2</v>
      </c>
      <c r="AJ113" s="416">
        <v>2</v>
      </c>
      <c r="AK113" s="344">
        <f>AI113+AJ113</f>
        <v>4</v>
      </c>
    </row>
    <row r="114" spans="1:37">
      <c r="A114" s="330" t="s">
        <v>1166</v>
      </c>
      <c r="B114" s="330" t="s">
        <v>1166</v>
      </c>
      <c r="C114" s="330" t="s">
        <v>670</v>
      </c>
      <c r="D114" s="471">
        <v>9.1999999999999993</v>
      </c>
      <c r="E114" s="471">
        <v>9.5</v>
      </c>
      <c r="F114" s="471">
        <v>5</v>
      </c>
      <c r="G114" s="471">
        <v>5.2</v>
      </c>
      <c r="H114" s="330">
        <v>1</v>
      </c>
      <c r="I114" s="318">
        <v>33</v>
      </c>
      <c r="J114" s="318">
        <f t="shared" si="85"/>
        <v>1.0326086956521741</v>
      </c>
      <c r="K114" s="318">
        <f t="shared" si="86"/>
        <v>10.199999999999999</v>
      </c>
      <c r="L114" s="318">
        <f t="shared" si="87"/>
        <v>5.0999999999999996</v>
      </c>
      <c r="M114" s="318">
        <f t="shared" si="88"/>
        <v>1.9607843137254919E-2</v>
      </c>
      <c r="N114" s="196">
        <v>2033</v>
      </c>
      <c r="Q114" t="s">
        <v>1196</v>
      </c>
      <c r="R114" t="s">
        <v>1131</v>
      </c>
      <c r="S114" t="s">
        <v>598</v>
      </c>
      <c r="T114" t="s">
        <v>955</v>
      </c>
      <c r="U114" s="310">
        <v>2.65</v>
      </c>
      <c r="V114" t="s">
        <v>598</v>
      </c>
      <c r="W114" t="s">
        <v>954</v>
      </c>
      <c r="Y114" s="326" t="s">
        <v>598</v>
      </c>
      <c r="Z114" s="326" t="s">
        <v>954</v>
      </c>
      <c r="AB114" t="s">
        <v>598</v>
      </c>
      <c r="AC114" t="s">
        <v>525</v>
      </c>
      <c r="AE114" s="10" t="s">
        <v>954</v>
      </c>
      <c r="AF114" s="10" t="s">
        <v>868</v>
      </c>
      <c r="AG114" s="10"/>
      <c r="AH114" s="32" t="s">
        <v>1229</v>
      </c>
      <c r="AI114" s="497"/>
      <c r="AJ114" s="494">
        <v>2</v>
      </c>
      <c r="AK114" s="299">
        <f>AI114+AJ114</f>
        <v>2</v>
      </c>
    </row>
    <row r="115" spans="1:37">
      <c r="B115" t="s">
        <v>1166</v>
      </c>
      <c r="C115" s="238" t="s">
        <v>1264</v>
      </c>
      <c r="D115" s="470">
        <v>9.5</v>
      </c>
      <c r="E115" s="470">
        <v>9</v>
      </c>
      <c r="F115" s="470">
        <v>3</v>
      </c>
      <c r="G115" s="470">
        <v>6.7</v>
      </c>
      <c r="H115" s="302">
        <v>1</v>
      </c>
      <c r="I115" s="307">
        <v>37</v>
      </c>
      <c r="J115" s="307">
        <f t="shared" si="85"/>
        <v>0.94736842105263153</v>
      </c>
      <c r="K115" s="307">
        <f t="shared" si="86"/>
        <v>9.6999999999999993</v>
      </c>
      <c r="L115" s="307">
        <f t="shared" si="87"/>
        <v>4.8499999999999996</v>
      </c>
      <c r="M115" s="307">
        <f t="shared" si="88"/>
        <v>0.3814432989690722</v>
      </c>
      <c r="U115" s="310"/>
      <c r="Y115" s="326"/>
      <c r="Z115" s="326"/>
      <c r="AE115" s="10"/>
      <c r="AF115" s="10"/>
      <c r="AG115" s="10"/>
      <c r="AH115" s="32"/>
      <c r="AI115" s="497"/>
      <c r="AJ115" s="494"/>
      <c r="AK115" s="299"/>
    </row>
    <row r="116" spans="1:37">
      <c r="C116" t="s">
        <v>1012</v>
      </c>
      <c r="N116" s="196">
        <v>2243</v>
      </c>
      <c r="Q116" s="489" t="s">
        <v>1197</v>
      </c>
      <c r="R116" s="489" t="s">
        <v>1131</v>
      </c>
      <c r="S116" s="489" t="s">
        <v>598</v>
      </c>
      <c r="T116" s="489" t="s">
        <v>955</v>
      </c>
      <c r="U116">
        <v>5.6</v>
      </c>
      <c r="V116" s="489" t="s">
        <v>598</v>
      </c>
      <c r="W116" s="489" t="s">
        <v>955</v>
      </c>
      <c r="Y116" s="326"/>
      <c r="Z116" s="326"/>
      <c r="AE116" s="10"/>
      <c r="AF116" s="10"/>
      <c r="AG116" s="10"/>
      <c r="AH116" s="32" t="s">
        <v>1013</v>
      </c>
      <c r="AI116" s="497">
        <v>1</v>
      </c>
      <c r="AJ116" s="494">
        <v>1</v>
      </c>
      <c r="AK116" s="299">
        <f>AI116+AJ116</f>
        <v>2</v>
      </c>
    </row>
    <row r="117" spans="1:37">
      <c r="C117" s="330" t="s">
        <v>1124</v>
      </c>
      <c r="N117" s="196">
        <v>2396</v>
      </c>
      <c r="Q117" t="s">
        <v>1182</v>
      </c>
      <c r="R117" t="s">
        <v>886</v>
      </c>
      <c r="S117" t="s">
        <v>1195</v>
      </c>
      <c r="T117" t="s">
        <v>525</v>
      </c>
      <c r="U117" s="310">
        <v>1.5</v>
      </c>
      <c r="V117" t="s">
        <v>1195</v>
      </c>
      <c r="W117" t="s">
        <v>525</v>
      </c>
      <c r="Y117" t="s">
        <v>598</v>
      </c>
      <c r="Z117" t="s">
        <v>525</v>
      </c>
      <c r="AB117" t="s">
        <v>1195</v>
      </c>
      <c r="AC117" t="s">
        <v>525</v>
      </c>
      <c r="AE117" s="10" t="s">
        <v>954</v>
      </c>
      <c r="AF117" s="10" t="s">
        <v>954</v>
      </c>
      <c r="AG117" s="10"/>
      <c r="AH117" s="32" t="s">
        <v>1230</v>
      </c>
      <c r="AI117" s="497">
        <v>1</v>
      </c>
      <c r="AJ117" s="494"/>
      <c r="AK117" s="299">
        <f t="shared" ref="AK117:AK118" si="89">AI117+AJ117</f>
        <v>1</v>
      </c>
    </row>
    <row r="118" spans="1:37" ht="15.75" thickBot="1">
      <c r="C118" t="s">
        <v>698</v>
      </c>
      <c r="N118" s="196">
        <v>2396</v>
      </c>
      <c r="Q118" t="s">
        <v>1005</v>
      </c>
      <c r="R118" t="s">
        <v>1101</v>
      </c>
      <c r="S118" t="s">
        <v>598</v>
      </c>
      <c r="T118" t="s">
        <v>955</v>
      </c>
      <c r="U118" s="330">
        <v>5.0999999999999996</v>
      </c>
      <c r="V118" t="s">
        <v>598</v>
      </c>
      <c r="W118" t="s">
        <v>954</v>
      </c>
      <c r="Y118" t="s">
        <v>954</v>
      </c>
      <c r="Z118" t="s">
        <v>955</v>
      </c>
      <c r="AB118" t="s">
        <v>954</v>
      </c>
      <c r="AC118" t="s">
        <v>955</v>
      </c>
      <c r="AE118" s="10"/>
      <c r="AF118" s="10"/>
      <c r="AG118" s="10"/>
      <c r="AH118" s="33" t="s">
        <v>1231</v>
      </c>
      <c r="AI118" s="498">
        <v>2</v>
      </c>
      <c r="AJ118" s="495">
        <v>2</v>
      </c>
      <c r="AK118" s="300">
        <f t="shared" si="89"/>
        <v>4</v>
      </c>
    </row>
    <row r="119" spans="1:37">
      <c r="C119" t="s">
        <v>1222</v>
      </c>
      <c r="N119" s="196">
        <v>2890</v>
      </c>
      <c r="Q119" s="326" t="s">
        <v>1009</v>
      </c>
      <c r="R119" s="326" t="s">
        <v>1101</v>
      </c>
      <c r="S119" s="326" t="s">
        <v>598</v>
      </c>
      <c r="T119" s="326" t="s">
        <v>955</v>
      </c>
      <c r="U119" s="330">
        <v>5.6</v>
      </c>
      <c r="V119" s="326" t="s">
        <v>954</v>
      </c>
      <c r="W119" s="326" t="s">
        <v>955</v>
      </c>
      <c r="Y119" t="s">
        <v>954</v>
      </c>
      <c r="Z119" t="s">
        <v>955</v>
      </c>
      <c r="AB119" t="s">
        <v>954</v>
      </c>
      <c r="AC119" t="s">
        <v>955</v>
      </c>
    </row>
    <row r="120" spans="1:37">
      <c r="C120" s="305" t="s">
        <v>1223</v>
      </c>
      <c r="N120" s="196">
        <v>2824</v>
      </c>
      <c r="P120" t="s">
        <v>1166</v>
      </c>
      <c r="Q120" t="s">
        <v>894</v>
      </c>
      <c r="AB120" t="s">
        <v>954</v>
      </c>
      <c r="AC120" t="s">
        <v>955</v>
      </c>
      <c r="AK120">
        <f>SUM(AK113:AK118)</f>
        <v>13</v>
      </c>
    </row>
    <row r="121" spans="1:37">
      <c r="C121" t="s">
        <v>1224</v>
      </c>
      <c r="N121" s="196">
        <v>2759</v>
      </c>
      <c r="P121" t="s">
        <v>1207</v>
      </c>
      <c r="Q121" t="s">
        <v>870</v>
      </c>
      <c r="R121" t="s">
        <v>1101</v>
      </c>
    </row>
    <row r="122" spans="1:37">
      <c r="C122" t="s">
        <v>1225</v>
      </c>
      <c r="N122" s="196">
        <v>3114</v>
      </c>
      <c r="P122" t="s">
        <v>1208</v>
      </c>
      <c r="Q122" t="s">
        <v>1196</v>
      </c>
      <c r="R122" t="s">
        <v>1131</v>
      </c>
      <c r="V122">
        <v>1</v>
      </c>
      <c r="W122">
        <v>2</v>
      </c>
    </row>
    <row r="123" spans="1:37">
      <c r="C123" s="330" t="s">
        <v>1226</v>
      </c>
      <c r="N123" s="196">
        <v>3719</v>
      </c>
      <c r="P123" t="s">
        <v>880</v>
      </c>
      <c r="Q123" t="s">
        <v>1209</v>
      </c>
      <c r="R123" t="s">
        <v>1101</v>
      </c>
      <c r="V123">
        <v>1</v>
      </c>
      <c r="W123">
        <v>2</v>
      </c>
    </row>
    <row r="124" spans="1:37">
      <c r="C124" s="330" t="s">
        <v>1227</v>
      </c>
      <c r="N124" s="196">
        <v>3405</v>
      </c>
      <c r="P124" t="s">
        <v>880</v>
      </c>
      <c r="Q124" t="s">
        <v>1210</v>
      </c>
      <c r="R124" t="s">
        <v>1101</v>
      </c>
      <c r="V124">
        <v>1</v>
      </c>
      <c r="W124" t="s">
        <v>525</v>
      </c>
    </row>
    <row r="125" spans="1:37">
      <c r="P125" t="s">
        <v>1208</v>
      </c>
      <c r="Q125" t="s">
        <v>1148</v>
      </c>
      <c r="R125" t="s">
        <v>1131</v>
      </c>
      <c r="W125" t="s">
        <v>525</v>
      </c>
      <c r="X125">
        <v>3</v>
      </c>
    </row>
    <row r="126" spans="1:37">
      <c r="P126" t="s">
        <v>1208</v>
      </c>
      <c r="Q126" t="s">
        <v>1182</v>
      </c>
      <c r="R126" t="s">
        <v>886</v>
      </c>
      <c r="S126" t="s">
        <v>1195</v>
      </c>
      <c r="W126">
        <v>2</v>
      </c>
      <c r="X126">
        <v>3</v>
      </c>
    </row>
    <row r="127" spans="1:37">
      <c r="W127">
        <v>2</v>
      </c>
      <c r="X127">
        <v>3</v>
      </c>
    </row>
    <row r="129" spans="20:35">
      <c r="V129" t="s">
        <v>1195</v>
      </c>
      <c r="W129" t="s">
        <v>525</v>
      </c>
      <c r="X129" t="s">
        <v>1182</v>
      </c>
      <c r="Z129" t="s">
        <v>1195</v>
      </c>
      <c r="AA129" t="s">
        <v>525</v>
      </c>
      <c r="AB129" t="s">
        <v>1212</v>
      </c>
      <c r="AD129" t="s">
        <v>1195</v>
      </c>
      <c r="AE129" t="s">
        <v>525</v>
      </c>
      <c r="AF129" t="s">
        <v>1212</v>
      </c>
      <c r="AH129" t="s">
        <v>1195</v>
      </c>
      <c r="AI129" t="s">
        <v>525</v>
      </c>
    </row>
    <row r="130" spans="20:35">
      <c r="V130" t="s">
        <v>598</v>
      </c>
      <c r="W130" t="s">
        <v>954</v>
      </c>
      <c r="X130" t="s">
        <v>1005</v>
      </c>
      <c r="Z130" t="s">
        <v>598</v>
      </c>
      <c r="AA130" t="s">
        <v>954</v>
      </c>
      <c r="AB130" t="s">
        <v>1005</v>
      </c>
    </row>
    <row r="131" spans="20:35">
      <c r="V131" t="s">
        <v>598</v>
      </c>
      <c r="W131" t="s">
        <v>955</v>
      </c>
      <c r="Z131" t="s">
        <v>598</v>
      </c>
      <c r="AA131" t="s">
        <v>954</v>
      </c>
      <c r="AB131" t="s">
        <v>1185</v>
      </c>
      <c r="AD131" t="s">
        <v>598</v>
      </c>
    </row>
    <row r="132" spans="20:35">
      <c r="V132" t="s">
        <v>598</v>
      </c>
      <c r="W132" t="s">
        <v>525</v>
      </c>
      <c r="X132" t="s">
        <v>1211</v>
      </c>
      <c r="Z132" t="s">
        <v>598</v>
      </c>
      <c r="AA132" t="s">
        <v>525</v>
      </c>
      <c r="AB132" t="s">
        <v>1211</v>
      </c>
      <c r="AD132" t="s">
        <v>598</v>
      </c>
      <c r="AE132" t="s">
        <v>598</v>
      </c>
      <c r="AF132" t="s">
        <v>1214</v>
      </c>
      <c r="AH132" t="s">
        <v>598</v>
      </c>
      <c r="AI132" t="s">
        <v>525</v>
      </c>
    </row>
    <row r="133" spans="20:35">
      <c r="V133" t="s">
        <v>598</v>
      </c>
      <c r="W133" t="s">
        <v>525</v>
      </c>
      <c r="Z133" t="s">
        <v>598</v>
      </c>
      <c r="AA133" t="s">
        <v>525</v>
      </c>
      <c r="AB133" t="s">
        <v>1213</v>
      </c>
      <c r="AD133" t="s">
        <v>598</v>
      </c>
      <c r="AE133" t="s">
        <v>954</v>
      </c>
      <c r="AF133" t="s">
        <v>1185</v>
      </c>
    </row>
    <row r="134" spans="20:35">
      <c r="V134" t="s">
        <v>954</v>
      </c>
      <c r="W134" t="s">
        <v>955</v>
      </c>
      <c r="X134" t="s">
        <v>870</v>
      </c>
      <c r="Z134" t="s">
        <v>954</v>
      </c>
      <c r="AA134" t="s">
        <v>955</v>
      </c>
      <c r="AB134" t="s">
        <v>870</v>
      </c>
      <c r="AD134" t="s">
        <v>954</v>
      </c>
      <c r="AE134" t="s">
        <v>955</v>
      </c>
      <c r="AF134" t="s">
        <v>1215</v>
      </c>
    </row>
    <row r="135" spans="20:35">
      <c r="V135" t="s">
        <v>954</v>
      </c>
      <c r="W135" t="s">
        <v>955</v>
      </c>
      <c r="X135" t="s">
        <v>1009</v>
      </c>
      <c r="Z135" t="s">
        <v>954</v>
      </c>
      <c r="AA135" t="s">
        <v>955</v>
      </c>
      <c r="AB135" t="s">
        <v>1009</v>
      </c>
      <c r="AD135" t="s">
        <v>954</v>
      </c>
      <c r="AE135" t="s">
        <v>955</v>
      </c>
      <c r="AF135" t="s">
        <v>1005</v>
      </c>
      <c r="AH135" t="s">
        <v>954</v>
      </c>
      <c r="AI135" t="s">
        <v>955</v>
      </c>
    </row>
    <row r="136" spans="20:35">
      <c r="V136" t="s">
        <v>954</v>
      </c>
      <c r="W136" t="s">
        <v>955</v>
      </c>
      <c r="X136" t="s">
        <v>1185</v>
      </c>
      <c r="AD136" t="s">
        <v>954</v>
      </c>
      <c r="AE136" t="s">
        <v>955</v>
      </c>
      <c r="AF136" t="s">
        <v>1009</v>
      </c>
    </row>
    <row r="137" spans="20:35">
      <c r="AD137" s="410" t="s">
        <v>954</v>
      </c>
      <c r="AE137" s="410" t="s">
        <v>955</v>
      </c>
      <c r="AF137" s="410" t="s">
        <v>1216</v>
      </c>
    </row>
    <row r="138" spans="20:35">
      <c r="AF138" t="s">
        <v>894</v>
      </c>
      <c r="AH138" t="s">
        <v>954</v>
      </c>
      <c r="AI138" t="s">
        <v>955</v>
      </c>
    </row>
    <row r="139" spans="20:35">
      <c r="T139">
        <v>1</v>
      </c>
      <c r="V139" t="s">
        <v>1166</v>
      </c>
      <c r="W139" t="s">
        <v>670</v>
      </c>
      <c r="X139" s="238">
        <v>5.0999999999999996</v>
      </c>
      <c r="Z139" t="s">
        <v>954</v>
      </c>
      <c r="AA139" t="s">
        <v>955</v>
      </c>
      <c r="AC139" s="324" t="s">
        <v>1231</v>
      </c>
      <c r="AD139" s="324" t="s">
        <v>525</v>
      </c>
      <c r="AE139" t="s">
        <v>1232</v>
      </c>
    </row>
    <row r="140" spans="20:35">
      <c r="T140">
        <f>T139+1</f>
        <v>2</v>
      </c>
      <c r="V140" t="s">
        <v>1166</v>
      </c>
      <c r="W140" t="s">
        <v>894</v>
      </c>
      <c r="X140" s="238">
        <v>5.6</v>
      </c>
      <c r="Z140" t="s">
        <v>954</v>
      </c>
      <c r="AA140" t="s">
        <v>955</v>
      </c>
      <c r="AC140" s="324" t="s">
        <v>1231</v>
      </c>
      <c r="AD140" s="324" t="s">
        <v>525</v>
      </c>
      <c r="AE140" t="s">
        <v>1232</v>
      </c>
    </row>
    <row r="141" spans="20:35">
      <c r="T141">
        <f t="shared" ref="T141:T147" si="90">T140+1</f>
        <v>3</v>
      </c>
      <c r="V141" t="s">
        <v>1208</v>
      </c>
      <c r="W141" t="s">
        <v>1217</v>
      </c>
      <c r="X141" s="303">
        <v>1.5</v>
      </c>
      <c r="Z141" t="s">
        <v>1195</v>
      </c>
      <c r="AA141" t="s">
        <v>525</v>
      </c>
      <c r="AC141" s="324" t="s">
        <v>1195</v>
      </c>
      <c r="AD141" s="324" t="s">
        <v>525</v>
      </c>
    </row>
    <row r="142" spans="20:35">
      <c r="T142">
        <f t="shared" si="90"/>
        <v>4</v>
      </c>
      <c r="V142" t="s">
        <v>1205</v>
      </c>
      <c r="W142" t="s">
        <v>1218</v>
      </c>
      <c r="X142" s="303">
        <v>2.65</v>
      </c>
      <c r="Z142" t="s">
        <v>598</v>
      </c>
      <c r="AA142" t="s">
        <v>525</v>
      </c>
      <c r="AC142" s="324" t="s">
        <v>1231</v>
      </c>
      <c r="AD142" s="324" t="s">
        <v>525</v>
      </c>
      <c r="AE142" t="s">
        <v>1232</v>
      </c>
    </row>
    <row r="143" spans="20:35">
      <c r="T143">
        <f t="shared" si="90"/>
        <v>5</v>
      </c>
      <c r="W143" t="s">
        <v>1185</v>
      </c>
      <c r="X143" s="303">
        <v>4</v>
      </c>
      <c r="Z143" t="s">
        <v>598</v>
      </c>
      <c r="AA143" t="s">
        <v>525</v>
      </c>
      <c r="AC143" s="324" t="s">
        <v>1231</v>
      </c>
      <c r="AD143" s="324" t="s">
        <v>525</v>
      </c>
      <c r="AE143" t="s">
        <v>1232</v>
      </c>
    </row>
    <row r="144" spans="20:35">
      <c r="T144">
        <f t="shared" si="90"/>
        <v>6</v>
      </c>
      <c r="V144" t="s">
        <v>880</v>
      </c>
      <c r="W144" t="s">
        <v>1005</v>
      </c>
      <c r="X144" s="238">
        <v>5.15</v>
      </c>
      <c r="Z144" t="s">
        <v>954</v>
      </c>
      <c r="AA144" t="s">
        <v>955</v>
      </c>
      <c r="AC144" s="324" t="s">
        <v>954</v>
      </c>
      <c r="AD144" s="324" t="s">
        <v>525</v>
      </c>
    </row>
    <row r="145" spans="20:30">
      <c r="T145">
        <f t="shared" si="90"/>
        <v>7</v>
      </c>
      <c r="V145" t="s">
        <v>880</v>
      </c>
      <c r="W145" t="s">
        <v>1219</v>
      </c>
      <c r="X145" s="238">
        <v>5.6</v>
      </c>
      <c r="Z145" t="s">
        <v>954</v>
      </c>
      <c r="AA145" t="s">
        <v>955</v>
      </c>
      <c r="AC145" s="324" t="s">
        <v>954</v>
      </c>
      <c r="AD145" s="324" t="s">
        <v>525</v>
      </c>
    </row>
    <row r="146" spans="20:30">
      <c r="T146">
        <f t="shared" si="90"/>
        <v>8</v>
      </c>
      <c r="U146" t="s">
        <v>1205</v>
      </c>
      <c r="V146" t="s">
        <v>870</v>
      </c>
      <c r="AC146" t="s">
        <v>598</v>
      </c>
      <c r="AD146" t="s">
        <v>525</v>
      </c>
    </row>
    <row r="147" spans="20:30">
      <c r="T147">
        <f t="shared" si="90"/>
        <v>9</v>
      </c>
      <c r="V147" t="s">
        <v>1221</v>
      </c>
      <c r="AC147" t="s">
        <v>598</v>
      </c>
      <c r="AD147" t="s">
        <v>525</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dimension ref="A2:O51"/>
  <sheetViews>
    <sheetView topLeftCell="A34" workbookViewId="0">
      <selection activeCell="I51" sqref="I51"/>
    </sheetView>
  </sheetViews>
  <sheetFormatPr defaultRowHeight="15"/>
  <cols>
    <col min="1" max="1" width="18.28515625" customWidth="1"/>
    <col min="2" max="2" width="20.140625" customWidth="1"/>
    <col min="3" max="3" width="14.28515625" customWidth="1"/>
    <col min="4" max="4" width="13.5703125" customWidth="1"/>
    <col min="5" max="5" width="10.85546875" style="196" customWidth="1"/>
    <col min="6" max="6" width="4.28515625" customWidth="1"/>
    <col min="7" max="11" width="9.140625" style="476"/>
    <col min="12" max="12" width="9.85546875" style="476" customWidth="1"/>
    <col min="13" max="13" width="9.42578125" style="476" customWidth="1"/>
    <col min="14" max="14" width="18.7109375" customWidth="1"/>
  </cols>
  <sheetData>
    <row r="2" spans="1:15">
      <c r="A2" t="s">
        <v>1429</v>
      </c>
      <c r="B2" t="s">
        <v>1098</v>
      </c>
      <c r="C2" t="s">
        <v>1147</v>
      </c>
      <c r="E2" s="196">
        <v>2073.92</v>
      </c>
      <c r="F2">
        <v>7</v>
      </c>
      <c r="G2" s="476" t="s">
        <v>1102</v>
      </c>
      <c r="H2" s="476" t="s">
        <v>1101</v>
      </c>
      <c r="I2" s="476" t="s">
        <v>1099</v>
      </c>
      <c r="J2" s="476" t="s">
        <v>1100</v>
      </c>
      <c r="K2" s="476" t="s">
        <v>1099</v>
      </c>
      <c r="L2" s="476" t="s">
        <v>1101</v>
      </c>
      <c r="M2" s="476" t="s">
        <v>1102</v>
      </c>
      <c r="O2" s="379" t="s">
        <v>1103</v>
      </c>
    </row>
    <row r="3" spans="1:15">
      <c r="A3" t="s">
        <v>670</v>
      </c>
      <c r="B3" t="s">
        <v>1427</v>
      </c>
      <c r="C3" t="s">
        <v>1147</v>
      </c>
      <c r="E3" s="196">
        <v>2021.88</v>
      </c>
      <c r="G3" s="476" t="s">
        <v>1102</v>
      </c>
      <c r="H3" s="476" t="s">
        <v>1101</v>
      </c>
      <c r="I3" s="476" t="s">
        <v>1108</v>
      </c>
      <c r="J3" s="476" t="s">
        <v>1100</v>
      </c>
      <c r="K3" s="476" t="s">
        <v>1108</v>
      </c>
      <c r="L3" s="476" t="s">
        <v>1101</v>
      </c>
      <c r="M3" s="476" t="s">
        <v>1102</v>
      </c>
      <c r="O3" s="379" t="s">
        <v>1428</v>
      </c>
    </row>
    <row r="4" spans="1:15">
      <c r="E4" s="196">
        <v>2073.92</v>
      </c>
      <c r="O4" t="s">
        <v>1135</v>
      </c>
    </row>
    <row r="5" spans="1:15">
      <c r="A5" t="s">
        <v>1104</v>
      </c>
      <c r="B5" t="s">
        <v>1105</v>
      </c>
      <c r="E5" s="196">
        <v>2891.23</v>
      </c>
      <c r="F5">
        <v>7</v>
      </c>
      <c r="G5" s="476" t="s">
        <v>1102</v>
      </c>
      <c r="H5" s="476" t="s">
        <v>886</v>
      </c>
      <c r="J5" s="476" t="s">
        <v>1099</v>
      </c>
      <c r="L5" s="476" t="s">
        <v>886</v>
      </c>
      <c r="M5" s="476" t="s">
        <v>1102</v>
      </c>
      <c r="N5" s="379" t="s">
        <v>1115</v>
      </c>
      <c r="O5" t="s">
        <v>1106</v>
      </c>
    </row>
    <row r="6" spans="1:15">
      <c r="A6" t="s">
        <v>1107</v>
      </c>
      <c r="B6" t="s">
        <v>901</v>
      </c>
      <c r="E6" s="196">
        <v>3371.4</v>
      </c>
      <c r="F6">
        <v>5</v>
      </c>
      <c r="G6" s="537" t="s">
        <v>1108</v>
      </c>
      <c r="H6" s="476" t="s">
        <v>1101</v>
      </c>
      <c r="I6" s="537" t="s">
        <v>1108</v>
      </c>
      <c r="J6" s="476" t="s">
        <v>1100</v>
      </c>
      <c r="K6" s="476" t="s">
        <v>1108</v>
      </c>
      <c r="L6" s="476" t="s">
        <v>1109</v>
      </c>
      <c r="M6" s="476" t="s">
        <v>1108</v>
      </c>
      <c r="O6" t="s">
        <v>1110</v>
      </c>
    </row>
    <row r="7" spans="1:15">
      <c r="A7" t="s">
        <v>1111</v>
      </c>
      <c r="E7" s="196">
        <v>2514.0100000000002</v>
      </c>
      <c r="F7">
        <v>7</v>
      </c>
      <c r="G7" s="476" t="s">
        <v>1102</v>
      </c>
      <c r="H7" s="476" t="s">
        <v>1101</v>
      </c>
      <c r="I7" s="476" t="s">
        <v>1099</v>
      </c>
      <c r="J7" s="476" t="s">
        <v>1100</v>
      </c>
      <c r="K7" s="476" t="s">
        <v>1099</v>
      </c>
      <c r="L7" s="476" t="s">
        <v>1101</v>
      </c>
      <c r="M7" s="476" t="s">
        <v>1102</v>
      </c>
      <c r="O7" t="s">
        <v>1112</v>
      </c>
    </row>
    <row r="8" spans="1:15">
      <c r="O8" t="s">
        <v>1134</v>
      </c>
    </row>
    <row r="9" spans="1:15">
      <c r="A9" t="s">
        <v>1104</v>
      </c>
      <c r="E9" s="196">
        <v>2891.23</v>
      </c>
      <c r="F9">
        <v>7</v>
      </c>
      <c r="G9" s="476" t="s">
        <v>1102</v>
      </c>
      <c r="H9" s="476" t="s">
        <v>886</v>
      </c>
      <c r="J9" s="476" t="s">
        <v>1099</v>
      </c>
      <c r="L9" s="476" t="s">
        <v>886</v>
      </c>
      <c r="M9" s="476" t="s">
        <v>1102</v>
      </c>
      <c r="N9" s="379" t="s">
        <v>1114</v>
      </c>
      <c r="O9" t="s">
        <v>1113</v>
      </c>
    </row>
    <row r="10" spans="1:15">
      <c r="A10" t="s">
        <v>1122</v>
      </c>
      <c r="B10" t="s">
        <v>1123</v>
      </c>
      <c r="C10" t="s">
        <v>1116</v>
      </c>
      <c r="E10" s="196">
        <v>4702.67</v>
      </c>
      <c r="G10" s="476" t="s">
        <v>1102</v>
      </c>
      <c r="H10" s="476" t="s">
        <v>1117</v>
      </c>
      <c r="I10" s="537" t="s">
        <v>1108</v>
      </c>
      <c r="J10" s="476" t="s">
        <v>1100</v>
      </c>
      <c r="K10" s="476" t="s">
        <v>1108</v>
      </c>
      <c r="L10" s="476" t="s">
        <v>1117</v>
      </c>
      <c r="M10" s="476" t="s">
        <v>1102</v>
      </c>
      <c r="O10" t="s">
        <v>1121</v>
      </c>
    </row>
    <row r="12" spans="1:15" s="324" customFormat="1">
      <c r="A12" s="324" t="s">
        <v>1118</v>
      </c>
      <c r="B12" s="324" t="s">
        <v>1119</v>
      </c>
      <c r="C12" s="324" t="s">
        <v>1147</v>
      </c>
      <c r="E12" s="468">
        <v>3371.4</v>
      </c>
      <c r="G12" s="465" t="s">
        <v>1102</v>
      </c>
      <c r="H12" s="465" t="s">
        <v>1101</v>
      </c>
      <c r="I12" s="465" t="s">
        <v>1099</v>
      </c>
      <c r="J12" s="465" t="s">
        <v>1100</v>
      </c>
      <c r="K12" s="465" t="s">
        <v>1099</v>
      </c>
      <c r="L12" s="465" t="s">
        <v>1101</v>
      </c>
      <c r="M12" s="465" t="s">
        <v>1102</v>
      </c>
      <c r="O12" s="324" t="s">
        <v>1120</v>
      </c>
    </row>
    <row r="13" spans="1:15" s="324" customFormat="1">
      <c r="E13" s="468"/>
      <c r="G13" s="465"/>
      <c r="H13" s="465"/>
      <c r="I13" s="465"/>
      <c r="J13" s="465"/>
      <c r="K13" s="465"/>
      <c r="L13" s="465"/>
      <c r="M13" s="465"/>
      <c r="O13" s="324" t="s">
        <v>1156</v>
      </c>
    </row>
    <row r="14" spans="1:15">
      <c r="A14" t="s">
        <v>1124</v>
      </c>
      <c r="C14" t="s">
        <v>1126</v>
      </c>
      <c r="E14" s="196">
        <v>2514.0100000000002</v>
      </c>
      <c r="F14">
        <v>7</v>
      </c>
      <c r="G14" s="537" t="s">
        <v>1108</v>
      </c>
      <c r="H14" s="537" t="s">
        <v>1108</v>
      </c>
      <c r="I14" s="476" t="s">
        <v>1131</v>
      </c>
      <c r="J14" s="465" t="s">
        <v>1099</v>
      </c>
      <c r="K14" s="476" t="s">
        <v>1131</v>
      </c>
      <c r="L14" s="476" t="s">
        <v>1108</v>
      </c>
      <c r="M14" s="476" t="s">
        <v>1108</v>
      </c>
      <c r="O14" s="379" t="s">
        <v>1125</v>
      </c>
    </row>
    <row r="15" spans="1:15">
      <c r="A15" t="s">
        <v>891</v>
      </c>
      <c r="B15" t="s">
        <v>1128</v>
      </c>
      <c r="C15" t="s">
        <v>1127</v>
      </c>
      <c r="D15" t="s">
        <v>464</v>
      </c>
      <c r="E15" s="196">
        <v>4223.29</v>
      </c>
      <c r="F15">
        <v>7</v>
      </c>
      <c r="G15" s="537" t="s">
        <v>1108</v>
      </c>
      <c r="I15" s="476" t="s">
        <v>1099</v>
      </c>
      <c r="J15" s="476" t="s">
        <v>1131</v>
      </c>
      <c r="K15" s="476" t="s">
        <v>1099</v>
      </c>
      <c r="M15" s="476" t="s">
        <v>1108</v>
      </c>
      <c r="O15" t="s">
        <v>1129</v>
      </c>
    </row>
    <row r="16" spans="1:15" s="330" customFormat="1">
      <c r="A16" s="330" t="s">
        <v>891</v>
      </c>
      <c r="B16" s="330" t="s">
        <v>1133</v>
      </c>
      <c r="C16" s="330" t="s">
        <v>1130</v>
      </c>
      <c r="D16" s="330" t="s">
        <v>465</v>
      </c>
      <c r="E16" s="318">
        <v>2325.4</v>
      </c>
      <c r="F16" s="330">
        <v>7</v>
      </c>
      <c r="G16" s="480"/>
      <c r="H16" s="480"/>
      <c r="I16" s="480"/>
      <c r="J16" s="480"/>
      <c r="K16" s="480"/>
      <c r="L16" s="480"/>
      <c r="M16" s="480"/>
      <c r="O16" s="481" t="s">
        <v>1132</v>
      </c>
    </row>
    <row r="17" spans="1:15" s="330" customFormat="1">
      <c r="E17" s="318">
        <v>2267.0500000000002</v>
      </c>
      <c r="G17" s="480"/>
      <c r="H17" s="480"/>
      <c r="I17" s="480"/>
      <c r="J17" s="480"/>
      <c r="K17" s="480"/>
      <c r="L17" s="480"/>
      <c r="M17" s="480"/>
      <c r="O17" s="330" t="s">
        <v>1175</v>
      </c>
    </row>
    <row r="18" spans="1:15" s="330" customFormat="1">
      <c r="A18" s="330" t="s">
        <v>891</v>
      </c>
      <c r="B18" s="330" t="s">
        <v>1133</v>
      </c>
      <c r="C18" s="330" t="s">
        <v>1130</v>
      </c>
      <c r="D18" s="330" t="s">
        <v>465</v>
      </c>
      <c r="E18" s="318">
        <v>2616.1799999999998</v>
      </c>
      <c r="F18" s="330">
        <v>7</v>
      </c>
      <c r="G18" s="480" t="s">
        <v>1108</v>
      </c>
      <c r="H18" s="480"/>
      <c r="I18" s="480" t="s">
        <v>1099</v>
      </c>
      <c r="J18" s="480" t="s">
        <v>1131</v>
      </c>
      <c r="K18" s="480" t="s">
        <v>1099</v>
      </c>
      <c r="L18" s="480"/>
      <c r="M18" s="480" t="s">
        <v>1108</v>
      </c>
      <c r="O18" s="330" t="s">
        <v>1136</v>
      </c>
    </row>
    <row r="19" spans="1:15">
      <c r="B19" t="s">
        <v>568</v>
      </c>
      <c r="C19" t="s">
        <v>1147</v>
      </c>
      <c r="E19" s="196">
        <v>2325.4</v>
      </c>
      <c r="F19">
        <v>7</v>
      </c>
      <c r="G19" s="476" t="s">
        <v>1102</v>
      </c>
      <c r="H19" s="476" t="s">
        <v>1101</v>
      </c>
      <c r="I19" s="476" t="s">
        <v>1108</v>
      </c>
      <c r="J19" s="476" t="s">
        <v>1100</v>
      </c>
      <c r="K19" s="476" t="s">
        <v>1108</v>
      </c>
      <c r="L19" s="476" t="s">
        <v>1101</v>
      </c>
      <c r="M19" s="476" t="s">
        <v>1102</v>
      </c>
      <c r="O19" t="s">
        <v>1136</v>
      </c>
    </row>
    <row r="20" spans="1:15">
      <c r="O20" t="s">
        <v>1155</v>
      </c>
    </row>
    <row r="21" spans="1:15">
      <c r="A21" t="s">
        <v>1139</v>
      </c>
      <c r="E21" s="196">
        <v>2073.92</v>
      </c>
      <c r="F21">
        <v>5</v>
      </c>
      <c r="G21" s="476" t="s">
        <v>1102</v>
      </c>
      <c r="H21" s="476" t="s">
        <v>1137</v>
      </c>
      <c r="J21" s="476" t="s">
        <v>1099</v>
      </c>
      <c r="L21" s="476" t="s">
        <v>1137</v>
      </c>
      <c r="M21" s="476" t="s">
        <v>1102</v>
      </c>
      <c r="O21" t="s">
        <v>1138</v>
      </c>
    </row>
    <row r="22" spans="1:15" s="305" customFormat="1">
      <c r="A22" s="305" t="s">
        <v>891</v>
      </c>
      <c r="B22" s="305" t="s">
        <v>673</v>
      </c>
      <c r="C22" s="305" t="s">
        <v>1127</v>
      </c>
      <c r="D22" s="305" t="s">
        <v>465</v>
      </c>
      <c r="E22" s="306">
        <v>2466.2399999999998</v>
      </c>
      <c r="G22" s="479" t="s">
        <v>1102</v>
      </c>
      <c r="H22" s="479" t="s">
        <v>1140</v>
      </c>
      <c r="I22" s="537" t="s">
        <v>1108</v>
      </c>
      <c r="J22" s="479" t="s">
        <v>1100</v>
      </c>
      <c r="K22" s="479" t="s">
        <v>1108</v>
      </c>
      <c r="L22" s="479" t="s">
        <v>1140</v>
      </c>
      <c r="M22" s="479" t="s">
        <v>1102</v>
      </c>
      <c r="O22" s="305" t="s">
        <v>1141</v>
      </c>
    </row>
    <row r="23" spans="1:15" s="305" customFormat="1">
      <c r="E23" s="306">
        <v>2426</v>
      </c>
      <c r="G23" s="479"/>
      <c r="H23" s="479"/>
      <c r="I23" s="479"/>
      <c r="J23" s="479"/>
      <c r="K23" s="479"/>
      <c r="L23" s="479"/>
      <c r="M23" s="479"/>
      <c r="O23" s="305" t="s">
        <v>1174</v>
      </c>
    </row>
    <row r="24" spans="1:15" s="305" customFormat="1">
      <c r="E24" s="306">
        <v>2757.38</v>
      </c>
      <c r="G24" s="479"/>
      <c r="H24" s="479"/>
      <c r="I24" s="479"/>
      <c r="J24" s="479"/>
      <c r="K24" s="479"/>
      <c r="L24" s="479"/>
      <c r="M24" s="479"/>
      <c r="O24" s="305" t="s">
        <v>1173</v>
      </c>
    </row>
    <row r="25" spans="1:15" s="324" customFormat="1">
      <c r="A25" s="324" t="s">
        <v>891</v>
      </c>
      <c r="B25" s="324" t="s">
        <v>1143</v>
      </c>
      <c r="C25" s="324" t="s">
        <v>1147</v>
      </c>
      <c r="D25" s="324" t="s">
        <v>465</v>
      </c>
      <c r="E25" s="468">
        <v>2450.92</v>
      </c>
      <c r="G25" s="465" t="s">
        <v>1102</v>
      </c>
      <c r="H25" s="465" t="s">
        <v>1101</v>
      </c>
      <c r="I25" s="465" t="s">
        <v>1099</v>
      </c>
      <c r="J25" s="479" t="s">
        <v>1100</v>
      </c>
      <c r="K25" s="465" t="s">
        <v>1099</v>
      </c>
      <c r="L25" s="465" t="s">
        <v>1101</v>
      </c>
      <c r="M25" s="465" t="s">
        <v>1102</v>
      </c>
      <c r="O25" s="324" t="s">
        <v>1145</v>
      </c>
    </row>
    <row r="26" spans="1:15" s="324" customFormat="1">
      <c r="E26" s="468"/>
      <c r="G26" s="465"/>
      <c r="H26" s="465"/>
      <c r="I26" s="465"/>
      <c r="J26" s="479"/>
      <c r="K26" s="465"/>
      <c r="L26" s="465"/>
      <c r="M26" s="465"/>
    </row>
    <row r="27" spans="1:15">
      <c r="B27" s="305" t="s">
        <v>1148</v>
      </c>
      <c r="E27" s="196">
        <v>2830.94</v>
      </c>
      <c r="F27" s="305" t="s">
        <v>21</v>
      </c>
      <c r="O27" t="s">
        <v>1149</v>
      </c>
    </row>
    <row r="28" spans="1:15">
      <c r="B28" s="305" t="s">
        <v>1148</v>
      </c>
      <c r="C28" t="s">
        <v>1131</v>
      </c>
      <c r="E28" s="196">
        <v>2696.09</v>
      </c>
      <c r="F28" s="305"/>
      <c r="G28" s="537" t="s">
        <v>1108</v>
      </c>
      <c r="H28" s="476" t="s">
        <v>1099</v>
      </c>
      <c r="J28" s="476" t="s">
        <v>1131</v>
      </c>
      <c r="L28" s="476" t="s">
        <v>1099</v>
      </c>
      <c r="M28" s="476" t="s">
        <v>1108</v>
      </c>
      <c r="O28" s="379" t="s">
        <v>1172</v>
      </c>
    </row>
    <row r="29" spans="1:15">
      <c r="B29" s="305"/>
      <c r="F29" s="305"/>
      <c r="O29" s="379" t="s">
        <v>1172</v>
      </c>
    </row>
    <row r="30" spans="1:15">
      <c r="B30" s="305"/>
      <c r="F30" s="305"/>
    </row>
    <row r="31" spans="1:15">
      <c r="E31" s="196">
        <v>3286.79</v>
      </c>
      <c r="F31">
        <v>8</v>
      </c>
      <c r="G31" s="476" t="s">
        <v>1151</v>
      </c>
      <c r="H31" s="476" t="s">
        <v>1131</v>
      </c>
      <c r="I31" s="476" t="s">
        <v>1108</v>
      </c>
      <c r="J31" s="476" t="s">
        <v>1100</v>
      </c>
      <c r="K31" s="476" t="s">
        <v>1108</v>
      </c>
      <c r="L31" s="476" t="s">
        <v>1152</v>
      </c>
      <c r="M31" s="476" t="s">
        <v>1108</v>
      </c>
      <c r="O31" t="s">
        <v>1150</v>
      </c>
    </row>
    <row r="32" spans="1:15">
      <c r="E32" s="196">
        <v>2929</v>
      </c>
      <c r="G32" s="476" t="s">
        <v>1153</v>
      </c>
      <c r="H32" s="476" t="s">
        <v>1099</v>
      </c>
      <c r="J32" s="476" t="s">
        <v>1131</v>
      </c>
      <c r="L32" s="476" t="s">
        <v>1099</v>
      </c>
      <c r="M32" s="476" t="s">
        <v>350</v>
      </c>
      <c r="O32" t="s">
        <v>1154</v>
      </c>
    </row>
    <row r="33" spans="1:15" s="315" customFormat="1">
      <c r="B33" s="315" t="s">
        <v>1157</v>
      </c>
      <c r="E33" s="316">
        <v>2634.8</v>
      </c>
      <c r="G33" s="623" t="s">
        <v>1108</v>
      </c>
      <c r="H33" s="623" t="s">
        <v>1131</v>
      </c>
      <c r="I33" s="623" t="s">
        <v>1108</v>
      </c>
      <c r="J33" s="623" t="s">
        <v>1100</v>
      </c>
      <c r="K33" s="623" t="s">
        <v>1108</v>
      </c>
      <c r="L33" s="623" t="s">
        <v>1131</v>
      </c>
      <c r="M33" s="623" t="s">
        <v>1108</v>
      </c>
      <c r="O33" s="624" t="s">
        <v>1158</v>
      </c>
    </row>
    <row r="35" spans="1:15">
      <c r="B35" s="305" t="s">
        <v>1160</v>
      </c>
      <c r="C35" s="305" t="s">
        <v>1127</v>
      </c>
      <c r="E35" s="196">
        <v>3293.69</v>
      </c>
      <c r="G35" s="476" t="s">
        <v>1102</v>
      </c>
      <c r="H35" s="476" t="s">
        <v>1161</v>
      </c>
      <c r="I35" s="465" t="s">
        <v>1099</v>
      </c>
      <c r="J35" s="476" t="s">
        <v>1100</v>
      </c>
      <c r="K35" s="465" t="s">
        <v>1099</v>
      </c>
      <c r="L35" s="476" t="s">
        <v>1161</v>
      </c>
      <c r="M35" s="476" t="s">
        <v>1102</v>
      </c>
      <c r="O35" t="s">
        <v>1162</v>
      </c>
    </row>
    <row r="37" spans="1:15">
      <c r="A37" t="s">
        <v>1144</v>
      </c>
      <c r="B37" t="s">
        <v>732</v>
      </c>
      <c r="G37" s="476" t="s">
        <v>1163</v>
      </c>
      <c r="H37" s="476" t="s">
        <v>1099</v>
      </c>
      <c r="I37" s="476" t="s">
        <v>1101</v>
      </c>
      <c r="J37" s="476" t="s">
        <v>1099</v>
      </c>
      <c r="K37" s="476" t="s">
        <v>1101</v>
      </c>
      <c r="L37" s="476" t="s">
        <v>1099</v>
      </c>
      <c r="M37" s="476" t="s">
        <v>1163</v>
      </c>
      <c r="O37" s="411" t="s">
        <v>1164</v>
      </c>
    </row>
    <row r="38" spans="1:15">
      <c r="A38" t="s">
        <v>1166</v>
      </c>
      <c r="B38" t="s">
        <v>1167</v>
      </c>
      <c r="C38" t="s">
        <v>1239</v>
      </c>
      <c r="G38" s="537" t="s">
        <v>1108</v>
      </c>
      <c r="H38" s="476" t="s">
        <v>1099</v>
      </c>
      <c r="I38" s="476" t="s">
        <v>21</v>
      </c>
      <c r="J38" s="476" t="s">
        <v>1101</v>
      </c>
      <c r="K38" s="476" t="s">
        <v>21</v>
      </c>
      <c r="L38" s="476" t="s">
        <v>1099</v>
      </c>
      <c r="M38" s="476" t="s">
        <v>1168</v>
      </c>
      <c r="O38" s="411" t="s">
        <v>1165</v>
      </c>
    </row>
    <row r="39" spans="1:15">
      <c r="B39" t="s">
        <v>1170</v>
      </c>
      <c r="G39" s="537" t="s">
        <v>1108</v>
      </c>
      <c r="H39" s="537" t="s">
        <v>1108</v>
      </c>
      <c r="I39" s="476" t="s">
        <v>1101</v>
      </c>
      <c r="J39" s="476" t="s">
        <v>1099</v>
      </c>
      <c r="K39" s="476" t="s">
        <v>1101</v>
      </c>
      <c r="L39" s="476" t="s">
        <v>1108</v>
      </c>
      <c r="M39" s="476" t="s">
        <v>1108</v>
      </c>
      <c r="O39" s="379" t="s">
        <v>1169</v>
      </c>
    </row>
    <row r="40" spans="1:15">
      <c r="A40" t="s">
        <v>1144</v>
      </c>
      <c r="B40" t="s">
        <v>1238</v>
      </c>
      <c r="G40" s="476" t="s">
        <v>1163</v>
      </c>
      <c r="H40" s="476" t="s">
        <v>1099</v>
      </c>
      <c r="I40" s="476" t="s">
        <v>1101</v>
      </c>
      <c r="J40" s="476" t="s">
        <v>1099</v>
      </c>
      <c r="K40" s="476" t="s">
        <v>1101</v>
      </c>
      <c r="L40" s="476" t="s">
        <v>1099</v>
      </c>
      <c r="M40" s="476" t="s">
        <v>1163</v>
      </c>
    </row>
    <row r="41" spans="1:15">
      <c r="A41" t="s">
        <v>1241</v>
      </c>
      <c r="B41" t="s">
        <v>1242</v>
      </c>
      <c r="C41" t="s">
        <v>1243</v>
      </c>
      <c r="G41" s="537" t="s">
        <v>1108</v>
      </c>
      <c r="H41" s="476" t="s">
        <v>1099</v>
      </c>
      <c r="J41" s="476" t="s">
        <v>1131</v>
      </c>
      <c r="L41" s="476" t="s">
        <v>1099</v>
      </c>
      <c r="M41" s="476" t="s">
        <v>1108</v>
      </c>
      <c r="O41" s="411" t="s">
        <v>1240</v>
      </c>
    </row>
    <row r="42" spans="1:15">
      <c r="A42" t="s">
        <v>1166</v>
      </c>
      <c r="B42" t="s">
        <v>1177</v>
      </c>
      <c r="G42" s="537" t="s">
        <v>1108</v>
      </c>
      <c r="H42" s="476" t="s">
        <v>1099</v>
      </c>
      <c r="I42" s="476" t="s">
        <v>1131</v>
      </c>
      <c r="J42" s="476" t="s">
        <v>1099</v>
      </c>
      <c r="K42" s="476" t="s">
        <v>1131</v>
      </c>
      <c r="L42" s="476" t="s">
        <v>1099</v>
      </c>
      <c r="M42" s="476" t="s">
        <v>1108</v>
      </c>
      <c r="O42" s="411" t="s">
        <v>1253</v>
      </c>
    </row>
    <row r="44" spans="1:15">
      <c r="A44" t="s">
        <v>1166</v>
      </c>
      <c r="B44" t="s">
        <v>1415</v>
      </c>
      <c r="G44" s="537" t="s">
        <v>1108</v>
      </c>
      <c r="H44" s="476" t="s">
        <v>1099</v>
      </c>
      <c r="I44" s="476" t="s">
        <v>1131</v>
      </c>
    </row>
    <row r="45" spans="1:15">
      <c r="A45" t="s">
        <v>1166</v>
      </c>
      <c r="B45" t="s">
        <v>1167</v>
      </c>
      <c r="G45" s="537" t="s">
        <v>1108</v>
      </c>
      <c r="H45" s="476" t="s">
        <v>1099</v>
      </c>
      <c r="I45" s="476" t="s">
        <v>1101</v>
      </c>
    </row>
    <row r="47" spans="1:15">
      <c r="B47" t="s">
        <v>894</v>
      </c>
      <c r="G47" s="476" t="s">
        <v>1108</v>
      </c>
      <c r="H47" s="476" t="s">
        <v>1099</v>
      </c>
      <c r="I47" s="476" t="s">
        <v>1099</v>
      </c>
      <c r="J47" s="476" t="s">
        <v>1421</v>
      </c>
      <c r="K47" s="476" t="s">
        <v>1099</v>
      </c>
      <c r="L47" s="476" t="s">
        <v>1099</v>
      </c>
      <c r="M47" s="476" t="s">
        <v>1108</v>
      </c>
    </row>
    <row r="49" spans="1:15">
      <c r="A49" t="s">
        <v>1430</v>
      </c>
      <c r="B49" t="s">
        <v>1122</v>
      </c>
      <c r="C49" t="s">
        <v>1431</v>
      </c>
      <c r="E49" s="196">
        <v>4787</v>
      </c>
      <c r="O49" s="411" t="s">
        <v>1432</v>
      </c>
    </row>
    <row r="50" spans="1:15">
      <c r="B50" t="s">
        <v>1324</v>
      </c>
      <c r="C50" t="s">
        <v>1433</v>
      </c>
      <c r="E50" s="196">
        <v>2559</v>
      </c>
      <c r="G50" s="623" t="s">
        <v>1108</v>
      </c>
      <c r="H50" s="623" t="s">
        <v>1131</v>
      </c>
      <c r="I50" s="623" t="s">
        <v>1108</v>
      </c>
      <c r="J50" s="623" t="s">
        <v>1100</v>
      </c>
      <c r="K50" s="623" t="s">
        <v>1108</v>
      </c>
      <c r="L50" s="623" t="s">
        <v>1131</v>
      </c>
      <c r="M50" s="623" t="s">
        <v>1108</v>
      </c>
    </row>
    <row r="51" spans="1:15">
      <c r="B51" t="s">
        <v>1434</v>
      </c>
      <c r="E51" s="196">
        <v>3641</v>
      </c>
      <c r="G51" s="476" t="s">
        <v>1102</v>
      </c>
      <c r="H51" s="476" t="s">
        <v>1109</v>
      </c>
      <c r="I51" s="476" t="s">
        <v>1108</v>
      </c>
      <c r="J51" s="476" t="s">
        <v>1100</v>
      </c>
      <c r="K51" s="476" t="s">
        <v>1108</v>
      </c>
      <c r="L51" s="476" t="s">
        <v>1109</v>
      </c>
      <c r="M51" s="476" t="s">
        <v>1100</v>
      </c>
    </row>
  </sheetData>
  <hyperlinks>
    <hyperlink ref="N9" r:id="rId1" display="https://aliexpress.ru/store/2330006"/>
    <hyperlink ref="N5" r:id="rId2" display="https://aliexpress.ru/store/3683004"/>
    <hyperlink ref="O16" r:id="rId3"/>
    <hyperlink ref="O29" r:id="rId4"/>
    <hyperlink ref="O14" r:id="rId5"/>
    <hyperlink ref="O39" r:id="rId6"/>
    <hyperlink ref="O28" r:id="rId7"/>
    <hyperlink ref="O33" r:id="rId8"/>
    <hyperlink ref="O3" r:id="rId9"/>
    <hyperlink ref="O2" r:id="rId10"/>
  </hyperlinks>
  <pageMargins left="0.7" right="0.7" top="0.75" bottom="0.75" header="0.3" footer="0.3"/>
  <pageSetup paperSize="9" orientation="portrait" r:id="rId11"/>
</worksheet>
</file>

<file path=xl/worksheets/sheet53.xml><?xml version="1.0" encoding="utf-8"?>
<worksheet xmlns="http://schemas.openxmlformats.org/spreadsheetml/2006/main" xmlns:r="http://schemas.openxmlformats.org/officeDocument/2006/relationships">
  <dimension ref="B1:C14"/>
  <sheetViews>
    <sheetView workbookViewId="0">
      <selection activeCell="I31" sqref="I31"/>
    </sheetView>
  </sheetViews>
  <sheetFormatPr defaultRowHeight="15"/>
  <cols>
    <col min="1" max="1" width="8.5703125" customWidth="1"/>
    <col min="2" max="2" width="12.85546875" customWidth="1"/>
    <col min="3" max="3" width="14.85546875" customWidth="1"/>
  </cols>
  <sheetData>
    <row r="1" spans="2:3">
      <c r="B1">
        <f>SUM(B2:B18)</f>
        <v>19225.330000000002</v>
      </c>
    </row>
    <row r="2" spans="2:3">
      <c r="B2" s="339">
        <v>258.07</v>
      </c>
      <c r="C2" t="s">
        <v>1273</v>
      </c>
    </row>
    <row r="3" spans="2:3">
      <c r="B3" s="330">
        <v>2086.2600000000002</v>
      </c>
      <c r="C3" t="s">
        <v>1009</v>
      </c>
    </row>
    <row r="4" spans="2:3">
      <c r="B4" s="488">
        <v>1669.59</v>
      </c>
      <c r="C4" t="s">
        <v>1274</v>
      </c>
    </row>
    <row r="5" spans="2:3">
      <c r="B5" s="339">
        <v>558.21</v>
      </c>
      <c r="C5" t="s">
        <v>1275</v>
      </c>
    </row>
    <row r="6" spans="2:3">
      <c r="B6" s="312">
        <v>543.77</v>
      </c>
      <c r="C6" t="s">
        <v>1276</v>
      </c>
    </row>
    <row r="7" spans="2:3">
      <c r="B7" s="312">
        <v>206.53</v>
      </c>
      <c r="C7" t="s">
        <v>1276</v>
      </c>
    </row>
    <row r="8" spans="2:3">
      <c r="B8" s="312">
        <v>619.6</v>
      </c>
      <c r="C8" t="s">
        <v>1276</v>
      </c>
    </row>
    <row r="9" spans="2:3">
      <c r="B9" s="312">
        <v>718.53</v>
      </c>
      <c r="C9" t="s">
        <v>1276</v>
      </c>
    </row>
    <row r="10" spans="2:3">
      <c r="B10" s="330">
        <v>3704.12</v>
      </c>
      <c r="C10" t="s">
        <v>1277</v>
      </c>
    </row>
    <row r="11" spans="2:3">
      <c r="B11" s="310">
        <v>1391.56</v>
      </c>
      <c r="C11" t="s">
        <v>1278</v>
      </c>
    </row>
    <row r="12" spans="2:3">
      <c r="B12" s="339">
        <v>310.52</v>
      </c>
      <c r="C12" t="s">
        <v>1273</v>
      </c>
    </row>
    <row r="13" spans="2:3">
      <c r="B13" s="310">
        <v>1630.59</v>
      </c>
      <c r="C13" t="s">
        <v>797</v>
      </c>
    </row>
    <row r="14" spans="2:3">
      <c r="B14" s="330">
        <v>5527.98</v>
      </c>
      <c r="C14" t="s">
        <v>1279</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B2:J9"/>
  <sheetViews>
    <sheetView workbookViewId="0">
      <selection activeCell="I18" sqref="I18"/>
    </sheetView>
  </sheetViews>
  <sheetFormatPr defaultRowHeight="15"/>
  <cols>
    <col min="3" max="3" width="14.7109375" customWidth="1"/>
    <col min="4" max="4" width="9" customWidth="1"/>
    <col min="9" max="9" width="18.28515625" customWidth="1"/>
  </cols>
  <sheetData>
    <row r="2" spans="2:10">
      <c r="D2">
        <f>SUM(D3:D35)</f>
        <v>18600</v>
      </c>
      <c r="I2" t="s">
        <v>1457</v>
      </c>
      <c r="J2" t="s">
        <v>1458</v>
      </c>
    </row>
    <row r="3" spans="2:10">
      <c r="B3" t="s">
        <v>1443</v>
      </c>
      <c r="C3" t="s">
        <v>921</v>
      </c>
      <c r="D3" s="238">
        <v>2100</v>
      </c>
      <c r="E3" t="s">
        <v>1450</v>
      </c>
      <c r="I3" t="s">
        <v>1455</v>
      </c>
      <c r="J3" t="s">
        <v>1456</v>
      </c>
    </row>
    <row r="4" spans="2:10">
      <c r="B4" t="s">
        <v>1443</v>
      </c>
      <c r="C4" t="s">
        <v>849</v>
      </c>
      <c r="D4" s="238">
        <v>2100</v>
      </c>
      <c r="E4" t="s">
        <v>1451</v>
      </c>
      <c r="I4" t="s">
        <v>1459</v>
      </c>
      <c r="J4" t="s">
        <v>1460</v>
      </c>
    </row>
    <row r="5" spans="2:10">
      <c r="B5" t="s">
        <v>1254</v>
      </c>
      <c r="C5" t="s">
        <v>1324</v>
      </c>
      <c r="D5" s="238">
        <v>2000</v>
      </c>
      <c r="E5" t="s">
        <v>1449</v>
      </c>
      <c r="I5" t="s">
        <v>1461</v>
      </c>
      <c r="J5" t="s">
        <v>1462</v>
      </c>
    </row>
    <row r="6" spans="2:10">
      <c r="B6" t="s">
        <v>1254</v>
      </c>
      <c r="C6" t="s">
        <v>670</v>
      </c>
      <c r="D6" s="238">
        <v>3100</v>
      </c>
      <c r="E6" t="s">
        <v>1449</v>
      </c>
      <c r="I6" t="s">
        <v>1463</v>
      </c>
      <c r="J6" t="s">
        <v>1464</v>
      </c>
    </row>
    <row r="7" spans="2:10">
      <c r="B7" t="s">
        <v>1254</v>
      </c>
      <c r="C7" t="s">
        <v>1324</v>
      </c>
      <c r="D7">
        <v>2600</v>
      </c>
      <c r="E7" t="s">
        <v>1452</v>
      </c>
      <c r="I7" t="s">
        <v>1466</v>
      </c>
      <c r="J7" t="s">
        <v>1465</v>
      </c>
    </row>
    <row r="8" spans="2:10">
      <c r="B8" t="s">
        <v>1254</v>
      </c>
      <c r="C8" t="s">
        <v>670</v>
      </c>
      <c r="D8" s="238">
        <v>3200</v>
      </c>
      <c r="E8" t="s">
        <v>1447</v>
      </c>
    </row>
    <row r="9" spans="2:10">
      <c r="B9" t="s">
        <v>1254</v>
      </c>
      <c r="C9" t="s">
        <v>1444</v>
      </c>
      <c r="D9" s="238">
        <v>3500</v>
      </c>
      <c r="E9" t="s">
        <v>1448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E2:E13"/>
  <sheetViews>
    <sheetView workbookViewId="0">
      <selection activeCell="E2" sqref="D2:E13"/>
    </sheetView>
  </sheetViews>
  <sheetFormatPr defaultRowHeight="15"/>
  <sheetData>
    <row r="2" spans="5:5">
      <c r="E2">
        <v>94</v>
      </c>
    </row>
    <row r="3" spans="5:5">
      <c r="E3">
        <v>8</v>
      </c>
    </row>
    <row r="4" spans="5:5">
      <c r="E4">
        <v>267</v>
      </c>
    </row>
    <row r="5" spans="5:5">
      <c r="E5">
        <v>180</v>
      </c>
    </row>
    <row r="6" spans="5:5">
      <c r="E6">
        <v>180</v>
      </c>
    </row>
    <row r="7" spans="5:5">
      <c r="E7">
        <v>93</v>
      </c>
    </row>
    <row r="8" spans="5:5">
      <c r="E8">
        <v>117</v>
      </c>
    </row>
    <row r="9" spans="5:5">
      <c r="E9">
        <v>168</v>
      </c>
    </row>
    <row r="10" spans="5:5">
      <c r="E10">
        <v>154</v>
      </c>
    </row>
    <row r="11" spans="5:5">
      <c r="E11">
        <v>126</v>
      </c>
    </row>
    <row r="12" spans="5:5">
      <c r="E12">
        <v>190</v>
      </c>
    </row>
    <row r="13" spans="5:5">
      <c r="E13">
        <v>190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P30"/>
  <sheetViews>
    <sheetView workbookViewId="0">
      <selection activeCell="E30" sqref="E30"/>
    </sheetView>
  </sheetViews>
  <sheetFormatPr defaultRowHeight="15"/>
  <cols>
    <col min="2" max="2" width="13.85546875" style="1" customWidth="1"/>
    <col min="3" max="3" width="12.42578125" customWidth="1"/>
    <col min="4" max="5" width="11.7109375" customWidth="1"/>
    <col min="6" max="6" width="10.7109375" customWidth="1"/>
    <col min="7" max="7" width="11" customWidth="1"/>
    <col min="8" max="8" width="10.42578125" customWidth="1"/>
    <col min="9" max="10" width="11.85546875" customWidth="1"/>
    <col min="11" max="11" width="12.42578125" customWidth="1"/>
    <col min="12" max="12" width="11" customWidth="1"/>
    <col min="13" max="13" width="10.7109375" customWidth="1"/>
    <col min="14" max="14" width="10.5703125" customWidth="1"/>
    <col min="15" max="15" width="10.140625" customWidth="1"/>
    <col min="16" max="16" width="11.5703125" customWidth="1"/>
  </cols>
  <sheetData>
    <row r="2" spans="1:16" ht="15.75" thickBot="1">
      <c r="C2" s="74" t="s">
        <v>14</v>
      </c>
      <c r="D2" s="74"/>
      <c r="E2" s="74"/>
      <c r="F2" s="118"/>
      <c r="G2" s="73" t="s">
        <v>13</v>
      </c>
      <c r="H2" s="74" t="s">
        <v>15</v>
      </c>
      <c r="I2" s="74" t="s">
        <v>16</v>
      </c>
      <c r="J2" s="74" t="s">
        <v>17</v>
      </c>
      <c r="K2" s="74" t="s">
        <v>18</v>
      </c>
      <c r="L2" s="74" t="s">
        <v>19</v>
      </c>
      <c r="M2" s="74" t="s">
        <v>22</v>
      </c>
      <c r="N2" s="74" t="s">
        <v>23</v>
      </c>
      <c r="O2" s="74" t="s">
        <v>24</v>
      </c>
      <c r="P2" s="74" t="s">
        <v>20</v>
      </c>
    </row>
    <row r="3" spans="1:16">
      <c r="C3" s="26">
        <f>SUM(G3:U3)</f>
        <v>81330</v>
      </c>
      <c r="D3" s="26">
        <f>AVERAGE(G3:U3)</f>
        <v>9036.6666666666661</v>
      </c>
      <c r="E3" s="26">
        <f>STDEV(G3:T3)</f>
        <v>5730.7242125232306</v>
      </c>
      <c r="F3" s="119">
        <v>60</v>
      </c>
      <c r="G3" s="45">
        <v>-3050</v>
      </c>
      <c r="H3" s="45">
        <v>10760</v>
      </c>
      <c r="I3" s="45">
        <v>10340</v>
      </c>
      <c r="J3" s="45">
        <v>3730</v>
      </c>
      <c r="K3" s="45">
        <v>13710</v>
      </c>
      <c r="L3" s="49">
        <v>7120</v>
      </c>
      <c r="M3" s="49">
        <v>15890</v>
      </c>
      <c r="N3" s="43">
        <v>11510</v>
      </c>
      <c r="O3" s="43">
        <v>11320</v>
      </c>
    </row>
    <row r="4" spans="1:16">
      <c r="C4" s="27">
        <f t="shared" ref="C4:C10" si="0">SUM(G4:U4)</f>
        <v>144260</v>
      </c>
      <c r="D4" s="27">
        <f t="shared" ref="D4:D10" si="1">AVERAGE(G4:U4)</f>
        <v>16028.888888888889</v>
      </c>
      <c r="E4" s="27">
        <f t="shared" ref="E4:E10" si="2">STDEV(G4:T4)</f>
        <v>6072.0660496334449</v>
      </c>
      <c r="F4" s="120">
        <v>120</v>
      </c>
      <c r="G4" s="49">
        <v>16670</v>
      </c>
      <c r="H4" s="49">
        <v>14330</v>
      </c>
      <c r="I4" s="49">
        <v>17350</v>
      </c>
      <c r="J4" s="49">
        <v>4000</v>
      </c>
      <c r="K4" s="49">
        <v>12670</v>
      </c>
      <c r="L4" s="49">
        <v>13460</v>
      </c>
      <c r="M4" s="49">
        <v>18110</v>
      </c>
      <c r="N4" s="47">
        <v>24590</v>
      </c>
      <c r="O4" s="47">
        <v>23080</v>
      </c>
    </row>
    <row r="5" spans="1:16">
      <c r="C5" s="27">
        <f t="shared" si="0"/>
        <v>146180</v>
      </c>
      <c r="D5" s="27">
        <f t="shared" si="1"/>
        <v>16242.222222222223</v>
      </c>
      <c r="E5" s="27">
        <f t="shared" si="2"/>
        <v>4963.6246276732509</v>
      </c>
      <c r="F5" s="120">
        <v>150</v>
      </c>
      <c r="G5" s="49">
        <v>15130</v>
      </c>
      <c r="H5" s="49">
        <v>17080</v>
      </c>
      <c r="I5" s="49">
        <v>10530</v>
      </c>
      <c r="J5" s="49">
        <v>10310</v>
      </c>
      <c r="K5" s="49">
        <v>14460</v>
      </c>
      <c r="L5" s="49">
        <v>15770</v>
      </c>
      <c r="M5" s="49">
        <v>15050</v>
      </c>
      <c r="N5" s="47">
        <v>22430</v>
      </c>
      <c r="O5" s="47">
        <v>25420</v>
      </c>
    </row>
    <row r="6" spans="1:16">
      <c r="C6" s="27">
        <f t="shared" si="0"/>
        <v>138740</v>
      </c>
      <c r="D6" s="27">
        <f t="shared" si="1"/>
        <v>15415.555555555555</v>
      </c>
      <c r="E6" s="27">
        <f t="shared" si="2"/>
        <v>8387.5459925879277</v>
      </c>
      <c r="F6" s="120">
        <v>180</v>
      </c>
      <c r="G6" s="49">
        <v>8200</v>
      </c>
      <c r="H6" s="49">
        <v>12170</v>
      </c>
      <c r="I6" s="49">
        <v>12890</v>
      </c>
      <c r="J6" s="49">
        <v>7010</v>
      </c>
      <c r="K6" s="49">
        <v>15160</v>
      </c>
      <c r="L6" s="52">
        <v>13450</v>
      </c>
      <c r="M6" s="52">
        <v>10820</v>
      </c>
      <c r="N6" s="47">
        <v>29160</v>
      </c>
      <c r="O6" s="47">
        <v>29880</v>
      </c>
    </row>
    <row r="7" spans="1:16">
      <c r="C7" s="34">
        <f t="shared" si="0"/>
        <v>172040</v>
      </c>
      <c r="D7" s="34">
        <f t="shared" si="1"/>
        <v>19115.555555555555</v>
      </c>
      <c r="E7" s="34">
        <f t="shared" si="2"/>
        <v>7600.419579061263</v>
      </c>
      <c r="F7" s="121">
        <v>240</v>
      </c>
      <c r="G7" s="52">
        <v>25130</v>
      </c>
      <c r="H7" s="52">
        <v>12570</v>
      </c>
      <c r="I7" s="52">
        <v>17870</v>
      </c>
      <c r="J7" s="52">
        <v>14330</v>
      </c>
      <c r="K7" s="52">
        <v>19430</v>
      </c>
      <c r="L7" s="52">
        <v>12910</v>
      </c>
      <c r="M7" s="52">
        <v>11120</v>
      </c>
      <c r="N7" s="50">
        <v>24490</v>
      </c>
      <c r="O7" s="50">
        <v>34190</v>
      </c>
    </row>
    <row r="8" spans="1:16">
      <c r="C8" s="34">
        <f t="shared" si="0"/>
        <v>150690</v>
      </c>
      <c r="D8" s="34">
        <f t="shared" si="1"/>
        <v>16743.333333333332</v>
      </c>
      <c r="E8" s="34">
        <f t="shared" si="2"/>
        <v>6476.3820918781503</v>
      </c>
      <c r="F8" s="121">
        <v>300</v>
      </c>
      <c r="G8" s="52">
        <v>18710</v>
      </c>
      <c r="H8" s="52">
        <v>11160</v>
      </c>
      <c r="I8" s="52">
        <v>13340</v>
      </c>
      <c r="J8" s="52">
        <v>18470</v>
      </c>
      <c r="K8" s="52">
        <v>13210</v>
      </c>
      <c r="L8" s="49">
        <v>12750</v>
      </c>
      <c r="M8" s="49">
        <v>10270</v>
      </c>
      <c r="N8" s="50">
        <v>22550</v>
      </c>
      <c r="O8" s="50">
        <v>30230</v>
      </c>
    </row>
    <row r="9" spans="1:16">
      <c r="C9" s="27">
        <f t="shared" si="0"/>
        <v>108320</v>
      </c>
      <c r="D9" s="27">
        <f t="shared" si="1"/>
        <v>12035.555555555555</v>
      </c>
      <c r="E9" s="27">
        <f t="shared" si="2"/>
        <v>5700.2019944715812</v>
      </c>
      <c r="F9" s="120">
        <v>450</v>
      </c>
      <c r="G9" s="49">
        <v>19810</v>
      </c>
      <c r="H9" s="49">
        <v>6890</v>
      </c>
      <c r="I9" s="49">
        <v>10000</v>
      </c>
      <c r="J9" s="49">
        <v>14550</v>
      </c>
      <c r="K9" s="49">
        <v>4660</v>
      </c>
      <c r="L9" s="49">
        <v>10130</v>
      </c>
      <c r="M9" s="49">
        <v>9630</v>
      </c>
      <c r="N9" s="47">
        <v>10760</v>
      </c>
      <c r="O9" s="47">
        <v>21890</v>
      </c>
    </row>
    <row r="10" spans="1:16">
      <c r="C10" s="27">
        <f t="shared" si="0"/>
        <v>94250</v>
      </c>
      <c r="D10" s="27">
        <f t="shared" si="1"/>
        <v>10472.222222222223</v>
      </c>
      <c r="E10" s="27">
        <f t="shared" si="2"/>
        <v>4047.9123563195444</v>
      </c>
      <c r="F10" s="120">
        <v>600</v>
      </c>
      <c r="G10" s="49">
        <v>16020</v>
      </c>
      <c r="H10" s="49">
        <v>8390</v>
      </c>
      <c r="I10" s="49">
        <v>6760</v>
      </c>
      <c r="J10" s="49">
        <v>5130</v>
      </c>
      <c r="K10" s="49">
        <v>6350</v>
      </c>
      <c r="L10" s="49">
        <v>12890</v>
      </c>
      <c r="M10" s="49">
        <v>10240</v>
      </c>
      <c r="N10" s="47">
        <v>13130</v>
      </c>
      <c r="O10" s="47">
        <v>15340</v>
      </c>
    </row>
    <row r="11" spans="1:16" ht="15.75" thickBot="1">
      <c r="C11" s="4">
        <f>SUM(C3:C10)</f>
        <v>1035810</v>
      </c>
      <c r="D11" s="4">
        <f>AVERAGE(C3:C10)</f>
        <v>129476.25</v>
      </c>
      <c r="E11" s="4">
        <f>STDEV(C3:C10)</f>
        <v>31285.835652895705</v>
      </c>
      <c r="F11" s="120"/>
      <c r="G11" s="68">
        <f t="shared" ref="G11:O11" si="3">SUM(G3:G10)</f>
        <v>116620</v>
      </c>
      <c r="H11" s="4">
        <f t="shared" si="3"/>
        <v>93350</v>
      </c>
      <c r="I11" s="4">
        <f t="shared" si="3"/>
        <v>99080</v>
      </c>
      <c r="J11" s="71">
        <f t="shared" si="3"/>
        <v>77530</v>
      </c>
      <c r="K11" s="4">
        <f t="shared" si="3"/>
        <v>99650</v>
      </c>
      <c r="L11" s="71">
        <f t="shared" si="3"/>
        <v>98480</v>
      </c>
      <c r="M11" s="4">
        <f t="shared" si="3"/>
        <v>101130</v>
      </c>
      <c r="N11" s="4">
        <f t="shared" si="3"/>
        <v>158620</v>
      </c>
      <c r="O11" s="68">
        <f t="shared" si="3"/>
        <v>191350</v>
      </c>
    </row>
    <row r="12" spans="1:16">
      <c r="C12" s="39">
        <f t="shared" ref="C12:C15" si="4">SUM(G12:U12)</f>
        <v>347560</v>
      </c>
      <c r="D12" s="39">
        <f t="shared" ref="D12:D15" si="5">AVERAGE(G12:U12)</f>
        <v>34756</v>
      </c>
      <c r="E12" s="39">
        <f t="shared" ref="E12:E15" si="6">STDEV(G12:T12)</f>
        <v>12629.995337379274</v>
      </c>
      <c r="F12" s="119" t="s">
        <v>32</v>
      </c>
      <c r="G12" s="56">
        <v>40410</v>
      </c>
      <c r="H12" s="56">
        <v>19140</v>
      </c>
      <c r="I12" s="56">
        <v>18860</v>
      </c>
      <c r="J12" s="56">
        <v>36620</v>
      </c>
      <c r="K12" s="56">
        <v>46100</v>
      </c>
      <c r="L12" s="56">
        <v>15110</v>
      </c>
      <c r="M12" s="56">
        <v>38440</v>
      </c>
      <c r="N12" s="54">
        <v>37470</v>
      </c>
      <c r="O12" s="54">
        <v>51750</v>
      </c>
      <c r="P12" s="116">
        <v>43660</v>
      </c>
    </row>
    <row r="13" spans="1:16" ht="15.75" thickBot="1">
      <c r="C13" s="34">
        <f t="shared" si="4"/>
        <v>362760</v>
      </c>
      <c r="D13" s="34">
        <f t="shared" si="5"/>
        <v>36276</v>
      </c>
      <c r="E13" s="34">
        <f t="shared" si="6"/>
        <v>12453.536936237118</v>
      </c>
      <c r="F13" s="121" t="s">
        <v>33</v>
      </c>
      <c r="G13" s="52">
        <v>41050</v>
      </c>
      <c r="H13" s="52">
        <v>23290</v>
      </c>
      <c r="I13" s="52">
        <v>19420</v>
      </c>
      <c r="J13" s="52">
        <v>34690</v>
      </c>
      <c r="K13" s="52">
        <v>48270</v>
      </c>
      <c r="L13" s="52">
        <v>16680</v>
      </c>
      <c r="M13" s="52">
        <v>43580</v>
      </c>
      <c r="N13" s="50">
        <v>38430</v>
      </c>
      <c r="O13" s="50">
        <v>52170</v>
      </c>
      <c r="P13" s="117">
        <v>45180</v>
      </c>
    </row>
    <row r="14" spans="1:16" ht="15.75" thickBot="1">
      <c r="C14" s="40">
        <f t="shared" si="4"/>
        <v>360460</v>
      </c>
      <c r="D14" s="34">
        <f t="shared" si="5"/>
        <v>36046</v>
      </c>
      <c r="E14" s="34">
        <f t="shared" si="6"/>
        <v>14619.134493304771</v>
      </c>
      <c r="F14" s="119" t="s">
        <v>36</v>
      </c>
      <c r="G14" s="52">
        <v>42830</v>
      </c>
      <c r="H14" s="52">
        <v>21150</v>
      </c>
      <c r="I14" s="52">
        <v>16250</v>
      </c>
      <c r="J14" s="52">
        <v>31950</v>
      </c>
      <c r="K14" s="52">
        <v>44950</v>
      </c>
      <c r="L14" s="52">
        <v>15980</v>
      </c>
      <c r="M14" s="52">
        <v>39150</v>
      </c>
      <c r="N14" s="50">
        <v>38500</v>
      </c>
      <c r="O14" s="50">
        <v>59440</v>
      </c>
      <c r="P14" s="57">
        <v>50260</v>
      </c>
    </row>
    <row r="15" spans="1:16">
      <c r="A15" t="s">
        <v>2</v>
      </c>
      <c r="B15" s="1">
        <f>STDEV(G12:AA15)</f>
        <v>13031.903434087617</v>
      </c>
      <c r="C15" s="37">
        <f t="shared" si="4"/>
        <v>376650</v>
      </c>
      <c r="D15" s="28">
        <f t="shared" si="5"/>
        <v>37665</v>
      </c>
      <c r="E15" s="28">
        <f t="shared" si="6"/>
        <v>14243.326897572459</v>
      </c>
      <c r="F15" s="121" t="s">
        <v>37</v>
      </c>
      <c r="G15" s="56">
        <v>42010</v>
      </c>
      <c r="H15" s="56">
        <v>26490</v>
      </c>
      <c r="I15" s="56">
        <v>17780</v>
      </c>
      <c r="J15" s="56">
        <v>31300</v>
      </c>
      <c r="K15" s="56">
        <v>43630</v>
      </c>
      <c r="L15" s="56">
        <v>17050</v>
      </c>
      <c r="M15" s="56">
        <v>45360</v>
      </c>
      <c r="N15" s="54">
        <v>41490</v>
      </c>
      <c r="O15" s="54">
        <v>61070</v>
      </c>
      <c r="P15" s="57">
        <v>50470</v>
      </c>
    </row>
    <row r="16" spans="1:16" ht="15.75" thickBot="1">
      <c r="A16" t="s">
        <v>1</v>
      </c>
      <c r="B16" s="1">
        <f>AVERAGE(G12:AA15)</f>
        <v>36185.75</v>
      </c>
      <c r="C16" s="4">
        <f>SUM(C12:C15)</f>
        <v>1447430</v>
      </c>
      <c r="D16" s="4">
        <f>AVERAGE(C12:C15)</f>
        <v>361857.5</v>
      </c>
      <c r="E16" s="4">
        <f>STDEV(C12:C15)</f>
        <v>11916.432282077272</v>
      </c>
      <c r="F16" s="120"/>
      <c r="G16" s="71">
        <f t="shared" ref="G16:P16" si="7">SUM(G12:G15)</f>
        <v>166300</v>
      </c>
      <c r="H16" s="71">
        <f t="shared" si="7"/>
        <v>90070</v>
      </c>
      <c r="I16" s="71">
        <f t="shared" si="7"/>
        <v>72310</v>
      </c>
      <c r="J16" s="71">
        <f t="shared" si="7"/>
        <v>134560</v>
      </c>
      <c r="K16" s="4">
        <f t="shared" si="7"/>
        <v>182950</v>
      </c>
      <c r="L16" s="71">
        <f t="shared" si="7"/>
        <v>64820</v>
      </c>
      <c r="M16" s="4">
        <f t="shared" si="7"/>
        <v>166530</v>
      </c>
      <c r="N16" s="71">
        <f t="shared" si="7"/>
        <v>155890</v>
      </c>
      <c r="O16" s="123">
        <f t="shared" si="7"/>
        <v>224430</v>
      </c>
      <c r="P16" s="4">
        <f t="shared" si="7"/>
        <v>189570</v>
      </c>
    </row>
    <row r="17" spans="2:16">
      <c r="C17" s="41">
        <f t="shared" ref="C17:C20" si="8">SUM(G17:U17)</f>
        <v>356790</v>
      </c>
      <c r="D17" s="41">
        <f t="shared" ref="D17:D20" si="9">AVERAGE(G17:U17)</f>
        <v>35679</v>
      </c>
      <c r="E17" s="41">
        <f t="shared" ref="E17:E20" si="10">STDEV(G17:T17)</f>
        <v>11880.879550306403</v>
      </c>
      <c r="F17" s="119" t="s">
        <v>32</v>
      </c>
      <c r="G17" s="60">
        <v>42480</v>
      </c>
      <c r="H17" s="60">
        <v>21770</v>
      </c>
      <c r="I17" s="60">
        <v>21890</v>
      </c>
      <c r="J17" s="60">
        <v>40140</v>
      </c>
      <c r="K17" s="60">
        <v>40790</v>
      </c>
      <c r="L17" s="60">
        <v>16600</v>
      </c>
      <c r="M17" s="60">
        <v>34980</v>
      </c>
      <c r="N17" s="58">
        <v>41570</v>
      </c>
      <c r="O17" s="58">
        <v>54510</v>
      </c>
      <c r="P17" s="57">
        <v>42060</v>
      </c>
    </row>
    <row r="18" spans="2:16" ht="15.75" thickBot="1">
      <c r="C18" s="34">
        <f t="shared" si="8"/>
        <v>386580</v>
      </c>
      <c r="D18" s="34">
        <f t="shared" si="9"/>
        <v>38658</v>
      </c>
      <c r="E18" s="34">
        <f t="shared" si="10"/>
        <v>12389.686391870009</v>
      </c>
      <c r="F18" s="121" t="s">
        <v>33</v>
      </c>
      <c r="G18" s="52">
        <v>42300</v>
      </c>
      <c r="H18" s="52">
        <v>25690</v>
      </c>
      <c r="I18" s="52">
        <v>27890</v>
      </c>
      <c r="J18" s="52">
        <v>38510</v>
      </c>
      <c r="K18" s="52">
        <v>45030</v>
      </c>
      <c r="L18" s="52">
        <v>17420</v>
      </c>
      <c r="M18" s="52">
        <v>38840</v>
      </c>
      <c r="N18" s="50">
        <v>47570</v>
      </c>
      <c r="O18" s="50">
        <v>61010</v>
      </c>
      <c r="P18" s="57">
        <v>42320</v>
      </c>
    </row>
    <row r="19" spans="2:16">
      <c r="C19" s="29">
        <f t="shared" si="8"/>
        <v>363300</v>
      </c>
      <c r="D19" s="29">
        <f t="shared" si="9"/>
        <v>36330</v>
      </c>
      <c r="E19" s="29">
        <f t="shared" si="10"/>
        <v>11722.225803053692</v>
      </c>
      <c r="F19" s="119" t="s">
        <v>36</v>
      </c>
      <c r="G19" s="60">
        <v>44810</v>
      </c>
      <c r="H19" s="60">
        <v>22950</v>
      </c>
      <c r="I19" s="60">
        <v>21680</v>
      </c>
      <c r="J19" s="60">
        <v>38050</v>
      </c>
      <c r="K19" s="60">
        <v>45130</v>
      </c>
      <c r="L19" s="60">
        <v>17350</v>
      </c>
      <c r="M19" s="60">
        <v>34860</v>
      </c>
      <c r="N19" s="58">
        <v>41710</v>
      </c>
      <c r="O19" s="58">
        <v>50500</v>
      </c>
      <c r="P19" s="57">
        <v>46260</v>
      </c>
    </row>
    <row r="20" spans="2:16">
      <c r="B20" s="1">
        <f>STDEV(G17:AA20)</f>
        <v>11620.588934278983</v>
      </c>
      <c r="C20" s="29">
        <f t="shared" si="8"/>
        <v>389930</v>
      </c>
      <c r="D20" s="29">
        <f t="shared" si="9"/>
        <v>38993</v>
      </c>
      <c r="E20" s="29">
        <f t="shared" si="10"/>
        <v>11998.115639086369</v>
      </c>
      <c r="F20" s="121" t="s">
        <v>37</v>
      </c>
      <c r="G20" s="60">
        <v>43350</v>
      </c>
      <c r="H20" s="60">
        <v>25930</v>
      </c>
      <c r="I20" s="60">
        <v>29320</v>
      </c>
      <c r="J20" s="60">
        <v>39910</v>
      </c>
      <c r="K20" s="60">
        <v>43730</v>
      </c>
      <c r="L20" s="60">
        <v>17450</v>
      </c>
      <c r="M20" s="60">
        <v>36840</v>
      </c>
      <c r="N20" s="58">
        <v>48690</v>
      </c>
      <c r="O20" s="58">
        <v>58240</v>
      </c>
      <c r="P20" s="57">
        <v>46470</v>
      </c>
    </row>
    <row r="21" spans="2:16">
      <c r="B21" s="1">
        <f>AVERAGE(G17:AA20)</f>
        <v>37415</v>
      </c>
      <c r="C21" s="4">
        <f>SUM(C17:C20)</f>
        <v>1496600</v>
      </c>
      <c r="D21" s="4">
        <f>AVERAGE(C17:C20)</f>
        <v>374150</v>
      </c>
      <c r="E21" s="4">
        <f>STDEV(C17:C20)</f>
        <v>16559.03982723636</v>
      </c>
      <c r="F21" s="120"/>
      <c r="G21" s="4">
        <f t="shared" ref="G21:P21" si="11">SUM(G17:G20)</f>
        <v>172940</v>
      </c>
      <c r="H21" s="4">
        <f t="shared" si="11"/>
        <v>96340</v>
      </c>
      <c r="I21" s="4">
        <f t="shared" si="11"/>
        <v>100780</v>
      </c>
      <c r="J21" s="4">
        <f t="shared" si="11"/>
        <v>156610</v>
      </c>
      <c r="K21" s="71">
        <f t="shared" si="11"/>
        <v>174680</v>
      </c>
      <c r="L21" s="4">
        <f t="shared" si="11"/>
        <v>68820</v>
      </c>
      <c r="M21" s="71">
        <f t="shared" si="11"/>
        <v>145520</v>
      </c>
      <c r="N21" s="4">
        <f t="shared" si="11"/>
        <v>179540</v>
      </c>
      <c r="O21" s="123">
        <f t="shared" si="11"/>
        <v>224260</v>
      </c>
      <c r="P21" s="71">
        <f t="shared" si="11"/>
        <v>177110</v>
      </c>
    </row>
    <row r="22" spans="2:16">
      <c r="C22" s="1">
        <f>SUM(G22:O22)</f>
        <v>3613160</v>
      </c>
      <c r="D22" s="1">
        <f>AVERAGE(G22:O22)</f>
        <v>401462.22222222225</v>
      </c>
      <c r="E22" s="72">
        <f>STDEV(G22:O22)</f>
        <v>128929.22600963856</v>
      </c>
      <c r="F22" s="122"/>
      <c r="G22" s="1">
        <f t="shared" ref="G22:P22" si="12">SUM(G3:G10,G12:G15,G17:G20)</f>
        <v>455860</v>
      </c>
      <c r="H22" s="1">
        <f t="shared" si="12"/>
        <v>279760</v>
      </c>
      <c r="I22" s="1">
        <f t="shared" si="12"/>
        <v>272170</v>
      </c>
      <c r="J22" s="1">
        <f t="shared" si="12"/>
        <v>368700</v>
      </c>
      <c r="K22" s="1">
        <f t="shared" si="12"/>
        <v>457280</v>
      </c>
      <c r="L22" s="1">
        <f t="shared" si="12"/>
        <v>232120</v>
      </c>
      <c r="M22" s="1">
        <f t="shared" si="12"/>
        <v>413180</v>
      </c>
      <c r="N22" s="1">
        <f t="shared" si="12"/>
        <v>494050</v>
      </c>
      <c r="O22" s="1">
        <f t="shared" si="12"/>
        <v>640040</v>
      </c>
      <c r="P22" s="1">
        <f t="shared" si="12"/>
        <v>366680</v>
      </c>
    </row>
    <row r="23" spans="2:16">
      <c r="C23" s="65">
        <f>SUM($C3:$C10,$C12:$C15,$C17:$C20)</f>
        <v>3979840</v>
      </c>
      <c r="D23" s="65">
        <f>AVERAGE($C3:$C10,$C12:$C15,$C17:$C20)</f>
        <v>248740</v>
      </c>
      <c r="E23" s="65">
        <f>STDEV($C3:$C10,$C12:$C15,$C17:$C20)</f>
        <v>125428.3110519046</v>
      </c>
      <c r="F23" s="122"/>
      <c r="G23" s="1">
        <f t="shared" ref="G23:P23" si="13">AVERAGE(G3:G10,G12:G15,G17:G20)</f>
        <v>28491.25</v>
      </c>
      <c r="H23" s="1">
        <f t="shared" si="13"/>
        <v>17485</v>
      </c>
      <c r="I23" s="1">
        <f t="shared" si="13"/>
        <v>17010.625</v>
      </c>
      <c r="J23" s="1">
        <f t="shared" si="13"/>
        <v>23043.75</v>
      </c>
      <c r="K23" s="1">
        <f t="shared" si="13"/>
        <v>28580</v>
      </c>
      <c r="L23" s="1">
        <f t="shared" si="13"/>
        <v>14507.5</v>
      </c>
      <c r="M23" s="1">
        <f t="shared" si="13"/>
        <v>25823.75</v>
      </c>
      <c r="N23" s="1">
        <f t="shared" si="13"/>
        <v>30878.125</v>
      </c>
      <c r="O23" s="1">
        <f t="shared" si="13"/>
        <v>40002.5</v>
      </c>
      <c r="P23" s="1">
        <f t="shared" si="13"/>
        <v>45835</v>
      </c>
    </row>
    <row r="24" spans="2:16">
      <c r="F24" s="122"/>
      <c r="G24" s="1">
        <f t="shared" ref="G24:P24" si="14">STDEV(G3:G10,G12:G15,G17:G20,)</f>
        <v>16561.069605269709</v>
      </c>
      <c r="H24" s="1">
        <f t="shared" si="14"/>
        <v>7698.6077809371418</v>
      </c>
      <c r="I24" s="1">
        <f t="shared" si="14"/>
        <v>7375.0228813204367</v>
      </c>
      <c r="J24" s="1">
        <f t="shared" si="14"/>
        <v>15110.363263044885</v>
      </c>
      <c r="K24" s="1">
        <f t="shared" si="14"/>
        <v>17890.326255532953</v>
      </c>
      <c r="L24" s="1">
        <f t="shared" si="14"/>
        <v>4522.2091653631087</v>
      </c>
      <c r="M24" s="1">
        <f t="shared" si="14"/>
        <v>14958.684399725405</v>
      </c>
      <c r="N24" s="1">
        <f t="shared" si="14"/>
        <v>14393.958904386813</v>
      </c>
      <c r="O24" s="1">
        <f t="shared" si="14"/>
        <v>19682.042091265652</v>
      </c>
      <c r="P24" s="1">
        <f t="shared" si="14"/>
        <v>15575.754217515259</v>
      </c>
    </row>
    <row r="30" spans="2:16">
      <c r="E30">
        <f>B16*40</f>
        <v>1447430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2:P31"/>
  <sheetViews>
    <sheetView topLeftCell="C1" workbookViewId="0">
      <selection activeCell="H35" sqref="H35"/>
    </sheetView>
  </sheetViews>
  <sheetFormatPr defaultRowHeight="15"/>
  <cols>
    <col min="3" max="3" width="12.140625" customWidth="1"/>
    <col min="4" max="4" width="11.85546875" customWidth="1"/>
    <col min="5" max="5" width="12.5703125" customWidth="1"/>
    <col min="6" max="6" width="10.42578125" customWidth="1"/>
    <col min="7" max="7" width="12.140625" customWidth="1"/>
    <col min="8" max="8" width="11.5703125" customWidth="1"/>
    <col min="9" max="9" width="11.7109375" customWidth="1"/>
    <col min="10" max="10" width="10.85546875" customWidth="1"/>
    <col min="11" max="11" width="10.5703125" customWidth="1"/>
    <col min="12" max="12" width="11.42578125" customWidth="1"/>
    <col min="13" max="13" width="11.28515625" customWidth="1"/>
    <col min="14" max="14" width="12.140625" customWidth="1"/>
    <col min="15" max="15" width="11" customWidth="1"/>
    <col min="16" max="16" width="11.7109375" customWidth="1"/>
  </cols>
  <sheetData>
    <row r="2" spans="2:16" s="175" customFormat="1" ht="15.75" thickBot="1">
      <c r="B2" s="67"/>
      <c r="C2" s="172" t="s">
        <v>45</v>
      </c>
      <c r="D2" s="172"/>
      <c r="E2" s="172"/>
      <c r="F2" s="173"/>
      <c r="G2" s="174" t="s">
        <v>13</v>
      </c>
      <c r="H2" s="172" t="s">
        <v>15</v>
      </c>
      <c r="I2" s="172" t="s">
        <v>16</v>
      </c>
      <c r="J2" s="172" t="s">
        <v>17</v>
      </c>
      <c r="K2" s="172" t="s">
        <v>18</v>
      </c>
      <c r="L2" s="172" t="s">
        <v>19</v>
      </c>
      <c r="M2" s="172" t="s">
        <v>22</v>
      </c>
      <c r="N2" s="172" t="s">
        <v>23</v>
      </c>
      <c r="O2" s="172" t="s">
        <v>24</v>
      </c>
      <c r="P2" s="172" t="s">
        <v>20</v>
      </c>
    </row>
    <row r="3" spans="2:16">
      <c r="B3" s="1"/>
      <c r="C3" s="187">
        <f>SUM(G3:U3)</f>
        <v>334540</v>
      </c>
      <c r="D3" s="188">
        <f>AVERAGE(G3:U3)</f>
        <v>33454</v>
      </c>
      <c r="E3" s="189">
        <f>STDEV(G3:T3)</f>
        <v>11040.233693178781</v>
      </c>
      <c r="F3" s="190">
        <v>60</v>
      </c>
      <c r="G3" s="191">
        <v>35890</v>
      </c>
      <c r="H3" s="168">
        <v>18770</v>
      </c>
      <c r="I3" s="168">
        <v>21820</v>
      </c>
      <c r="J3" s="168">
        <v>31330</v>
      </c>
      <c r="K3" s="168">
        <v>42160</v>
      </c>
      <c r="L3" s="168">
        <v>17360</v>
      </c>
      <c r="M3" s="168">
        <v>36260</v>
      </c>
      <c r="N3" s="168">
        <v>41460</v>
      </c>
      <c r="O3" s="168">
        <v>50820</v>
      </c>
      <c r="P3" s="192">
        <v>38670</v>
      </c>
    </row>
    <row r="4" spans="2:16">
      <c r="B4" s="1"/>
      <c r="C4" s="134">
        <f t="shared" ref="C4:C6" si="0">SUM(G4:U4)</f>
        <v>348180</v>
      </c>
      <c r="D4" s="128">
        <f t="shared" ref="D4:D6" si="1">AVERAGE(G4:U4)</f>
        <v>34818</v>
      </c>
      <c r="E4" s="141">
        <f t="shared" ref="E4:E6" si="2">STDEV(G4:T4)</f>
        <v>11060.176611007017</v>
      </c>
      <c r="F4" s="193">
        <v>120</v>
      </c>
      <c r="G4" s="58">
        <v>35100</v>
      </c>
      <c r="H4" s="59">
        <v>20920</v>
      </c>
      <c r="I4" s="59">
        <v>26250</v>
      </c>
      <c r="J4" s="59">
        <v>31710</v>
      </c>
      <c r="K4" s="59">
        <v>43040</v>
      </c>
      <c r="L4" s="59">
        <v>17280</v>
      </c>
      <c r="M4" s="59">
        <v>41960</v>
      </c>
      <c r="N4" s="59">
        <v>39220</v>
      </c>
      <c r="O4" s="59">
        <v>53870</v>
      </c>
      <c r="P4" s="194">
        <v>38830</v>
      </c>
    </row>
    <row r="5" spans="2:16">
      <c r="B5" s="1"/>
      <c r="C5" s="134">
        <f t="shared" si="0"/>
        <v>343760</v>
      </c>
      <c r="D5" s="128">
        <f t="shared" si="1"/>
        <v>34376</v>
      </c>
      <c r="E5" s="141">
        <f t="shared" si="2"/>
        <v>12637.706542987404</v>
      </c>
      <c r="F5" s="193">
        <v>240</v>
      </c>
      <c r="G5" s="58">
        <v>40290</v>
      </c>
      <c r="H5" s="59">
        <v>19270</v>
      </c>
      <c r="I5" s="59">
        <v>20250</v>
      </c>
      <c r="J5" s="59">
        <v>25940</v>
      </c>
      <c r="K5" s="59">
        <v>43240</v>
      </c>
      <c r="L5" s="59">
        <v>18100</v>
      </c>
      <c r="M5" s="59">
        <v>37840</v>
      </c>
      <c r="N5" s="59">
        <v>42580</v>
      </c>
      <c r="O5" s="59">
        <v>55290</v>
      </c>
      <c r="P5" s="194">
        <v>40960</v>
      </c>
    </row>
    <row r="6" spans="2:16">
      <c r="B6" s="1"/>
      <c r="C6" s="134">
        <f t="shared" si="0"/>
        <v>365600</v>
      </c>
      <c r="D6" s="128">
        <f t="shared" si="1"/>
        <v>36560</v>
      </c>
      <c r="E6" s="141">
        <f t="shared" si="2"/>
        <v>12977.74162856457</v>
      </c>
      <c r="F6" s="193">
        <v>300</v>
      </c>
      <c r="G6" s="58">
        <v>40190</v>
      </c>
      <c r="H6" s="59">
        <v>22740</v>
      </c>
      <c r="I6" s="59">
        <v>23530</v>
      </c>
      <c r="J6" s="59">
        <v>27700</v>
      </c>
      <c r="K6" s="59">
        <v>46490</v>
      </c>
      <c r="L6" s="59">
        <v>17480</v>
      </c>
      <c r="M6" s="59">
        <v>41930</v>
      </c>
      <c r="N6" s="59">
        <v>44780</v>
      </c>
      <c r="O6" s="59">
        <v>58200</v>
      </c>
      <c r="P6" s="194">
        <v>42560</v>
      </c>
    </row>
    <row r="7" spans="2:16">
      <c r="B7" s="1"/>
      <c r="C7" s="132">
        <f>SUM(C3:C6)</f>
        <v>1392080</v>
      </c>
      <c r="D7" s="126">
        <f>AVERAGE(G3:Z6)</f>
        <v>34802</v>
      </c>
      <c r="E7" s="139">
        <f>STDEV(G3:Z6)</f>
        <v>11549.251324386623</v>
      </c>
      <c r="F7" s="124"/>
      <c r="G7" s="157">
        <f t="shared" ref="G7:P7" si="3">SUM(G3:G6)</f>
        <v>151470</v>
      </c>
      <c r="H7" s="157">
        <f t="shared" si="3"/>
        <v>81700</v>
      </c>
      <c r="I7" s="195">
        <f t="shared" si="3"/>
        <v>91850</v>
      </c>
      <c r="J7" s="157">
        <f t="shared" si="3"/>
        <v>116680</v>
      </c>
      <c r="K7" s="195">
        <f t="shared" si="3"/>
        <v>174930</v>
      </c>
      <c r="L7" s="156">
        <f t="shared" si="3"/>
        <v>70220</v>
      </c>
      <c r="M7" s="195">
        <f t="shared" si="3"/>
        <v>157990</v>
      </c>
      <c r="N7" s="195">
        <f t="shared" si="3"/>
        <v>168040</v>
      </c>
      <c r="O7" s="157">
        <f t="shared" si="3"/>
        <v>218180</v>
      </c>
      <c r="P7" s="157">
        <f t="shared" si="3"/>
        <v>161020</v>
      </c>
    </row>
    <row r="8" spans="2:16">
      <c r="B8" s="1"/>
      <c r="C8" s="132">
        <f>AVERAGE(C3:C6)</f>
        <v>348020</v>
      </c>
      <c r="D8" s="126"/>
      <c r="E8" s="139"/>
      <c r="F8" s="124"/>
      <c r="G8" s="125">
        <f t="shared" ref="G8" si="4">AVERAGE(G3:G6)</f>
        <v>37867.5</v>
      </c>
      <c r="H8" s="125">
        <f t="shared" ref="H8:P8" si="5">AVERAGE(H3:H6)</f>
        <v>20425</v>
      </c>
      <c r="I8" s="125">
        <f t="shared" si="5"/>
        <v>22962.5</v>
      </c>
      <c r="J8" s="125">
        <f t="shared" si="5"/>
        <v>29170</v>
      </c>
      <c r="K8" s="125">
        <f t="shared" si="5"/>
        <v>43732.5</v>
      </c>
      <c r="L8" s="125">
        <f t="shared" si="5"/>
        <v>17555</v>
      </c>
      <c r="M8" s="125">
        <f t="shared" si="5"/>
        <v>39497.5</v>
      </c>
      <c r="N8" s="125">
        <f t="shared" si="5"/>
        <v>42010</v>
      </c>
      <c r="O8" s="125">
        <f t="shared" si="5"/>
        <v>54545</v>
      </c>
      <c r="P8" s="138">
        <f t="shared" si="5"/>
        <v>40255</v>
      </c>
    </row>
    <row r="9" spans="2:16" ht="15.75" thickBot="1">
      <c r="B9" s="1"/>
      <c r="C9" s="169">
        <f>STDEV(C3:C6)</f>
        <v>13024.848047738087</v>
      </c>
      <c r="D9" s="170"/>
      <c r="E9" s="171"/>
      <c r="F9" s="124"/>
      <c r="G9" s="177">
        <f t="shared" ref="G9" si="6">STDEV(G3:G6)</f>
        <v>2758.7482064636974</v>
      </c>
      <c r="H9" s="177">
        <f t="shared" ref="H9:P9" si="7">STDEV(H3:H6)</f>
        <v>1796.0419445733071</v>
      </c>
      <c r="I9" s="177">
        <f t="shared" si="7"/>
        <v>2568.5712630435878</v>
      </c>
      <c r="J9" s="177">
        <f t="shared" si="7"/>
        <v>2811.3460595712272</v>
      </c>
      <c r="K9" s="177">
        <f t="shared" si="7"/>
        <v>1897.2502031448919</v>
      </c>
      <c r="L9" s="177">
        <f t="shared" si="7"/>
        <v>372.51398184050305</v>
      </c>
      <c r="M9" s="177">
        <f t="shared" si="7"/>
        <v>2898.8316612042167</v>
      </c>
      <c r="N9" s="177">
        <f t="shared" si="7"/>
        <v>2315.4841106487142</v>
      </c>
      <c r="O9" s="177">
        <f t="shared" si="7"/>
        <v>3068.4034936754979</v>
      </c>
      <c r="P9" s="178">
        <f t="shared" si="7"/>
        <v>1857.6777617947271</v>
      </c>
    </row>
    <row r="10" spans="2:16">
      <c r="B10" s="1"/>
      <c r="C10" s="133">
        <f t="shared" ref="C10:C13" si="8">SUM(G10:U10)</f>
        <v>347560</v>
      </c>
      <c r="D10" s="127">
        <f t="shared" ref="D10:D13" si="9">AVERAGE(G10:U10)</f>
        <v>34756</v>
      </c>
      <c r="E10" s="140">
        <f t="shared" ref="E10:E13" si="10">STDEV(G10:T10)</f>
        <v>12629.995337379274</v>
      </c>
      <c r="F10" s="179" t="s">
        <v>32</v>
      </c>
      <c r="G10" s="161">
        <v>40410</v>
      </c>
      <c r="H10" s="162">
        <v>19140</v>
      </c>
      <c r="I10" s="162">
        <v>18860</v>
      </c>
      <c r="J10" s="162">
        <v>36620</v>
      </c>
      <c r="K10" s="162">
        <v>46100</v>
      </c>
      <c r="L10" s="162">
        <v>15110</v>
      </c>
      <c r="M10" s="162">
        <v>38440</v>
      </c>
      <c r="N10" s="162">
        <v>37470</v>
      </c>
      <c r="O10" s="163">
        <v>51750</v>
      </c>
      <c r="P10" s="155">
        <v>43660</v>
      </c>
    </row>
    <row r="11" spans="2:16" ht="15.75" thickBot="1">
      <c r="B11" s="1"/>
      <c r="C11" s="133">
        <f t="shared" si="8"/>
        <v>362760</v>
      </c>
      <c r="D11" s="127">
        <f t="shared" si="9"/>
        <v>36276</v>
      </c>
      <c r="E11" s="140">
        <f t="shared" si="10"/>
        <v>12453.536936237118</v>
      </c>
      <c r="F11" s="180" t="s">
        <v>33</v>
      </c>
      <c r="G11" s="54">
        <v>41050</v>
      </c>
      <c r="H11" s="55">
        <v>23290</v>
      </c>
      <c r="I11" s="55">
        <v>19420</v>
      </c>
      <c r="J11" s="55">
        <v>34690</v>
      </c>
      <c r="K11" s="55">
        <v>48270</v>
      </c>
      <c r="L11" s="55">
        <v>16680</v>
      </c>
      <c r="M11" s="55">
        <v>43580</v>
      </c>
      <c r="N11" s="55">
        <v>38430</v>
      </c>
      <c r="O11" s="56">
        <v>52170</v>
      </c>
      <c r="P11" s="155">
        <v>45180</v>
      </c>
    </row>
    <row r="12" spans="2:16">
      <c r="B12" s="1"/>
      <c r="C12" s="133">
        <f t="shared" si="8"/>
        <v>360460</v>
      </c>
      <c r="D12" s="127">
        <f t="shared" si="9"/>
        <v>36046</v>
      </c>
      <c r="E12" s="140">
        <f t="shared" si="10"/>
        <v>14619.134493304771</v>
      </c>
      <c r="F12" s="179" t="s">
        <v>36</v>
      </c>
      <c r="G12" s="54">
        <v>42830</v>
      </c>
      <c r="H12" s="55">
        <v>21150</v>
      </c>
      <c r="I12" s="55">
        <v>16250</v>
      </c>
      <c r="J12" s="55">
        <v>31950</v>
      </c>
      <c r="K12" s="55">
        <v>44950</v>
      </c>
      <c r="L12" s="55">
        <v>15980</v>
      </c>
      <c r="M12" s="55">
        <v>39150</v>
      </c>
      <c r="N12" s="55">
        <v>38500</v>
      </c>
      <c r="O12" s="56">
        <v>59440</v>
      </c>
      <c r="P12" s="155">
        <v>50260</v>
      </c>
    </row>
    <row r="13" spans="2:16" ht="15.75" thickBot="1">
      <c r="B13" s="1"/>
      <c r="C13" s="133">
        <f t="shared" si="8"/>
        <v>376650</v>
      </c>
      <c r="D13" s="127">
        <f t="shared" si="9"/>
        <v>37665</v>
      </c>
      <c r="E13" s="140">
        <f t="shared" si="10"/>
        <v>14243.326897572459</v>
      </c>
      <c r="F13" s="180" t="s">
        <v>37</v>
      </c>
      <c r="G13" s="164">
        <v>42010</v>
      </c>
      <c r="H13" s="165">
        <v>26490</v>
      </c>
      <c r="I13" s="165">
        <v>17780</v>
      </c>
      <c r="J13" s="165">
        <v>31300</v>
      </c>
      <c r="K13" s="165">
        <v>43630</v>
      </c>
      <c r="L13" s="165">
        <v>17050</v>
      </c>
      <c r="M13" s="165">
        <v>45360</v>
      </c>
      <c r="N13" s="165">
        <v>41490</v>
      </c>
      <c r="O13" s="166">
        <v>61070</v>
      </c>
      <c r="P13" s="155">
        <v>50470</v>
      </c>
    </row>
    <row r="14" spans="2:16">
      <c r="B14" s="1"/>
      <c r="C14" s="132">
        <f>SUM(C10:C13)</f>
        <v>1447430</v>
      </c>
      <c r="D14" s="126">
        <f>AVERAGE(G10:Z13)</f>
        <v>36185.75</v>
      </c>
      <c r="E14" s="139">
        <f>STDEV(G10:Z13)</f>
        <v>13031.903434087617</v>
      </c>
      <c r="F14" s="124"/>
      <c r="G14" s="160">
        <f t="shared" ref="G14:P14" si="11">SUM(G10:G13)</f>
        <v>166300</v>
      </c>
      <c r="H14" s="160">
        <f t="shared" si="11"/>
        <v>90070</v>
      </c>
      <c r="I14" s="158">
        <f t="shared" si="11"/>
        <v>72310</v>
      </c>
      <c r="J14" s="160">
        <f t="shared" si="11"/>
        <v>134560</v>
      </c>
      <c r="K14" s="159">
        <f t="shared" si="11"/>
        <v>182950</v>
      </c>
      <c r="L14" s="158">
        <f t="shared" si="11"/>
        <v>64820</v>
      </c>
      <c r="M14" s="159">
        <f t="shared" si="11"/>
        <v>166530</v>
      </c>
      <c r="N14" s="158">
        <f t="shared" si="11"/>
        <v>155890</v>
      </c>
      <c r="O14" s="160">
        <f t="shared" si="11"/>
        <v>224430</v>
      </c>
      <c r="P14" s="139">
        <f t="shared" si="11"/>
        <v>189570</v>
      </c>
    </row>
    <row r="15" spans="2:16">
      <c r="B15" s="1"/>
      <c r="C15" s="132">
        <f>AVERAGE(C10:C13)</f>
        <v>361857.5</v>
      </c>
      <c r="D15" s="126"/>
      <c r="E15" s="139"/>
      <c r="F15" s="124"/>
      <c r="G15" s="125">
        <f t="shared" ref="G15" si="12">AVERAGE(G10:G13)</f>
        <v>41575</v>
      </c>
      <c r="H15" s="125">
        <f t="shared" ref="H15:P15" si="13">AVERAGE(H10:H13)</f>
        <v>22517.5</v>
      </c>
      <c r="I15" s="125">
        <f t="shared" si="13"/>
        <v>18077.5</v>
      </c>
      <c r="J15" s="125">
        <f t="shared" si="13"/>
        <v>33640</v>
      </c>
      <c r="K15" s="125">
        <f t="shared" si="13"/>
        <v>45737.5</v>
      </c>
      <c r="L15" s="125">
        <f t="shared" si="13"/>
        <v>16205</v>
      </c>
      <c r="M15" s="125">
        <f t="shared" si="13"/>
        <v>41632.5</v>
      </c>
      <c r="N15" s="125">
        <f t="shared" si="13"/>
        <v>38972.5</v>
      </c>
      <c r="O15" s="125">
        <f t="shared" si="13"/>
        <v>56107.5</v>
      </c>
      <c r="P15" s="138">
        <f t="shared" si="13"/>
        <v>47392.5</v>
      </c>
    </row>
    <row r="16" spans="2:16" ht="15.75" thickBot="1">
      <c r="B16" s="1"/>
      <c r="C16" s="169">
        <f>STDEV(C10:C13)</f>
        <v>11916.432282077272</v>
      </c>
      <c r="D16" s="170"/>
      <c r="E16" s="171"/>
      <c r="F16" s="144"/>
      <c r="G16" s="177">
        <f t="shared" ref="G16" si="14">STDEV(G10:G13)</f>
        <v>1064.1271853808955</v>
      </c>
      <c r="H16" s="177">
        <f t="shared" ref="H16:P16" si="15">STDEV(H10:H13)</f>
        <v>3144.0459602238643</v>
      </c>
      <c r="I16" s="177">
        <f t="shared" si="15"/>
        <v>1395.573358874409</v>
      </c>
      <c r="J16" s="177">
        <f t="shared" si="15"/>
        <v>2470.8028384852296</v>
      </c>
      <c r="K16" s="177">
        <f t="shared" si="15"/>
        <v>1966.9498383707364</v>
      </c>
      <c r="L16" s="177">
        <f t="shared" si="15"/>
        <v>854.26381561357653</v>
      </c>
      <c r="M16" s="177">
        <f t="shared" si="15"/>
        <v>3368.574129608352</v>
      </c>
      <c r="N16" s="177">
        <f t="shared" si="15"/>
        <v>1742.8783663813147</v>
      </c>
      <c r="O16" s="177">
        <f t="shared" si="15"/>
        <v>4838.1702808672071</v>
      </c>
      <c r="P16" s="178">
        <f t="shared" si="15"/>
        <v>3489.0435652195574</v>
      </c>
    </row>
    <row r="17" spans="2:16" s="175" customFormat="1" ht="15.75" thickBot="1">
      <c r="B17" s="67"/>
      <c r="C17" s="172" t="s">
        <v>14</v>
      </c>
      <c r="D17" s="172"/>
      <c r="E17" s="172"/>
      <c r="F17" s="173"/>
      <c r="G17" s="174" t="s">
        <v>13</v>
      </c>
      <c r="H17" s="172" t="s">
        <v>15</v>
      </c>
      <c r="I17" s="172" t="s">
        <v>16</v>
      </c>
      <c r="J17" s="172" t="s">
        <v>17</v>
      </c>
      <c r="K17" s="172" t="s">
        <v>18</v>
      </c>
      <c r="L17" s="172" t="s">
        <v>19</v>
      </c>
      <c r="M17" s="172" t="s">
        <v>22</v>
      </c>
      <c r="N17" s="172" t="s">
        <v>23</v>
      </c>
      <c r="O17" s="172" t="s">
        <v>24</v>
      </c>
      <c r="P17" s="172" t="s">
        <v>20</v>
      </c>
    </row>
    <row r="18" spans="2:16" ht="15.75" thickBot="1">
      <c r="B18" s="1"/>
      <c r="C18" s="133">
        <f t="shared" ref="C18:C21" si="16">SUM(G18:U18)</f>
        <v>356790</v>
      </c>
      <c r="D18" s="127">
        <f t="shared" ref="D18:D21" si="17">AVERAGE(G18:U18)</f>
        <v>35679</v>
      </c>
      <c r="E18" s="140">
        <f t="shared" ref="E18:E21" si="18">STDEV(G18:T18)</f>
        <v>11880.879550306403</v>
      </c>
      <c r="F18" s="179" t="s">
        <v>32</v>
      </c>
      <c r="G18" s="181">
        <v>42480</v>
      </c>
      <c r="H18" s="182">
        <v>21770</v>
      </c>
      <c r="I18" s="162">
        <v>21890</v>
      </c>
      <c r="J18" s="162">
        <v>40140</v>
      </c>
      <c r="K18" s="162">
        <v>40790</v>
      </c>
      <c r="L18" s="162">
        <v>16600</v>
      </c>
      <c r="M18" s="162">
        <v>34980</v>
      </c>
      <c r="N18" s="162">
        <v>41570</v>
      </c>
      <c r="O18" s="163">
        <v>54510</v>
      </c>
      <c r="P18" s="155">
        <v>42060</v>
      </c>
    </row>
    <row r="19" spans="2:16" ht="15.75" thickBot="1">
      <c r="B19" s="1"/>
      <c r="C19" s="133">
        <f t="shared" si="16"/>
        <v>386580</v>
      </c>
      <c r="D19" s="127">
        <f t="shared" si="17"/>
        <v>38658</v>
      </c>
      <c r="E19" s="140">
        <f t="shared" si="18"/>
        <v>12389.686391870009</v>
      </c>
      <c r="F19" s="180" t="s">
        <v>33</v>
      </c>
      <c r="G19" s="183">
        <v>42300</v>
      </c>
      <c r="H19" s="55">
        <v>25690</v>
      </c>
      <c r="I19" s="55">
        <v>27890</v>
      </c>
      <c r="J19" s="55">
        <v>38510</v>
      </c>
      <c r="K19" s="55">
        <v>45030</v>
      </c>
      <c r="L19" s="55">
        <v>17420</v>
      </c>
      <c r="M19" s="55">
        <v>38840</v>
      </c>
      <c r="N19" s="55">
        <v>47570</v>
      </c>
      <c r="O19" s="56">
        <v>61010</v>
      </c>
      <c r="P19" s="155">
        <v>42320</v>
      </c>
    </row>
    <row r="20" spans="2:16">
      <c r="B20" s="1"/>
      <c r="C20" s="133">
        <f t="shared" si="16"/>
        <v>363300</v>
      </c>
      <c r="D20" s="127">
        <f t="shared" si="17"/>
        <v>36330</v>
      </c>
      <c r="E20" s="140">
        <f t="shared" si="18"/>
        <v>11722.225803053692</v>
      </c>
      <c r="F20" s="179" t="s">
        <v>36</v>
      </c>
      <c r="G20" s="54">
        <v>44810</v>
      </c>
      <c r="H20" s="55">
        <v>22950</v>
      </c>
      <c r="I20" s="55">
        <v>21680</v>
      </c>
      <c r="J20" s="55">
        <v>38050</v>
      </c>
      <c r="K20" s="55">
        <v>45130</v>
      </c>
      <c r="L20" s="55">
        <v>17350</v>
      </c>
      <c r="M20" s="55">
        <v>34860</v>
      </c>
      <c r="N20" s="55">
        <v>41710</v>
      </c>
      <c r="O20" s="56">
        <v>50500</v>
      </c>
      <c r="P20" s="155">
        <v>46260</v>
      </c>
    </row>
    <row r="21" spans="2:16" ht="15.75" thickBot="1">
      <c r="B21" s="1"/>
      <c r="C21" s="133">
        <f t="shared" si="16"/>
        <v>389930</v>
      </c>
      <c r="D21" s="127">
        <f t="shared" si="17"/>
        <v>38993</v>
      </c>
      <c r="E21" s="140">
        <f t="shared" si="18"/>
        <v>11998.115639086369</v>
      </c>
      <c r="F21" s="180" t="s">
        <v>37</v>
      </c>
      <c r="G21" s="164">
        <v>43350</v>
      </c>
      <c r="H21" s="165">
        <v>25930</v>
      </c>
      <c r="I21" s="165">
        <v>29320</v>
      </c>
      <c r="J21" s="165">
        <v>39910</v>
      </c>
      <c r="K21" s="165">
        <v>43730</v>
      </c>
      <c r="L21" s="165">
        <v>17450</v>
      </c>
      <c r="M21" s="165">
        <v>36840</v>
      </c>
      <c r="N21" s="165">
        <v>48690</v>
      </c>
      <c r="O21" s="166">
        <v>58240</v>
      </c>
      <c r="P21" s="155">
        <v>46470</v>
      </c>
    </row>
    <row r="22" spans="2:16">
      <c r="B22" s="1"/>
      <c r="C22" s="132">
        <f>SUM(C18:C21)</f>
        <v>1496600</v>
      </c>
      <c r="D22" s="126">
        <f>AVERAGE(G18:Z21)</f>
        <v>37415</v>
      </c>
      <c r="E22" s="139">
        <f>STDEV(G18:Z21)</f>
        <v>11620.588934278983</v>
      </c>
      <c r="F22" s="124"/>
      <c r="G22" s="167">
        <f t="shared" ref="G22:P22" si="19">SUM(G18:G21)</f>
        <v>172940</v>
      </c>
      <c r="H22" s="159">
        <f t="shared" si="19"/>
        <v>96340</v>
      </c>
      <c r="I22" s="159">
        <f t="shared" si="19"/>
        <v>100780</v>
      </c>
      <c r="J22" s="159">
        <f t="shared" si="19"/>
        <v>156610</v>
      </c>
      <c r="K22" s="158">
        <f t="shared" si="19"/>
        <v>174680</v>
      </c>
      <c r="L22" s="160">
        <f t="shared" si="19"/>
        <v>68820</v>
      </c>
      <c r="M22" s="158">
        <f t="shared" si="19"/>
        <v>145520</v>
      </c>
      <c r="N22" s="159">
        <f t="shared" si="19"/>
        <v>179540</v>
      </c>
      <c r="O22" s="160">
        <f t="shared" si="19"/>
        <v>224260</v>
      </c>
      <c r="P22" s="186">
        <f t="shared" si="19"/>
        <v>177110</v>
      </c>
    </row>
    <row r="23" spans="2:16">
      <c r="B23" s="1"/>
      <c r="C23" s="132">
        <f>AVERAGE(C18:C21)</f>
        <v>374150</v>
      </c>
      <c r="D23" s="126"/>
      <c r="E23" s="139"/>
      <c r="F23" s="124"/>
      <c r="G23" s="131">
        <f>AVERAGE(G18:G21)</f>
        <v>43235</v>
      </c>
      <c r="H23" s="125">
        <f t="shared" ref="H23:P23" si="20">AVERAGE(H18:H21)</f>
        <v>24085</v>
      </c>
      <c r="I23" s="125">
        <f t="shared" si="20"/>
        <v>25195</v>
      </c>
      <c r="J23" s="125">
        <f t="shared" si="20"/>
        <v>39152.5</v>
      </c>
      <c r="K23" s="125">
        <f t="shared" si="20"/>
        <v>43670</v>
      </c>
      <c r="L23" s="125">
        <f t="shared" si="20"/>
        <v>17205</v>
      </c>
      <c r="M23" s="125">
        <f t="shared" si="20"/>
        <v>36380</v>
      </c>
      <c r="N23" s="125">
        <f t="shared" si="20"/>
        <v>44885</v>
      </c>
      <c r="O23" s="125">
        <f t="shared" si="20"/>
        <v>56065</v>
      </c>
      <c r="P23" s="138">
        <f t="shared" si="20"/>
        <v>44277.5</v>
      </c>
    </row>
    <row r="24" spans="2:16" ht="15.75" thickBot="1">
      <c r="B24" s="1"/>
      <c r="C24" s="132">
        <f>STDEV(C18:C21)</f>
        <v>16559.03982723636</v>
      </c>
      <c r="D24" s="126"/>
      <c r="E24" s="139"/>
      <c r="F24" s="124"/>
      <c r="G24" s="176">
        <f>STDEV(G18:G21)</f>
        <v>1145.7312075700827</v>
      </c>
      <c r="H24" s="177">
        <f t="shared" ref="H24:P24" si="21">STDEV(H18:H21)</f>
        <v>2051.6253719104438</v>
      </c>
      <c r="I24" s="177">
        <f t="shared" si="21"/>
        <v>3981.4946942071892</v>
      </c>
      <c r="J24" s="177">
        <f t="shared" si="21"/>
        <v>1029.1217938935442</v>
      </c>
      <c r="K24" s="177">
        <f t="shared" si="21"/>
        <v>2023.1328840851425</v>
      </c>
      <c r="L24" s="177">
        <f t="shared" si="21"/>
        <v>405.50380187284725</v>
      </c>
      <c r="M24" s="177">
        <f t="shared" si="21"/>
        <v>1873.8196284594737</v>
      </c>
      <c r="N24" s="177">
        <f t="shared" si="21"/>
        <v>3775.2306772787629</v>
      </c>
      <c r="O24" s="177">
        <f t="shared" si="21"/>
        <v>4566.942814035081</v>
      </c>
      <c r="P24" s="178">
        <f t="shared" si="21"/>
        <v>2414.295963629977</v>
      </c>
    </row>
    <row r="25" spans="2:16">
      <c r="B25" s="1"/>
      <c r="C25" s="135">
        <f>SUM(G25:O25)</f>
        <v>3808410</v>
      </c>
      <c r="D25" s="13">
        <f>AVERAGE(G25:O25)</f>
        <v>423156.66666666669</v>
      </c>
      <c r="E25" s="142">
        <f>STDEV(G25:O25)</f>
        <v>150820.38738181253</v>
      </c>
      <c r="F25" s="124"/>
      <c r="G25" s="152">
        <f t="shared" ref="G25:P25" si="22">SUM(G3:G6,G10:G13,G18:G21)</f>
        <v>490710</v>
      </c>
      <c r="H25" s="153">
        <f t="shared" si="22"/>
        <v>268110</v>
      </c>
      <c r="I25" s="153">
        <f t="shared" si="22"/>
        <v>264940</v>
      </c>
      <c r="J25" s="153">
        <f t="shared" si="22"/>
        <v>407850</v>
      </c>
      <c r="K25" s="153">
        <f t="shared" si="22"/>
        <v>532560</v>
      </c>
      <c r="L25" s="153">
        <f t="shared" si="22"/>
        <v>203860</v>
      </c>
      <c r="M25" s="153">
        <f t="shared" si="22"/>
        <v>470040</v>
      </c>
      <c r="N25" s="153">
        <f t="shared" si="22"/>
        <v>503470</v>
      </c>
      <c r="O25" s="153">
        <f t="shared" si="22"/>
        <v>666870</v>
      </c>
      <c r="P25" s="154">
        <f t="shared" si="22"/>
        <v>527700</v>
      </c>
    </row>
    <row r="26" spans="2:16" ht="15.75" thickBot="1">
      <c r="B26" s="1"/>
      <c r="C26" s="136">
        <f>SUM($C3:$C6,$C10:$C13,$C18:$C21)</f>
        <v>4336110</v>
      </c>
      <c r="D26" s="137">
        <f>AVERAGE($C3:$C6,$C10:$C13,$C18:$C21)</f>
        <v>361342.5</v>
      </c>
      <c r="E26" s="143">
        <f>STDEV($C3:$C6,$C10:$C13,$C18:$C21)</f>
        <v>16854.173006329107</v>
      </c>
      <c r="F26" s="144"/>
      <c r="G26" s="147">
        <f t="shared" ref="G26:P26" si="23">AVERAGE(G3:G6,G10:G13,G18:G21)</f>
        <v>40892.5</v>
      </c>
      <c r="H26" s="129">
        <f t="shared" si="23"/>
        <v>22342.5</v>
      </c>
      <c r="I26" s="129">
        <f t="shared" si="23"/>
        <v>22078.333333333332</v>
      </c>
      <c r="J26" s="129">
        <f t="shared" si="23"/>
        <v>33987.5</v>
      </c>
      <c r="K26" s="129">
        <f t="shared" si="23"/>
        <v>44380</v>
      </c>
      <c r="L26" s="129">
        <f t="shared" si="23"/>
        <v>16988.333333333332</v>
      </c>
      <c r="M26" s="129">
        <f t="shared" si="23"/>
        <v>39170</v>
      </c>
      <c r="N26" s="129">
        <f t="shared" si="23"/>
        <v>41955.833333333336</v>
      </c>
      <c r="O26" s="129">
        <f t="shared" si="23"/>
        <v>55572.5</v>
      </c>
      <c r="P26" s="148">
        <f t="shared" si="23"/>
        <v>43975</v>
      </c>
    </row>
    <row r="27" spans="2:16" ht="15.75" thickBot="1">
      <c r="B27" s="1"/>
      <c r="F27" s="122"/>
      <c r="G27" s="149">
        <f t="shared" ref="G27:P27" si="24">STDEV(G3:G6,G10:G13,G18:G21,)</f>
        <v>11669.576816531226</v>
      </c>
      <c r="H27" s="150">
        <f t="shared" si="24"/>
        <v>6706.4838507988388</v>
      </c>
      <c r="I27" s="150">
        <f t="shared" si="24"/>
        <v>7240.8390397798512</v>
      </c>
      <c r="J27" s="150">
        <f t="shared" si="24"/>
        <v>10454.347089939336</v>
      </c>
      <c r="K27" s="150">
        <f t="shared" si="24"/>
        <v>12462.701378153355</v>
      </c>
      <c r="L27" s="150">
        <f t="shared" si="24"/>
        <v>4773.4401399023291</v>
      </c>
      <c r="M27" s="150">
        <f t="shared" si="24"/>
        <v>11335.316775911311</v>
      </c>
      <c r="N27" s="150">
        <f t="shared" si="24"/>
        <v>12120.135344509599</v>
      </c>
      <c r="O27" s="150">
        <f t="shared" si="24"/>
        <v>15859.064260881509</v>
      </c>
      <c r="P27" s="151">
        <f t="shared" si="24"/>
        <v>12753.572149170699</v>
      </c>
    </row>
    <row r="30" spans="2:16" ht="15.75" thickBot="1"/>
    <row r="31" spans="2:16" ht="15.75" thickBot="1">
      <c r="I31" s="1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87"/>
  <sheetViews>
    <sheetView topLeftCell="A5" workbookViewId="0">
      <selection activeCell="U48" sqref="U48:U50"/>
    </sheetView>
  </sheetViews>
  <sheetFormatPr defaultRowHeight="15"/>
  <cols>
    <col min="1" max="1" width="18" customWidth="1"/>
    <col min="2" max="2" width="9.85546875" customWidth="1"/>
    <col min="3" max="3" width="10.140625" customWidth="1"/>
    <col min="4" max="4" width="8.5703125" customWidth="1"/>
    <col min="5" max="5" width="8.7109375" customWidth="1"/>
    <col min="6" max="6" width="10.42578125" customWidth="1"/>
    <col min="7" max="7" width="8.85546875" style="1" customWidth="1"/>
    <col min="8" max="8" width="10" style="1" customWidth="1"/>
    <col min="9" max="9" width="10.7109375" customWidth="1"/>
    <col min="10" max="11" width="10.42578125" customWidth="1"/>
    <col min="12" max="12" width="11.28515625" customWidth="1"/>
    <col min="13" max="13" width="11.140625" customWidth="1"/>
  </cols>
  <sheetData>
    <row r="1" spans="2:12">
      <c r="B1" s="197">
        <v>43216</v>
      </c>
      <c r="C1">
        <v>1780</v>
      </c>
      <c r="D1" s="1">
        <v>2.87</v>
      </c>
      <c r="E1" s="1">
        <f>D1+G1</f>
        <v>3.3200000000000003</v>
      </c>
      <c r="F1">
        <f t="shared" ref="F1:F6" si="0">D1/2</f>
        <v>1.4350000000000001</v>
      </c>
      <c r="G1" s="1">
        <v>0.45</v>
      </c>
      <c r="H1" s="1">
        <f t="shared" ref="H1:H6" si="1">F1+G1</f>
        <v>1.885</v>
      </c>
      <c r="I1">
        <f t="shared" ref="I1:I6" si="2">C1*H1</f>
        <v>3355.3</v>
      </c>
      <c r="J1">
        <f>E1*C1</f>
        <v>5909.6</v>
      </c>
    </row>
    <row r="2" spans="2:12">
      <c r="B2" s="197">
        <v>43216</v>
      </c>
      <c r="C2">
        <v>2500</v>
      </c>
      <c r="D2" s="1">
        <v>2.87</v>
      </c>
      <c r="E2" s="1">
        <f t="shared" ref="E2:E3" si="3">D2+G2</f>
        <v>3.3200000000000003</v>
      </c>
      <c r="F2">
        <f t="shared" si="0"/>
        <v>1.4350000000000001</v>
      </c>
      <c r="G2" s="1">
        <v>0.45</v>
      </c>
      <c r="H2" s="1">
        <f t="shared" si="1"/>
        <v>1.885</v>
      </c>
      <c r="I2">
        <f t="shared" si="2"/>
        <v>4712.5</v>
      </c>
    </row>
    <row r="3" spans="2:12">
      <c r="B3" s="197">
        <v>43216</v>
      </c>
      <c r="C3">
        <v>70</v>
      </c>
      <c r="D3" s="1">
        <v>2.87</v>
      </c>
      <c r="E3" s="1">
        <f t="shared" si="3"/>
        <v>3.3200000000000003</v>
      </c>
      <c r="F3">
        <f t="shared" si="0"/>
        <v>1.4350000000000001</v>
      </c>
      <c r="G3" s="1">
        <v>0.45</v>
      </c>
      <c r="H3" s="1">
        <f t="shared" si="1"/>
        <v>1.885</v>
      </c>
      <c r="I3">
        <f t="shared" si="2"/>
        <v>131.94999999999999</v>
      </c>
    </row>
    <row r="4" spans="2:12">
      <c r="B4" s="215">
        <v>43216</v>
      </c>
      <c r="C4" s="216">
        <v>2311</v>
      </c>
      <c r="D4" s="217">
        <v>2.87</v>
      </c>
      <c r="E4" s="217">
        <f>D4+G4</f>
        <v>3.3200000000000003</v>
      </c>
      <c r="F4" s="216">
        <f t="shared" si="0"/>
        <v>1.4350000000000001</v>
      </c>
      <c r="G4" s="217">
        <v>0.45</v>
      </c>
      <c r="H4" s="217">
        <f t="shared" si="1"/>
        <v>1.885</v>
      </c>
      <c r="I4" s="216">
        <f t="shared" si="2"/>
        <v>4356.2349999999997</v>
      </c>
      <c r="J4" s="216">
        <f>E4*C4</f>
        <v>7672.52</v>
      </c>
      <c r="K4" s="216"/>
    </row>
    <row r="5" spans="2:12">
      <c r="B5" s="215">
        <v>43216</v>
      </c>
      <c r="C5" s="216">
        <v>1257</v>
      </c>
      <c r="D5" s="217">
        <v>2.87</v>
      </c>
      <c r="E5" s="217">
        <f>D5+G5</f>
        <v>3.3200000000000003</v>
      </c>
      <c r="F5" s="216">
        <f t="shared" si="0"/>
        <v>1.4350000000000001</v>
      </c>
      <c r="G5" s="217">
        <v>0.45</v>
      </c>
      <c r="H5" s="217">
        <f t="shared" si="1"/>
        <v>1.885</v>
      </c>
      <c r="I5" s="216">
        <f t="shared" si="2"/>
        <v>2369.4450000000002</v>
      </c>
      <c r="J5" s="216">
        <f>E5*C5</f>
        <v>4173.2400000000007</v>
      </c>
      <c r="K5" s="216"/>
    </row>
    <row r="6" spans="2:12">
      <c r="B6" s="215">
        <v>43216</v>
      </c>
      <c r="C6" s="216">
        <v>852</v>
      </c>
      <c r="D6" s="217">
        <v>2.87</v>
      </c>
      <c r="E6" s="217">
        <f>D6+G6</f>
        <v>3.3200000000000003</v>
      </c>
      <c r="F6" s="216">
        <f t="shared" si="0"/>
        <v>1.4350000000000001</v>
      </c>
      <c r="G6" s="217">
        <v>0.45</v>
      </c>
      <c r="H6" s="217">
        <f t="shared" si="1"/>
        <v>1.885</v>
      </c>
      <c r="I6" s="216">
        <f t="shared" si="2"/>
        <v>1606.02</v>
      </c>
      <c r="J6" s="216">
        <f>E6*C6</f>
        <v>2828.6400000000003</v>
      </c>
      <c r="K6" s="216"/>
    </row>
    <row r="7" spans="2:12">
      <c r="B7" s="197">
        <v>43223</v>
      </c>
      <c r="C7" s="216">
        <v>148</v>
      </c>
      <c r="D7" s="217">
        <v>2.87</v>
      </c>
      <c r="E7" s="217">
        <f>D7+G7</f>
        <v>3.3200000000000003</v>
      </c>
      <c r="F7" s="216">
        <f t="shared" ref="F7" si="4">D7/2</f>
        <v>1.4350000000000001</v>
      </c>
      <c r="G7" s="217">
        <v>0.45</v>
      </c>
      <c r="H7" s="217">
        <f t="shared" ref="H7" si="5">F7+G7</f>
        <v>1.885</v>
      </c>
      <c r="I7" s="216">
        <f t="shared" ref="I7" si="6">C7*H7</f>
        <v>278.98</v>
      </c>
      <c r="J7" s="216">
        <f>E7*C7</f>
        <v>491.36</v>
      </c>
      <c r="K7" s="216"/>
    </row>
    <row r="10" spans="2:12">
      <c r="D10" t="s">
        <v>68</v>
      </c>
      <c r="E10" t="s">
        <v>69</v>
      </c>
      <c r="F10" t="s">
        <v>70</v>
      </c>
      <c r="G10" s="1" t="s">
        <v>71</v>
      </c>
      <c r="H10" s="1" t="s">
        <v>72</v>
      </c>
    </row>
    <row r="11" spans="2:12">
      <c r="B11" t="s">
        <v>65</v>
      </c>
      <c r="C11">
        <v>2665</v>
      </c>
      <c r="D11">
        <v>0.89</v>
      </c>
      <c r="E11" s="217">
        <f t="shared" ref="E11:E13" si="7">D11+G11</f>
        <v>1.34</v>
      </c>
      <c r="F11" s="216">
        <f t="shared" ref="F11:F13" si="8">D11/2</f>
        <v>0.44500000000000001</v>
      </c>
      <c r="G11" s="217">
        <v>0.45</v>
      </c>
      <c r="H11" s="217">
        <f t="shared" ref="H11:H13" si="9">F11+G11</f>
        <v>0.89500000000000002</v>
      </c>
      <c r="I11" s="216">
        <f t="shared" ref="I11:I13" si="10">C11*H11</f>
        <v>2385.1750000000002</v>
      </c>
      <c r="J11" s="216">
        <f>E11*C11</f>
        <v>3571.1000000000004</v>
      </c>
      <c r="K11" s="216"/>
    </row>
    <row r="12" spans="2:12">
      <c r="B12" t="s">
        <v>66</v>
      </c>
      <c r="D12">
        <v>1.39</v>
      </c>
      <c r="E12" s="217">
        <f t="shared" si="7"/>
        <v>1.8399999999999999</v>
      </c>
      <c r="F12" s="216">
        <f t="shared" si="8"/>
        <v>0.69499999999999995</v>
      </c>
      <c r="G12" s="217">
        <v>0.45</v>
      </c>
      <c r="H12" s="217">
        <f t="shared" si="9"/>
        <v>1.145</v>
      </c>
      <c r="I12" s="216">
        <f t="shared" si="10"/>
        <v>0</v>
      </c>
      <c r="J12" s="216">
        <f t="shared" ref="J12:J13" si="11">E12*C12</f>
        <v>0</v>
      </c>
      <c r="K12" s="216"/>
    </row>
    <row r="13" spans="2:12">
      <c r="B13" t="s">
        <v>67</v>
      </c>
      <c r="D13">
        <v>2.89</v>
      </c>
      <c r="E13" s="217">
        <f t="shared" si="7"/>
        <v>3.3400000000000003</v>
      </c>
      <c r="F13" s="216">
        <f t="shared" si="8"/>
        <v>1.4450000000000001</v>
      </c>
      <c r="G13" s="217">
        <v>0.45</v>
      </c>
      <c r="H13" s="217">
        <f t="shared" si="9"/>
        <v>1.895</v>
      </c>
      <c r="I13" s="216">
        <f t="shared" si="10"/>
        <v>0</v>
      </c>
      <c r="J13" s="216">
        <f t="shared" si="11"/>
        <v>0</v>
      </c>
      <c r="K13" s="216"/>
    </row>
    <row r="14" spans="2:12">
      <c r="E14" s="217"/>
      <c r="F14" s="216"/>
      <c r="G14" s="217"/>
      <c r="H14" s="217"/>
      <c r="I14" s="216"/>
      <c r="J14" s="216"/>
      <c r="K14" s="216"/>
    </row>
    <row r="15" spans="2:12" ht="15.75" thickBot="1">
      <c r="E15" s="217"/>
      <c r="F15" s="216"/>
      <c r="G15" s="217"/>
      <c r="H15" s="217"/>
      <c r="I15" s="216"/>
      <c r="J15" s="216"/>
      <c r="K15" s="216"/>
    </row>
    <row r="16" spans="2:12" ht="15.75" thickBot="1">
      <c r="C16" s="10"/>
      <c r="D16" s="680" t="s">
        <v>77</v>
      </c>
      <c r="E16" s="681"/>
      <c r="F16" s="681"/>
      <c r="G16" s="682"/>
      <c r="H16" s="683" t="s">
        <v>78</v>
      </c>
      <c r="I16" s="684"/>
      <c r="J16" s="684"/>
      <c r="K16" s="684"/>
      <c r="L16" s="685"/>
    </row>
    <row r="17" spans="1:13">
      <c r="A17" t="s">
        <v>80</v>
      </c>
      <c r="B17" t="s">
        <v>75</v>
      </c>
      <c r="C17" t="s">
        <v>79</v>
      </c>
      <c r="D17" t="s">
        <v>73</v>
      </c>
      <c r="E17" t="s">
        <v>71</v>
      </c>
      <c r="F17" t="s">
        <v>74</v>
      </c>
      <c r="G17" s="1" t="s">
        <v>76</v>
      </c>
      <c r="H17" s="1" t="s">
        <v>68</v>
      </c>
      <c r="I17" t="s">
        <v>71</v>
      </c>
      <c r="J17" t="s">
        <v>74</v>
      </c>
      <c r="K17" t="s">
        <v>96</v>
      </c>
      <c r="L17" t="s">
        <v>76</v>
      </c>
      <c r="M17" t="s">
        <v>79</v>
      </c>
    </row>
    <row r="18" spans="1:13">
      <c r="A18" t="s">
        <v>65</v>
      </c>
      <c r="B18">
        <v>2049</v>
      </c>
      <c r="C18">
        <v>12721</v>
      </c>
      <c r="D18" s="1">
        <v>0.89</v>
      </c>
      <c r="E18" s="217">
        <v>0.45</v>
      </c>
      <c r="F18" s="217">
        <f>D18+E18</f>
        <v>1.34</v>
      </c>
      <c r="G18" s="1">
        <f>2*F18*$B18</f>
        <v>5491.3200000000006</v>
      </c>
      <c r="H18" s="1">
        <f>D18/2</f>
        <v>0.44500000000000001</v>
      </c>
      <c r="I18">
        <v>0.45</v>
      </c>
      <c r="J18" s="217">
        <f>H18+I18</f>
        <v>0.89500000000000002</v>
      </c>
      <c r="K18" s="217">
        <f>2*J18</f>
        <v>1.79</v>
      </c>
      <c r="L18" s="1">
        <f>2*J18*$B18</f>
        <v>3667.71</v>
      </c>
      <c r="M18" s="1">
        <f>$C18 - L18</f>
        <v>9053.2900000000009</v>
      </c>
    </row>
    <row r="19" spans="1:13">
      <c r="A19" t="s">
        <v>66</v>
      </c>
      <c r="C19" t="s">
        <v>66</v>
      </c>
      <c r="D19" s="1">
        <v>1.39</v>
      </c>
      <c r="E19" s="217">
        <v>0.45</v>
      </c>
      <c r="F19" s="217">
        <f t="shared" ref="F19:F25" si="12">D19+E19</f>
        <v>1.8399999999999999</v>
      </c>
      <c r="G19" s="1">
        <f t="shared" ref="G19:G82" si="13">2*F19*$B19</f>
        <v>0</v>
      </c>
      <c r="H19" s="1">
        <f t="shared" ref="H19:H25" si="14">D19/2</f>
        <v>0.69499999999999995</v>
      </c>
      <c r="I19">
        <v>0.45</v>
      </c>
      <c r="J19" s="217">
        <f t="shared" ref="J19:J25" si="15">H19+I19</f>
        <v>1.145</v>
      </c>
      <c r="K19" s="217">
        <f t="shared" ref="K19:K82" si="16">2*J19</f>
        <v>2.29</v>
      </c>
      <c r="L19" s="1">
        <f t="shared" ref="L19:L82" si="17">2*J19*$B19</f>
        <v>0</v>
      </c>
    </row>
    <row r="20" spans="1:13">
      <c r="A20" t="s">
        <v>67</v>
      </c>
      <c r="C20" t="s">
        <v>67</v>
      </c>
      <c r="D20" s="1">
        <v>2.89</v>
      </c>
      <c r="E20" s="217">
        <v>0.45</v>
      </c>
      <c r="F20" s="217">
        <f t="shared" si="12"/>
        <v>3.3400000000000003</v>
      </c>
      <c r="G20" s="1">
        <f t="shared" si="13"/>
        <v>0</v>
      </c>
      <c r="H20" s="1">
        <f t="shared" si="14"/>
        <v>1.4450000000000001</v>
      </c>
      <c r="I20">
        <v>0.45</v>
      </c>
      <c r="J20" s="217">
        <f t="shared" si="15"/>
        <v>1.895</v>
      </c>
      <c r="K20" s="217">
        <f t="shared" si="16"/>
        <v>3.79</v>
      </c>
      <c r="L20" s="1">
        <f t="shared" si="17"/>
        <v>0</v>
      </c>
    </row>
    <row r="21" spans="1:13">
      <c r="D21" s="1"/>
      <c r="E21" s="217"/>
      <c r="F21" s="217"/>
      <c r="J21" s="217"/>
      <c r="K21" s="217">
        <f t="shared" si="16"/>
        <v>0</v>
      </c>
      <c r="L21" s="1"/>
    </row>
    <row r="22" spans="1:13">
      <c r="A22" t="s">
        <v>85</v>
      </c>
      <c r="B22">
        <v>2005</v>
      </c>
      <c r="C22">
        <v>11410</v>
      </c>
      <c r="D22" s="1">
        <v>0.89</v>
      </c>
      <c r="E22" s="217">
        <v>0.45</v>
      </c>
      <c r="F22" s="217">
        <f t="shared" si="12"/>
        <v>1.34</v>
      </c>
      <c r="G22" s="1">
        <f t="shared" si="13"/>
        <v>5373.4000000000005</v>
      </c>
      <c r="H22" s="1">
        <f t="shared" si="14"/>
        <v>0.44500000000000001</v>
      </c>
      <c r="I22">
        <v>0.45</v>
      </c>
      <c r="J22" s="217">
        <f t="shared" si="15"/>
        <v>0.89500000000000002</v>
      </c>
      <c r="K22" s="217">
        <f t="shared" si="16"/>
        <v>1.79</v>
      </c>
      <c r="L22" s="1">
        <f t="shared" si="17"/>
        <v>3588.9500000000003</v>
      </c>
      <c r="M22" s="1">
        <f t="shared" ref="M22:M72" si="18">$C22 - L22</f>
        <v>7821.0499999999993</v>
      </c>
    </row>
    <row r="23" spans="1:13">
      <c r="A23" t="s">
        <v>82</v>
      </c>
      <c r="B23">
        <v>2049</v>
      </c>
      <c r="C23">
        <v>12721</v>
      </c>
      <c r="D23" s="1">
        <v>0.89</v>
      </c>
      <c r="E23" s="217">
        <v>0.45</v>
      </c>
      <c r="F23" s="217">
        <f t="shared" si="12"/>
        <v>1.34</v>
      </c>
      <c r="G23" s="1">
        <f t="shared" si="13"/>
        <v>5491.3200000000006</v>
      </c>
      <c r="H23" s="1">
        <f t="shared" si="14"/>
        <v>0.44500000000000001</v>
      </c>
      <c r="I23">
        <v>0.45</v>
      </c>
      <c r="J23" s="217">
        <f t="shared" si="15"/>
        <v>0.89500000000000002</v>
      </c>
      <c r="K23" s="217">
        <f t="shared" si="16"/>
        <v>1.79</v>
      </c>
      <c r="L23" s="1">
        <f t="shared" si="17"/>
        <v>3667.71</v>
      </c>
      <c r="M23" s="1">
        <f t="shared" si="18"/>
        <v>9053.2900000000009</v>
      </c>
    </row>
    <row r="24" spans="1:13">
      <c r="A24" t="s">
        <v>82</v>
      </c>
      <c r="B24">
        <v>2637</v>
      </c>
      <c r="C24">
        <v>12324</v>
      </c>
      <c r="D24" s="1">
        <v>0.89</v>
      </c>
      <c r="E24" s="217">
        <v>0.45</v>
      </c>
      <c r="F24" s="217">
        <f t="shared" si="12"/>
        <v>1.34</v>
      </c>
      <c r="G24" s="1">
        <f t="shared" si="13"/>
        <v>7067.1600000000008</v>
      </c>
      <c r="H24" s="1">
        <f t="shared" si="14"/>
        <v>0.44500000000000001</v>
      </c>
      <c r="I24">
        <v>0.45</v>
      </c>
      <c r="J24" s="217">
        <f t="shared" si="15"/>
        <v>0.89500000000000002</v>
      </c>
      <c r="K24" s="217">
        <f t="shared" si="16"/>
        <v>1.79</v>
      </c>
      <c r="L24" s="1">
        <f t="shared" si="17"/>
        <v>4720.2300000000005</v>
      </c>
      <c r="M24" s="1">
        <f t="shared" si="18"/>
        <v>7603.7699999999995</v>
      </c>
    </row>
    <row r="25" spans="1:13">
      <c r="A25" t="s">
        <v>82</v>
      </c>
      <c r="B25">
        <v>2665</v>
      </c>
      <c r="C25">
        <v>13078</v>
      </c>
      <c r="D25" s="1">
        <v>0.89</v>
      </c>
      <c r="E25" s="217">
        <v>0.45</v>
      </c>
      <c r="F25" s="217">
        <f t="shared" si="12"/>
        <v>1.34</v>
      </c>
      <c r="G25" s="1">
        <f t="shared" si="13"/>
        <v>7142.2000000000007</v>
      </c>
      <c r="H25" s="1">
        <f t="shared" si="14"/>
        <v>0.44500000000000001</v>
      </c>
      <c r="I25">
        <v>0.45</v>
      </c>
      <c r="J25" s="217">
        <f t="shared" si="15"/>
        <v>0.89500000000000002</v>
      </c>
      <c r="K25" s="217">
        <f t="shared" si="16"/>
        <v>1.79</v>
      </c>
      <c r="L25" s="1">
        <f t="shared" si="17"/>
        <v>4770.3500000000004</v>
      </c>
      <c r="M25" s="1">
        <f t="shared" si="18"/>
        <v>8307.65</v>
      </c>
    </row>
    <row r="26" spans="1:13">
      <c r="D26" s="1"/>
      <c r="E26" s="217"/>
      <c r="F26" s="217"/>
      <c r="J26" s="217"/>
      <c r="K26" s="217">
        <f t="shared" si="16"/>
        <v>0</v>
      </c>
      <c r="L26" s="1"/>
      <c r="M26" s="1"/>
    </row>
    <row r="27" spans="1:13">
      <c r="A27" t="s">
        <v>86</v>
      </c>
      <c r="B27">
        <v>3745</v>
      </c>
      <c r="C27">
        <v>14730</v>
      </c>
      <c r="D27" s="1">
        <v>0.89</v>
      </c>
      <c r="E27" s="217">
        <v>0.45</v>
      </c>
      <c r="F27" s="217">
        <f t="shared" ref="F27:F30" si="19">D27+E27</f>
        <v>1.34</v>
      </c>
      <c r="G27" s="1">
        <f t="shared" si="13"/>
        <v>10036.6</v>
      </c>
      <c r="H27" s="1">
        <f t="shared" ref="H27:H30" si="20">D27/2</f>
        <v>0.44500000000000001</v>
      </c>
      <c r="I27">
        <v>0.45</v>
      </c>
      <c r="J27" s="217">
        <f t="shared" ref="J27:J30" si="21">H27+I27</f>
        <v>0.89500000000000002</v>
      </c>
      <c r="K27" s="217">
        <f t="shared" si="16"/>
        <v>1.79</v>
      </c>
      <c r="L27" s="1">
        <f t="shared" si="17"/>
        <v>6703.55</v>
      </c>
      <c r="M27" s="1">
        <f t="shared" si="18"/>
        <v>8026.45</v>
      </c>
    </row>
    <row r="28" spans="1:13">
      <c r="A28" t="s">
        <v>81</v>
      </c>
      <c r="B28">
        <v>3871</v>
      </c>
      <c r="C28">
        <v>14204</v>
      </c>
      <c r="D28" s="1">
        <v>0.89</v>
      </c>
      <c r="E28" s="217">
        <v>0.45</v>
      </c>
      <c r="F28" s="217">
        <f t="shared" si="19"/>
        <v>1.34</v>
      </c>
      <c r="G28" s="1">
        <f t="shared" si="13"/>
        <v>10374.280000000001</v>
      </c>
      <c r="H28" s="1">
        <f t="shared" si="20"/>
        <v>0.44500000000000001</v>
      </c>
      <c r="I28">
        <v>0.45</v>
      </c>
      <c r="J28" s="217">
        <f t="shared" si="21"/>
        <v>0.89500000000000002</v>
      </c>
      <c r="K28" s="217">
        <f t="shared" si="16"/>
        <v>1.79</v>
      </c>
      <c r="L28" s="1">
        <f t="shared" si="17"/>
        <v>6929.09</v>
      </c>
      <c r="M28" s="1">
        <f t="shared" si="18"/>
        <v>7274.91</v>
      </c>
    </row>
    <row r="29" spans="1:13">
      <c r="A29" t="s">
        <v>81</v>
      </c>
      <c r="B29">
        <v>4915</v>
      </c>
      <c r="C29">
        <v>14240</v>
      </c>
      <c r="D29" s="1">
        <v>0.89</v>
      </c>
      <c r="E29" s="217">
        <v>0.45</v>
      </c>
      <c r="F29" s="217">
        <f t="shared" si="19"/>
        <v>1.34</v>
      </c>
      <c r="G29" s="1">
        <f t="shared" si="13"/>
        <v>13172.2</v>
      </c>
      <c r="H29" s="1">
        <f t="shared" si="20"/>
        <v>0.44500000000000001</v>
      </c>
      <c r="I29">
        <v>0.45</v>
      </c>
      <c r="J29" s="217">
        <f t="shared" si="21"/>
        <v>0.89500000000000002</v>
      </c>
      <c r="K29" s="217">
        <f t="shared" si="16"/>
        <v>1.79</v>
      </c>
      <c r="L29" s="1">
        <f t="shared" si="17"/>
        <v>8797.85</v>
      </c>
      <c r="M29" s="1">
        <f t="shared" si="18"/>
        <v>5442.15</v>
      </c>
    </row>
    <row r="30" spans="1:13">
      <c r="A30" t="s">
        <v>81</v>
      </c>
      <c r="B30">
        <v>4948</v>
      </c>
      <c r="C30">
        <v>14129</v>
      </c>
      <c r="D30" s="1">
        <v>0.89</v>
      </c>
      <c r="E30" s="217">
        <v>0.45</v>
      </c>
      <c r="F30" s="217">
        <f t="shared" si="19"/>
        <v>1.34</v>
      </c>
      <c r="G30" s="1">
        <f t="shared" si="13"/>
        <v>13260.640000000001</v>
      </c>
      <c r="H30" s="1">
        <f t="shared" si="20"/>
        <v>0.44500000000000001</v>
      </c>
      <c r="I30">
        <v>0.45</v>
      </c>
      <c r="J30" s="217">
        <f t="shared" si="21"/>
        <v>0.89500000000000002</v>
      </c>
      <c r="K30" s="217">
        <f t="shared" si="16"/>
        <v>1.79</v>
      </c>
      <c r="L30" s="1">
        <f t="shared" si="17"/>
        <v>8856.92</v>
      </c>
      <c r="M30" s="1">
        <f t="shared" si="18"/>
        <v>5272.08</v>
      </c>
    </row>
    <row r="31" spans="1:13">
      <c r="D31" s="1"/>
      <c r="E31" s="217"/>
      <c r="F31" s="217"/>
      <c r="J31" s="217"/>
      <c r="K31" s="217">
        <f t="shared" si="16"/>
        <v>0</v>
      </c>
      <c r="L31" s="1"/>
      <c r="M31" s="1"/>
    </row>
    <row r="32" spans="1:13">
      <c r="A32" t="s">
        <v>94</v>
      </c>
      <c r="D32" s="1"/>
      <c r="E32" s="217"/>
      <c r="F32" s="217"/>
      <c r="J32" s="217"/>
      <c r="K32" s="217">
        <f t="shared" si="16"/>
        <v>0</v>
      </c>
      <c r="L32" s="1"/>
      <c r="M32" s="1"/>
    </row>
    <row r="33" spans="1:13">
      <c r="A33" t="s">
        <v>90</v>
      </c>
      <c r="B33">
        <v>1019</v>
      </c>
      <c r="C33">
        <v>11346</v>
      </c>
      <c r="D33" s="1">
        <v>0.89</v>
      </c>
      <c r="E33" s="217">
        <v>0.45</v>
      </c>
      <c r="F33" s="217">
        <f t="shared" ref="F33:F36" si="22">D33+E33</f>
        <v>1.34</v>
      </c>
      <c r="G33" s="1">
        <f t="shared" ref="G33:G36" si="23">2*F33*$B33</f>
        <v>2730.92</v>
      </c>
      <c r="H33" s="1">
        <f t="shared" ref="H33:H36" si="24">D33/2</f>
        <v>0.44500000000000001</v>
      </c>
      <c r="I33">
        <v>0.45</v>
      </c>
      <c r="J33" s="217">
        <f t="shared" ref="J33:J36" si="25">H33+I33</f>
        <v>0.89500000000000002</v>
      </c>
      <c r="K33" s="217">
        <f t="shared" si="16"/>
        <v>1.79</v>
      </c>
      <c r="L33" s="1">
        <f t="shared" ref="L33:L36" si="26">2*J33*$B33</f>
        <v>1824.01</v>
      </c>
      <c r="M33" s="1">
        <f t="shared" ref="M33:M36" si="27">$C33 - L33</f>
        <v>9521.99</v>
      </c>
    </row>
    <row r="34" spans="1:13">
      <c r="B34">
        <v>1156</v>
      </c>
      <c r="C34">
        <v>11608</v>
      </c>
      <c r="D34" s="1">
        <v>0.89</v>
      </c>
      <c r="E34" s="217">
        <v>0.45</v>
      </c>
      <c r="F34" s="217">
        <f t="shared" si="22"/>
        <v>1.34</v>
      </c>
      <c r="G34" s="1">
        <f t="shared" si="23"/>
        <v>3098.0800000000004</v>
      </c>
      <c r="H34" s="1">
        <f t="shared" si="24"/>
        <v>0.44500000000000001</v>
      </c>
      <c r="I34">
        <v>0.45</v>
      </c>
      <c r="J34" s="217">
        <f t="shared" si="25"/>
        <v>0.89500000000000002</v>
      </c>
      <c r="K34" s="217">
        <f t="shared" si="16"/>
        <v>1.79</v>
      </c>
      <c r="L34" s="1">
        <f t="shared" si="26"/>
        <v>2069.2400000000002</v>
      </c>
      <c r="M34" s="1">
        <f t="shared" si="27"/>
        <v>9538.76</v>
      </c>
    </row>
    <row r="35" spans="1:13">
      <c r="B35">
        <v>1574</v>
      </c>
      <c r="C35">
        <v>17162</v>
      </c>
      <c r="D35" s="1">
        <v>0.89</v>
      </c>
      <c r="E35" s="217">
        <v>0.45</v>
      </c>
      <c r="F35" s="217">
        <f t="shared" si="22"/>
        <v>1.34</v>
      </c>
      <c r="G35" s="1">
        <f t="shared" si="23"/>
        <v>4218.3200000000006</v>
      </c>
      <c r="H35" s="1">
        <f t="shared" si="24"/>
        <v>0.44500000000000001</v>
      </c>
      <c r="I35">
        <v>0.45</v>
      </c>
      <c r="J35" s="217">
        <f t="shared" si="25"/>
        <v>0.89500000000000002</v>
      </c>
      <c r="K35" s="217">
        <f t="shared" si="16"/>
        <v>1.79</v>
      </c>
      <c r="L35" s="1">
        <f t="shared" si="26"/>
        <v>2817.46</v>
      </c>
      <c r="M35" s="1">
        <f t="shared" si="27"/>
        <v>14344.54</v>
      </c>
    </row>
    <row r="36" spans="1:13">
      <c r="B36">
        <v>1637</v>
      </c>
      <c r="C36">
        <v>14911</v>
      </c>
      <c r="D36" s="1">
        <v>0.89</v>
      </c>
      <c r="E36" s="217">
        <v>0.45</v>
      </c>
      <c r="F36" s="217">
        <f t="shared" si="22"/>
        <v>1.34</v>
      </c>
      <c r="G36" s="1">
        <f t="shared" si="23"/>
        <v>4387.16</v>
      </c>
      <c r="H36" s="1">
        <f t="shared" si="24"/>
        <v>0.44500000000000001</v>
      </c>
      <c r="I36">
        <v>0.45</v>
      </c>
      <c r="J36" s="217">
        <f t="shared" si="25"/>
        <v>0.89500000000000002</v>
      </c>
      <c r="K36" s="217">
        <f t="shared" si="16"/>
        <v>1.79</v>
      </c>
      <c r="L36" s="1">
        <f t="shared" si="26"/>
        <v>2930.23</v>
      </c>
      <c r="M36" s="1">
        <f t="shared" si="27"/>
        <v>11980.77</v>
      </c>
    </row>
    <row r="37" spans="1:13">
      <c r="D37" s="1"/>
      <c r="E37" s="217"/>
      <c r="F37" s="217"/>
      <c r="J37" s="217"/>
      <c r="K37" s="217">
        <f t="shared" si="16"/>
        <v>0</v>
      </c>
      <c r="L37" s="1"/>
      <c r="M37" s="1"/>
    </row>
    <row r="38" spans="1:13">
      <c r="A38" t="s">
        <v>92</v>
      </c>
      <c r="B38">
        <v>1286</v>
      </c>
      <c r="C38">
        <v>10259</v>
      </c>
      <c r="D38" s="1">
        <v>0.89</v>
      </c>
      <c r="E38" s="217">
        <v>0.45</v>
      </c>
      <c r="F38" s="217">
        <f t="shared" ref="F38:F41" si="28">D38+E38</f>
        <v>1.34</v>
      </c>
      <c r="G38" s="1">
        <f t="shared" ref="G38:G41" si="29">2*F38*$B38</f>
        <v>3446.48</v>
      </c>
      <c r="H38" s="1">
        <f t="shared" ref="H38:H41" si="30">D38/2</f>
        <v>0.44500000000000001</v>
      </c>
      <c r="I38">
        <v>0.45</v>
      </c>
      <c r="J38" s="217">
        <f t="shared" ref="J38:J41" si="31">H38+I38</f>
        <v>0.89500000000000002</v>
      </c>
      <c r="K38" s="217">
        <f t="shared" si="16"/>
        <v>1.79</v>
      </c>
      <c r="L38" s="1">
        <f t="shared" ref="L38:L41" si="32">2*J38*$B38</f>
        <v>2301.94</v>
      </c>
      <c r="M38" s="1">
        <f t="shared" ref="M38:M41" si="33">$C38 - L38</f>
        <v>7957.0599999999995</v>
      </c>
    </row>
    <row r="39" spans="1:13">
      <c r="B39">
        <v>1370</v>
      </c>
      <c r="C39">
        <v>9434</v>
      </c>
      <c r="D39" s="1">
        <v>0.89</v>
      </c>
      <c r="E39" s="217">
        <v>0.45</v>
      </c>
      <c r="F39" s="217">
        <f t="shared" si="28"/>
        <v>1.34</v>
      </c>
      <c r="G39" s="1">
        <f t="shared" si="29"/>
        <v>3671.6000000000004</v>
      </c>
      <c r="H39" s="1">
        <f t="shared" si="30"/>
        <v>0.44500000000000001</v>
      </c>
      <c r="I39">
        <v>0.45</v>
      </c>
      <c r="J39" s="217">
        <f t="shared" si="31"/>
        <v>0.89500000000000002</v>
      </c>
      <c r="K39" s="217">
        <f t="shared" si="16"/>
        <v>1.79</v>
      </c>
      <c r="L39" s="1">
        <f t="shared" si="32"/>
        <v>2452.3000000000002</v>
      </c>
      <c r="M39" s="1">
        <f t="shared" si="33"/>
        <v>6981.7</v>
      </c>
    </row>
    <row r="40" spans="1:13">
      <c r="B40">
        <v>1783</v>
      </c>
      <c r="C40">
        <v>12678</v>
      </c>
      <c r="D40" s="1">
        <v>0.89</v>
      </c>
      <c r="E40" s="217">
        <v>0.45</v>
      </c>
      <c r="F40" s="217">
        <f t="shared" si="28"/>
        <v>1.34</v>
      </c>
      <c r="G40" s="1">
        <f t="shared" si="29"/>
        <v>4778.4400000000005</v>
      </c>
      <c r="H40" s="1">
        <f t="shared" si="30"/>
        <v>0.44500000000000001</v>
      </c>
      <c r="I40">
        <v>0.45</v>
      </c>
      <c r="J40" s="217">
        <f t="shared" si="31"/>
        <v>0.89500000000000002</v>
      </c>
      <c r="K40" s="217">
        <f t="shared" si="16"/>
        <v>1.79</v>
      </c>
      <c r="L40" s="1">
        <f t="shared" si="32"/>
        <v>3191.57</v>
      </c>
      <c r="M40" s="1">
        <f t="shared" si="33"/>
        <v>9486.43</v>
      </c>
    </row>
    <row r="41" spans="1:13">
      <c r="B41">
        <v>1829</v>
      </c>
      <c r="C41">
        <v>10040</v>
      </c>
      <c r="D41" s="1">
        <v>0.89</v>
      </c>
      <c r="E41" s="217">
        <v>0.45</v>
      </c>
      <c r="F41" s="217">
        <f t="shared" si="28"/>
        <v>1.34</v>
      </c>
      <c r="G41" s="1">
        <f t="shared" si="29"/>
        <v>4901.72</v>
      </c>
      <c r="H41" s="1">
        <f t="shared" si="30"/>
        <v>0.44500000000000001</v>
      </c>
      <c r="I41">
        <v>0.45</v>
      </c>
      <c r="J41" s="217">
        <f t="shared" si="31"/>
        <v>0.89500000000000002</v>
      </c>
      <c r="K41" s="217">
        <f t="shared" si="16"/>
        <v>1.79</v>
      </c>
      <c r="L41" s="1">
        <f t="shared" si="32"/>
        <v>3273.91</v>
      </c>
      <c r="M41" s="1">
        <f t="shared" si="33"/>
        <v>6766.09</v>
      </c>
    </row>
    <row r="42" spans="1:13">
      <c r="D42" s="1"/>
      <c r="E42" s="217"/>
      <c r="F42" s="217"/>
      <c r="J42" s="217"/>
      <c r="K42" s="217">
        <f t="shared" si="16"/>
        <v>0</v>
      </c>
      <c r="L42" s="1"/>
      <c r="M42" s="1"/>
    </row>
    <row r="43" spans="1:13">
      <c r="A43" t="s">
        <v>91</v>
      </c>
      <c r="B43">
        <v>1612</v>
      </c>
      <c r="C43">
        <v>13430</v>
      </c>
      <c r="D43" s="1">
        <v>0.89</v>
      </c>
      <c r="E43" s="217">
        <v>0.45</v>
      </c>
      <c r="F43" s="217">
        <f t="shared" ref="F43:F46" si="34">D43+E43</f>
        <v>1.34</v>
      </c>
      <c r="G43" s="1">
        <f t="shared" ref="G43:G46" si="35">2*F43*$B43</f>
        <v>4320.16</v>
      </c>
      <c r="H43" s="1">
        <f t="shared" ref="H43:H46" si="36">D43/2</f>
        <v>0.44500000000000001</v>
      </c>
      <c r="I43">
        <v>0.45</v>
      </c>
      <c r="J43" s="217">
        <f t="shared" ref="J43:J46" si="37">H43+I43</f>
        <v>0.89500000000000002</v>
      </c>
      <c r="K43" s="217">
        <f t="shared" si="16"/>
        <v>1.79</v>
      </c>
      <c r="L43" s="1">
        <f t="shared" ref="L43:L46" si="38">2*J43*$B43</f>
        <v>2885.48</v>
      </c>
      <c r="M43" s="1">
        <f t="shared" ref="M43:M46" si="39">$C43 - L43</f>
        <v>10544.52</v>
      </c>
    </row>
    <row r="44" spans="1:13">
      <c r="B44">
        <v>1646</v>
      </c>
      <c r="C44">
        <v>13993</v>
      </c>
      <c r="D44" s="1">
        <v>0.89</v>
      </c>
      <c r="E44" s="217">
        <v>0.45</v>
      </c>
      <c r="F44" s="217">
        <f t="shared" si="34"/>
        <v>1.34</v>
      </c>
      <c r="G44" s="1">
        <f t="shared" si="35"/>
        <v>4411.2800000000007</v>
      </c>
      <c r="H44" s="1">
        <f t="shared" si="36"/>
        <v>0.44500000000000001</v>
      </c>
      <c r="I44">
        <v>0.45</v>
      </c>
      <c r="J44" s="217">
        <f t="shared" si="37"/>
        <v>0.89500000000000002</v>
      </c>
      <c r="K44" s="217">
        <f t="shared" si="16"/>
        <v>1.79</v>
      </c>
      <c r="L44" s="1">
        <f t="shared" si="38"/>
        <v>2946.34</v>
      </c>
      <c r="M44" s="1">
        <f t="shared" si="39"/>
        <v>11046.66</v>
      </c>
    </row>
    <row r="45" spans="1:13">
      <c r="B45">
        <v>2060</v>
      </c>
      <c r="C45">
        <v>14024</v>
      </c>
      <c r="D45" s="1">
        <v>0.89</v>
      </c>
      <c r="E45" s="217">
        <v>0.45</v>
      </c>
      <c r="F45" s="217">
        <f t="shared" si="34"/>
        <v>1.34</v>
      </c>
      <c r="G45" s="1">
        <f t="shared" si="35"/>
        <v>5520.8</v>
      </c>
      <c r="H45" s="1">
        <f t="shared" si="36"/>
        <v>0.44500000000000001</v>
      </c>
      <c r="I45">
        <v>0.45</v>
      </c>
      <c r="J45" s="217">
        <f t="shared" si="37"/>
        <v>0.89500000000000002</v>
      </c>
      <c r="K45" s="217">
        <f t="shared" si="16"/>
        <v>1.79</v>
      </c>
      <c r="L45" s="1">
        <f t="shared" si="38"/>
        <v>3687.4</v>
      </c>
      <c r="M45" s="1">
        <f t="shared" si="39"/>
        <v>10336.6</v>
      </c>
    </row>
    <row r="46" spans="1:13">
      <c r="B46">
        <v>2072</v>
      </c>
      <c r="C46">
        <v>14548</v>
      </c>
      <c r="D46" s="1">
        <v>0.89</v>
      </c>
      <c r="E46" s="217">
        <v>0.45</v>
      </c>
      <c r="F46" s="217">
        <f t="shared" si="34"/>
        <v>1.34</v>
      </c>
      <c r="G46" s="1">
        <f t="shared" si="35"/>
        <v>5552.96</v>
      </c>
      <c r="H46" s="1">
        <f t="shared" si="36"/>
        <v>0.44500000000000001</v>
      </c>
      <c r="I46">
        <v>0.45</v>
      </c>
      <c r="J46" s="217">
        <f t="shared" si="37"/>
        <v>0.89500000000000002</v>
      </c>
      <c r="K46" s="217">
        <f t="shared" si="16"/>
        <v>1.79</v>
      </c>
      <c r="L46" s="1">
        <f t="shared" si="38"/>
        <v>3708.88</v>
      </c>
      <c r="M46" s="1">
        <f t="shared" si="39"/>
        <v>10839.119999999999</v>
      </c>
    </row>
    <row r="47" spans="1:13">
      <c r="D47" s="1"/>
      <c r="E47" s="217"/>
      <c r="F47" s="217"/>
      <c r="J47" s="217"/>
      <c r="K47" s="217">
        <f t="shared" si="16"/>
        <v>0</v>
      </c>
      <c r="L47" s="1"/>
      <c r="M47" s="1"/>
    </row>
    <row r="48" spans="1:13">
      <c r="A48" t="s">
        <v>93</v>
      </c>
      <c r="B48">
        <v>1099</v>
      </c>
      <c r="C48">
        <v>9604</v>
      </c>
      <c r="D48" s="1">
        <v>0.89</v>
      </c>
      <c r="E48" s="217">
        <v>0.45</v>
      </c>
      <c r="F48" s="217">
        <f t="shared" ref="F48:F51" si="40">D48+E48</f>
        <v>1.34</v>
      </c>
      <c r="G48" s="1">
        <f t="shared" ref="G48:G51" si="41">2*F48*$B48</f>
        <v>2945.32</v>
      </c>
      <c r="H48" s="1">
        <f t="shared" ref="H48:H51" si="42">D48/2</f>
        <v>0.44500000000000001</v>
      </c>
      <c r="I48">
        <v>0.45</v>
      </c>
      <c r="J48" s="217">
        <f t="shared" ref="J48:J51" si="43">H48+I48</f>
        <v>0.89500000000000002</v>
      </c>
      <c r="K48" s="217">
        <f t="shared" si="16"/>
        <v>1.79</v>
      </c>
      <c r="L48" s="1">
        <f t="shared" ref="L48:L51" si="44">2*J48*$B48</f>
        <v>1967.21</v>
      </c>
      <c r="M48" s="1">
        <f t="shared" ref="M48:M51" si="45">$C48 - L48</f>
        <v>7636.79</v>
      </c>
    </row>
    <row r="49" spans="1:13">
      <c r="B49">
        <v>1129</v>
      </c>
      <c r="C49">
        <v>9878</v>
      </c>
      <c r="D49" s="1">
        <v>0.89</v>
      </c>
      <c r="E49" s="217">
        <v>0.45</v>
      </c>
      <c r="F49" s="217">
        <f t="shared" si="40"/>
        <v>1.34</v>
      </c>
      <c r="G49" s="1">
        <f t="shared" si="41"/>
        <v>3025.7200000000003</v>
      </c>
      <c r="H49" s="1">
        <f t="shared" si="42"/>
        <v>0.44500000000000001</v>
      </c>
      <c r="I49">
        <v>0.45</v>
      </c>
      <c r="J49" s="217">
        <f t="shared" si="43"/>
        <v>0.89500000000000002</v>
      </c>
      <c r="K49" s="217">
        <f t="shared" si="16"/>
        <v>1.79</v>
      </c>
      <c r="L49" s="1">
        <f t="shared" si="44"/>
        <v>2020.91</v>
      </c>
      <c r="M49" s="1">
        <f t="shared" si="45"/>
        <v>7857.09</v>
      </c>
    </row>
    <row r="50" spans="1:13">
      <c r="B50">
        <v>1394</v>
      </c>
      <c r="C50">
        <v>13189</v>
      </c>
      <c r="D50" s="1">
        <v>0.89</v>
      </c>
      <c r="E50" s="217">
        <v>0.45</v>
      </c>
      <c r="F50" s="217">
        <f t="shared" si="40"/>
        <v>1.34</v>
      </c>
      <c r="G50" s="1">
        <f t="shared" si="41"/>
        <v>3735.92</v>
      </c>
      <c r="H50" s="1">
        <f t="shared" si="42"/>
        <v>0.44500000000000001</v>
      </c>
      <c r="I50">
        <v>0.45</v>
      </c>
      <c r="J50" s="217">
        <f t="shared" si="43"/>
        <v>0.89500000000000002</v>
      </c>
      <c r="K50" s="217">
        <f t="shared" si="16"/>
        <v>1.79</v>
      </c>
      <c r="L50" s="1">
        <f t="shared" si="44"/>
        <v>2495.2600000000002</v>
      </c>
      <c r="M50" s="1">
        <f t="shared" si="45"/>
        <v>10693.74</v>
      </c>
    </row>
    <row r="51" spans="1:13">
      <c r="B51">
        <v>1407</v>
      </c>
      <c r="C51">
        <v>12561</v>
      </c>
      <c r="D51" s="1">
        <v>0.89</v>
      </c>
      <c r="E51" s="217">
        <v>0.45</v>
      </c>
      <c r="F51" s="217">
        <f t="shared" si="40"/>
        <v>1.34</v>
      </c>
      <c r="G51" s="1">
        <f t="shared" si="41"/>
        <v>3770.76</v>
      </c>
      <c r="H51" s="1">
        <f t="shared" si="42"/>
        <v>0.44500000000000001</v>
      </c>
      <c r="I51">
        <v>0.45</v>
      </c>
      <c r="J51" s="217">
        <f t="shared" si="43"/>
        <v>0.89500000000000002</v>
      </c>
      <c r="K51" s="217">
        <f t="shared" si="16"/>
        <v>1.79</v>
      </c>
      <c r="L51" s="1">
        <f t="shared" si="44"/>
        <v>2518.5300000000002</v>
      </c>
      <c r="M51" s="1">
        <f t="shared" si="45"/>
        <v>10042.469999999999</v>
      </c>
    </row>
    <row r="52" spans="1:13">
      <c r="D52" s="1"/>
      <c r="E52" s="217"/>
      <c r="F52" s="217"/>
      <c r="J52" s="217"/>
      <c r="K52" s="217">
        <f t="shared" si="16"/>
        <v>0</v>
      </c>
      <c r="L52" s="1"/>
      <c r="M52" s="1"/>
    </row>
    <row r="53" spans="1:13">
      <c r="A53" t="s">
        <v>95</v>
      </c>
      <c r="B53">
        <v>1317</v>
      </c>
      <c r="C53">
        <v>10714</v>
      </c>
      <c r="D53" s="1">
        <v>0.89</v>
      </c>
      <c r="E53" s="217">
        <v>0.45</v>
      </c>
      <c r="F53" s="217">
        <f t="shared" ref="F53:F56" si="46">D53+E53</f>
        <v>1.34</v>
      </c>
      <c r="G53" s="1">
        <f t="shared" ref="G53:G56" si="47">2*F53*$B53</f>
        <v>3529.5600000000004</v>
      </c>
      <c r="H53" s="1">
        <f t="shared" ref="H53:H56" si="48">D53/2</f>
        <v>0.44500000000000001</v>
      </c>
      <c r="I53">
        <v>0.45</v>
      </c>
      <c r="J53" s="217">
        <f t="shared" ref="J53:J56" si="49">H53+I53</f>
        <v>0.89500000000000002</v>
      </c>
      <c r="K53" s="217">
        <f t="shared" si="16"/>
        <v>1.79</v>
      </c>
      <c r="L53" s="1">
        <f t="shared" ref="L53:L56" si="50">2*J53*$B53</f>
        <v>2357.4299999999998</v>
      </c>
      <c r="M53" s="1">
        <f t="shared" ref="M53:M56" si="51">$C53 - L53</f>
        <v>8356.57</v>
      </c>
    </row>
    <row r="54" spans="1:13">
      <c r="B54">
        <v>1435</v>
      </c>
      <c r="C54">
        <v>10219</v>
      </c>
      <c r="D54" s="1">
        <v>0.89</v>
      </c>
      <c r="E54" s="217">
        <v>0.45</v>
      </c>
      <c r="F54" s="217">
        <f t="shared" si="46"/>
        <v>1.34</v>
      </c>
      <c r="G54" s="1">
        <f t="shared" si="47"/>
        <v>3845.8</v>
      </c>
      <c r="H54" s="1">
        <f t="shared" si="48"/>
        <v>0.44500000000000001</v>
      </c>
      <c r="I54">
        <v>0.45</v>
      </c>
      <c r="J54" s="217">
        <f t="shared" si="49"/>
        <v>0.89500000000000002</v>
      </c>
      <c r="K54" s="217">
        <f t="shared" si="16"/>
        <v>1.79</v>
      </c>
      <c r="L54" s="1">
        <f t="shared" si="50"/>
        <v>2568.65</v>
      </c>
      <c r="M54" s="1">
        <f t="shared" si="51"/>
        <v>7650.35</v>
      </c>
    </row>
    <row r="55" spans="1:13">
      <c r="B55">
        <v>1911</v>
      </c>
      <c r="C55">
        <v>13070</v>
      </c>
      <c r="D55" s="1">
        <v>0.89</v>
      </c>
      <c r="E55" s="217">
        <v>0.45</v>
      </c>
      <c r="F55" s="217">
        <f t="shared" si="46"/>
        <v>1.34</v>
      </c>
      <c r="G55" s="1">
        <f t="shared" si="47"/>
        <v>5121.4800000000005</v>
      </c>
      <c r="H55" s="1">
        <f t="shared" si="48"/>
        <v>0.44500000000000001</v>
      </c>
      <c r="I55">
        <v>0.45</v>
      </c>
      <c r="J55" s="217">
        <f t="shared" si="49"/>
        <v>0.89500000000000002</v>
      </c>
      <c r="K55" s="217">
        <f t="shared" si="16"/>
        <v>1.79</v>
      </c>
      <c r="L55" s="1">
        <f t="shared" si="50"/>
        <v>3420.69</v>
      </c>
      <c r="M55" s="1">
        <f t="shared" si="51"/>
        <v>9649.31</v>
      </c>
    </row>
    <row r="56" spans="1:13">
      <c r="B56">
        <v>1435</v>
      </c>
      <c r="C56">
        <v>10219</v>
      </c>
      <c r="D56" s="1">
        <v>0.89</v>
      </c>
      <c r="E56" s="217">
        <v>0.45</v>
      </c>
      <c r="F56" s="217">
        <f t="shared" si="46"/>
        <v>1.34</v>
      </c>
      <c r="G56" s="1">
        <f t="shared" si="47"/>
        <v>3845.8</v>
      </c>
      <c r="H56" s="1">
        <f t="shared" si="48"/>
        <v>0.44500000000000001</v>
      </c>
      <c r="I56">
        <v>0.45</v>
      </c>
      <c r="J56" s="217">
        <f t="shared" si="49"/>
        <v>0.89500000000000002</v>
      </c>
      <c r="K56" s="217">
        <f t="shared" si="16"/>
        <v>1.79</v>
      </c>
      <c r="L56" s="1">
        <f t="shared" si="50"/>
        <v>2568.65</v>
      </c>
      <c r="M56" s="1">
        <f t="shared" si="51"/>
        <v>7650.35</v>
      </c>
    </row>
    <row r="57" spans="1:13">
      <c r="D57" s="1"/>
      <c r="E57" s="217"/>
      <c r="F57" s="217"/>
      <c r="J57" s="217"/>
      <c r="K57" s="217">
        <f t="shared" si="16"/>
        <v>0</v>
      </c>
      <c r="L57" s="1"/>
      <c r="M57" s="1"/>
    </row>
    <row r="58" spans="1:13">
      <c r="D58" s="1"/>
      <c r="E58" s="217"/>
      <c r="F58" s="217"/>
      <c r="J58" s="217"/>
      <c r="K58" s="217">
        <f t="shared" si="16"/>
        <v>0</v>
      </c>
      <c r="L58" s="1"/>
      <c r="M58" s="1"/>
    </row>
    <row r="59" spans="1:13">
      <c r="A59" t="s">
        <v>87</v>
      </c>
      <c r="B59">
        <v>2006</v>
      </c>
      <c r="C59">
        <v>11669</v>
      </c>
      <c r="D59" s="1">
        <v>0.89</v>
      </c>
      <c r="E59" s="217">
        <v>0.45</v>
      </c>
      <c r="F59" s="217">
        <f t="shared" ref="F59:F67" si="52">D59+E59</f>
        <v>1.34</v>
      </c>
      <c r="G59" s="1">
        <f t="shared" si="13"/>
        <v>5376.08</v>
      </c>
      <c r="H59" s="1">
        <f t="shared" ref="H59:H67" si="53">D59/2</f>
        <v>0.44500000000000001</v>
      </c>
      <c r="I59">
        <v>0.45</v>
      </c>
      <c r="J59" s="217">
        <f t="shared" ref="J59:J67" si="54">H59+I59</f>
        <v>0.89500000000000002</v>
      </c>
      <c r="K59" s="217">
        <f t="shared" si="16"/>
        <v>1.79</v>
      </c>
      <c r="L59" s="1">
        <f t="shared" si="17"/>
        <v>3590.7400000000002</v>
      </c>
      <c r="M59" s="1">
        <f t="shared" si="18"/>
        <v>8078.26</v>
      </c>
    </row>
    <row r="60" spans="1:13">
      <c r="A60" t="s">
        <v>81</v>
      </c>
      <c r="B60">
        <v>2060</v>
      </c>
      <c r="C60">
        <v>12765</v>
      </c>
      <c r="D60" s="1">
        <v>0.89</v>
      </c>
      <c r="E60" s="217">
        <v>0.45</v>
      </c>
      <c r="F60" s="217">
        <f t="shared" si="52"/>
        <v>1.34</v>
      </c>
      <c r="G60" s="1">
        <f t="shared" si="13"/>
        <v>5520.8</v>
      </c>
      <c r="H60" s="1">
        <f t="shared" si="53"/>
        <v>0.44500000000000001</v>
      </c>
      <c r="I60">
        <v>0.45</v>
      </c>
      <c r="J60" s="217">
        <f t="shared" si="54"/>
        <v>0.89500000000000002</v>
      </c>
      <c r="K60" s="217">
        <f t="shared" si="16"/>
        <v>1.79</v>
      </c>
      <c r="L60" s="1">
        <f t="shared" si="17"/>
        <v>3687.4</v>
      </c>
      <c r="M60" s="1">
        <f t="shared" si="18"/>
        <v>9077.6</v>
      </c>
    </row>
    <row r="61" spans="1:13">
      <c r="A61" t="s">
        <v>81</v>
      </c>
      <c r="B61">
        <v>2584</v>
      </c>
      <c r="C61">
        <v>8006</v>
      </c>
      <c r="D61" s="1">
        <v>0.89</v>
      </c>
      <c r="E61" s="217">
        <v>0.45</v>
      </c>
      <c r="F61" s="217">
        <f t="shared" si="52"/>
        <v>1.34</v>
      </c>
      <c r="G61" s="1">
        <f t="shared" si="13"/>
        <v>6925.1200000000008</v>
      </c>
      <c r="H61" s="1">
        <f t="shared" si="53"/>
        <v>0.44500000000000001</v>
      </c>
      <c r="I61">
        <v>0.45</v>
      </c>
      <c r="J61" s="217">
        <f t="shared" si="54"/>
        <v>0.89500000000000002</v>
      </c>
      <c r="K61" s="217">
        <f t="shared" si="16"/>
        <v>1.79</v>
      </c>
      <c r="L61" s="1">
        <f t="shared" si="17"/>
        <v>4625.3599999999997</v>
      </c>
      <c r="M61" s="1">
        <f t="shared" si="18"/>
        <v>3380.6400000000003</v>
      </c>
    </row>
    <row r="62" spans="1:13">
      <c r="A62" t="s">
        <v>81</v>
      </c>
      <c r="B62">
        <v>2616</v>
      </c>
      <c r="C62">
        <v>7797</v>
      </c>
      <c r="D62" s="1">
        <v>0.89</v>
      </c>
      <c r="E62" s="217">
        <v>0.45</v>
      </c>
      <c r="F62" s="217">
        <f t="shared" si="52"/>
        <v>1.34</v>
      </c>
      <c r="G62" s="1">
        <f t="shared" si="13"/>
        <v>7010.88</v>
      </c>
      <c r="H62" s="1">
        <f t="shared" si="53"/>
        <v>0.44500000000000001</v>
      </c>
      <c r="I62">
        <v>0.45</v>
      </c>
      <c r="J62" s="217">
        <f t="shared" si="54"/>
        <v>0.89500000000000002</v>
      </c>
      <c r="K62" s="217">
        <f t="shared" si="16"/>
        <v>1.79</v>
      </c>
      <c r="L62" s="1">
        <f t="shared" si="17"/>
        <v>4682.6400000000003</v>
      </c>
      <c r="M62" s="1">
        <f t="shared" si="18"/>
        <v>3114.3599999999997</v>
      </c>
    </row>
    <row r="63" spans="1:13">
      <c r="D63" s="1"/>
      <c r="E63" s="217"/>
      <c r="F63" s="217"/>
      <c r="J63" s="217"/>
      <c r="K63" s="217">
        <f t="shared" si="16"/>
        <v>0</v>
      </c>
      <c r="L63" s="1"/>
      <c r="M63" s="1"/>
    </row>
    <row r="64" spans="1:13">
      <c r="A64" t="s">
        <v>88</v>
      </c>
      <c r="B64">
        <v>636</v>
      </c>
      <c r="C64">
        <v>7947</v>
      </c>
      <c r="D64" s="1">
        <v>0.89</v>
      </c>
      <c r="E64" s="217">
        <v>0.45</v>
      </c>
      <c r="F64" s="217">
        <f t="shared" si="52"/>
        <v>1.34</v>
      </c>
      <c r="G64" s="1">
        <f t="shared" si="13"/>
        <v>1704.48</v>
      </c>
      <c r="H64" s="1">
        <f t="shared" si="53"/>
        <v>0.44500000000000001</v>
      </c>
      <c r="I64">
        <v>0.45</v>
      </c>
      <c r="J64" s="217">
        <f t="shared" si="54"/>
        <v>0.89500000000000002</v>
      </c>
      <c r="K64" s="217">
        <f t="shared" si="16"/>
        <v>1.79</v>
      </c>
      <c r="L64" s="1">
        <f t="shared" si="17"/>
        <v>1138.44</v>
      </c>
      <c r="M64" s="1">
        <f t="shared" si="18"/>
        <v>6808.5599999999995</v>
      </c>
    </row>
    <row r="65" spans="1:13">
      <c r="A65" t="s">
        <v>82</v>
      </c>
      <c r="B65">
        <v>750</v>
      </c>
      <c r="C65">
        <v>6544</v>
      </c>
      <c r="D65" s="1">
        <v>0.89</v>
      </c>
      <c r="E65" s="217">
        <v>0.45</v>
      </c>
      <c r="F65" s="217">
        <f t="shared" si="52"/>
        <v>1.34</v>
      </c>
      <c r="G65" s="1">
        <f t="shared" si="13"/>
        <v>2010.0000000000002</v>
      </c>
      <c r="H65" s="1">
        <f t="shared" si="53"/>
        <v>0.44500000000000001</v>
      </c>
      <c r="I65">
        <v>0.45</v>
      </c>
      <c r="J65" s="217">
        <f t="shared" si="54"/>
        <v>0.89500000000000002</v>
      </c>
      <c r="K65" s="217">
        <f t="shared" si="16"/>
        <v>1.79</v>
      </c>
      <c r="L65" s="1">
        <f t="shared" si="17"/>
        <v>1342.5</v>
      </c>
      <c r="M65" s="1">
        <f t="shared" si="18"/>
        <v>5201.5</v>
      </c>
    </row>
    <row r="66" spans="1:13">
      <c r="A66" t="s">
        <v>83</v>
      </c>
      <c r="B66">
        <v>1024</v>
      </c>
      <c r="C66">
        <v>13489</v>
      </c>
      <c r="D66" s="1">
        <v>0.89</v>
      </c>
      <c r="E66" s="217">
        <v>0.45</v>
      </c>
      <c r="F66" s="217">
        <f t="shared" si="52"/>
        <v>1.34</v>
      </c>
      <c r="G66" s="1">
        <f t="shared" si="13"/>
        <v>2744.32</v>
      </c>
      <c r="H66" s="1">
        <f t="shared" si="53"/>
        <v>0.44500000000000001</v>
      </c>
      <c r="I66">
        <v>0.45</v>
      </c>
      <c r="J66" s="217">
        <f t="shared" si="54"/>
        <v>0.89500000000000002</v>
      </c>
      <c r="K66" s="217">
        <f t="shared" si="16"/>
        <v>1.79</v>
      </c>
      <c r="L66" s="1">
        <f t="shared" si="17"/>
        <v>1832.96</v>
      </c>
      <c r="M66" s="1">
        <f t="shared" si="18"/>
        <v>11656.04</v>
      </c>
    </row>
    <row r="67" spans="1:13">
      <c r="A67" t="s">
        <v>84</v>
      </c>
      <c r="B67">
        <v>1063</v>
      </c>
      <c r="C67">
        <v>14392</v>
      </c>
      <c r="D67" s="1">
        <v>0.89</v>
      </c>
      <c r="E67" s="217">
        <v>0.45</v>
      </c>
      <c r="F67" s="217">
        <f t="shared" si="52"/>
        <v>1.34</v>
      </c>
      <c r="G67" s="1">
        <f t="shared" si="13"/>
        <v>2848.84</v>
      </c>
      <c r="H67" s="1">
        <f t="shared" si="53"/>
        <v>0.44500000000000001</v>
      </c>
      <c r="I67">
        <v>0.45</v>
      </c>
      <c r="J67" s="217">
        <f t="shared" si="54"/>
        <v>0.89500000000000002</v>
      </c>
      <c r="K67" s="217">
        <f t="shared" si="16"/>
        <v>1.79</v>
      </c>
      <c r="L67" s="1">
        <f t="shared" si="17"/>
        <v>1902.77</v>
      </c>
      <c r="M67" s="1">
        <f t="shared" si="18"/>
        <v>12489.23</v>
      </c>
    </row>
    <row r="68" spans="1:13">
      <c r="K68" s="217">
        <f t="shared" si="16"/>
        <v>0</v>
      </c>
    </row>
    <row r="69" spans="1:13">
      <c r="A69" t="s">
        <v>89</v>
      </c>
      <c r="B69">
        <v>1044</v>
      </c>
      <c r="C69">
        <v>10835</v>
      </c>
      <c r="D69" s="1">
        <v>0.89</v>
      </c>
      <c r="E69" s="217">
        <v>0.45</v>
      </c>
      <c r="F69" s="217">
        <f t="shared" ref="F69:F72" si="55">D69+E69</f>
        <v>1.34</v>
      </c>
      <c r="G69" s="1">
        <f t="shared" si="13"/>
        <v>2797.92</v>
      </c>
      <c r="H69" s="1">
        <f t="shared" ref="H69:H72" si="56">D69/2</f>
        <v>0.44500000000000001</v>
      </c>
      <c r="I69">
        <v>0.45</v>
      </c>
      <c r="J69" s="217">
        <f t="shared" ref="J69:J72" si="57">H69+I69</f>
        <v>0.89500000000000002</v>
      </c>
      <c r="K69" s="217">
        <f t="shared" si="16"/>
        <v>1.79</v>
      </c>
      <c r="L69" s="1">
        <f t="shared" si="17"/>
        <v>1868.76</v>
      </c>
      <c r="M69" s="1">
        <f t="shared" si="18"/>
        <v>8966.24</v>
      </c>
    </row>
    <row r="70" spans="1:13">
      <c r="A70" t="s">
        <v>82</v>
      </c>
      <c r="B70">
        <v>1087</v>
      </c>
      <c r="C70">
        <v>9742</v>
      </c>
      <c r="D70" s="1">
        <v>0.89</v>
      </c>
      <c r="E70" s="217">
        <v>0.45</v>
      </c>
      <c r="F70" s="217">
        <f t="shared" si="55"/>
        <v>1.34</v>
      </c>
      <c r="G70" s="1">
        <f t="shared" si="13"/>
        <v>2913.1600000000003</v>
      </c>
      <c r="H70" s="1">
        <f t="shared" si="56"/>
        <v>0.44500000000000001</v>
      </c>
      <c r="I70">
        <v>0.45</v>
      </c>
      <c r="J70" s="217">
        <f t="shared" si="57"/>
        <v>0.89500000000000002</v>
      </c>
      <c r="K70" s="217">
        <f t="shared" si="16"/>
        <v>1.79</v>
      </c>
      <c r="L70" s="1">
        <f t="shared" si="17"/>
        <v>1945.73</v>
      </c>
      <c r="M70" s="1">
        <f t="shared" si="18"/>
        <v>7796.27</v>
      </c>
    </row>
    <row r="71" spans="1:13">
      <c r="A71" t="s">
        <v>83</v>
      </c>
      <c r="B71">
        <v>1345</v>
      </c>
      <c r="C71">
        <v>14121</v>
      </c>
      <c r="D71" s="1">
        <v>0.89</v>
      </c>
      <c r="E71" s="217">
        <v>0.45</v>
      </c>
      <c r="F71" s="217">
        <f t="shared" si="55"/>
        <v>1.34</v>
      </c>
      <c r="G71" s="1">
        <f t="shared" si="13"/>
        <v>3604.6000000000004</v>
      </c>
      <c r="H71" s="1">
        <f t="shared" si="56"/>
        <v>0.44500000000000001</v>
      </c>
      <c r="I71">
        <v>0.45</v>
      </c>
      <c r="J71" s="217">
        <f t="shared" si="57"/>
        <v>0.89500000000000002</v>
      </c>
      <c r="K71" s="217">
        <f t="shared" si="16"/>
        <v>1.79</v>
      </c>
      <c r="L71" s="1">
        <f t="shared" si="17"/>
        <v>2407.5500000000002</v>
      </c>
      <c r="M71" s="1">
        <f t="shared" si="18"/>
        <v>11713.45</v>
      </c>
    </row>
    <row r="72" spans="1:13">
      <c r="A72" t="s">
        <v>84</v>
      </c>
      <c r="B72">
        <v>1363</v>
      </c>
      <c r="C72">
        <v>13298</v>
      </c>
      <c r="D72" s="1">
        <v>0.89</v>
      </c>
      <c r="E72" s="217">
        <v>0.45</v>
      </c>
      <c r="F72" s="217">
        <f t="shared" si="55"/>
        <v>1.34</v>
      </c>
      <c r="G72" s="1">
        <f t="shared" si="13"/>
        <v>3652.84</v>
      </c>
      <c r="H72" s="1">
        <f t="shared" si="56"/>
        <v>0.44500000000000001</v>
      </c>
      <c r="I72">
        <v>0.45</v>
      </c>
      <c r="J72" s="217">
        <f t="shared" si="57"/>
        <v>0.89500000000000002</v>
      </c>
      <c r="K72" s="217">
        <f t="shared" si="16"/>
        <v>1.79</v>
      </c>
      <c r="L72" s="1">
        <f t="shared" si="17"/>
        <v>2439.77</v>
      </c>
      <c r="M72" s="1">
        <f t="shared" si="18"/>
        <v>10858.23</v>
      </c>
    </row>
    <row r="73" spans="1:13">
      <c r="D73" s="1"/>
      <c r="E73" s="217"/>
      <c r="F73" s="217"/>
      <c r="J73" s="217"/>
      <c r="K73" s="217">
        <f t="shared" si="16"/>
        <v>0</v>
      </c>
      <c r="L73" s="1"/>
      <c r="M73" s="1"/>
    </row>
    <row r="74" spans="1:13">
      <c r="A74" t="s">
        <v>66</v>
      </c>
      <c r="B74">
        <v>2707</v>
      </c>
      <c r="C74">
        <v>8483</v>
      </c>
      <c r="D74" s="1">
        <v>1.39</v>
      </c>
      <c r="E74" s="217">
        <v>0.45</v>
      </c>
      <c r="F74" s="217">
        <f t="shared" ref="F74:F77" si="58">D74+E74</f>
        <v>1.8399999999999999</v>
      </c>
      <c r="G74" s="1">
        <f t="shared" si="13"/>
        <v>9961.7599999999984</v>
      </c>
      <c r="H74" s="1">
        <f t="shared" ref="H74:H77" si="59">D74/2</f>
        <v>0.69499999999999995</v>
      </c>
      <c r="I74">
        <v>0.45</v>
      </c>
      <c r="J74" s="217">
        <f t="shared" ref="J74:J77" si="60">H74+I74</f>
        <v>1.145</v>
      </c>
      <c r="K74" s="217">
        <f t="shared" si="16"/>
        <v>2.29</v>
      </c>
      <c r="L74" s="1">
        <f t="shared" si="17"/>
        <v>6199.03</v>
      </c>
      <c r="M74" s="1">
        <f t="shared" ref="M74:M82" si="61">$C74 - L74</f>
        <v>2283.9700000000003</v>
      </c>
    </row>
    <row r="75" spans="1:13">
      <c r="A75" t="s">
        <v>66</v>
      </c>
      <c r="B75">
        <v>2832</v>
      </c>
      <c r="C75">
        <v>8124</v>
      </c>
      <c r="D75" s="1">
        <v>1.39</v>
      </c>
      <c r="E75" s="217">
        <v>0.45</v>
      </c>
      <c r="F75" s="217">
        <f t="shared" si="58"/>
        <v>1.8399999999999999</v>
      </c>
      <c r="G75" s="1">
        <f t="shared" si="13"/>
        <v>10421.759999999998</v>
      </c>
      <c r="H75" s="1">
        <f t="shared" si="59"/>
        <v>0.69499999999999995</v>
      </c>
      <c r="I75">
        <v>0.45</v>
      </c>
      <c r="J75" s="217">
        <f t="shared" si="60"/>
        <v>1.145</v>
      </c>
      <c r="K75" s="217">
        <f t="shared" si="16"/>
        <v>2.29</v>
      </c>
      <c r="L75" s="1">
        <f t="shared" si="17"/>
        <v>6485.28</v>
      </c>
      <c r="M75" s="1">
        <f t="shared" si="61"/>
        <v>1638.7200000000003</v>
      </c>
    </row>
    <row r="76" spans="1:13">
      <c r="A76" t="s">
        <v>66</v>
      </c>
      <c r="B76">
        <v>3579</v>
      </c>
      <c r="C76">
        <v>10323</v>
      </c>
      <c r="D76" s="1">
        <v>1.39</v>
      </c>
      <c r="E76" s="217">
        <v>0.45</v>
      </c>
      <c r="F76" s="217">
        <f t="shared" si="58"/>
        <v>1.8399999999999999</v>
      </c>
      <c r="G76" s="1">
        <f t="shared" si="13"/>
        <v>13170.72</v>
      </c>
      <c r="H76" s="1">
        <f t="shared" si="59"/>
        <v>0.69499999999999995</v>
      </c>
      <c r="I76">
        <v>0.45</v>
      </c>
      <c r="J76" s="217">
        <f t="shared" si="60"/>
        <v>1.145</v>
      </c>
      <c r="K76" s="217">
        <f t="shared" si="16"/>
        <v>2.29</v>
      </c>
      <c r="L76" s="1">
        <f t="shared" si="17"/>
        <v>8195.91</v>
      </c>
      <c r="M76" s="1">
        <f t="shared" si="61"/>
        <v>2127.09</v>
      </c>
    </row>
    <row r="77" spans="1:13">
      <c r="A77" t="s">
        <v>66</v>
      </c>
      <c r="B77">
        <v>3630</v>
      </c>
      <c r="C77">
        <v>9986</v>
      </c>
      <c r="D77" s="1">
        <v>1.39</v>
      </c>
      <c r="E77" s="217">
        <v>0.45</v>
      </c>
      <c r="F77" s="217">
        <f t="shared" si="58"/>
        <v>1.8399999999999999</v>
      </c>
      <c r="G77" s="1">
        <f t="shared" si="13"/>
        <v>13358.4</v>
      </c>
      <c r="H77" s="1">
        <f t="shared" si="59"/>
        <v>0.69499999999999995</v>
      </c>
      <c r="I77">
        <v>0.45</v>
      </c>
      <c r="J77" s="217">
        <f t="shared" si="60"/>
        <v>1.145</v>
      </c>
      <c r="K77" s="217">
        <f t="shared" si="16"/>
        <v>2.29</v>
      </c>
      <c r="L77" s="1">
        <f t="shared" si="17"/>
        <v>8312.7000000000007</v>
      </c>
      <c r="M77" s="1">
        <f t="shared" si="61"/>
        <v>1673.2999999999993</v>
      </c>
    </row>
    <row r="78" spans="1:13">
      <c r="K78" s="217">
        <f t="shared" si="16"/>
        <v>0</v>
      </c>
    </row>
    <row r="79" spans="1:13">
      <c r="A79" t="s">
        <v>66</v>
      </c>
      <c r="B79">
        <v>1624</v>
      </c>
      <c r="C79">
        <v>8604</v>
      </c>
      <c r="D79" s="1">
        <v>1.39</v>
      </c>
      <c r="E79" s="217">
        <v>0.45</v>
      </c>
      <c r="F79" s="217">
        <f t="shared" ref="F79:F82" si="62">D79+E79</f>
        <v>1.8399999999999999</v>
      </c>
      <c r="G79" s="1">
        <f t="shared" si="13"/>
        <v>5976.32</v>
      </c>
      <c r="H79" s="1">
        <f t="shared" ref="H79:H82" si="63">D79/2</f>
        <v>0.69499999999999995</v>
      </c>
      <c r="I79">
        <v>0.45</v>
      </c>
      <c r="J79" s="217">
        <f t="shared" ref="J79:J82" si="64">H79+I79</f>
        <v>1.145</v>
      </c>
      <c r="K79" s="217">
        <f t="shared" si="16"/>
        <v>2.29</v>
      </c>
      <c r="L79" s="1">
        <f t="shared" si="17"/>
        <v>3718.96</v>
      </c>
      <c r="M79" s="1">
        <f t="shared" si="61"/>
        <v>4885.04</v>
      </c>
    </row>
    <row r="80" spans="1:13">
      <c r="A80" t="s">
        <v>66</v>
      </c>
      <c r="B80">
        <v>1694</v>
      </c>
      <c r="C80">
        <v>7968</v>
      </c>
      <c r="D80" s="1">
        <v>1.39</v>
      </c>
      <c r="E80" s="217">
        <v>0.45</v>
      </c>
      <c r="F80" s="217">
        <f t="shared" si="62"/>
        <v>1.8399999999999999</v>
      </c>
      <c r="G80" s="1">
        <f t="shared" si="13"/>
        <v>6233.9199999999992</v>
      </c>
      <c r="H80" s="1">
        <f t="shared" si="63"/>
        <v>0.69499999999999995</v>
      </c>
      <c r="I80">
        <v>0.45</v>
      </c>
      <c r="J80" s="217">
        <f t="shared" si="64"/>
        <v>1.145</v>
      </c>
      <c r="K80" s="217">
        <f t="shared" si="16"/>
        <v>2.29</v>
      </c>
      <c r="L80" s="1">
        <f t="shared" si="17"/>
        <v>3879.26</v>
      </c>
      <c r="M80" s="1">
        <f t="shared" si="61"/>
        <v>4088.74</v>
      </c>
    </row>
    <row r="81" spans="1:13">
      <c r="A81" t="s">
        <v>66</v>
      </c>
      <c r="B81">
        <v>2160</v>
      </c>
      <c r="C81">
        <v>6954</v>
      </c>
      <c r="D81" s="1">
        <v>1.39</v>
      </c>
      <c r="E81" s="217">
        <v>0.45</v>
      </c>
      <c r="F81" s="217">
        <f t="shared" si="62"/>
        <v>1.8399999999999999</v>
      </c>
      <c r="G81" s="1">
        <f t="shared" si="13"/>
        <v>7948.7999999999993</v>
      </c>
      <c r="H81" s="1">
        <f t="shared" si="63"/>
        <v>0.69499999999999995</v>
      </c>
      <c r="I81">
        <v>0.45</v>
      </c>
      <c r="J81" s="217">
        <f t="shared" si="64"/>
        <v>1.145</v>
      </c>
      <c r="K81" s="217">
        <f t="shared" si="16"/>
        <v>2.29</v>
      </c>
      <c r="L81" s="1">
        <f t="shared" si="17"/>
        <v>4946.3999999999996</v>
      </c>
      <c r="M81" s="1">
        <f t="shared" si="61"/>
        <v>2007.6000000000004</v>
      </c>
    </row>
    <row r="82" spans="1:13">
      <c r="A82" t="s">
        <v>66</v>
      </c>
      <c r="B82">
        <v>2190</v>
      </c>
      <c r="C82">
        <v>7352</v>
      </c>
      <c r="D82" s="1">
        <v>1.39</v>
      </c>
      <c r="E82" s="217">
        <v>0.45</v>
      </c>
      <c r="F82" s="217">
        <f t="shared" si="62"/>
        <v>1.8399999999999999</v>
      </c>
      <c r="G82" s="1">
        <f t="shared" si="13"/>
        <v>8059.2</v>
      </c>
      <c r="H82" s="1">
        <f t="shared" si="63"/>
        <v>0.69499999999999995</v>
      </c>
      <c r="I82">
        <v>0.45</v>
      </c>
      <c r="J82" s="217">
        <f t="shared" si="64"/>
        <v>1.145</v>
      </c>
      <c r="K82" s="217">
        <f t="shared" si="16"/>
        <v>2.29</v>
      </c>
      <c r="L82" s="1">
        <f t="shared" si="17"/>
        <v>5015.1000000000004</v>
      </c>
      <c r="M82" s="1">
        <f t="shared" si="61"/>
        <v>2336.8999999999996</v>
      </c>
    </row>
    <row r="83" spans="1:13">
      <c r="K83" s="217"/>
    </row>
    <row r="84" spans="1:13">
      <c r="K84" s="217"/>
    </row>
    <row r="85" spans="1:13">
      <c r="K85" s="217"/>
    </row>
    <row r="86" spans="1:13">
      <c r="A86" t="s">
        <v>20</v>
      </c>
      <c r="B86">
        <v>1257</v>
      </c>
      <c r="C86">
        <v>43600</v>
      </c>
      <c r="D86" s="1">
        <v>2.89</v>
      </c>
      <c r="E86" s="217">
        <v>0.45</v>
      </c>
      <c r="F86" s="217">
        <f t="shared" ref="F86" si="65">D86+E86</f>
        <v>3.3400000000000003</v>
      </c>
      <c r="G86" s="1">
        <f t="shared" ref="G86" si="66">2*F86*$B86</f>
        <v>8396.76</v>
      </c>
      <c r="H86" s="1">
        <f t="shared" ref="H86" si="67">D86/2</f>
        <v>1.4450000000000001</v>
      </c>
      <c r="I86">
        <v>0.45</v>
      </c>
      <c r="J86" s="217">
        <f t="shared" ref="J86" si="68">H86+I86</f>
        <v>1.895</v>
      </c>
      <c r="K86" s="217">
        <f t="shared" ref="K86:K87" si="69">2*J86</f>
        <v>3.79</v>
      </c>
      <c r="L86" s="1">
        <f t="shared" ref="L86" si="70">2*J86*$B86</f>
        <v>4764.03</v>
      </c>
      <c r="M86" s="1">
        <f t="shared" ref="M86" si="71">$C86 - L86</f>
        <v>38835.97</v>
      </c>
    </row>
    <row r="87" spans="1:13">
      <c r="B87">
        <v>1423</v>
      </c>
      <c r="C87">
        <v>20250</v>
      </c>
      <c r="D87" s="1">
        <v>2.89</v>
      </c>
      <c r="E87" s="217">
        <v>0.45</v>
      </c>
      <c r="F87" s="217">
        <f t="shared" ref="F87" si="72">D87+E87</f>
        <v>3.3400000000000003</v>
      </c>
      <c r="G87" s="1">
        <f t="shared" ref="G87" si="73">2*F87*$B87</f>
        <v>9505.6400000000012</v>
      </c>
      <c r="H87" s="1">
        <f t="shared" ref="H87" si="74">D87/2</f>
        <v>1.4450000000000001</v>
      </c>
      <c r="I87">
        <v>0.45</v>
      </c>
      <c r="J87" s="217">
        <f t="shared" ref="J87" si="75">H87+I87</f>
        <v>1.895</v>
      </c>
      <c r="K87" s="217">
        <f t="shared" si="69"/>
        <v>3.79</v>
      </c>
      <c r="L87" s="1">
        <f t="shared" ref="L87" si="76">2*J87*$B87</f>
        <v>5393.17</v>
      </c>
      <c r="M87" s="1">
        <f t="shared" ref="M87" si="77">$C87 - L87</f>
        <v>14856.83</v>
      </c>
    </row>
  </sheetData>
  <mergeCells count="2">
    <mergeCell ref="D16:G16"/>
    <mergeCell ref="H16:L1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2:O27"/>
  <sheetViews>
    <sheetView topLeftCell="C1" workbookViewId="0">
      <selection activeCell="B2" sqref="B2:O27"/>
    </sheetView>
  </sheetViews>
  <sheetFormatPr defaultRowHeight="15"/>
  <cols>
    <col min="2" max="2" width="13.42578125" customWidth="1"/>
    <col min="3" max="3" width="11.7109375" customWidth="1"/>
    <col min="4" max="4" width="11.42578125" customWidth="1"/>
    <col min="6" max="6" width="11" customWidth="1"/>
    <col min="7" max="7" width="12.28515625" customWidth="1"/>
    <col min="8" max="8" width="11.42578125" customWidth="1"/>
    <col min="9" max="9" width="11.5703125" customWidth="1"/>
    <col min="10" max="10" width="11" customWidth="1"/>
    <col min="11" max="11" width="11.42578125" customWidth="1"/>
    <col min="12" max="12" width="11.85546875" customWidth="1"/>
    <col min="13" max="13" width="11.7109375" customWidth="1"/>
    <col min="14" max="14" width="12.42578125" customWidth="1"/>
    <col min="15" max="15" width="12.85546875" customWidth="1"/>
  </cols>
  <sheetData>
    <row r="2" spans="1:15" ht="15.75" thickBot="1">
      <c r="B2" s="172" t="s">
        <v>44</v>
      </c>
      <c r="C2" s="172"/>
      <c r="D2" s="172"/>
      <c r="E2" s="173"/>
      <c r="F2" s="174" t="s">
        <v>13</v>
      </c>
      <c r="G2" s="172" t="s">
        <v>15</v>
      </c>
      <c r="H2" s="172" t="s">
        <v>16</v>
      </c>
      <c r="I2" s="172" t="s">
        <v>17</v>
      </c>
      <c r="J2" s="172" t="s">
        <v>18</v>
      </c>
      <c r="K2" s="172" t="s">
        <v>19</v>
      </c>
      <c r="L2" s="172" t="s">
        <v>22</v>
      </c>
      <c r="M2" s="172" t="s">
        <v>23</v>
      </c>
      <c r="N2" s="172" t="s">
        <v>24</v>
      </c>
      <c r="O2" s="172" t="s">
        <v>20</v>
      </c>
    </row>
    <row r="3" spans="1:15">
      <c r="A3">
        <v>5</v>
      </c>
      <c r="B3" s="187">
        <f>SUM(F3:T3)</f>
        <v>280950</v>
      </c>
      <c r="C3" s="188">
        <f>AVERAGE(F3:T3)</f>
        <v>28095</v>
      </c>
      <c r="D3" s="189">
        <f>STDEV(F3:S3)</f>
        <v>7430.5364693420506</v>
      </c>
      <c r="E3" s="190" t="s">
        <v>40</v>
      </c>
      <c r="F3" s="191">
        <v>35710</v>
      </c>
      <c r="G3" s="168">
        <v>16030</v>
      </c>
      <c r="H3" s="168">
        <v>16620</v>
      </c>
      <c r="I3" s="168">
        <v>33880</v>
      </c>
      <c r="J3" s="168">
        <v>31710</v>
      </c>
      <c r="K3" s="168">
        <v>22890</v>
      </c>
      <c r="L3" s="168">
        <v>32200</v>
      </c>
      <c r="M3" s="168">
        <v>24840</v>
      </c>
      <c r="N3" s="168">
        <v>34380</v>
      </c>
      <c r="O3" s="192">
        <v>32690</v>
      </c>
    </row>
    <row r="4" spans="1:15">
      <c r="B4" s="134">
        <f t="shared" ref="B4:B6" si="0">SUM(F4:T4)</f>
        <v>286540</v>
      </c>
      <c r="C4" s="128">
        <f t="shared" ref="C4:C6" si="1">AVERAGE(F4:T4)</f>
        <v>28654</v>
      </c>
      <c r="D4" s="141">
        <f t="shared" ref="D4:D6" si="2">STDEV(F4:S4)</f>
        <v>7245.5736679560287</v>
      </c>
      <c r="E4" s="193" t="s">
        <v>41</v>
      </c>
      <c r="F4" s="58">
        <v>31800</v>
      </c>
      <c r="G4" s="59">
        <v>19040</v>
      </c>
      <c r="H4" s="59">
        <v>23220</v>
      </c>
      <c r="I4" s="59">
        <v>38930</v>
      </c>
      <c r="J4" s="59">
        <v>41100</v>
      </c>
      <c r="K4" s="59">
        <v>27090</v>
      </c>
      <c r="L4" s="59">
        <v>27670</v>
      </c>
      <c r="M4" s="59">
        <v>22470</v>
      </c>
      <c r="N4" s="59">
        <v>31870</v>
      </c>
      <c r="O4" s="194">
        <v>23350</v>
      </c>
    </row>
    <row r="5" spans="1:15">
      <c r="B5" s="214">
        <f t="shared" si="0"/>
        <v>308060</v>
      </c>
      <c r="C5" s="128">
        <f t="shared" si="1"/>
        <v>30806</v>
      </c>
      <c r="D5" s="141">
        <f t="shared" si="2"/>
        <v>8480.3291340738797</v>
      </c>
      <c r="E5" s="193" t="s">
        <v>42</v>
      </c>
      <c r="F5" s="58">
        <v>32230</v>
      </c>
      <c r="G5" s="59">
        <v>17130</v>
      </c>
      <c r="H5" s="59">
        <v>35730</v>
      </c>
      <c r="I5" s="59">
        <v>22500</v>
      </c>
      <c r="J5" s="59">
        <v>23630</v>
      </c>
      <c r="K5" s="59">
        <v>23960</v>
      </c>
      <c r="L5" s="59">
        <v>35710</v>
      </c>
      <c r="M5" s="59">
        <v>44100</v>
      </c>
      <c r="N5" s="59">
        <v>36250</v>
      </c>
      <c r="O5" s="194">
        <v>36820</v>
      </c>
    </row>
    <row r="6" spans="1:15">
      <c r="B6" s="214">
        <f t="shared" si="0"/>
        <v>312590</v>
      </c>
      <c r="C6" s="128">
        <f t="shared" si="1"/>
        <v>31259</v>
      </c>
      <c r="D6" s="141">
        <f t="shared" si="2"/>
        <v>9634.9980683847461</v>
      </c>
      <c r="E6" s="193" t="s">
        <v>43</v>
      </c>
      <c r="F6" s="58">
        <v>35170</v>
      </c>
      <c r="G6" s="59">
        <v>17070</v>
      </c>
      <c r="H6" s="59">
        <v>37300</v>
      </c>
      <c r="I6" s="59">
        <v>19270</v>
      </c>
      <c r="J6" s="59">
        <v>28460</v>
      </c>
      <c r="K6" s="59">
        <v>24050</v>
      </c>
      <c r="L6" s="59">
        <v>36240</v>
      </c>
      <c r="M6" s="59">
        <v>47090</v>
      </c>
      <c r="N6" s="59">
        <v>40630</v>
      </c>
      <c r="O6" s="194">
        <v>27310</v>
      </c>
    </row>
    <row r="7" spans="1:15">
      <c r="B7" s="132">
        <f>SUM(B3:B6)</f>
        <v>1188140</v>
      </c>
      <c r="C7" s="126">
        <f>AVERAGE(F3:Y6)</f>
        <v>29703.5</v>
      </c>
      <c r="D7" s="139">
        <f>STDEV(F3:Y6)</f>
        <v>8046.9479960592544</v>
      </c>
      <c r="E7" s="124"/>
      <c r="F7" s="207">
        <f t="shared" ref="F7:O7" si="3">SUM(F3:F6)</f>
        <v>134910</v>
      </c>
      <c r="G7" s="209">
        <f t="shared" si="3"/>
        <v>69270</v>
      </c>
      <c r="H7" s="207">
        <f t="shared" si="3"/>
        <v>112870</v>
      </c>
      <c r="I7" s="207">
        <f t="shared" si="3"/>
        <v>114580</v>
      </c>
      <c r="J7" s="207">
        <f t="shared" si="3"/>
        <v>124900</v>
      </c>
      <c r="K7" s="207">
        <f t="shared" si="3"/>
        <v>97990</v>
      </c>
      <c r="L7" s="207">
        <f t="shared" si="3"/>
        <v>131820</v>
      </c>
      <c r="M7" s="207">
        <f t="shared" si="3"/>
        <v>138500</v>
      </c>
      <c r="N7" s="208">
        <f t="shared" si="3"/>
        <v>143130</v>
      </c>
      <c r="O7" s="207">
        <f t="shared" si="3"/>
        <v>120170</v>
      </c>
    </row>
    <row r="8" spans="1:15">
      <c r="B8" s="132">
        <f>AVERAGE(B3:B6)</f>
        <v>297035</v>
      </c>
      <c r="C8" s="126"/>
      <c r="D8" s="139"/>
      <c r="E8" s="124"/>
      <c r="F8" s="125">
        <f t="shared" ref="F8:O8" si="4">AVERAGE(F3:F6)</f>
        <v>33727.5</v>
      </c>
      <c r="G8" s="125">
        <f t="shared" si="4"/>
        <v>17317.5</v>
      </c>
      <c r="H8" s="125">
        <f t="shared" si="4"/>
        <v>28217.5</v>
      </c>
      <c r="I8" s="125">
        <f t="shared" si="4"/>
        <v>28645</v>
      </c>
      <c r="J8" s="125">
        <f t="shared" si="4"/>
        <v>31225</v>
      </c>
      <c r="K8" s="125">
        <f t="shared" si="4"/>
        <v>24497.5</v>
      </c>
      <c r="L8" s="125">
        <f t="shared" si="4"/>
        <v>32955</v>
      </c>
      <c r="M8" s="125">
        <f t="shared" si="4"/>
        <v>34625</v>
      </c>
      <c r="N8" s="125">
        <f t="shared" si="4"/>
        <v>35782.5</v>
      </c>
      <c r="O8" s="138">
        <f t="shared" si="4"/>
        <v>30042.5</v>
      </c>
    </row>
    <row r="9" spans="1:15" ht="15.75" thickBot="1">
      <c r="B9" s="169">
        <f>STDEV(B3:B6)</f>
        <v>15624.56292722029</v>
      </c>
      <c r="C9" s="170"/>
      <c r="D9" s="171"/>
      <c r="E9" s="124"/>
      <c r="F9" s="177">
        <f t="shared" ref="F9:O9" si="5">STDEV(F3:F6)</f>
        <v>1997.4045659304977</v>
      </c>
      <c r="G9" s="177">
        <f t="shared" si="5"/>
        <v>1254.4686790297583</v>
      </c>
      <c r="H9" s="177">
        <f t="shared" si="5"/>
        <v>9973.4058876594409</v>
      </c>
      <c r="I9" s="177">
        <f t="shared" si="5"/>
        <v>9288.6687241319287</v>
      </c>
      <c r="J9" s="177">
        <f t="shared" si="5"/>
        <v>7372.9256969898552</v>
      </c>
      <c r="K9" s="177">
        <f t="shared" si="5"/>
        <v>1806.8642265907347</v>
      </c>
      <c r="L9" s="177">
        <f t="shared" si="5"/>
        <v>3953.1632903283921</v>
      </c>
      <c r="M9" s="177">
        <f t="shared" si="5"/>
        <v>12762.472331018</v>
      </c>
      <c r="N9" s="177">
        <f t="shared" si="5"/>
        <v>3696.4611454741412</v>
      </c>
      <c r="O9" s="178">
        <f t="shared" si="5"/>
        <v>5921.7079461925514</v>
      </c>
    </row>
    <row r="10" spans="1:15">
      <c r="A10">
        <v>10</v>
      </c>
      <c r="B10" s="133">
        <f t="shared" ref="B10:B13" si="6">SUM(F10:T10)</f>
        <v>221920</v>
      </c>
      <c r="C10" s="127">
        <f t="shared" ref="C10:C13" si="7">AVERAGE(F10:T10)</f>
        <v>22192</v>
      </c>
      <c r="D10" s="140">
        <f t="shared" ref="D10:D13" si="8">STDEV(F10:S10)</f>
        <v>7620.1776007299632</v>
      </c>
      <c r="E10" s="190" t="s">
        <v>40</v>
      </c>
      <c r="F10" s="161">
        <v>19020</v>
      </c>
      <c r="G10" s="162">
        <v>12160</v>
      </c>
      <c r="H10" s="162">
        <v>11330</v>
      </c>
      <c r="I10" s="162">
        <v>18370</v>
      </c>
      <c r="J10" s="162">
        <v>25400</v>
      </c>
      <c r="K10" s="162">
        <v>17400</v>
      </c>
      <c r="L10" s="162">
        <v>28160</v>
      </c>
      <c r="M10" s="162">
        <v>32140</v>
      </c>
      <c r="N10" s="163">
        <v>32100</v>
      </c>
      <c r="O10" s="155">
        <v>25840</v>
      </c>
    </row>
    <row r="11" spans="1:15">
      <c r="B11" s="133">
        <f t="shared" si="6"/>
        <v>215870</v>
      </c>
      <c r="C11" s="127">
        <f t="shared" si="7"/>
        <v>21587</v>
      </c>
      <c r="D11" s="140">
        <f t="shared" si="8"/>
        <v>8423.8300209715908</v>
      </c>
      <c r="E11" s="193" t="s">
        <v>41</v>
      </c>
      <c r="F11" s="54">
        <v>21330</v>
      </c>
      <c r="G11" s="55">
        <v>12260</v>
      </c>
      <c r="H11" s="55">
        <v>11430</v>
      </c>
      <c r="I11" s="55">
        <v>21830</v>
      </c>
      <c r="J11" s="55">
        <v>18480</v>
      </c>
      <c r="K11" s="55">
        <v>12440</v>
      </c>
      <c r="L11" s="55">
        <v>28970</v>
      </c>
      <c r="M11" s="55">
        <v>31290</v>
      </c>
      <c r="N11" s="56">
        <v>35950</v>
      </c>
      <c r="O11" s="155">
        <v>21890</v>
      </c>
    </row>
    <row r="12" spans="1:15">
      <c r="B12" s="214">
        <f t="shared" si="6"/>
        <v>330720</v>
      </c>
      <c r="C12" s="127">
        <f t="shared" si="7"/>
        <v>33072</v>
      </c>
      <c r="D12" s="140">
        <f t="shared" si="8"/>
        <v>15180.251644818014</v>
      </c>
      <c r="E12" s="193" t="s">
        <v>42</v>
      </c>
      <c r="F12" s="54">
        <v>29590</v>
      </c>
      <c r="G12" s="55">
        <v>20250</v>
      </c>
      <c r="H12" s="55">
        <v>14820</v>
      </c>
      <c r="I12" s="55">
        <v>30080</v>
      </c>
      <c r="J12" s="55">
        <v>41750</v>
      </c>
      <c r="K12" s="55">
        <v>13150</v>
      </c>
      <c r="L12" s="55">
        <v>42480</v>
      </c>
      <c r="M12" s="55">
        <v>38720</v>
      </c>
      <c r="N12" s="56">
        <v>63970</v>
      </c>
      <c r="O12" s="155">
        <v>35910</v>
      </c>
    </row>
    <row r="13" spans="1:15" ht="15.75" thickBot="1">
      <c r="B13" s="133">
        <f t="shared" si="6"/>
        <v>316190</v>
      </c>
      <c r="C13" s="127">
        <f t="shared" si="7"/>
        <v>31619</v>
      </c>
      <c r="D13" s="140">
        <f t="shared" si="8"/>
        <v>14978.421849818194</v>
      </c>
      <c r="E13" s="193" t="s">
        <v>43</v>
      </c>
      <c r="F13" s="164">
        <v>31120</v>
      </c>
      <c r="G13" s="165">
        <v>18510</v>
      </c>
      <c r="H13" s="165">
        <v>16080</v>
      </c>
      <c r="I13" s="165">
        <v>25030</v>
      </c>
      <c r="J13" s="165">
        <v>35920</v>
      </c>
      <c r="K13" s="165">
        <v>12900</v>
      </c>
      <c r="L13" s="165">
        <v>42150</v>
      </c>
      <c r="M13" s="165">
        <v>36760</v>
      </c>
      <c r="N13" s="166">
        <v>64050</v>
      </c>
      <c r="O13" s="155">
        <v>33670</v>
      </c>
    </row>
    <row r="14" spans="1:15">
      <c r="B14" s="132">
        <f>SUM(B10:B13)</f>
        <v>1084700</v>
      </c>
      <c r="C14" s="126">
        <f>AVERAGE(F10:Y13)</f>
        <v>27117.5</v>
      </c>
      <c r="D14" s="139">
        <f>STDEV(F10:Y13)</f>
        <v>12770.213890946105</v>
      </c>
      <c r="E14" s="124"/>
      <c r="F14" s="211">
        <f t="shared" ref="F14:O14" si="9">SUM(F10:F13)</f>
        <v>101060</v>
      </c>
      <c r="G14" s="211">
        <f t="shared" si="9"/>
        <v>63180</v>
      </c>
      <c r="H14" s="212">
        <f t="shared" si="9"/>
        <v>53660</v>
      </c>
      <c r="I14" s="211">
        <f t="shared" si="9"/>
        <v>95310</v>
      </c>
      <c r="J14" s="211">
        <f t="shared" si="9"/>
        <v>121550</v>
      </c>
      <c r="K14" s="211">
        <f t="shared" si="9"/>
        <v>55890</v>
      </c>
      <c r="L14" s="211">
        <f t="shared" si="9"/>
        <v>141760</v>
      </c>
      <c r="M14" s="211">
        <f t="shared" si="9"/>
        <v>138910</v>
      </c>
      <c r="N14" s="210">
        <f t="shared" si="9"/>
        <v>196070</v>
      </c>
      <c r="O14" s="138">
        <f t="shared" si="9"/>
        <v>117310</v>
      </c>
    </row>
    <row r="15" spans="1:15">
      <c r="B15" s="132">
        <f>AVERAGE(B10:B13)</f>
        <v>271175</v>
      </c>
      <c r="C15" s="126"/>
      <c r="D15" s="139"/>
      <c r="E15" s="124"/>
      <c r="F15" s="125">
        <f t="shared" ref="F15:O15" si="10">AVERAGE(F10:F13)</f>
        <v>25265</v>
      </c>
      <c r="G15" s="125">
        <f t="shared" si="10"/>
        <v>15795</v>
      </c>
      <c r="H15" s="125">
        <f t="shared" si="10"/>
        <v>13415</v>
      </c>
      <c r="I15" s="125">
        <f t="shared" si="10"/>
        <v>23827.5</v>
      </c>
      <c r="J15" s="125">
        <f t="shared" si="10"/>
        <v>30387.5</v>
      </c>
      <c r="K15" s="125">
        <f t="shared" si="10"/>
        <v>13972.5</v>
      </c>
      <c r="L15" s="125">
        <f t="shared" si="10"/>
        <v>35440</v>
      </c>
      <c r="M15" s="125">
        <f t="shared" si="10"/>
        <v>34727.5</v>
      </c>
      <c r="N15" s="125">
        <f t="shared" si="10"/>
        <v>49017.5</v>
      </c>
      <c r="O15" s="138">
        <f t="shared" si="10"/>
        <v>29327.5</v>
      </c>
    </row>
    <row r="16" spans="1:15" ht="15.75" thickBot="1">
      <c r="B16" s="169">
        <f>STDEV(B10:B13)</f>
        <v>60708.74538867252</v>
      </c>
      <c r="C16" s="170"/>
      <c r="D16" s="171"/>
      <c r="E16" s="144"/>
      <c r="F16" s="177">
        <f t="shared" ref="F16:O16" si="11">STDEV(F10:F13)</f>
        <v>5985.2847328538464</v>
      </c>
      <c r="G16" s="177">
        <f t="shared" si="11"/>
        <v>4200.3055444415786</v>
      </c>
      <c r="H16" s="177">
        <f t="shared" si="11"/>
        <v>2405.8054784208966</v>
      </c>
      <c r="I16" s="177">
        <f t="shared" si="11"/>
        <v>4977.0833158922842</v>
      </c>
      <c r="J16" s="177">
        <f t="shared" si="11"/>
        <v>10430.383102583848</v>
      </c>
      <c r="K16" s="177">
        <f t="shared" si="11"/>
        <v>2303.8428042439587</v>
      </c>
      <c r="L16" s="177">
        <f t="shared" si="11"/>
        <v>7946.5925611757229</v>
      </c>
      <c r="M16" s="177">
        <f t="shared" si="11"/>
        <v>3586.2085364165127</v>
      </c>
      <c r="N16" s="177">
        <f t="shared" si="11"/>
        <v>17383.082532546789</v>
      </c>
      <c r="O16" s="178">
        <f t="shared" si="11"/>
        <v>6574.3358346426648</v>
      </c>
    </row>
    <row r="17" spans="1:15" ht="15.75" thickBot="1">
      <c r="B17" s="172" t="s">
        <v>14</v>
      </c>
      <c r="C17" s="172"/>
      <c r="D17" s="172"/>
      <c r="E17" s="173"/>
      <c r="F17" s="174" t="s">
        <v>13</v>
      </c>
      <c r="G17" s="172" t="s">
        <v>15</v>
      </c>
      <c r="H17" s="172" t="s">
        <v>16</v>
      </c>
      <c r="I17" s="172" t="s">
        <v>17</v>
      </c>
      <c r="J17" s="172" t="s">
        <v>18</v>
      </c>
      <c r="K17" s="172" t="s">
        <v>19</v>
      </c>
      <c r="L17" s="172" t="s">
        <v>22</v>
      </c>
      <c r="M17" s="172" t="s">
        <v>23</v>
      </c>
      <c r="N17" s="172" t="s">
        <v>24</v>
      </c>
      <c r="O17" s="172" t="s">
        <v>20</v>
      </c>
    </row>
    <row r="18" spans="1:15" ht="15.75" thickBot="1">
      <c r="A18">
        <v>15</v>
      </c>
      <c r="B18" s="133">
        <f t="shared" ref="B18:B21" si="12">SUM(F18:T18)</f>
        <v>170090</v>
      </c>
      <c r="C18" s="127">
        <f t="shared" ref="C18:C21" si="13">AVERAGE(F18:T18)</f>
        <v>17009</v>
      </c>
      <c r="D18" s="140">
        <f t="shared" ref="D18:D21" si="14">STDEV(F18:S18)</f>
        <v>9714.7647652655214</v>
      </c>
      <c r="E18" s="190" t="s">
        <v>40</v>
      </c>
      <c r="F18" s="181">
        <v>24260</v>
      </c>
      <c r="G18" s="182">
        <v>10530</v>
      </c>
      <c r="H18" s="162">
        <v>8580</v>
      </c>
      <c r="I18" s="162">
        <v>10840</v>
      </c>
      <c r="J18" s="162">
        <v>23160</v>
      </c>
      <c r="K18" s="162">
        <v>11750</v>
      </c>
      <c r="L18" s="162">
        <v>35640</v>
      </c>
      <c r="M18" s="162">
        <v>7900</v>
      </c>
      <c r="N18" s="163">
        <v>27210</v>
      </c>
      <c r="O18" s="155">
        <v>10220</v>
      </c>
    </row>
    <row r="19" spans="1:15">
      <c r="B19" s="133">
        <f t="shared" si="12"/>
        <v>164890</v>
      </c>
      <c r="C19" s="127">
        <f t="shared" si="13"/>
        <v>16489</v>
      </c>
      <c r="D19" s="140">
        <f t="shared" si="14"/>
        <v>6247.1672691619906</v>
      </c>
      <c r="E19" s="193" t="s">
        <v>41</v>
      </c>
      <c r="F19" s="183">
        <v>21730</v>
      </c>
      <c r="G19" s="55">
        <v>16390</v>
      </c>
      <c r="H19" s="55">
        <v>10230</v>
      </c>
      <c r="I19" s="55">
        <v>17630</v>
      </c>
      <c r="J19" s="55">
        <v>18730</v>
      </c>
      <c r="K19" s="55">
        <v>9220</v>
      </c>
      <c r="L19" s="55">
        <v>27240</v>
      </c>
      <c r="M19" s="55">
        <v>8850</v>
      </c>
      <c r="N19" s="56">
        <v>22420</v>
      </c>
      <c r="O19" s="155">
        <v>12450</v>
      </c>
    </row>
    <row r="20" spans="1:15">
      <c r="B20" s="214">
        <f t="shared" si="12"/>
        <v>254620</v>
      </c>
      <c r="C20" s="127">
        <f t="shared" si="13"/>
        <v>25462</v>
      </c>
      <c r="D20" s="140">
        <f t="shared" si="14"/>
        <v>9978.135875781385</v>
      </c>
      <c r="E20" s="193" t="s">
        <v>42</v>
      </c>
      <c r="F20" s="54">
        <v>28250</v>
      </c>
      <c r="G20" s="55">
        <v>14860</v>
      </c>
      <c r="H20" s="55">
        <v>28480</v>
      </c>
      <c r="I20" s="55">
        <v>30260</v>
      </c>
      <c r="J20" s="55">
        <v>20900</v>
      </c>
      <c r="K20" s="55">
        <v>6260</v>
      </c>
      <c r="L20" s="55">
        <v>28810</v>
      </c>
      <c r="M20" s="55">
        <v>43030</v>
      </c>
      <c r="N20" s="56">
        <v>30780</v>
      </c>
      <c r="O20" s="155">
        <v>22990</v>
      </c>
    </row>
    <row r="21" spans="1:15" ht="15.75" thickBot="1">
      <c r="B21" s="214">
        <f t="shared" si="12"/>
        <v>253570</v>
      </c>
      <c r="C21" s="127">
        <f t="shared" si="13"/>
        <v>25357</v>
      </c>
      <c r="D21" s="140">
        <f t="shared" si="14"/>
        <v>9233.563234201627</v>
      </c>
      <c r="E21" s="193" t="s">
        <v>43</v>
      </c>
      <c r="F21" s="164">
        <v>26580</v>
      </c>
      <c r="G21" s="165">
        <v>15120</v>
      </c>
      <c r="H21" s="165">
        <v>24020</v>
      </c>
      <c r="I21" s="165">
        <v>27020</v>
      </c>
      <c r="J21" s="165">
        <v>24360</v>
      </c>
      <c r="K21" s="165">
        <v>8270</v>
      </c>
      <c r="L21" s="165">
        <v>26840</v>
      </c>
      <c r="M21" s="165">
        <v>43190</v>
      </c>
      <c r="N21" s="166">
        <v>26300</v>
      </c>
      <c r="O21" s="155">
        <v>31870</v>
      </c>
    </row>
    <row r="22" spans="1:15">
      <c r="B22" s="132">
        <f>SUM(B18:B21)</f>
        <v>843170</v>
      </c>
      <c r="C22" s="126">
        <f>AVERAGE(F18:Y21)</f>
        <v>21079.25</v>
      </c>
      <c r="D22" s="139">
        <f>STDEV(F18:Y21)</f>
        <v>9628.3242377999049</v>
      </c>
      <c r="E22" s="124"/>
      <c r="F22" s="213">
        <f t="shared" ref="F22:O22" si="15">SUM(F18:F21)</f>
        <v>100820</v>
      </c>
      <c r="G22" s="212">
        <f t="shared" si="15"/>
        <v>56900</v>
      </c>
      <c r="H22" s="211">
        <f t="shared" si="15"/>
        <v>71310</v>
      </c>
      <c r="I22" s="211">
        <f t="shared" si="15"/>
        <v>85750</v>
      </c>
      <c r="J22" s="211">
        <f t="shared" si="15"/>
        <v>87150</v>
      </c>
      <c r="K22" s="211">
        <f t="shared" si="15"/>
        <v>35500</v>
      </c>
      <c r="L22" s="210">
        <f t="shared" si="15"/>
        <v>118530</v>
      </c>
      <c r="M22" s="211">
        <f t="shared" si="15"/>
        <v>102970</v>
      </c>
      <c r="N22" s="211">
        <f t="shared" si="15"/>
        <v>106710</v>
      </c>
      <c r="O22" s="138">
        <f t="shared" si="15"/>
        <v>77530</v>
      </c>
    </row>
    <row r="23" spans="1:15">
      <c r="B23" s="132">
        <f>AVERAGE(B18:B21)</f>
        <v>210792.5</v>
      </c>
      <c r="C23" s="126"/>
      <c r="D23" s="139"/>
      <c r="E23" s="124"/>
      <c r="F23" s="131">
        <f>AVERAGE(F18:F21)</f>
        <v>25205</v>
      </c>
      <c r="G23" s="125">
        <f t="shared" ref="G23:O23" si="16">AVERAGE(G18:G21)</f>
        <v>14225</v>
      </c>
      <c r="H23" s="125">
        <f t="shared" si="16"/>
        <v>17827.5</v>
      </c>
      <c r="I23" s="125">
        <f t="shared" si="16"/>
        <v>21437.5</v>
      </c>
      <c r="J23" s="125">
        <f t="shared" si="16"/>
        <v>21787.5</v>
      </c>
      <c r="K23" s="125">
        <f t="shared" si="16"/>
        <v>8875</v>
      </c>
      <c r="L23" s="125">
        <f t="shared" si="16"/>
        <v>29632.5</v>
      </c>
      <c r="M23" s="125">
        <f t="shared" si="16"/>
        <v>25742.5</v>
      </c>
      <c r="N23" s="125">
        <f t="shared" si="16"/>
        <v>26677.5</v>
      </c>
      <c r="O23" s="138">
        <f t="shared" si="16"/>
        <v>19382.5</v>
      </c>
    </row>
    <row r="24" spans="1:15" ht="15.75" thickBot="1">
      <c r="B24" s="132">
        <f>STDEV(B18:B21)</f>
        <v>50048.30092021107</v>
      </c>
      <c r="C24" s="126"/>
      <c r="D24" s="139"/>
      <c r="E24" s="124"/>
      <c r="F24" s="176">
        <f>STDEV(F18:F21)</f>
        <v>2836.1534984317523</v>
      </c>
      <c r="G24" s="177">
        <f t="shared" ref="G24:O24" si="17">STDEV(G18:G21)</f>
        <v>2552.4171550382066</v>
      </c>
      <c r="H24" s="177">
        <f t="shared" si="17"/>
        <v>9917.3429741371092</v>
      </c>
      <c r="I24" s="177">
        <f t="shared" si="17"/>
        <v>8865.7557489477458</v>
      </c>
      <c r="J24" s="177">
        <f t="shared" si="17"/>
        <v>2492.4870444330631</v>
      </c>
      <c r="K24" s="177">
        <f t="shared" si="17"/>
        <v>2279.539427165058</v>
      </c>
      <c r="L24" s="177">
        <f t="shared" si="17"/>
        <v>4094.2510507621128</v>
      </c>
      <c r="M24" s="177">
        <f t="shared" si="17"/>
        <v>20058.117849555743</v>
      </c>
      <c r="N24" s="177">
        <f t="shared" si="17"/>
        <v>3434.2818269132581</v>
      </c>
      <c r="O24" s="178">
        <f t="shared" si="17"/>
        <v>10016.031732510968</v>
      </c>
    </row>
    <row r="25" spans="1:15">
      <c r="B25" s="135">
        <f>SUM(F25:O25)</f>
        <v>3116010</v>
      </c>
      <c r="C25" s="13">
        <f>AVERAGE(F25:O25)</f>
        <v>311601</v>
      </c>
      <c r="D25" s="142">
        <f>STDEV(F25:O25)</f>
        <v>85608.89030287035</v>
      </c>
      <c r="E25" s="124"/>
      <c r="F25" s="198">
        <f t="shared" ref="F25:O25" si="18">SUM(F3:F6,F10:F13,F18:F21)</f>
        <v>336790</v>
      </c>
      <c r="G25" s="212">
        <f t="shared" si="18"/>
        <v>189350</v>
      </c>
      <c r="H25" s="199">
        <f t="shared" si="18"/>
        <v>237840</v>
      </c>
      <c r="I25" s="199">
        <f t="shared" si="18"/>
        <v>295640</v>
      </c>
      <c r="J25" s="199">
        <f t="shared" si="18"/>
        <v>333600</v>
      </c>
      <c r="K25" s="212">
        <f t="shared" si="18"/>
        <v>189380</v>
      </c>
      <c r="L25" s="199">
        <f t="shared" si="18"/>
        <v>392110</v>
      </c>
      <c r="M25" s="199">
        <f t="shared" si="18"/>
        <v>380380</v>
      </c>
      <c r="N25" s="210">
        <f t="shared" si="18"/>
        <v>445910</v>
      </c>
      <c r="O25" s="200">
        <f t="shared" si="18"/>
        <v>315010</v>
      </c>
    </row>
    <row r="26" spans="1:15" ht="15.75" thickBot="1">
      <c r="B26" s="136">
        <f>SUM(F3:O6,F10:O13,F18:O21)</f>
        <v>3116010</v>
      </c>
      <c r="C26" s="137">
        <f>AVERAGE(F3:O6,F10:O13,F18:O21)</f>
        <v>25966.75</v>
      </c>
      <c r="D26" s="143">
        <f>STDEV(F3:O6,F10:O13,F18:O21)</f>
        <v>10872.803722007995</v>
      </c>
      <c r="E26" s="144"/>
      <c r="F26" s="201">
        <f t="shared" ref="F26:O26" si="19">AVERAGE(F3:F6,F10:F13,F18:F21)</f>
        <v>28065.833333333332</v>
      </c>
      <c r="G26" s="202">
        <f t="shared" si="19"/>
        <v>15779.166666666666</v>
      </c>
      <c r="H26" s="202">
        <f t="shared" si="19"/>
        <v>19820</v>
      </c>
      <c r="I26" s="202">
        <f t="shared" si="19"/>
        <v>24636.666666666668</v>
      </c>
      <c r="J26" s="202">
        <f t="shared" si="19"/>
        <v>27800</v>
      </c>
      <c r="K26" s="202">
        <f t="shared" si="19"/>
        <v>15781.666666666666</v>
      </c>
      <c r="L26" s="202">
        <f t="shared" si="19"/>
        <v>32675.833333333332</v>
      </c>
      <c r="M26" s="202">
        <f t="shared" si="19"/>
        <v>31698.333333333332</v>
      </c>
      <c r="N26" s="202">
        <f t="shared" si="19"/>
        <v>37159.166666666664</v>
      </c>
      <c r="O26" s="203">
        <f t="shared" si="19"/>
        <v>26250.833333333332</v>
      </c>
    </row>
    <row r="27" spans="1:15" ht="15.75" thickBot="1">
      <c r="E27" s="122"/>
      <c r="F27" s="204">
        <f t="shared" ref="F27:O27" si="20">STDEV(F3:F6,F10:F13,F18:F21,)</f>
        <v>9411.8917551285285</v>
      </c>
      <c r="G27" s="205">
        <f t="shared" si="20"/>
        <v>5213.3764097505536</v>
      </c>
      <c r="H27" s="205">
        <f t="shared" si="20"/>
        <v>10937.299038446845</v>
      </c>
      <c r="I27" s="205">
        <f t="shared" si="20"/>
        <v>10153.231707321767</v>
      </c>
      <c r="J27" s="205">
        <f t="shared" si="20"/>
        <v>10953.655284997976</v>
      </c>
      <c r="K27" s="205">
        <f t="shared" si="20"/>
        <v>8056.944368934327</v>
      </c>
      <c r="L27" s="205">
        <f t="shared" si="20"/>
        <v>10567.704066199487</v>
      </c>
      <c r="M27" s="205">
        <f t="shared" si="20"/>
        <v>15477.28173808308</v>
      </c>
      <c r="N27" s="205">
        <f t="shared" si="20"/>
        <v>16499.998717948667</v>
      </c>
      <c r="O27" s="206">
        <f t="shared" si="20"/>
        <v>11015.113742909365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56</vt:i4>
      </vt:variant>
    </vt:vector>
  </HeadingPairs>
  <TitlesOfParts>
    <vt:vector size="56" baseType="lpstr">
      <vt:lpstr>Лист1</vt:lpstr>
      <vt:lpstr>Лист2</vt:lpstr>
      <vt:lpstr>Лист3</vt:lpstr>
      <vt:lpstr>73521</vt:lpstr>
      <vt:lpstr>Лист4</vt:lpstr>
      <vt:lpstr>Лист5</vt:lpstr>
      <vt:lpstr>Лист6</vt:lpstr>
      <vt:lpstr>Comiss</vt:lpstr>
      <vt:lpstr>Лист7</vt:lpstr>
      <vt:lpstr>Лист8</vt:lpstr>
      <vt:lpstr>RI_Cms</vt:lpstr>
      <vt:lpstr>Лист10</vt:lpstr>
      <vt:lpstr>Лист9</vt:lpstr>
      <vt:lpstr>Лист11</vt:lpstr>
      <vt:lpstr>Лист12</vt:lpstr>
      <vt:lpstr>A72</vt:lpstr>
      <vt:lpstr>Лист14</vt:lpstr>
      <vt:lpstr>Лист15</vt:lpstr>
      <vt:lpstr>Лист16</vt:lpstr>
      <vt:lpstr>Лист17</vt:lpstr>
      <vt:lpstr>Лист18</vt:lpstr>
      <vt:lpstr>Лист19</vt:lpstr>
      <vt:lpstr>Лист20</vt:lpstr>
      <vt:lpstr>Лист21</vt:lpstr>
      <vt:lpstr>Лист22</vt:lpstr>
      <vt:lpstr>Лист23</vt:lpstr>
      <vt:lpstr>Лист24</vt:lpstr>
      <vt:lpstr>Лист25</vt:lpstr>
      <vt:lpstr>Лист26</vt:lpstr>
      <vt:lpstr>Лист27</vt:lpstr>
      <vt:lpstr>Лист28</vt:lpstr>
      <vt:lpstr>Лист29</vt:lpstr>
      <vt:lpstr>Лист30</vt:lpstr>
      <vt:lpstr>Лист31</vt:lpstr>
      <vt:lpstr>Лист32</vt:lpstr>
      <vt:lpstr>Лист33</vt:lpstr>
      <vt:lpstr>Лист34</vt:lpstr>
      <vt:lpstr>Rubbers35</vt:lpstr>
      <vt:lpstr>Лист35</vt:lpstr>
      <vt:lpstr>Лист36</vt:lpstr>
      <vt:lpstr>Лист37</vt:lpstr>
      <vt:lpstr>Rttf_Rubbers</vt:lpstr>
      <vt:lpstr>Blades</vt:lpstr>
      <vt:lpstr>Rubbers</vt:lpstr>
      <vt:lpstr>Rubbers2</vt:lpstr>
      <vt:lpstr>Search</vt:lpstr>
      <vt:lpstr>Лист39</vt:lpstr>
      <vt:lpstr>Hurricane</vt:lpstr>
      <vt:lpstr>Set_Rubber</vt:lpstr>
      <vt:lpstr>Лист40</vt:lpstr>
      <vt:lpstr>Blades_Par</vt:lpstr>
      <vt:lpstr>Lemuria</vt:lpstr>
      <vt:lpstr>Лист38</vt:lpstr>
      <vt:lpstr>Trade</vt:lpstr>
      <vt:lpstr>Лист41</vt:lpstr>
      <vt:lpstr>Лист42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dc:creator>
  <cp:lastModifiedBy>gs</cp:lastModifiedBy>
  <dcterms:created xsi:type="dcterms:W3CDTF">2018-04-04T15:03:28Z</dcterms:created>
  <dcterms:modified xsi:type="dcterms:W3CDTF">2023-09-14T18:12:19Z</dcterms:modified>
</cp:coreProperties>
</file>