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300" yWindow="285" windowWidth="18630" windowHeight="11640" tabRatio="809" firstSheet="5" activeTab="10"/>
  </bookViews>
  <sheets>
    <sheet name="Лист1" sheetId="1" r:id="rId1"/>
    <sheet name="Лист2" sheetId="2" r:id="rId2"/>
    <sheet name="Лист3" sheetId="3" r:id="rId3"/>
    <sheet name="List4" sheetId="4" r:id="rId4"/>
    <sheet name="Лист5" sheetId="5" r:id="rId5"/>
    <sheet name="Лист7" sheetId="7" r:id="rId6"/>
    <sheet name="Лист8" sheetId="8" r:id="rId7"/>
    <sheet name="Лист9" sheetId="9" r:id="rId8"/>
    <sheet name="Лист6" sheetId="10" r:id="rId9"/>
    <sheet name="Лист10" sheetId="11" r:id="rId10"/>
    <sheet name="Лист11" sheetId="12" r:id="rId11"/>
    <sheet name="Лист12" sheetId="13" r:id="rId12"/>
    <sheet name="Лист13" sheetId="14" r:id="rId13"/>
    <sheet name="Лист14" sheetId="15" r:id="rId14"/>
    <sheet name="Лист15" sheetId="16" r:id="rId15"/>
    <sheet name=" ListDde" sheetId="17" r:id="rId16"/>
    <sheet name="Лист4" sheetId="18" r:id="rId17"/>
    <sheet name="Лист16" sheetId="19" r:id="rId18"/>
    <sheet name="Лист17" sheetId="20" r:id="rId19"/>
    <sheet name="Лист18" sheetId="21" r:id="rId20"/>
  </sheets>
  <calcPr calcId="125725"/>
</workbook>
</file>

<file path=xl/calcChain.xml><?xml version="1.0" encoding="utf-8"?>
<calcChain xmlns="http://schemas.openxmlformats.org/spreadsheetml/2006/main">
  <c r="C2" i="21"/>
  <c r="K21" i="20"/>
  <c r="J24"/>
  <c r="G24"/>
  <c r="E24"/>
  <c r="K23"/>
  <c r="K22"/>
  <c r="G23"/>
  <c r="G22"/>
  <c r="E23"/>
  <c r="E22"/>
  <c r="J23"/>
  <c r="J22"/>
  <c r="M5"/>
  <c r="K24" l="1"/>
  <c r="M3"/>
  <c r="M1" s="1"/>
  <c r="P1" s="1"/>
  <c r="M4"/>
  <c r="M2"/>
  <c r="H19"/>
  <c r="G19"/>
  <c r="H18"/>
  <c r="G18"/>
  <c r="H17"/>
  <c r="G17"/>
  <c r="H16"/>
  <c r="G16"/>
  <c r="H13"/>
  <c r="G13"/>
  <c r="G12"/>
  <c r="H12" s="1"/>
  <c r="H11"/>
  <c r="G11"/>
  <c r="G10"/>
  <c r="H10" s="1"/>
  <c r="H4"/>
  <c r="H3"/>
  <c r="G4"/>
  <c r="G5"/>
  <c r="H5" s="1"/>
  <c r="G6"/>
  <c r="H6" s="1"/>
  <c r="G3"/>
  <c r="Q109" i="4"/>
  <c r="H2" i="20" l="1"/>
  <c r="H15"/>
  <c r="H9"/>
  <c r="W95" i="4"/>
  <c r="W96"/>
  <c r="W97"/>
  <c r="W98"/>
  <c r="W99"/>
  <c r="W100"/>
  <c r="Q252" l="1"/>
  <c r="AF225"/>
  <c r="AF226"/>
  <c r="AF227"/>
  <c r="AF228"/>
  <c r="AF229"/>
  <c r="AF230"/>
  <c r="AF231"/>
  <c r="AF232"/>
  <c r="AF233"/>
  <c r="AF234"/>
  <c r="AF235"/>
  <c r="AF224"/>
  <c r="AG224" s="1"/>
  <c r="AG225" s="1"/>
  <c r="AG226" s="1"/>
  <c r="AG227" s="1"/>
  <c r="AG228" s="1"/>
  <c r="AG229" s="1"/>
  <c r="AG230" s="1"/>
  <c r="AG231" s="1"/>
  <c r="AG232" s="1"/>
  <c r="AG233" s="1"/>
  <c r="AG234" s="1"/>
  <c r="AG235" s="1"/>
  <c r="AF247"/>
  <c r="AF246"/>
  <c r="AF245"/>
  <c r="AF244"/>
  <c r="AF243"/>
  <c r="AF242"/>
  <c r="AF241"/>
  <c r="AF240"/>
  <c r="AF239"/>
  <c r="AF238"/>
  <c r="AF237"/>
  <c r="AF236"/>
  <c r="AB237"/>
  <c r="AB238" s="1"/>
  <c r="AB239" s="1"/>
  <c r="AB240" s="1"/>
  <c r="AB241" s="1"/>
  <c r="AB242" s="1"/>
  <c r="AB236"/>
  <c r="AA237"/>
  <c r="AA238"/>
  <c r="AA239"/>
  <c r="AA240"/>
  <c r="AA241"/>
  <c r="AA242"/>
  <c r="AA243"/>
  <c r="AA244"/>
  <c r="AA245"/>
  <c r="AA246"/>
  <c r="AA247"/>
  <c r="AA236"/>
  <c r="Q251"/>
  <c r="Q250"/>
  <c r="Q249"/>
  <c r="W320"/>
  <c r="W319"/>
  <c r="W318"/>
  <c r="W317"/>
  <c r="Q248"/>
  <c r="AG236" l="1"/>
  <c r="AG237" s="1"/>
  <c r="AG238" s="1"/>
  <c r="AG239" s="1"/>
  <c r="AG240" s="1"/>
  <c r="AG241" s="1"/>
  <c r="AG242" s="1"/>
  <c r="AG243" s="1"/>
  <c r="AG244" s="1"/>
  <c r="AG245" s="1"/>
  <c r="AG246" s="1"/>
  <c r="AG247" s="1"/>
  <c r="AB243"/>
  <c r="AB244" s="1"/>
  <c r="AB245" s="1"/>
  <c r="AB246" s="1"/>
  <c r="AB247" s="1"/>
  <c r="AA229" s="1"/>
  <c r="W316"/>
  <c r="Q247"/>
  <c r="W315"/>
  <c r="W314"/>
  <c r="Q246"/>
  <c r="Q245"/>
  <c r="Q244"/>
  <c r="Q243"/>
  <c r="W313"/>
  <c r="W312"/>
  <c r="W311" l="1"/>
  <c r="W310"/>
  <c r="W309"/>
  <c r="W308"/>
  <c r="W307"/>
  <c r="W306"/>
  <c r="W31" i="16"/>
  <c r="S19"/>
  <c r="U19" s="1"/>
  <c r="W305" i="4"/>
  <c r="W304"/>
  <c r="Q242"/>
  <c r="P36" i="16"/>
  <c r="P34"/>
  <c r="P32"/>
  <c r="P30"/>
  <c r="P28"/>
  <c r="P26"/>
  <c r="W303" i="4"/>
  <c r="W302"/>
  <c r="W301"/>
  <c r="W300"/>
  <c r="W299"/>
  <c r="W298"/>
  <c r="F2" i="19"/>
  <c r="E2"/>
  <c r="C2"/>
  <c r="E4"/>
  <c r="E3"/>
  <c r="Q241" i="4"/>
  <c r="W297"/>
  <c r="W296"/>
  <c r="W295"/>
  <c r="Q240"/>
  <c r="W294"/>
  <c r="W293"/>
  <c r="F1" i="17"/>
  <c r="F3"/>
  <c r="F4"/>
  <c r="F2"/>
  <c r="W292" i="4"/>
  <c r="W291"/>
  <c r="W290"/>
  <c r="W289"/>
  <c r="Q239"/>
  <c r="W288"/>
  <c r="Q238"/>
  <c r="W287"/>
  <c r="Q237"/>
  <c r="Q236"/>
  <c r="W286"/>
  <c r="W285"/>
  <c r="W284"/>
  <c r="W283"/>
  <c r="Q235"/>
  <c r="Q234"/>
  <c r="Q233"/>
  <c r="Q232"/>
  <c r="Q231"/>
  <c r="Q230"/>
  <c r="W275"/>
  <c r="W276"/>
  <c r="W277"/>
  <c r="W278"/>
  <c r="W279"/>
  <c r="W280"/>
  <c r="W281"/>
  <c r="W282"/>
  <c r="W274"/>
  <c r="W273"/>
  <c r="W272"/>
  <c r="W271"/>
  <c r="Q229"/>
  <c r="W270"/>
  <c r="W269"/>
  <c r="W268"/>
  <c r="Q228"/>
  <c r="W267"/>
  <c r="W266"/>
  <c r="W265"/>
  <c r="W264"/>
  <c r="W263"/>
  <c r="W262"/>
  <c r="W261"/>
  <c r="Q227"/>
  <c r="W260"/>
  <c r="W259"/>
  <c r="W258"/>
  <c r="W257"/>
  <c r="Q226"/>
  <c r="Q225"/>
  <c r="W256"/>
  <c r="W255"/>
  <c r="Q224"/>
  <c r="W254"/>
  <c r="W253"/>
  <c r="W252"/>
  <c r="W251"/>
  <c r="Q223"/>
  <c r="W250"/>
  <c r="Q222"/>
  <c r="Q221"/>
  <c r="Q220"/>
  <c r="Q219"/>
  <c r="W249"/>
  <c r="W248"/>
  <c r="W247"/>
  <c r="W246"/>
  <c r="Q218"/>
  <c r="Q217"/>
  <c r="W245"/>
  <c r="W244"/>
  <c r="W243"/>
  <c r="W242"/>
  <c r="W241"/>
  <c r="AA22" i="16"/>
  <c r="AA23"/>
  <c r="AA17"/>
  <c r="AA18"/>
  <c r="AA24" s="1"/>
  <c r="AA19"/>
  <c r="AA25" s="1"/>
  <c r="AA20"/>
  <c r="AA26" s="1"/>
  <c r="AA21"/>
  <c r="AA27" s="1"/>
  <c r="AA16"/>
  <c r="P22"/>
  <c r="U14" i="4"/>
  <c r="U13" s="1"/>
  <c r="O14"/>
  <c r="O13" s="1"/>
  <c r="W240"/>
  <c r="W239"/>
  <c r="W238"/>
  <c r="W237"/>
  <c r="W236"/>
  <c r="W235"/>
  <c r="M31" i="18"/>
  <c r="M29"/>
  <c r="M23"/>
  <c r="M28"/>
  <c r="M24"/>
  <c r="M25"/>
  <c r="M26"/>
  <c r="M27"/>
  <c r="M22"/>
  <c r="Q204" i="4"/>
  <c r="Q205"/>
  <c r="Q206"/>
  <c r="Q207"/>
  <c r="Q208"/>
  <c r="Q209"/>
  <c r="Q210"/>
  <c r="Q211"/>
  <c r="Q212"/>
  <c r="Q213"/>
  <c r="Q214"/>
  <c r="Q215"/>
  <c r="Q216"/>
  <c r="W234"/>
  <c r="O21" i="18"/>
  <c r="P19"/>
  <c r="L20"/>
  <c r="L19"/>
  <c r="Q203" i="4"/>
  <c r="Q202"/>
  <c r="W233"/>
  <c r="W232"/>
  <c r="Q201"/>
  <c r="Q200"/>
  <c r="W231"/>
  <c r="W230"/>
  <c r="Q199"/>
  <c r="I14" i="18"/>
  <c r="I13"/>
  <c r="Q198" i="4"/>
  <c r="Q197"/>
  <c r="Q19" i="16"/>
  <c r="R19" s="1"/>
  <c r="W19" s="1"/>
  <c r="W229" i="4"/>
  <c r="W228"/>
  <c r="W227"/>
  <c r="W226"/>
  <c r="Q196"/>
  <c r="W225"/>
  <c r="Q195"/>
  <c r="Q194"/>
  <c r="W224"/>
  <c r="Q193"/>
  <c r="Q192"/>
  <c r="W223"/>
  <c r="Q191"/>
  <c r="Q190"/>
  <c r="Q189"/>
  <c r="Q188"/>
  <c r="Q187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Q186"/>
  <c r="Q185"/>
  <c r="W193"/>
  <c r="W192"/>
  <c r="W191"/>
  <c r="W190"/>
  <c r="W189"/>
  <c r="W188"/>
  <c r="Q184"/>
  <c r="W187"/>
  <c r="W186"/>
  <c r="W185"/>
  <c r="Q183"/>
  <c r="Q182"/>
  <c r="Q181"/>
  <c r="Q180"/>
  <c r="Q179"/>
  <c r="W184"/>
  <c r="Q178"/>
  <c r="W183"/>
  <c r="W182"/>
  <c r="W181"/>
  <c r="W180"/>
  <c r="W179"/>
  <c r="W178"/>
  <c r="Q177"/>
  <c r="Q176"/>
  <c r="W177"/>
  <c r="Q175"/>
  <c r="W176"/>
  <c r="W175"/>
  <c r="W174"/>
  <c r="W173"/>
  <c r="W172"/>
  <c r="W171"/>
  <c r="W170"/>
  <c r="W169"/>
  <c r="W168"/>
  <c r="W167"/>
  <c r="W166"/>
  <c r="W165"/>
  <c r="W164"/>
  <c r="W163"/>
  <c r="W162"/>
  <c r="AE26" i="16"/>
  <c r="AE27" s="1"/>
  <c r="AE25"/>
  <c r="AE24"/>
  <c r="AE23"/>
  <c r="AE18"/>
  <c r="AE19" s="1"/>
  <c r="AE20" s="1"/>
  <c r="AE21" s="1"/>
  <c r="AE17"/>
  <c r="P24"/>
  <c r="P20"/>
  <c r="AA15"/>
  <c r="AA13"/>
  <c r="AA11"/>
  <c r="W161" i="4"/>
  <c r="W160"/>
  <c r="W159"/>
  <c r="W158"/>
  <c r="W157"/>
  <c r="W156"/>
  <c r="W155"/>
  <c r="W154"/>
  <c r="W153"/>
  <c r="W152"/>
  <c r="W151"/>
  <c r="AB27" i="16"/>
  <c r="AB26"/>
  <c r="AB25"/>
  <c r="AB24"/>
  <c r="AB23"/>
  <c r="AB22"/>
  <c r="AB21"/>
  <c r="AB20"/>
  <c r="AC20" s="1"/>
  <c r="AH20" s="1"/>
  <c r="AB19"/>
  <c r="AB18"/>
  <c r="AC18" s="1"/>
  <c r="AH18" s="1"/>
  <c r="AB17"/>
  <c r="AB16"/>
  <c r="AB15"/>
  <c r="AB14"/>
  <c r="AC14" s="1"/>
  <c r="AH14" s="1"/>
  <c r="AB13"/>
  <c r="AB12"/>
  <c r="AC12" s="1"/>
  <c r="AH12" s="1"/>
  <c r="AB11"/>
  <c r="AB10"/>
  <c r="AC10" s="1"/>
  <c r="AH10" s="1"/>
  <c r="AB9"/>
  <c r="AC9" s="1"/>
  <c r="AH9" s="1"/>
  <c r="W150" i="4"/>
  <c r="W149"/>
  <c r="W148"/>
  <c r="W147"/>
  <c r="W146"/>
  <c r="Q34" i="16"/>
  <c r="Q33"/>
  <c r="Q28"/>
  <c r="Q27"/>
  <c r="W145" i="4"/>
  <c r="W144"/>
  <c r="W143"/>
  <c r="W142"/>
  <c r="W141"/>
  <c r="W140"/>
  <c r="W139"/>
  <c r="W138"/>
  <c r="W137"/>
  <c r="W136"/>
  <c r="S41" i="16"/>
  <c r="AA41"/>
  <c r="Y41"/>
  <c r="R41"/>
  <c r="X41"/>
  <c r="W41"/>
  <c r="Q41"/>
  <c r="S25"/>
  <c r="U25" s="1"/>
  <c r="T33"/>
  <c r="T34" s="1"/>
  <c r="T35" s="1"/>
  <c r="T36" s="1"/>
  <c r="T32"/>
  <c r="T26"/>
  <c r="T27" s="1"/>
  <c r="T28" s="1"/>
  <c r="T29" s="1"/>
  <c r="T30" s="1"/>
  <c r="T20"/>
  <c r="T21" s="1"/>
  <c r="T22" s="1"/>
  <c r="T23" s="1"/>
  <c r="T24" s="1"/>
  <c r="AE12"/>
  <c r="AE13"/>
  <c r="AE14" s="1"/>
  <c r="AE15" s="1"/>
  <c r="AE11"/>
  <c r="AD15"/>
  <c r="AF15" s="1"/>
  <c r="AD14"/>
  <c r="AF14" s="1"/>
  <c r="AD13"/>
  <c r="AF13" s="1"/>
  <c r="AD12"/>
  <c r="AF12" s="1"/>
  <c r="AD11"/>
  <c r="AF11" s="1"/>
  <c r="AD10"/>
  <c r="AF10" s="1"/>
  <c r="AD27"/>
  <c r="AD26"/>
  <c r="AD25"/>
  <c r="AD24"/>
  <c r="AD23"/>
  <c r="AD22"/>
  <c r="AF22" s="1"/>
  <c r="W135" i="4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AI24"/>
  <c r="AI22"/>
  <c r="W112"/>
  <c r="W111"/>
  <c r="S24" i="16"/>
  <c r="Q24"/>
  <c r="S23"/>
  <c r="Q23"/>
  <c r="S22"/>
  <c r="Q22"/>
  <c r="S21"/>
  <c r="Q21"/>
  <c r="S20"/>
  <c r="Q20"/>
  <c r="W110" i="4"/>
  <c r="W109"/>
  <c r="W108"/>
  <c r="W107"/>
  <c r="W106"/>
  <c r="W105"/>
  <c r="W104"/>
  <c r="R37" i="11"/>
  <c r="Q37"/>
  <c r="O37"/>
  <c r="Q25" i="16"/>
  <c r="Q26"/>
  <c r="Q29"/>
  <c r="Q30"/>
  <c r="Q31"/>
  <c r="Q32"/>
  <c r="Q35"/>
  <c r="Q36"/>
  <c r="S36"/>
  <c r="S35"/>
  <c r="S34"/>
  <c r="S33"/>
  <c r="S32"/>
  <c r="U32" s="1"/>
  <c r="S31"/>
  <c r="U31" s="1"/>
  <c r="S30"/>
  <c r="S29"/>
  <c r="S28"/>
  <c r="S27"/>
  <c r="S26"/>
  <c r="T18"/>
  <c r="AB8"/>
  <c r="AC8" s="1"/>
  <c r="AH8" s="1"/>
  <c r="AD21"/>
  <c r="AD20"/>
  <c r="Q36" i="11"/>
  <c r="R36" s="1"/>
  <c r="O36"/>
  <c r="W103" i="4"/>
  <c r="W102"/>
  <c r="W101"/>
  <c r="T15" i="16"/>
  <c r="V15" s="1"/>
  <c r="X15" s="1"/>
  <c r="T14"/>
  <c r="V14" s="1"/>
  <c r="X14" s="1"/>
  <c r="T13"/>
  <c r="T12"/>
  <c r="T11"/>
  <c r="T10"/>
  <c r="T9"/>
  <c r="T8"/>
  <c r="T7"/>
  <c r="AD19"/>
  <c r="AD18"/>
  <c r="AD17"/>
  <c r="AD16"/>
  <c r="AF16" s="1"/>
  <c r="AD7"/>
  <c r="W94" i="4"/>
  <c r="W93"/>
  <c r="W92"/>
  <c r="AC24" i="16" l="1"/>
  <c r="AH24" s="1"/>
  <c r="AC19"/>
  <c r="AH19" s="1"/>
  <c r="AC22"/>
  <c r="AH22" s="1"/>
  <c r="AI22" s="1"/>
  <c r="AF26"/>
  <c r="AI26" s="1"/>
  <c r="AF23"/>
  <c r="R36"/>
  <c r="W36" s="1"/>
  <c r="U33"/>
  <c r="U35"/>
  <c r="U34"/>
  <c r="U36"/>
  <c r="U30"/>
  <c r="U29"/>
  <c r="U28"/>
  <c r="U26"/>
  <c r="U27"/>
  <c r="AC26"/>
  <c r="AC16"/>
  <c r="AH16" s="1"/>
  <c r="AI16" s="1"/>
  <c r="U21"/>
  <c r="U24"/>
  <c r="U20"/>
  <c r="AC23"/>
  <c r="AH23" s="1"/>
  <c r="R31"/>
  <c r="X31" s="1"/>
  <c r="U23"/>
  <c r="U22"/>
  <c r="AF25"/>
  <c r="AF24"/>
  <c r="AF27"/>
  <c r="AF19"/>
  <c r="AF18"/>
  <c r="AI18" s="1"/>
  <c r="AF20"/>
  <c r="AI20" s="1"/>
  <c r="AF17"/>
  <c r="AF21"/>
  <c r="R35"/>
  <c r="W35" s="1"/>
  <c r="R25"/>
  <c r="W25" s="1"/>
  <c r="X25" s="1"/>
  <c r="R34"/>
  <c r="R24"/>
  <c r="W24" s="1"/>
  <c r="R29"/>
  <c r="W29" s="1"/>
  <c r="R23"/>
  <c r="W23" s="1"/>
  <c r="R28"/>
  <c r="W28" s="1"/>
  <c r="R33"/>
  <c r="W33" s="1"/>
  <c r="R32"/>
  <c r="W32" s="1"/>
  <c r="X32" s="1"/>
  <c r="R27"/>
  <c r="W27" s="1"/>
  <c r="R30"/>
  <c r="W30" s="1"/>
  <c r="R26"/>
  <c r="W26" s="1"/>
  <c r="R21"/>
  <c r="W21" s="1"/>
  <c r="R22"/>
  <c r="W22" s="1"/>
  <c r="R20"/>
  <c r="W20" s="1"/>
  <c r="AC21"/>
  <c r="AH21" s="1"/>
  <c r="AC15"/>
  <c r="AH15" s="1"/>
  <c r="AI15" s="1"/>
  <c r="AC13"/>
  <c r="AH13" s="1"/>
  <c r="AI13" s="1"/>
  <c r="AC27"/>
  <c r="AH27" s="1"/>
  <c r="AC25"/>
  <c r="AH25" s="1"/>
  <c r="AC17"/>
  <c r="AH17" s="1"/>
  <c r="AC11"/>
  <c r="AH11" s="1"/>
  <c r="AI11" s="1"/>
  <c r="X19"/>
  <c r="AI14"/>
  <c r="AI12"/>
  <c r="AI10"/>
  <c r="R35" i="11"/>
  <c r="Q35"/>
  <c r="O35"/>
  <c r="H35"/>
  <c r="F35"/>
  <c r="Q34"/>
  <c r="R34" s="1"/>
  <c r="O34"/>
  <c r="AD9" i="16"/>
  <c r="AD8"/>
  <c r="AA2"/>
  <c r="H34" i="11"/>
  <c r="F34"/>
  <c r="H32"/>
  <c r="H31"/>
  <c r="I31" s="1"/>
  <c r="Q31"/>
  <c r="Q32"/>
  <c r="R32" s="1"/>
  <c r="L33"/>
  <c r="O32"/>
  <c r="O31"/>
  <c r="F32"/>
  <c r="F31"/>
  <c r="AF7" i="16"/>
  <c r="V13"/>
  <c r="X13" s="1"/>
  <c r="V11"/>
  <c r="X11" s="1"/>
  <c r="V9"/>
  <c r="X9" s="1"/>
  <c r="V12"/>
  <c r="X12" s="1"/>
  <c r="V10"/>
  <c r="X10" s="1"/>
  <c r="V8"/>
  <c r="X8" s="1"/>
  <c r="V7"/>
  <c r="O9"/>
  <c r="O8"/>
  <c r="O7"/>
  <c r="O5"/>
  <c r="O4"/>
  <c r="O3"/>
  <c r="G5"/>
  <c r="G4"/>
  <c r="G3"/>
  <c r="O23" i="11"/>
  <c r="P23" s="1"/>
  <c r="P22"/>
  <c r="P21"/>
  <c r="O22"/>
  <c r="O21"/>
  <c r="Q174" i="4"/>
  <c r="Q173"/>
  <c r="Q172"/>
  <c r="Q171"/>
  <c r="Q170"/>
  <c r="Q169"/>
  <c r="R7" i="11"/>
  <c r="W1"/>
  <c r="W7"/>
  <c r="Q168" i="4"/>
  <c r="Q167"/>
  <c r="Q166"/>
  <c r="Q165"/>
  <c r="W91"/>
  <c r="W90"/>
  <c r="W89"/>
  <c r="Q164"/>
  <c r="Q163"/>
  <c r="Q162"/>
  <c r="Q161"/>
  <c r="Q160"/>
  <c r="Q159"/>
  <c r="Q158"/>
  <c r="Q157"/>
  <c r="Q156"/>
  <c r="Q155"/>
  <c r="Q154"/>
  <c r="Q153"/>
  <c r="Q152"/>
  <c r="Q151"/>
  <c r="Q150"/>
  <c r="Q149"/>
  <c r="W88"/>
  <c r="Q148"/>
  <c r="W87"/>
  <c r="Q147"/>
  <c r="Q146"/>
  <c r="Q145"/>
  <c r="Q144"/>
  <c r="Q143"/>
  <c r="Q142"/>
  <c r="Q14"/>
  <c r="Q141"/>
  <c r="Q140"/>
  <c r="Q139"/>
  <c r="W86"/>
  <c r="W85"/>
  <c r="Q138"/>
  <c r="Q137"/>
  <c r="W84"/>
  <c r="W83"/>
  <c r="Q136"/>
  <c r="Q135"/>
  <c r="Q134"/>
  <c r="Q133"/>
  <c r="Q132"/>
  <c r="Q131"/>
  <c r="Q130"/>
  <c r="Q129"/>
  <c r="Q128"/>
  <c r="Q127"/>
  <c r="Q126"/>
  <c r="Q125"/>
  <c r="Q124"/>
  <c r="W82"/>
  <c r="W81"/>
  <c r="W80"/>
  <c r="Q123"/>
  <c r="Q122"/>
  <c r="W79"/>
  <c r="Q121"/>
  <c r="Q120"/>
  <c r="Q119"/>
  <c r="Q118"/>
  <c r="Q117"/>
  <c r="Q116"/>
  <c r="Q115"/>
  <c r="Q114"/>
  <c r="W72"/>
  <c r="W73"/>
  <c r="W74"/>
  <c r="W75"/>
  <c r="W76"/>
  <c r="W77"/>
  <c r="W78"/>
  <c r="W71"/>
  <c r="W70"/>
  <c r="W69"/>
  <c r="Q113"/>
  <c r="Q112"/>
  <c r="Q111"/>
  <c r="Q110"/>
  <c r="Q108"/>
  <c r="Q107"/>
  <c r="Q106"/>
  <c r="Q105"/>
  <c r="Q104"/>
  <c r="Q103"/>
  <c r="Q102"/>
  <c r="Q101"/>
  <c r="Q100"/>
  <c r="Q99"/>
  <c r="Q98"/>
  <c r="Q97"/>
  <c r="Q96"/>
  <c r="Q95"/>
  <c r="F5" i="10"/>
  <c r="F6"/>
  <c r="J4"/>
  <c r="Q94" i="4"/>
  <c r="Q93"/>
  <c r="Q92"/>
  <c r="R92" s="1"/>
  <c r="Q91"/>
  <c r="R91" s="1"/>
  <c r="Q90"/>
  <c r="R90" s="1"/>
  <c r="Q89"/>
  <c r="R89" s="1"/>
  <c r="Q88"/>
  <c r="R88" s="1"/>
  <c r="Q87"/>
  <c r="R87" s="1"/>
  <c r="Q86"/>
  <c r="R86" s="1"/>
  <c r="Q85"/>
  <c r="R85" s="1"/>
  <c r="Q84"/>
  <c r="R84" s="1"/>
  <c r="Q83"/>
  <c r="Q82"/>
  <c r="Q81"/>
  <c r="R81" s="1"/>
  <c r="Q80"/>
  <c r="Q79"/>
  <c r="Q78"/>
  <c r="R78" s="1"/>
  <c r="Q77"/>
  <c r="R77" s="1"/>
  <c r="Q76"/>
  <c r="Q75"/>
  <c r="Q74"/>
  <c r="W12"/>
  <c r="W11"/>
  <c r="Q11"/>
  <c r="Q12"/>
  <c r="F20" i="11"/>
  <c r="F28"/>
  <c r="F27"/>
  <c r="F26"/>
  <c r="R6"/>
  <c r="W6"/>
  <c r="R4" i="14"/>
  <c r="M4"/>
  <c r="N4" s="1"/>
  <c r="O4" s="1"/>
  <c r="S4" s="1"/>
  <c r="F6"/>
  <c r="G6" s="1"/>
  <c r="F5"/>
  <c r="G5" s="1"/>
  <c r="L7" i="13"/>
  <c r="K6"/>
  <c r="H6"/>
  <c r="G6"/>
  <c r="K5"/>
  <c r="J5"/>
  <c r="I5"/>
  <c r="K4"/>
  <c r="J4"/>
  <c r="L4" s="1"/>
  <c r="I4"/>
  <c r="L28" i="12"/>
  <c r="M28"/>
  <c r="M27"/>
  <c r="L27"/>
  <c r="M12"/>
  <c r="K12"/>
  <c r="L12" s="1"/>
  <c r="L22"/>
  <c r="K22"/>
  <c r="P23"/>
  <c r="O21"/>
  <c r="O20"/>
  <c r="N21"/>
  <c r="N20"/>
  <c r="M21"/>
  <c r="M20"/>
  <c r="L23" i="11"/>
  <c r="L22"/>
  <c r="L21"/>
  <c r="R1"/>
  <c r="F23"/>
  <c r="F22"/>
  <c r="F21"/>
  <c r="W5"/>
  <c r="F18"/>
  <c r="F19"/>
  <c r="F17"/>
  <c r="F15"/>
  <c r="F16"/>
  <c r="Q14"/>
  <c r="R14" s="1"/>
  <c r="Q13"/>
  <c r="R13" s="1"/>
  <c r="N14"/>
  <c r="N13"/>
  <c r="F13"/>
  <c r="F14"/>
  <c r="W4"/>
  <c r="L18"/>
  <c r="L17"/>
  <c r="L16"/>
  <c r="L15"/>
  <c r="R4"/>
  <c r="R5"/>
  <c r="E22" i="12"/>
  <c r="E21"/>
  <c r="E20"/>
  <c r="E19"/>
  <c r="L12" i="11"/>
  <c r="L11"/>
  <c r="F12"/>
  <c r="F11"/>
  <c r="F20" i="12" l="1"/>
  <c r="M22"/>
  <c r="N28"/>
  <c r="R79" i="4"/>
  <c r="R82"/>
  <c r="R80"/>
  <c r="R83"/>
  <c r="F22" i="12"/>
  <c r="N27"/>
  <c r="AI24" i="16"/>
  <c r="AI19"/>
  <c r="AI23"/>
  <c r="X26"/>
  <c r="X28"/>
  <c r="X29"/>
  <c r="X27"/>
  <c r="X21"/>
  <c r="X20"/>
  <c r="W10" i="4"/>
  <c r="Q10"/>
  <c r="W34" i="16"/>
  <c r="X34" s="1"/>
  <c r="X33"/>
  <c r="AI27"/>
  <c r="AI25"/>
  <c r="AI17"/>
  <c r="AI21"/>
  <c r="X35"/>
  <c r="X23"/>
  <c r="X24"/>
  <c r="X22"/>
  <c r="X36"/>
  <c r="X30"/>
  <c r="AF9"/>
  <c r="AI9" s="1"/>
  <c r="AF8"/>
  <c r="AI8" s="1"/>
  <c r="I35" i="11"/>
  <c r="R75" i="4"/>
  <c r="I34" i="11"/>
  <c r="Q30"/>
  <c r="H30"/>
  <c r="I32"/>
  <c r="R31"/>
  <c r="R76" i="4"/>
  <c r="P20" i="11"/>
  <c r="I6" i="13"/>
  <c r="J6"/>
  <c r="L5"/>
  <c r="L6" s="1"/>
  <c r="O22" i="12"/>
  <c r="N22"/>
  <c r="P21"/>
  <c r="P20"/>
  <c r="L20" i="11"/>
  <c r="F10"/>
  <c r="F6" s="1"/>
  <c r="L14"/>
  <c r="F8"/>
  <c r="A1"/>
  <c r="L10"/>
  <c r="L9"/>
  <c r="R3"/>
  <c r="F7"/>
  <c r="Q1"/>
  <c r="P1"/>
  <c r="V1"/>
  <c r="W3"/>
  <c r="L6"/>
  <c r="L7"/>
  <c r="L13"/>
  <c r="W68" i="4"/>
  <c r="W67"/>
  <c r="L5" i="11"/>
  <c r="W66" i="4"/>
  <c r="W65"/>
  <c r="W64"/>
  <c r="W63"/>
  <c r="W62"/>
  <c r="X61"/>
  <c r="X62"/>
  <c r="X63"/>
  <c r="X64"/>
  <c r="X65"/>
  <c r="W61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W60"/>
  <c r="W59"/>
  <c r="W58"/>
  <c r="U1" i="11"/>
  <c r="L4"/>
  <c r="L3"/>
  <c r="F4"/>
  <c r="F3"/>
  <c r="F2" s="1"/>
  <c r="S5" i="4"/>
  <c r="S4"/>
  <c r="Q23"/>
  <c r="Q24"/>
  <c r="F6"/>
  <c r="F5"/>
  <c r="F3" s="1"/>
  <c r="M13" i="10"/>
  <c r="Q73" i="4"/>
  <c r="R74" s="1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22"/>
  <c r="J13" i="10"/>
  <c r="I13"/>
  <c r="G13"/>
  <c r="H13" s="1"/>
  <c r="F13"/>
  <c r="K4"/>
  <c r="M4" s="1"/>
  <c r="W21" i="4"/>
  <c r="W25"/>
  <c r="W24"/>
  <c r="W15"/>
  <c r="W16"/>
  <c r="W17"/>
  <c r="W18"/>
  <c r="W19"/>
  <c r="W20"/>
  <c r="W22"/>
  <c r="W23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AN18" i="3"/>
  <c r="AN19"/>
  <c r="AN20"/>
  <c r="AN21"/>
  <c r="AN22"/>
  <c r="AN23"/>
  <c r="AN24"/>
  <c r="AN25"/>
  <c r="AN26"/>
  <c r="AL17"/>
  <c r="AN17" s="1"/>
  <c r="H4" i="10"/>
  <c r="F4"/>
  <c r="M7"/>
  <c r="M2"/>
  <c r="M3"/>
  <c r="M6"/>
  <c r="M5"/>
  <c r="D5"/>
  <c r="L15" i="9"/>
  <c r="L16"/>
  <c r="L17"/>
  <c r="L18"/>
  <c r="L19"/>
  <c r="L20"/>
  <c r="L21"/>
  <c r="L22"/>
  <c r="L23"/>
  <c r="L14"/>
  <c r="J12"/>
  <c r="J13"/>
  <c r="J15"/>
  <c r="J16"/>
  <c r="J17"/>
  <c r="J18"/>
  <c r="J19"/>
  <c r="J20"/>
  <c r="J21"/>
  <c r="J22"/>
  <c r="J23"/>
  <c r="J24"/>
  <c r="J25"/>
  <c r="J26"/>
  <c r="J14"/>
  <c r="E14"/>
  <c r="E16"/>
  <c r="E17"/>
  <c r="E18"/>
  <c r="E19"/>
  <c r="E20"/>
  <c r="E21"/>
  <c r="E22"/>
  <c r="E23"/>
  <c r="E24"/>
  <c r="E25"/>
  <c r="E26"/>
  <c r="E15"/>
  <c r="L5"/>
  <c r="L6"/>
  <c r="L7"/>
  <c r="L4"/>
  <c r="L3"/>
  <c r="F10"/>
  <c r="D10"/>
  <c r="E10" s="1"/>
  <c r="E9"/>
  <c r="D9"/>
  <c r="B9"/>
  <c r="B10" s="1"/>
  <c r="A4"/>
  <c r="E5"/>
  <c r="E4"/>
  <c r="A5"/>
  <c r="B5" s="1"/>
  <c r="B4"/>
  <c r="AN42" i="4"/>
  <c r="AN41"/>
  <c r="S1" l="1"/>
  <c r="R64"/>
  <c r="R59"/>
  <c r="R23"/>
  <c r="R69"/>
  <c r="R67"/>
  <c r="R63"/>
  <c r="R61"/>
  <c r="R56"/>
  <c r="R55"/>
  <c r="R62"/>
  <c r="R70"/>
  <c r="R24"/>
  <c r="R60"/>
  <c r="R68"/>
  <c r="R58"/>
  <c r="R66"/>
  <c r="R57"/>
  <c r="R65"/>
  <c r="R73"/>
  <c r="R72"/>
  <c r="R71"/>
  <c r="P22" i="12"/>
  <c r="L8" i="11"/>
  <c r="L2"/>
  <c r="I4" i="10"/>
  <c r="AI29" i="4"/>
  <c r="AT9"/>
  <c r="AT8"/>
  <c r="AW25"/>
  <c r="AW27"/>
  <c r="AW26"/>
  <c r="AW23"/>
  <c r="AW22"/>
  <c r="AW24" s="1"/>
  <c r="AW19"/>
  <c r="AW18"/>
  <c r="AW14"/>
  <c r="AW13"/>
  <c r="AW12"/>
  <c r="AW16"/>
  <c r="AW15"/>
  <c r="AW17" s="1"/>
  <c r="AX1"/>
  <c r="AX2"/>
  <c r="AV2"/>
  <c r="AV1"/>
  <c r="AV4"/>
  <c r="AX4" s="1"/>
  <c r="AV5"/>
  <c r="AX5" s="1"/>
  <c r="AV3"/>
  <c r="AX3" s="1"/>
  <c r="AI25"/>
  <c r="AW20" l="1"/>
  <c r="H30" i="7"/>
  <c r="G30"/>
  <c r="F30"/>
  <c r="AD34" i="4"/>
  <c r="P15" i="8"/>
  <c r="P16"/>
  <c r="P17"/>
  <c r="P18"/>
  <c r="P19"/>
  <c r="O16"/>
  <c r="O17"/>
  <c r="O18"/>
  <c r="O19"/>
  <c r="O15"/>
  <c r="N15"/>
  <c r="N16"/>
  <c r="N17"/>
  <c r="N18"/>
  <c r="N19"/>
  <c r="N14"/>
  <c r="O14"/>
  <c r="P14"/>
  <c r="M14"/>
  <c r="M15"/>
  <c r="M16"/>
  <c r="M17"/>
  <c r="M18"/>
  <c r="M19"/>
  <c r="M13"/>
  <c r="N13"/>
  <c r="O13"/>
  <c r="P13"/>
  <c r="L13"/>
  <c r="L14"/>
  <c r="L15"/>
  <c r="L16"/>
  <c r="L17"/>
  <c r="L18"/>
  <c r="L19"/>
  <c r="L12"/>
  <c r="M12"/>
  <c r="N12"/>
  <c r="O12"/>
  <c r="P12"/>
  <c r="K12"/>
  <c r="K13"/>
  <c r="K14"/>
  <c r="K15"/>
  <c r="K16"/>
  <c r="K17"/>
  <c r="K18"/>
  <c r="K19"/>
  <c r="K11"/>
  <c r="L11"/>
  <c r="M11"/>
  <c r="N11"/>
  <c r="O11"/>
  <c r="P11"/>
  <c r="J11"/>
  <c r="J12"/>
  <c r="J13"/>
  <c r="J14"/>
  <c r="J15"/>
  <c r="J16"/>
  <c r="J17"/>
  <c r="J18"/>
  <c r="J19"/>
  <c r="J10"/>
  <c r="K10"/>
  <c r="L10"/>
  <c r="M10"/>
  <c r="N10"/>
  <c r="O10"/>
  <c r="P10"/>
  <c r="I10"/>
  <c r="I11"/>
  <c r="I12"/>
  <c r="I13"/>
  <c r="I14"/>
  <c r="I15"/>
  <c r="I16"/>
  <c r="I17"/>
  <c r="I18"/>
  <c r="I19"/>
  <c r="I9"/>
  <c r="J9"/>
  <c r="K9"/>
  <c r="L9"/>
  <c r="M9"/>
  <c r="N9"/>
  <c r="O9"/>
  <c r="P9"/>
  <c r="H9"/>
  <c r="H10"/>
  <c r="H11"/>
  <c r="H12"/>
  <c r="H13"/>
  <c r="H14"/>
  <c r="H15"/>
  <c r="H16"/>
  <c r="H17"/>
  <c r="H18"/>
  <c r="H19"/>
  <c r="H8"/>
  <c r="I8"/>
  <c r="J8"/>
  <c r="K8"/>
  <c r="L8"/>
  <c r="M8"/>
  <c r="N8"/>
  <c r="O8"/>
  <c r="P8"/>
  <c r="G8"/>
  <c r="G9"/>
  <c r="G10"/>
  <c r="G11"/>
  <c r="G12"/>
  <c r="G13"/>
  <c r="G14"/>
  <c r="G15"/>
  <c r="G16"/>
  <c r="G17"/>
  <c r="G18"/>
  <c r="G19"/>
  <c r="G7"/>
  <c r="H7"/>
  <c r="I7"/>
  <c r="J7"/>
  <c r="K7"/>
  <c r="L7"/>
  <c r="M7"/>
  <c r="N7"/>
  <c r="O7"/>
  <c r="P7"/>
  <c r="F7"/>
  <c r="F8"/>
  <c r="F9"/>
  <c r="F10"/>
  <c r="F11"/>
  <c r="F12"/>
  <c r="F13"/>
  <c r="F14"/>
  <c r="F15"/>
  <c r="F16"/>
  <c r="F17"/>
  <c r="F18"/>
  <c r="F19"/>
  <c r="F6"/>
  <c r="G6"/>
  <c r="H6"/>
  <c r="I6"/>
  <c r="J6"/>
  <c r="K6"/>
  <c r="L6"/>
  <c r="M6"/>
  <c r="N6"/>
  <c r="O6"/>
  <c r="P6"/>
  <c r="E6"/>
  <c r="E7"/>
  <c r="E8"/>
  <c r="E9"/>
  <c r="E10"/>
  <c r="E11"/>
  <c r="E12"/>
  <c r="E13"/>
  <c r="E14"/>
  <c r="E15"/>
  <c r="E16"/>
  <c r="E17"/>
  <c r="E18"/>
  <c r="E19"/>
  <c r="E5"/>
  <c r="F5"/>
  <c r="G5"/>
  <c r="H5"/>
  <c r="I5"/>
  <c r="J5"/>
  <c r="K5"/>
  <c r="L5"/>
  <c r="M5"/>
  <c r="N5"/>
  <c r="O5"/>
  <c r="P5"/>
  <c r="D5"/>
  <c r="D6"/>
  <c r="D7"/>
  <c r="D8"/>
  <c r="D9"/>
  <c r="D10"/>
  <c r="D11"/>
  <c r="D12"/>
  <c r="D13"/>
  <c r="D14"/>
  <c r="D15"/>
  <c r="D16"/>
  <c r="D17"/>
  <c r="D18"/>
  <c r="D19"/>
  <c r="C4"/>
  <c r="D4"/>
  <c r="E4"/>
  <c r="F4"/>
  <c r="G4"/>
  <c r="H4"/>
  <c r="I4"/>
  <c r="J4"/>
  <c r="K4"/>
  <c r="L4"/>
  <c r="M4"/>
  <c r="N4"/>
  <c r="O4"/>
  <c r="P4"/>
  <c r="C3"/>
  <c r="D3"/>
  <c r="E3"/>
  <c r="F3"/>
  <c r="G3"/>
  <c r="H3"/>
  <c r="I3"/>
  <c r="J3"/>
  <c r="K3"/>
  <c r="L3"/>
  <c r="M3"/>
  <c r="N3"/>
  <c r="O3"/>
  <c r="P3"/>
  <c r="C2"/>
  <c r="D2"/>
  <c r="E2"/>
  <c r="F2"/>
  <c r="G2"/>
  <c r="H2"/>
  <c r="I2"/>
  <c r="J2"/>
  <c r="K2"/>
  <c r="L2"/>
  <c r="M2"/>
  <c r="N2"/>
  <c r="O2"/>
  <c r="P2"/>
  <c r="B3"/>
  <c r="B4"/>
  <c r="B5"/>
  <c r="B6"/>
  <c r="B7"/>
  <c r="B8"/>
  <c r="B9"/>
  <c r="B10"/>
  <c r="B11"/>
  <c r="B12"/>
  <c r="B13"/>
  <c r="B14"/>
  <c r="B15"/>
  <c r="B16"/>
  <c r="B17"/>
  <c r="B18"/>
  <c r="B19"/>
  <c r="B2"/>
  <c r="C1"/>
  <c r="D1" s="1"/>
  <c r="E1" s="1"/>
  <c r="F1" s="1"/>
  <c r="G1" s="1"/>
  <c r="H1" s="1"/>
  <c r="I1" s="1"/>
  <c r="J1" s="1"/>
  <c r="K1" s="1"/>
  <c r="L1" s="1"/>
  <c r="M1" s="1"/>
  <c r="N1" s="1"/>
  <c r="O1" s="1"/>
  <c r="P1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C19" l="1"/>
  <c r="C14"/>
  <c r="C6"/>
  <c r="C15"/>
  <c r="C7"/>
  <c r="C16"/>
  <c r="C8"/>
  <c r="C17"/>
  <c r="C9"/>
  <c r="C18"/>
  <c r="C10"/>
  <c r="C11"/>
  <c r="C12"/>
  <c r="C13"/>
  <c r="C5"/>
  <c r="F27" i="7" l="1"/>
  <c r="G29" s="1"/>
  <c r="H29" s="1"/>
  <c r="F29"/>
  <c r="F28"/>
  <c r="B32"/>
  <c r="F31"/>
  <c r="F33"/>
  <c r="F34"/>
  <c r="F35"/>
  <c r="G15"/>
  <c r="H15" s="1"/>
  <c r="J15" s="1"/>
  <c r="H26"/>
  <c r="G5"/>
  <c r="K15"/>
  <c r="I15"/>
  <c r="AI34" i="4"/>
  <c r="Z18"/>
  <c r="AI2"/>
  <c r="Z1"/>
  <c r="AI43"/>
  <c r="AI41"/>
  <c r="AI39"/>
  <c r="AI37"/>
  <c r="AI35"/>
  <c r="AI33"/>
  <c r="AI31"/>
  <c r="AI27"/>
  <c r="AI23"/>
  <c r="AI21"/>
  <c r="AI19"/>
  <c r="AI15"/>
  <c r="AI13"/>
  <c r="AI11"/>
  <c r="AI9"/>
  <c r="AI7"/>
  <c r="AI14"/>
  <c r="AI12"/>
  <c r="AI10"/>
  <c r="AI8"/>
  <c r="AI40"/>
  <c r="AI38"/>
  <c r="AI36"/>
  <c r="AI32"/>
  <c r="AI30"/>
  <c r="AI28"/>
  <c r="AI26"/>
  <c r="AI20"/>
  <c r="AI18"/>
  <c r="AI16"/>
  <c r="AI17"/>
  <c r="AD42"/>
  <c r="AD40"/>
  <c r="AD38"/>
  <c r="AD36"/>
  <c r="AD32"/>
  <c r="AD30"/>
  <c r="AD28"/>
  <c r="AD24"/>
  <c r="AD22"/>
  <c r="AD20"/>
  <c r="AD18"/>
  <c r="AD16"/>
  <c r="AD14"/>
  <c r="AD12"/>
  <c r="AD10"/>
  <c r="AD8"/>
  <c r="AD26"/>
  <c r="AD41"/>
  <c r="AD39"/>
  <c r="AD37"/>
  <c r="AD35"/>
  <c r="AD33"/>
  <c r="AD31"/>
  <c r="AD29"/>
  <c r="AD27"/>
  <c r="AD25"/>
  <c r="AD23"/>
  <c r="AD21"/>
  <c r="AD19"/>
  <c r="AD15"/>
  <c r="AD17"/>
  <c r="AD9"/>
  <c r="AD11"/>
  <c r="AD13"/>
  <c r="C11" i="1"/>
  <c r="AC11" i="4"/>
  <c r="AC13"/>
  <c r="AC14"/>
  <c r="AC10"/>
  <c r="AB3"/>
  <c r="AB4"/>
  <c r="AB2"/>
  <c r="Y3"/>
  <c r="Y4"/>
  <c r="Y5"/>
  <c r="Y2"/>
  <c r="X1"/>
  <c r="W1"/>
  <c r="W57"/>
  <c r="W56"/>
  <c r="W55"/>
  <c r="W54"/>
  <c r="W53"/>
  <c r="W52"/>
  <c r="W51"/>
  <c r="W50"/>
  <c r="W49"/>
  <c r="T16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Q45"/>
  <c r="Q46"/>
  <c r="Q47"/>
  <c r="Q48"/>
  <c r="Q49"/>
  <c r="Q50"/>
  <c r="Q51"/>
  <c r="Q52"/>
  <c r="Q53"/>
  <c r="Q40"/>
  <c r="Q41"/>
  <c r="Q42"/>
  <c r="Q43"/>
  <c r="Q44"/>
  <c r="Q37"/>
  <c r="Q38"/>
  <c r="Q39"/>
  <c r="Q36"/>
  <c r="Q35"/>
  <c r="Q34"/>
  <c r="Q31"/>
  <c r="Q32"/>
  <c r="Q33"/>
  <c r="Q30"/>
  <c r="Q29"/>
  <c r="Q28"/>
  <c r="Q27"/>
  <c r="Q26"/>
  <c r="Q25"/>
  <c r="R25" s="1"/>
  <c r="Q21"/>
  <c r="Q20"/>
  <c r="Q19"/>
  <c r="Q18"/>
  <c r="Q17"/>
  <c r="Q16"/>
  <c r="N16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Q15"/>
  <c r="K30"/>
  <c r="K29"/>
  <c r="K28"/>
  <c r="K27"/>
  <c r="K26"/>
  <c r="K25"/>
  <c r="K24"/>
  <c r="K23"/>
  <c r="K22"/>
  <c r="K21"/>
  <c r="K20"/>
  <c r="K19"/>
  <c r="K18"/>
  <c r="K17"/>
  <c r="K16"/>
  <c r="H16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K15"/>
  <c r="I14"/>
  <c r="I13" s="1"/>
  <c r="M3"/>
  <c r="L5"/>
  <c r="L6"/>
  <c r="L7"/>
  <c r="L4"/>
  <c r="E32"/>
  <c r="E31"/>
  <c r="E30"/>
  <c r="E29"/>
  <c r="E28"/>
  <c r="E27"/>
  <c r="E26"/>
  <c r="E25"/>
  <c r="E24"/>
  <c r="E23"/>
  <c r="E22"/>
  <c r="E21"/>
  <c r="E20"/>
  <c r="E19"/>
  <c r="E18"/>
  <c r="E17"/>
  <c r="E16"/>
  <c r="B16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E15"/>
  <c r="C14"/>
  <c r="E14" s="1"/>
  <c r="AI14" i="3"/>
  <c r="AN83"/>
  <c r="AN82"/>
  <c r="AN81"/>
  <c r="AN80"/>
  <c r="AN79"/>
  <c r="AN78"/>
  <c r="AN77"/>
  <c r="AN76"/>
  <c r="AN75"/>
  <c r="AN74"/>
  <c r="AN73"/>
  <c r="AN72"/>
  <c r="AN71"/>
  <c r="AN70"/>
  <c r="AN69"/>
  <c r="AN68"/>
  <c r="AN67"/>
  <c r="AN66"/>
  <c r="AN65"/>
  <c r="AN64"/>
  <c r="AN63"/>
  <c r="AN62"/>
  <c r="AN61"/>
  <c r="AN60"/>
  <c r="AN59"/>
  <c r="AN58"/>
  <c r="AN57"/>
  <c r="AN56"/>
  <c r="AN55"/>
  <c r="AN54"/>
  <c r="AN53"/>
  <c r="AN52"/>
  <c r="AN51"/>
  <c r="AN50"/>
  <c r="AN49"/>
  <c r="AN48"/>
  <c r="AN47"/>
  <c r="AN46"/>
  <c r="AN45"/>
  <c r="AN44"/>
  <c r="AN43"/>
  <c r="AN42"/>
  <c r="AN41"/>
  <c r="AN40"/>
  <c r="AN39"/>
  <c r="AN38"/>
  <c r="AN37"/>
  <c r="AN36"/>
  <c r="AN35"/>
  <c r="AN34"/>
  <c r="AN33"/>
  <c r="AN32"/>
  <c r="AN31"/>
  <c r="AN30"/>
  <c r="AN29"/>
  <c r="AN28"/>
  <c r="AK20"/>
  <c r="AK21" s="1"/>
  <c r="AK22" s="1"/>
  <c r="AK23" s="1"/>
  <c r="AK24" s="1"/>
  <c r="AK25" s="1"/>
  <c r="AK26" s="1"/>
  <c r="AK27" s="1"/>
  <c r="AK28" s="1"/>
  <c r="AK29" s="1"/>
  <c r="AK30" s="1"/>
  <c r="AK31" s="1"/>
  <c r="AK32" s="1"/>
  <c r="AK33" s="1"/>
  <c r="AK34" s="1"/>
  <c r="AK35" s="1"/>
  <c r="AK36" s="1"/>
  <c r="AK37" s="1"/>
  <c r="AK38" s="1"/>
  <c r="AK39" s="1"/>
  <c r="AK40" s="1"/>
  <c r="AK41" s="1"/>
  <c r="AK42" s="1"/>
  <c r="AK43" s="1"/>
  <c r="AK44" s="1"/>
  <c r="AK45" s="1"/>
  <c r="AK46" s="1"/>
  <c r="AK47" s="1"/>
  <c r="AK48" s="1"/>
  <c r="AK49" s="1"/>
  <c r="AK50" s="1"/>
  <c r="AK51" s="1"/>
  <c r="AK52" s="1"/>
  <c r="AK53" s="1"/>
  <c r="AK54" s="1"/>
  <c r="AK55" s="1"/>
  <c r="AK56" s="1"/>
  <c r="AK57" s="1"/>
  <c r="AK58" s="1"/>
  <c r="AK59" s="1"/>
  <c r="AK60" s="1"/>
  <c r="AK61" s="1"/>
  <c r="AK62" s="1"/>
  <c r="AK63" s="1"/>
  <c r="AK64" s="1"/>
  <c r="AK65" s="1"/>
  <c r="AK66" s="1"/>
  <c r="AK67" s="1"/>
  <c r="AK68" s="1"/>
  <c r="AK69" s="1"/>
  <c r="AK70" s="1"/>
  <c r="AK71" s="1"/>
  <c r="AK72" s="1"/>
  <c r="AK73" s="1"/>
  <c r="AK74" s="1"/>
  <c r="AK75" s="1"/>
  <c r="AK76" s="1"/>
  <c r="AK77" s="1"/>
  <c r="AK78" s="1"/>
  <c r="AK79" s="1"/>
  <c r="AK80" s="1"/>
  <c r="AK81" s="1"/>
  <c r="AK82" s="1"/>
  <c r="AK83" s="1"/>
  <c r="AK84" s="1"/>
  <c r="AK19"/>
  <c r="AL16"/>
  <c r="AI78"/>
  <c r="AI79"/>
  <c r="AI80"/>
  <c r="AI81"/>
  <c r="AI82"/>
  <c r="AI83"/>
  <c r="AI77"/>
  <c r="AG17"/>
  <c r="AI17" s="1"/>
  <c r="AI76"/>
  <c r="AI75"/>
  <c r="AI74"/>
  <c r="AI73"/>
  <c r="AI68"/>
  <c r="AI69"/>
  <c r="AI70"/>
  <c r="AI71"/>
  <c r="AI72"/>
  <c r="AF68"/>
  <c r="AF69" s="1"/>
  <c r="AF70" s="1"/>
  <c r="AF71" s="1"/>
  <c r="AF72" s="1"/>
  <c r="AF73" s="1"/>
  <c r="AF74" s="1"/>
  <c r="AF75" s="1"/>
  <c r="AF76" s="1"/>
  <c r="AF77" s="1"/>
  <c r="AF78" s="1"/>
  <c r="AF79" s="1"/>
  <c r="AF80" s="1"/>
  <c r="AF81" s="1"/>
  <c r="AF82" s="1"/>
  <c r="AF83" s="1"/>
  <c r="AI53"/>
  <c r="AI67"/>
  <c r="AI66"/>
  <c r="AI65"/>
  <c r="AI64"/>
  <c r="AI63"/>
  <c r="AI62"/>
  <c r="AI61"/>
  <c r="AI60"/>
  <c r="AI59"/>
  <c r="AI58"/>
  <c r="AI57"/>
  <c r="AI56"/>
  <c r="AI55"/>
  <c r="AI54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F20"/>
  <c r="AF21" s="1"/>
  <c r="AF22" s="1"/>
  <c r="AF23" s="1"/>
  <c r="AF24" s="1"/>
  <c r="AF25" s="1"/>
  <c r="AF26" s="1"/>
  <c r="AF27" s="1"/>
  <c r="AF28" s="1"/>
  <c r="AF29" s="1"/>
  <c r="AF30" s="1"/>
  <c r="AF31" s="1"/>
  <c r="AF32" s="1"/>
  <c r="AF33" s="1"/>
  <c r="AF34" s="1"/>
  <c r="AF35" s="1"/>
  <c r="AF36" s="1"/>
  <c r="AF37" s="1"/>
  <c r="AF38" s="1"/>
  <c r="AF39" s="1"/>
  <c r="AF40" s="1"/>
  <c r="AF41" s="1"/>
  <c r="AF42" s="1"/>
  <c r="AF43" s="1"/>
  <c r="AF44" s="1"/>
  <c r="AF45" s="1"/>
  <c r="AF46" s="1"/>
  <c r="AF47" s="1"/>
  <c r="AF48" s="1"/>
  <c r="AF49" s="1"/>
  <c r="AF50" s="1"/>
  <c r="AF51" s="1"/>
  <c r="AF52" s="1"/>
  <c r="AF53" s="1"/>
  <c r="AF54" s="1"/>
  <c r="AF55" s="1"/>
  <c r="AF56" s="1"/>
  <c r="AF57" s="1"/>
  <c r="AF58" s="1"/>
  <c r="AF59" s="1"/>
  <c r="AF60" s="1"/>
  <c r="AF61" s="1"/>
  <c r="AF62" s="1"/>
  <c r="AF63" s="1"/>
  <c r="AF64" s="1"/>
  <c r="AF65" s="1"/>
  <c r="AF66" s="1"/>
  <c r="AF67" s="1"/>
  <c r="AI19"/>
  <c r="AF19"/>
  <c r="AI18"/>
  <c r="AH13" s="1"/>
  <c r="AB17"/>
  <c r="AD17" s="1"/>
  <c r="AD64"/>
  <c r="AD65"/>
  <c r="AD66"/>
  <c r="AD67"/>
  <c r="AD68"/>
  <c r="AD60"/>
  <c r="AD61"/>
  <c r="AD62"/>
  <c r="AD63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B16"/>
  <c r="W17"/>
  <c r="Y17" s="1"/>
  <c r="AU21"/>
  <c r="AU22"/>
  <c r="AU23"/>
  <c r="AU24"/>
  <c r="AU25"/>
  <c r="AU26"/>
  <c r="AU27"/>
  <c r="AU28"/>
  <c r="AU29"/>
  <c r="AU30"/>
  <c r="AU31"/>
  <c r="AU32"/>
  <c r="AU20"/>
  <c r="AA20"/>
  <c r="AA21" s="1"/>
  <c r="AA22" s="1"/>
  <c r="AA23" s="1"/>
  <c r="AA24" s="1"/>
  <c r="AA25" s="1"/>
  <c r="AA26" s="1"/>
  <c r="AA27" s="1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AA44" s="1"/>
  <c r="AA45" s="1"/>
  <c r="AA46" s="1"/>
  <c r="AA47" s="1"/>
  <c r="AA48" s="1"/>
  <c r="AA49" s="1"/>
  <c r="AA50" s="1"/>
  <c r="AA51" s="1"/>
  <c r="AA52" s="1"/>
  <c r="AA53" s="1"/>
  <c r="AA54" s="1"/>
  <c r="AA55" s="1"/>
  <c r="AA56" s="1"/>
  <c r="AA57" s="1"/>
  <c r="AA58" s="1"/>
  <c r="AA59" s="1"/>
  <c r="AA60" s="1"/>
  <c r="AA61" s="1"/>
  <c r="AA62" s="1"/>
  <c r="AA63" s="1"/>
  <c r="AA64" s="1"/>
  <c r="AA65" s="1"/>
  <c r="AA66" s="1"/>
  <c r="AA67" s="1"/>
  <c r="AA19"/>
  <c r="Y51"/>
  <c r="Y50"/>
  <c r="Y49"/>
  <c r="Y48"/>
  <c r="Y47"/>
  <c r="Y46"/>
  <c r="Y43"/>
  <c r="Y44"/>
  <c r="Y45"/>
  <c r="Y39"/>
  <c r="Y40"/>
  <c r="Y41"/>
  <c r="Y42"/>
  <c r="Y38"/>
  <c r="Y37"/>
  <c r="Y36"/>
  <c r="Y35"/>
  <c r="Y19"/>
  <c r="Y20"/>
  <c r="Y21"/>
  <c r="Y22"/>
  <c r="Y23"/>
  <c r="Y24"/>
  <c r="Y25"/>
  <c r="Y26"/>
  <c r="Y27"/>
  <c r="Y28"/>
  <c r="Y29"/>
  <c r="Y30"/>
  <c r="Y31"/>
  <c r="Y32"/>
  <c r="Y33"/>
  <c r="Y34"/>
  <c r="Y18"/>
  <c r="V19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Q20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19"/>
  <c r="R17"/>
  <c r="T17" s="1"/>
  <c r="L17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N77"/>
  <c r="N90"/>
  <c r="N89"/>
  <c r="N87"/>
  <c r="N86"/>
  <c r="N85"/>
  <c r="N84"/>
  <c r="N88"/>
  <c r="N83"/>
  <c r="N82"/>
  <c r="N81"/>
  <c r="N80"/>
  <c r="N79"/>
  <c r="N78"/>
  <c r="N68"/>
  <c r="N69"/>
  <c r="N70"/>
  <c r="N71"/>
  <c r="N72"/>
  <c r="N73"/>
  <c r="N74"/>
  <c r="N75"/>
  <c r="N76"/>
  <c r="N67"/>
  <c r="N66"/>
  <c r="N65"/>
  <c r="N64"/>
  <c r="N63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18"/>
  <c r="N17" s="1"/>
  <c r="J43"/>
  <c r="J41"/>
  <c r="J42"/>
  <c r="J36"/>
  <c r="J37"/>
  <c r="J39"/>
  <c r="J38"/>
  <c r="J40"/>
  <c r="J34"/>
  <c r="J31"/>
  <c r="J33"/>
  <c r="J32"/>
  <c r="J30"/>
  <c r="J29"/>
  <c r="J28"/>
  <c r="J24"/>
  <c r="J20"/>
  <c r="J23"/>
  <c r="J18"/>
  <c r="H9"/>
  <c r="H10"/>
  <c r="H11"/>
  <c r="H8"/>
  <c r="H12"/>
  <c r="H13"/>
  <c r="H14"/>
  <c r="H5"/>
  <c r="H4"/>
  <c r="N21" i="1"/>
  <c r="N7"/>
  <c r="N8"/>
  <c r="N9"/>
  <c r="N10"/>
  <c r="N11"/>
  <c r="N12"/>
  <c r="N13"/>
  <c r="N14"/>
  <c r="N15"/>
  <c r="N3"/>
  <c r="N4"/>
  <c r="N5"/>
  <c r="N6"/>
  <c r="N2"/>
  <c r="Q13" i="4" l="1"/>
  <c r="R20"/>
  <c r="R37"/>
  <c r="R26"/>
  <c r="R48"/>
  <c r="R47"/>
  <c r="R46"/>
  <c r="R42"/>
  <c r="R41"/>
  <c r="R40"/>
  <c r="R34"/>
  <c r="R31"/>
  <c r="R30"/>
  <c r="R19"/>
  <c r="R21"/>
  <c r="R22"/>
  <c r="R53"/>
  <c r="R54"/>
  <c r="R49"/>
  <c r="R44"/>
  <c r="R33"/>
  <c r="R52"/>
  <c r="R18"/>
  <c r="R29"/>
  <c r="R39"/>
  <c r="R45"/>
  <c r="R50"/>
  <c r="R38"/>
  <c r="R28"/>
  <c r="R36"/>
  <c r="R43"/>
  <c r="R32"/>
  <c r="R51"/>
  <c r="R27"/>
  <c r="R35"/>
  <c r="R16"/>
  <c r="R17"/>
  <c r="G28" i="7"/>
  <c r="L15"/>
  <c r="A18" s="1"/>
  <c r="B18"/>
  <c r="AI1" i="4"/>
  <c r="AB1"/>
  <c r="D12"/>
  <c r="AC9"/>
  <c r="Y1"/>
  <c r="D11"/>
  <c r="AC12"/>
  <c r="W14"/>
  <c r="W13" s="1"/>
  <c r="V12"/>
  <c r="V11"/>
  <c r="P11"/>
  <c r="P12"/>
  <c r="K11"/>
  <c r="J12"/>
  <c r="K14"/>
  <c r="K13" s="1"/>
  <c r="J11"/>
  <c r="K12"/>
  <c r="L3"/>
  <c r="E12"/>
  <c r="E11"/>
  <c r="E13"/>
  <c r="C13"/>
  <c r="AN13" i="3"/>
  <c r="AN14"/>
  <c r="AM13"/>
  <c r="AM14"/>
  <c r="AF17"/>
  <c r="AI13"/>
  <c r="AJ13" s="1"/>
  <c r="AH14"/>
  <c r="AJ14" s="1"/>
  <c r="AN16"/>
  <c r="AN15" s="1"/>
  <c r="AG16"/>
  <c r="AI16"/>
  <c r="AI15" s="1"/>
  <c r="AU16"/>
  <c r="AD16"/>
  <c r="Y16"/>
  <c r="W16"/>
  <c r="R16"/>
  <c r="T16"/>
  <c r="P17"/>
  <c r="F33" i="11" l="1"/>
  <c r="F30" s="1"/>
  <c r="F25" s="1"/>
  <c r="I33"/>
  <c r="I30" s="1"/>
  <c r="O33"/>
  <c r="O30" s="1"/>
  <c r="R33"/>
  <c r="R30" s="1"/>
  <c r="R14" i="4"/>
  <c r="L12"/>
  <c r="R11"/>
  <c r="H28" i="7"/>
  <c r="B37"/>
  <c r="B38"/>
  <c r="C18"/>
  <c r="E20" s="1"/>
  <c r="F12" i="4"/>
  <c r="F10" s="1"/>
  <c r="F11"/>
  <c r="X12"/>
  <c r="X11"/>
  <c r="R12"/>
  <c r="L11"/>
  <c r="AO13" i="3"/>
  <c r="AO14"/>
  <c r="AD15"/>
  <c r="X10" i="4" l="1"/>
  <c r="S30" i="11"/>
  <c r="D18" i="7"/>
  <c r="G20" s="1"/>
  <c r="J18" s="1"/>
  <c r="E18"/>
  <c r="F18" s="1"/>
  <c r="R10" i="4"/>
  <c r="L10"/>
  <c r="AO12" i="3"/>
  <c r="G18" i="7" l="1"/>
  <c r="H18" s="1"/>
  <c r="I18" s="1"/>
</calcChain>
</file>

<file path=xl/sharedStrings.xml><?xml version="1.0" encoding="utf-8"?>
<sst xmlns="http://schemas.openxmlformats.org/spreadsheetml/2006/main" count="1709" uniqueCount="459">
  <si>
    <t>Type</t>
  </si>
  <si>
    <t>Call</t>
  </si>
  <si>
    <t>Strike</t>
  </si>
  <si>
    <t>Put</t>
  </si>
  <si>
    <t>Call Side</t>
  </si>
  <si>
    <t>PutSide</t>
  </si>
  <si>
    <t>Volatility</t>
  </si>
  <si>
    <t>Up</t>
  </si>
  <si>
    <t>Option</t>
  </si>
  <si>
    <t>Position</t>
  </si>
  <si>
    <t>Operation</t>
  </si>
  <si>
    <t>Trade</t>
  </si>
  <si>
    <t>Flat</t>
  </si>
  <si>
    <t>Long</t>
  </si>
  <si>
    <t>Close Long</t>
  </si>
  <si>
    <t>Sell Call</t>
  </si>
  <si>
    <t>Open Short</t>
  </si>
  <si>
    <t>Short</t>
  </si>
  <si>
    <t>Close Short</t>
  </si>
  <si>
    <t>Buy Put</t>
  </si>
  <si>
    <t>Down</t>
  </si>
  <si>
    <t>Open Long</t>
  </si>
  <si>
    <t>OptPrice</t>
  </si>
  <si>
    <t>BaPrice</t>
  </si>
  <si>
    <t>BA_Price</t>
  </si>
  <si>
    <t>Opt_Price</t>
  </si>
  <si>
    <t>Call Price</t>
  </si>
  <si>
    <t>Put Price</t>
  </si>
  <si>
    <t>Not Up ( Down, Flat)</t>
  </si>
  <si>
    <t>Not Down (Up, Flat)</t>
  </si>
  <si>
    <t>Buy Call</t>
  </si>
  <si>
    <t>None</t>
  </si>
  <si>
    <t>Neutral</t>
  </si>
  <si>
    <t>Sell Put</t>
  </si>
  <si>
    <t xml:space="preserve"> </t>
  </si>
  <si>
    <t>D</t>
  </si>
  <si>
    <t>G</t>
  </si>
  <si>
    <t>V</t>
  </si>
  <si>
    <t>T</t>
  </si>
  <si>
    <t>G/T</t>
  </si>
  <si>
    <t>Str</t>
  </si>
  <si>
    <t>Guts01</t>
  </si>
  <si>
    <t>Str02</t>
  </si>
  <si>
    <t>Guts02</t>
  </si>
  <si>
    <t>Si</t>
  </si>
  <si>
    <t>Buy</t>
  </si>
  <si>
    <t>Fut</t>
  </si>
  <si>
    <t>Ticker</t>
  </si>
  <si>
    <t>Oper</t>
  </si>
  <si>
    <t>Qty</t>
  </si>
  <si>
    <t>Open</t>
  </si>
  <si>
    <t>Close</t>
  </si>
  <si>
    <t>PnL</t>
  </si>
  <si>
    <t>F</t>
  </si>
  <si>
    <t>call</t>
  </si>
  <si>
    <t>Phone</t>
  </si>
  <si>
    <t>Charge</t>
  </si>
  <si>
    <t>Batar</t>
  </si>
  <si>
    <t>Shoes1</t>
  </si>
  <si>
    <t>Shoes2</t>
  </si>
  <si>
    <t>Dictofone</t>
  </si>
  <si>
    <t>BlueTooes</t>
  </si>
  <si>
    <t>HEadFone</t>
  </si>
  <si>
    <t>Corrector</t>
  </si>
  <si>
    <t>Memory</t>
  </si>
  <si>
    <t>Camera</t>
  </si>
  <si>
    <t>Glass</t>
  </si>
  <si>
    <t>Planshet</t>
  </si>
  <si>
    <t>Futures</t>
  </si>
  <si>
    <t>Long F</t>
  </si>
  <si>
    <t>Long Call</t>
  </si>
  <si>
    <t>Long Puts</t>
  </si>
  <si>
    <t>Long Calls</t>
  </si>
  <si>
    <t>Short Call</t>
  </si>
  <si>
    <t>Collar</t>
  </si>
  <si>
    <t>Risk Reversal</t>
  </si>
  <si>
    <t>Short F</t>
  </si>
  <si>
    <t>Short Put</t>
  </si>
  <si>
    <t>Short Future</t>
  </si>
  <si>
    <t>Long Future</t>
  </si>
  <si>
    <t>Long Put</t>
  </si>
  <si>
    <t>Results after Future Position is  Closed</t>
  </si>
  <si>
    <t>Black-Sholes Calculator</t>
  </si>
  <si>
    <t>BA Prise</t>
  </si>
  <si>
    <t>Voltility</t>
  </si>
  <si>
    <t>Rate</t>
  </si>
  <si>
    <t xml:space="preserve">Dividend  </t>
  </si>
  <si>
    <t>DaysToExp</t>
  </si>
  <si>
    <t>Rate(%)</t>
  </si>
  <si>
    <t>Underlying</t>
  </si>
  <si>
    <t>Dividend</t>
  </si>
  <si>
    <t>%Time</t>
  </si>
  <si>
    <t>Ln(S/Strike)</t>
  </si>
  <si>
    <t>Sigma*SQRT(T)</t>
  </si>
  <si>
    <t>SigmaSqr/2</t>
  </si>
  <si>
    <t>t*SigmaSqr/2</t>
  </si>
  <si>
    <t>d1</t>
  </si>
  <si>
    <t>numerator</t>
  </si>
  <si>
    <t>denominator</t>
  </si>
  <si>
    <t>Sqrt(Time)</t>
  </si>
  <si>
    <t>d2</t>
  </si>
  <si>
    <t>N(d1)</t>
  </si>
  <si>
    <t>S*N(d1)</t>
  </si>
  <si>
    <t>N(d2)</t>
  </si>
  <si>
    <t>X*N(d2)</t>
  </si>
  <si>
    <t>N(-d2)</t>
  </si>
  <si>
    <t>N(-d1)</t>
  </si>
  <si>
    <t>Days</t>
  </si>
  <si>
    <t>Hours</t>
  </si>
  <si>
    <t>Minutes</t>
  </si>
  <si>
    <t>Seconds</t>
  </si>
  <si>
    <t>C</t>
  </si>
  <si>
    <t>S*exp(-qt)*N(d1) - X*e(-rt)*N(d2)</t>
  </si>
  <si>
    <t>P</t>
  </si>
  <si>
    <t>X*e(-rt)*N(-d2) - S*e(-qt)*N(d1)</t>
  </si>
  <si>
    <t>z</t>
  </si>
  <si>
    <t>Gamma</t>
  </si>
  <si>
    <t>Tetta</t>
  </si>
  <si>
    <t>Delta</t>
  </si>
  <si>
    <t>dD</t>
  </si>
  <si>
    <t>dS</t>
  </si>
  <si>
    <t>S</t>
  </si>
  <si>
    <t>dDelta</t>
  </si>
  <si>
    <t>Side</t>
  </si>
  <si>
    <t>Price</t>
  </si>
  <si>
    <t>StD</t>
  </si>
  <si>
    <t>2*StD</t>
  </si>
  <si>
    <t>DeltaX</t>
  </si>
  <si>
    <t>Y-factor</t>
  </si>
  <si>
    <t>BA</t>
  </si>
  <si>
    <t>Vol</t>
  </si>
  <si>
    <t>Pips</t>
  </si>
  <si>
    <t>F2</t>
  </si>
  <si>
    <t>pipsForDelta</t>
  </si>
  <si>
    <t>SR</t>
  </si>
  <si>
    <t>SRU1</t>
  </si>
  <si>
    <t>SiU1</t>
  </si>
  <si>
    <t>put</t>
  </si>
  <si>
    <t>Hedge</t>
  </si>
  <si>
    <t>Expiration</t>
  </si>
  <si>
    <t>Result</t>
  </si>
  <si>
    <t>Date</t>
  </si>
  <si>
    <t>Theta</t>
  </si>
  <si>
    <t>Vega</t>
  </si>
  <si>
    <t>Greek/Changes</t>
  </si>
  <si>
    <t>Time</t>
  </si>
  <si>
    <t>Implied</t>
  </si>
  <si>
    <t>Speed</t>
  </si>
  <si>
    <t>Vanna</t>
  </si>
  <si>
    <t>Charm</t>
  </si>
  <si>
    <t>Color</t>
  </si>
  <si>
    <t>Zomma</t>
  </si>
  <si>
    <t>Vomma</t>
  </si>
  <si>
    <t>dDelta/dIV</t>
  </si>
  <si>
    <t>IV</t>
  </si>
  <si>
    <t>dDelta/dt</t>
  </si>
  <si>
    <t>dDelta/dPrice</t>
  </si>
  <si>
    <t>dGamma/dIV</t>
  </si>
  <si>
    <t>dGamma/dPrice</t>
  </si>
  <si>
    <t>dVega/dPrice</t>
  </si>
  <si>
    <t>dVega/dt</t>
  </si>
  <si>
    <t>dVega/dIV</t>
  </si>
  <si>
    <t>Veta</t>
  </si>
  <si>
    <t>Vata</t>
  </si>
  <si>
    <t>Vola</t>
  </si>
  <si>
    <t>Bid</t>
  </si>
  <si>
    <t>Ask</t>
  </si>
  <si>
    <t>Average</t>
  </si>
  <si>
    <t>Pair(-10%)</t>
  </si>
  <si>
    <t>Call(-10%)</t>
  </si>
  <si>
    <t>Put(-10%)</t>
  </si>
  <si>
    <t>Volopas</t>
  </si>
  <si>
    <t>Pair(sum)</t>
  </si>
  <si>
    <t>Date1</t>
  </si>
  <si>
    <t>Date2</t>
  </si>
  <si>
    <t>BidAsk</t>
  </si>
  <si>
    <t>Spread%</t>
  </si>
  <si>
    <t>SpreadAbs</t>
  </si>
  <si>
    <t>Avg</t>
  </si>
  <si>
    <t>Gamma Factor</t>
  </si>
  <si>
    <t>Tettа</t>
  </si>
  <si>
    <t>pi</t>
  </si>
  <si>
    <t>Root</t>
  </si>
  <si>
    <t>y</t>
  </si>
  <si>
    <t>days</t>
  </si>
  <si>
    <t>P/S</t>
  </si>
  <si>
    <t>2*pi</t>
  </si>
  <si>
    <t>1/T</t>
  </si>
  <si>
    <t>X</t>
  </si>
  <si>
    <t>C/S</t>
  </si>
  <si>
    <t>Hedge F</t>
  </si>
  <si>
    <t>Expirations</t>
  </si>
  <si>
    <t>OptionFinRes</t>
  </si>
  <si>
    <t>Current</t>
  </si>
  <si>
    <t>Expir</t>
  </si>
  <si>
    <t>SiZ1</t>
  </si>
  <si>
    <t>SRZ1</t>
  </si>
  <si>
    <t>Expos</t>
  </si>
  <si>
    <t>CurPrice</t>
  </si>
  <si>
    <t>Saldo</t>
  </si>
  <si>
    <t>Expenses</t>
  </si>
  <si>
    <t>Expose</t>
  </si>
  <si>
    <t>Total</t>
  </si>
  <si>
    <t>OpenPrice</t>
  </si>
  <si>
    <t>v</t>
  </si>
  <si>
    <t>Sigma</t>
  </si>
  <si>
    <t>????</t>
  </si>
  <si>
    <t>CDF</t>
  </si>
  <si>
    <t>N</t>
  </si>
  <si>
    <t>Nstrih</t>
  </si>
  <si>
    <t>f</t>
  </si>
  <si>
    <t>PDF</t>
  </si>
  <si>
    <t>Ultima</t>
  </si>
  <si>
    <t>Arm</t>
  </si>
  <si>
    <t>Omega</t>
  </si>
  <si>
    <t>Cpp</t>
  </si>
  <si>
    <t>Stewbond</t>
  </si>
  <si>
    <t>CDF3</t>
  </si>
  <si>
    <t>Cook</t>
  </si>
  <si>
    <t>D2V</t>
  </si>
  <si>
    <t>DS2</t>
  </si>
  <si>
    <t>DsgmDS</t>
  </si>
  <si>
    <t>DTDS</t>
  </si>
  <si>
    <t>DSDsgm</t>
  </si>
  <si>
    <t>Dsgm2</t>
  </si>
  <si>
    <t>DTDsgm</t>
  </si>
  <si>
    <t>DSDT</t>
  </si>
  <si>
    <t>DsgmDT</t>
  </si>
  <si>
    <t>DT2</t>
  </si>
  <si>
    <t>Timma</t>
  </si>
  <si>
    <t>d2V</t>
  </si>
  <si>
    <t>dS2</t>
  </si>
  <si>
    <t>dSgm dT</t>
  </si>
  <si>
    <t>dS dSgm</t>
  </si>
  <si>
    <t>dS dT</t>
  </si>
  <si>
    <t>dT2</t>
  </si>
  <si>
    <t>d3V</t>
  </si>
  <si>
    <t>dS3</t>
  </si>
  <si>
    <t>dSgm3</t>
  </si>
  <si>
    <t>dSgm2</t>
  </si>
  <si>
    <t>dT dSigma</t>
  </si>
  <si>
    <t>dT dSgm</t>
  </si>
  <si>
    <t>dT dS</t>
  </si>
  <si>
    <t>dSgm dS</t>
  </si>
  <si>
    <t>dS2 dSgm</t>
  </si>
  <si>
    <t>dS2 dT</t>
  </si>
  <si>
    <t>dV</t>
  </si>
  <si>
    <t>ds</t>
  </si>
  <si>
    <t>dSgm</t>
  </si>
  <si>
    <t>dT</t>
  </si>
  <si>
    <t>Newtone_Rafson</t>
  </si>
  <si>
    <t>dVega</t>
  </si>
  <si>
    <t>dSigma</t>
  </si>
  <si>
    <t>dTheta</t>
  </si>
  <si>
    <t>dSigma dS</t>
  </si>
  <si>
    <t>dGamma</t>
  </si>
  <si>
    <t>dS dSigma</t>
  </si>
  <si>
    <t>dS2 dSigma</t>
  </si>
  <si>
    <t>dVomma</t>
  </si>
  <si>
    <t>dSigma3</t>
  </si>
  <si>
    <t>dSigma dT</t>
  </si>
  <si>
    <t>dSigma2</t>
  </si>
  <si>
    <t>X79</t>
  </si>
  <si>
    <t>Green</t>
  </si>
  <si>
    <t>CPU Store</t>
  </si>
  <si>
    <t>E52650</t>
  </si>
  <si>
    <t>16GB</t>
  </si>
  <si>
    <t>7125.94</t>
  </si>
  <si>
    <t xml:space="preserve">DDR3 </t>
  </si>
  <si>
    <t>Sata2</t>
  </si>
  <si>
    <t>Sata3</t>
  </si>
  <si>
    <t>Atermiter</t>
  </si>
  <si>
    <t>CPU Top Store</t>
  </si>
  <si>
    <t>Kllisre</t>
  </si>
  <si>
    <t>4 chanel</t>
  </si>
  <si>
    <t>atermiter Store</t>
  </si>
  <si>
    <t>X99</t>
  </si>
  <si>
    <t>E52650 v3</t>
  </si>
  <si>
    <t>X79 Turbo</t>
  </si>
  <si>
    <t>HUANANZHI</t>
  </si>
  <si>
    <t xml:space="preserve"> X79</t>
  </si>
  <si>
    <t>MotherBoard</t>
  </si>
  <si>
    <t>Power</t>
  </si>
  <si>
    <t>Corpus</t>
  </si>
  <si>
    <t>RAM</t>
  </si>
  <si>
    <t>Proc</t>
  </si>
  <si>
    <t>MB</t>
  </si>
  <si>
    <t>E5-2650</t>
  </si>
  <si>
    <t>V2</t>
  </si>
  <si>
    <t>W</t>
  </si>
  <si>
    <t>Norm</t>
  </si>
  <si>
    <t>Turbo</t>
  </si>
  <si>
    <t>Cores</t>
  </si>
  <si>
    <t>Threads</t>
  </si>
  <si>
    <t>E5-2689</t>
  </si>
  <si>
    <t>E5-2620</t>
  </si>
  <si>
    <t>E5-1650</t>
  </si>
  <si>
    <t>V3</t>
  </si>
  <si>
    <t>E5-2690</t>
  </si>
  <si>
    <t>E3-1270</t>
  </si>
  <si>
    <t>d2V/dS2</t>
  </si>
  <si>
    <t>dDelta/dS</t>
  </si>
  <si>
    <t>dVega/dS</t>
  </si>
  <si>
    <t>dDelta/dSigma</t>
  </si>
  <si>
    <t>dDelta/dT</t>
  </si>
  <si>
    <t>dTheta/ds</t>
  </si>
  <si>
    <t>d2V/dS dSigma</t>
  </si>
  <si>
    <t>d2V/dS dT</t>
  </si>
  <si>
    <t>dVega/dSigma</t>
  </si>
  <si>
    <t>d2V/dSigma2</t>
  </si>
  <si>
    <t>dVega/dT</t>
  </si>
  <si>
    <t>dTheta/dSigma</t>
  </si>
  <si>
    <t>d2V/dSigma dT</t>
  </si>
  <si>
    <t>dGamma/dS</t>
  </si>
  <si>
    <t>d3V/dS3</t>
  </si>
  <si>
    <t>dGamma/dSigma</t>
  </si>
  <si>
    <t>d3V/dS2 dSigma</t>
  </si>
  <si>
    <t>d2Delta/dS dSigma</t>
  </si>
  <si>
    <t>d2Delta/dS2</t>
  </si>
  <si>
    <t>dGamma/dT</t>
  </si>
  <si>
    <t>d2Delta/dS dT</t>
  </si>
  <si>
    <t>d3V/dS2 dT</t>
  </si>
  <si>
    <t>dVomma/dSigma</t>
  </si>
  <si>
    <t>d2Vega/dSigma2</t>
  </si>
  <si>
    <t>d3V/dSigma3</t>
  </si>
  <si>
    <t>dV/dS</t>
  </si>
  <si>
    <t>dV/dSigma</t>
  </si>
  <si>
    <t>E3-2667</t>
  </si>
  <si>
    <t>dV/dT</t>
  </si>
  <si>
    <t xml:space="preserve">Charm </t>
  </si>
  <si>
    <t>dV = Integral(Theta dT)</t>
  </si>
  <si>
    <t>dV = Integral(Delta dS)</t>
  </si>
  <si>
    <t>dDelta = Integral(Charm dT)</t>
  </si>
  <si>
    <t>dTheta/dS</t>
  </si>
  <si>
    <t>dTheta=Integral(Charm dS)</t>
  </si>
  <si>
    <t>dV = Integral(Vega dSigma)</t>
  </si>
  <si>
    <t>dDelta=Integral(Vanna dSigma)</t>
  </si>
  <si>
    <t>dVega=Integral(Vanna dS)</t>
  </si>
  <si>
    <t>dVega=Integral(Veta dT)</t>
  </si>
  <si>
    <t>dTheta=Integral(Veta dSigma)</t>
  </si>
  <si>
    <t>dV = Integral(Theta dT) +</t>
  </si>
  <si>
    <t>dV = Integral(Delta dS) +</t>
  </si>
  <si>
    <t>dV = Integral(Vega dSigma) +</t>
  </si>
  <si>
    <t>Tamma</t>
  </si>
  <si>
    <t>RiskReversal</t>
  </si>
  <si>
    <t>First Order/Param</t>
  </si>
  <si>
    <t>Sacond Order / Param</t>
  </si>
  <si>
    <t xml:space="preserve">Third-order </t>
  </si>
  <si>
    <t>M</t>
  </si>
  <si>
    <t>J</t>
  </si>
  <si>
    <t>A</t>
  </si>
  <si>
    <t>O</t>
  </si>
  <si>
    <t>dT3</t>
  </si>
  <si>
    <t>dColor/dT</t>
  </si>
  <si>
    <t>d2Gamma/dT2</t>
  </si>
  <si>
    <t>d4V/dS2 dT2</t>
  </si>
  <si>
    <t>Vamma</t>
  </si>
  <si>
    <t>dSigma2 dS</t>
  </si>
  <si>
    <t>dTamma</t>
  </si>
  <si>
    <t>S1</t>
  </si>
  <si>
    <t>S2</t>
  </si>
  <si>
    <t>S3</t>
  </si>
  <si>
    <t>V1</t>
  </si>
  <si>
    <t>S1V1</t>
  </si>
  <si>
    <t>S1V2</t>
  </si>
  <si>
    <t>S2V1</t>
  </si>
  <si>
    <t>T1</t>
  </si>
  <si>
    <t>T2</t>
  </si>
  <si>
    <t>T3</t>
  </si>
  <si>
    <t>S1T2</t>
  </si>
  <si>
    <t>V1T1</t>
  </si>
  <si>
    <t>V1T2</t>
  </si>
  <si>
    <t>V2T1</t>
  </si>
  <si>
    <t>S2T1</t>
  </si>
  <si>
    <t>TimmaDS</t>
  </si>
  <si>
    <t>TimmaDV</t>
  </si>
  <si>
    <t>Sigma(V)</t>
  </si>
  <si>
    <t>Sigma1</t>
  </si>
  <si>
    <t>Sigma2</t>
  </si>
  <si>
    <t>Sigma3</t>
  </si>
  <si>
    <t>S1Sigma1</t>
  </si>
  <si>
    <t>G.S1</t>
  </si>
  <si>
    <t>G.V3</t>
  </si>
  <si>
    <t>G.S1V1</t>
  </si>
  <si>
    <t>TammaDS</t>
  </si>
  <si>
    <t>TammaDV</t>
  </si>
  <si>
    <t>Sigma(V) vs S</t>
  </si>
  <si>
    <t>First</t>
  </si>
  <si>
    <t>Second</t>
  </si>
  <si>
    <t>Third</t>
  </si>
  <si>
    <t>Order</t>
  </si>
  <si>
    <t>Time vs Vol</t>
  </si>
  <si>
    <t>Time vs S</t>
  </si>
  <si>
    <t>S1T1</t>
  </si>
  <si>
    <t>VommaDT</t>
  </si>
  <si>
    <t>GammaDT</t>
  </si>
  <si>
    <t>GammaDV</t>
  </si>
  <si>
    <t>VommaDS</t>
  </si>
  <si>
    <t>T2V1</t>
  </si>
  <si>
    <t>V2S1</t>
  </si>
  <si>
    <t>T2S1</t>
  </si>
  <si>
    <t>S2S1</t>
  </si>
  <si>
    <t>dC/dS2dV1</t>
  </si>
  <si>
    <t>dC/dT2dS1</t>
  </si>
  <si>
    <t>d3C/dV2dS1</t>
  </si>
  <si>
    <t>d3C/dS3</t>
  </si>
  <si>
    <t>d3C/dV3</t>
  </si>
  <si>
    <t>d3C/dT3</t>
  </si>
  <si>
    <t>d3C/dS2dT1</t>
  </si>
  <si>
    <t>TimmaS</t>
  </si>
  <si>
    <t>VommaS</t>
  </si>
  <si>
    <t>GammaT</t>
  </si>
  <si>
    <t>VommaT</t>
  </si>
  <si>
    <t>d3C/dV2dT1</t>
  </si>
  <si>
    <t>TimmaV</t>
  </si>
  <si>
    <t>GammaV</t>
  </si>
  <si>
    <t>dGamma/dV</t>
  </si>
  <si>
    <t>dVomma/dV</t>
  </si>
  <si>
    <t>dVomma/dS</t>
  </si>
  <si>
    <t>dVomma/dT</t>
  </si>
  <si>
    <t>dTamma/dS</t>
  </si>
  <si>
    <t>dTamma/dV</t>
  </si>
  <si>
    <t>dTamma/dT</t>
  </si>
  <si>
    <t>SVT</t>
  </si>
  <si>
    <t>dVega/dV</t>
  </si>
  <si>
    <t>dDelta/dV</t>
  </si>
  <si>
    <t>dTheta/dV</t>
  </si>
  <si>
    <t>dTheta/dT</t>
  </si>
  <si>
    <t>Name</t>
  </si>
  <si>
    <t>Derivative</t>
  </si>
  <si>
    <t>Code, ID</t>
  </si>
  <si>
    <t>`</t>
  </si>
  <si>
    <t>Greek_S3</t>
  </si>
  <si>
    <t>greekT2S1</t>
  </si>
  <si>
    <t>greek_T2V1</t>
  </si>
  <si>
    <t>Greek_V3</t>
  </si>
  <si>
    <t>Vomsa</t>
  </si>
  <si>
    <t>Vomta</t>
  </si>
  <si>
    <t>Tamsa</t>
  </si>
  <si>
    <t>Tamva</t>
  </si>
  <si>
    <t>dPr/dS</t>
  </si>
  <si>
    <t>dPr/dV</t>
  </si>
  <si>
    <t>dPr/dT</t>
  </si>
  <si>
    <t>d3Pr/dS3</t>
  </si>
  <si>
    <t>d3Pr/dS2dV</t>
  </si>
  <si>
    <t>d3Pr/dS2dT</t>
  </si>
  <si>
    <t>d3Pr/dV2dS</t>
  </si>
  <si>
    <t>d3Pr/dV3</t>
  </si>
  <si>
    <t>d3Pr/dT2dS</t>
  </si>
  <si>
    <t>d3Pr/dT2dV</t>
  </si>
  <si>
    <t>d3Pr/dT3</t>
  </si>
  <si>
    <t>d2Pr/dS2</t>
  </si>
  <si>
    <t>d2Pr/dSdV</t>
  </si>
  <si>
    <t>d2Pr/dSdT</t>
  </si>
  <si>
    <t>d2Pr/dV2</t>
  </si>
  <si>
    <t>d2Pr/dVdT</t>
  </si>
  <si>
    <t>d2Pr/dT2</t>
  </si>
  <si>
    <t>Symbol</t>
  </si>
  <si>
    <t>Tamta (Timma)</t>
  </si>
</sst>
</file>

<file path=xl/styles.xml><?xml version="1.0" encoding="utf-8"?>
<styleSheet xmlns="http://schemas.openxmlformats.org/spreadsheetml/2006/main">
  <numFmts count="5">
    <numFmt numFmtId="164" formatCode="0.0000"/>
    <numFmt numFmtId="165" formatCode="0.00000000"/>
    <numFmt numFmtId="166" formatCode="0.0000000000"/>
    <numFmt numFmtId="167" formatCode="dd/mm/yy;@"/>
    <numFmt numFmtId="168" formatCode="0.00000"/>
  </numFmts>
  <fonts count="10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theme="10"/>
      <name val="Calibri"/>
      <family val="2"/>
      <charset val="204"/>
    </font>
    <font>
      <b/>
      <sz val="11"/>
      <name val="Calibri"/>
      <family val="2"/>
      <charset val="204"/>
    </font>
    <font>
      <sz val="14"/>
      <color rgb="FF00000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71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2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4" fontId="0" fillId="9" borderId="0" xfId="0" applyNumberFormat="1" applyFill="1"/>
    <xf numFmtId="0" fontId="0" fillId="12" borderId="0" xfId="0" applyFill="1"/>
    <xf numFmtId="0" fontId="0" fillId="11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10" borderId="2" xfId="0" applyFill="1" applyBorder="1"/>
    <xf numFmtId="0" fontId="0" fillId="12" borderId="4" xfId="0" applyFill="1" applyBorder="1"/>
    <xf numFmtId="0" fontId="2" fillId="12" borderId="0" xfId="0" applyFont="1" applyFill="1"/>
    <xf numFmtId="0" fontId="3" fillId="0" borderId="4" xfId="0" applyFont="1" applyBorder="1"/>
    <xf numFmtId="0" fontId="3" fillId="12" borderId="4" xfId="0" applyFont="1" applyFill="1" applyBorder="1"/>
    <xf numFmtId="0" fontId="0" fillId="0" borderId="0" xfId="0" applyAlignment="1">
      <alignment horizontal="center"/>
    </xf>
    <xf numFmtId="0" fontId="4" fillId="10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/>
    </xf>
    <xf numFmtId="0" fontId="0" fillId="10" borderId="8" xfId="0" applyFill="1" applyBorder="1"/>
    <xf numFmtId="0" fontId="0" fillId="10" borderId="9" xfId="0" applyFill="1" applyBorder="1"/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vertical="center"/>
    </xf>
    <xf numFmtId="0" fontId="4" fillId="10" borderId="15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4" fillId="10" borderId="18" xfId="0" applyFont="1" applyFill="1" applyBorder="1" applyAlignment="1">
      <alignment horizontal="center" vertical="center"/>
    </xf>
    <xf numFmtId="0" fontId="0" fillId="16" borderId="0" xfId="0" applyFill="1"/>
    <xf numFmtId="165" fontId="0" fillId="0" borderId="0" xfId="0" applyNumberFormat="1"/>
    <xf numFmtId="0" fontId="4" fillId="0" borderId="0" xfId="0" applyFont="1"/>
    <xf numFmtId="0" fontId="4" fillId="0" borderId="19" xfId="0" applyFont="1" applyBorder="1"/>
    <xf numFmtId="0" fontId="4" fillId="0" borderId="16" xfId="0" applyFont="1" applyBorder="1"/>
    <xf numFmtId="0" fontId="4" fillId="0" borderId="7" xfId="0" applyFont="1" applyBorder="1"/>
    <xf numFmtId="0" fontId="4" fillId="0" borderId="21" xfId="0" applyFont="1" applyBorder="1"/>
    <xf numFmtId="0" fontId="4" fillId="0" borderId="17" xfId="0" applyFont="1" applyBorder="1"/>
    <xf numFmtId="0" fontId="0" fillId="0" borderId="0" xfId="0" applyFont="1" applyBorder="1"/>
    <xf numFmtId="0" fontId="0" fillId="0" borderId="20" xfId="0" applyFont="1" applyBorder="1"/>
    <xf numFmtId="0" fontId="0" fillId="0" borderId="6" xfId="0" applyFont="1" applyBorder="1"/>
    <xf numFmtId="0" fontId="0" fillId="0" borderId="18" xfId="0" applyFont="1" applyBorder="1"/>
    <xf numFmtId="166" fontId="0" fillId="0" borderId="0" xfId="0" applyNumberFormat="1"/>
    <xf numFmtId="0" fontId="0" fillId="17" borderId="4" xfId="0" applyFill="1" applyBorder="1"/>
    <xf numFmtId="0" fontId="0" fillId="8" borderId="4" xfId="0" applyFill="1" applyBorder="1"/>
    <xf numFmtId="0" fontId="0" fillId="18" borderId="0" xfId="0" applyFill="1"/>
    <xf numFmtId="1" fontId="0" fillId="18" borderId="0" xfId="0" applyNumberFormat="1" applyFill="1"/>
    <xf numFmtId="167" fontId="0" fillId="0" borderId="0" xfId="0" applyNumberFormat="1"/>
    <xf numFmtId="167" fontId="4" fillId="19" borderId="0" xfId="0" applyNumberFormat="1" applyFont="1" applyFill="1"/>
    <xf numFmtId="0" fontId="4" fillId="19" borderId="0" xfId="0" applyFont="1" applyFill="1"/>
    <xf numFmtId="167" fontId="4" fillId="19" borderId="4" xfId="0" applyNumberFormat="1" applyFont="1" applyFill="1" applyBorder="1"/>
    <xf numFmtId="0" fontId="4" fillId="19" borderId="4" xfId="0" applyFont="1" applyFill="1" applyBorder="1"/>
    <xf numFmtId="0" fontId="0" fillId="3" borderId="4" xfId="0" applyFill="1" applyBorder="1"/>
    <xf numFmtId="0" fontId="0" fillId="0" borderId="16" xfId="0" applyBorder="1"/>
    <xf numFmtId="0" fontId="0" fillId="20" borderId="4" xfId="0" applyFill="1" applyBorder="1"/>
    <xf numFmtId="167" fontId="0" fillId="20" borderId="4" xfId="0" applyNumberFormat="1" applyFill="1" applyBorder="1"/>
    <xf numFmtId="0" fontId="0" fillId="21" borderId="4" xfId="0" applyFill="1" applyBorder="1"/>
    <xf numFmtId="167" fontId="0" fillId="21" borderId="4" xfId="0" applyNumberFormat="1" applyFill="1" applyBorder="1"/>
    <xf numFmtId="0" fontId="4" fillId="20" borderId="4" xfId="0" applyFont="1" applyFill="1" applyBorder="1"/>
    <xf numFmtId="1" fontId="0" fillId="20" borderId="4" xfId="0" applyNumberFormat="1" applyFill="1" applyBorder="1"/>
    <xf numFmtId="0" fontId="4" fillId="21" borderId="4" xfId="0" applyFont="1" applyFill="1" applyBorder="1"/>
    <xf numFmtId="1" fontId="0" fillId="21" borderId="4" xfId="0" applyNumberFormat="1" applyFill="1" applyBorder="1"/>
    <xf numFmtId="0" fontId="0" fillId="0" borderId="5" xfId="0" applyBorder="1"/>
    <xf numFmtId="0" fontId="0" fillId="0" borderId="22" xfId="0" applyBorder="1"/>
    <xf numFmtId="0" fontId="0" fillId="0" borderId="0" xfId="0" applyBorder="1"/>
    <xf numFmtId="0" fontId="0" fillId="0" borderId="20" xfId="0" applyBorder="1"/>
    <xf numFmtId="0" fontId="0" fillId="0" borderId="6" xfId="0" applyBorder="1"/>
    <xf numFmtId="0" fontId="0" fillId="0" borderId="18" xfId="0" applyBorder="1"/>
    <xf numFmtId="0" fontId="0" fillId="0" borderId="23" xfId="0" applyBorder="1"/>
    <xf numFmtId="0" fontId="0" fillId="0" borderId="21" xfId="0" applyBorder="1"/>
    <xf numFmtId="0" fontId="0" fillId="0" borderId="17" xfId="0" applyBorder="1"/>
    <xf numFmtId="0" fontId="0" fillId="0" borderId="15" xfId="0" applyBorder="1"/>
    <xf numFmtId="0" fontId="0" fillId="0" borderId="19" xfId="0" applyBorder="1"/>
    <xf numFmtId="0" fontId="0" fillId="0" borderId="7" xfId="0" applyBorder="1"/>
    <xf numFmtId="0" fontId="0" fillId="11" borderId="4" xfId="0" applyFill="1" applyBorder="1"/>
    <xf numFmtId="0" fontId="0" fillId="13" borderId="4" xfId="0" applyFill="1" applyBorder="1"/>
    <xf numFmtId="0" fontId="0" fillId="13" borderId="24" xfId="0" applyFill="1" applyBorder="1"/>
    <xf numFmtId="0" fontId="0" fillId="13" borderId="25" xfId="0" applyFill="1" applyBorder="1"/>
    <xf numFmtId="0" fontId="0" fillId="11" borderId="26" xfId="0" applyFill="1" applyBorder="1"/>
    <xf numFmtId="0" fontId="0" fillId="11" borderId="27" xfId="0" applyFill="1" applyBorder="1"/>
    <xf numFmtId="0" fontId="0" fillId="11" borderId="28" xfId="0" applyFill="1" applyBorder="1"/>
    <xf numFmtId="0" fontId="0" fillId="13" borderId="29" xfId="0" applyFill="1" applyBorder="1"/>
    <xf numFmtId="0" fontId="0" fillId="11" borderId="30" xfId="0" applyFill="1" applyBorder="1"/>
    <xf numFmtId="0" fontId="0" fillId="11" borderId="31" xfId="0" applyFill="1" applyBorder="1"/>
    <xf numFmtId="0" fontId="0" fillId="13" borderId="32" xfId="0" applyFill="1" applyBorder="1"/>
    <xf numFmtId="0" fontId="0" fillId="22" borderId="33" xfId="0" applyFill="1" applyBorder="1"/>
    <xf numFmtId="0" fontId="0" fillId="22" borderId="34" xfId="0" applyFill="1" applyBorder="1"/>
    <xf numFmtId="0" fontId="0" fillId="13" borderId="35" xfId="0" applyFill="1" applyBorder="1"/>
    <xf numFmtId="0" fontId="0" fillId="11" borderId="36" xfId="0" applyFill="1" applyBorder="1"/>
    <xf numFmtId="0" fontId="0" fillId="11" borderId="37" xfId="0" applyFill="1" applyBorder="1"/>
    <xf numFmtId="0" fontId="0" fillId="0" borderId="0" xfId="0" applyFill="1" applyBorder="1"/>
    <xf numFmtId="0" fontId="0" fillId="0" borderId="4" xfId="0" applyBorder="1"/>
    <xf numFmtId="0" fontId="0" fillId="10" borderId="4" xfId="0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26" xfId="0" applyBorder="1"/>
    <xf numFmtId="0" fontId="0" fillId="10" borderId="44" xfId="0" applyFill="1" applyBorder="1"/>
    <xf numFmtId="0" fontId="0" fillId="10" borderId="26" xfId="0" applyFill="1" applyBorder="1"/>
    <xf numFmtId="0" fontId="0" fillId="13" borderId="45" xfId="0" applyFill="1" applyBorder="1"/>
    <xf numFmtId="0" fontId="0" fillId="13" borderId="27" xfId="0" applyFill="1" applyBorder="1"/>
    <xf numFmtId="0" fontId="0" fillId="13" borderId="28" xfId="0" applyFill="1" applyBorder="1"/>
    <xf numFmtId="10" fontId="0" fillId="0" borderId="0" xfId="0" applyNumberFormat="1"/>
    <xf numFmtId="0" fontId="0" fillId="0" borderId="46" xfId="0" applyBorder="1"/>
    <xf numFmtId="20" fontId="0" fillId="0" borderId="47" xfId="0" applyNumberFormat="1" applyBorder="1"/>
    <xf numFmtId="1" fontId="0" fillId="0" borderId="46" xfId="0" applyNumberFormat="1" applyBorder="1"/>
    <xf numFmtId="1" fontId="0" fillId="0" borderId="47" xfId="0" applyNumberFormat="1" applyBorder="1"/>
    <xf numFmtId="0" fontId="0" fillId="11" borderId="0" xfId="0" applyFill="1" applyBorder="1"/>
    <xf numFmtId="0" fontId="0" fillId="11" borderId="18" xfId="0" applyFill="1" applyBorder="1"/>
    <xf numFmtId="0" fontId="0" fillId="9" borderId="0" xfId="0" applyFill="1" applyBorder="1"/>
    <xf numFmtId="0" fontId="0" fillId="23" borderId="1" xfId="0" applyFill="1" applyBorder="1"/>
    <xf numFmtId="2" fontId="0" fillId="16" borderId="0" xfId="0" applyNumberFormat="1" applyFill="1"/>
    <xf numFmtId="2" fontId="0" fillId="11" borderId="0" xfId="0" applyNumberFormat="1" applyFill="1"/>
    <xf numFmtId="4" fontId="0" fillId="0" borderId="0" xfId="0" applyNumberFormat="1"/>
    <xf numFmtId="14" fontId="0" fillId="11" borderId="4" xfId="0" applyNumberFormat="1" applyFill="1" applyBorder="1"/>
    <xf numFmtId="2" fontId="0" fillId="11" borderId="4" xfId="0" applyNumberFormat="1" applyFill="1" applyBorder="1"/>
    <xf numFmtId="0" fontId="0" fillId="16" borderId="4" xfId="0" applyFill="1" applyBorder="1"/>
    <xf numFmtId="14" fontId="0" fillId="16" borderId="4" xfId="0" applyNumberFormat="1" applyFill="1" applyBorder="1"/>
    <xf numFmtId="2" fontId="0" fillId="16" borderId="4" xfId="0" applyNumberFormat="1" applyFill="1" applyBorder="1"/>
    <xf numFmtId="0" fontId="0" fillId="22" borderId="4" xfId="0" applyFill="1" applyBorder="1"/>
    <xf numFmtId="14" fontId="0" fillId="22" borderId="4" xfId="0" applyNumberFormat="1" applyFill="1" applyBorder="1"/>
    <xf numFmtId="2" fontId="0" fillId="22" borderId="4" xfId="0" applyNumberFormat="1" applyFill="1" applyBorder="1"/>
    <xf numFmtId="167" fontId="0" fillId="0" borderId="4" xfId="0" applyNumberFormat="1" applyBorder="1"/>
    <xf numFmtId="167" fontId="4" fillId="19" borderId="48" xfId="0" applyNumberFormat="1" applyFont="1" applyFill="1" applyBorder="1"/>
    <xf numFmtId="167" fontId="4" fillId="19" borderId="24" xfId="0" applyNumberFormat="1" applyFont="1" applyFill="1" applyBorder="1"/>
    <xf numFmtId="0" fontId="4" fillId="19" borderId="24" xfId="0" applyFont="1" applyFill="1" applyBorder="1"/>
    <xf numFmtId="2" fontId="0" fillId="0" borderId="26" xfId="0" applyNumberFormat="1" applyBorder="1"/>
    <xf numFmtId="0" fontId="0" fillId="0" borderId="45" xfId="0" applyBorder="1"/>
    <xf numFmtId="167" fontId="0" fillId="0" borderId="27" xfId="0" applyNumberFormat="1" applyBorder="1"/>
    <xf numFmtId="0" fontId="0" fillId="0" borderId="27" xfId="0" applyBorder="1"/>
    <xf numFmtId="2" fontId="0" fillId="0" borderId="28" xfId="0" applyNumberFormat="1" applyBorder="1"/>
    <xf numFmtId="0" fontId="0" fillId="10" borderId="24" xfId="0" applyFill="1" applyBorder="1"/>
    <xf numFmtId="2" fontId="0" fillId="16" borderId="25" xfId="0" applyNumberFormat="1" applyFill="1" applyBorder="1"/>
    <xf numFmtId="0" fontId="0" fillId="8" borderId="2" xfId="0" applyFill="1" applyBorder="1"/>
    <xf numFmtId="167" fontId="0" fillId="8" borderId="6" xfId="0" applyNumberFormat="1" applyFill="1" applyBorder="1"/>
    <xf numFmtId="0" fontId="0" fillId="8" borderId="6" xfId="0" applyFill="1" applyBorder="1"/>
    <xf numFmtId="1" fontId="0" fillId="8" borderId="6" xfId="0" applyNumberFormat="1" applyFill="1" applyBorder="1"/>
    <xf numFmtId="1" fontId="0" fillId="8" borderId="18" xfId="0" applyNumberFormat="1" applyFill="1" applyBorder="1"/>
    <xf numFmtId="2" fontId="0" fillId="16" borderId="35" xfId="0" applyNumberFormat="1" applyFill="1" applyBorder="1"/>
    <xf numFmtId="2" fontId="0" fillId="0" borderId="36" xfId="0" applyNumberFormat="1" applyBorder="1"/>
    <xf numFmtId="2" fontId="0" fillId="0" borderId="37" xfId="0" applyNumberFormat="1" applyBorder="1"/>
    <xf numFmtId="0" fontId="0" fillId="13" borderId="30" xfId="0" applyFill="1" applyBorder="1"/>
    <xf numFmtId="0" fontId="0" fillId="13" borderId="31" xfId="0" applyFill="1" applyBorder="1"/>
    <xf numFmtId="0" fontId="0" fillId="13" borderId="48" xfId="0" applyFill="1" applyBorder="1"/>
    <xf numFmtId="0" fontId="0" fillId="13" borderId="44" xfId="0" applyFill="1" applyBorder="1"/>
    <xf numFmtId="0" fontId="0" fillId="24" borderId="25" xfId="0" applyFill="1" applyBorder="1"/>
    <xf numFmtId="0" fontId="0" fillId="24" borderId="26" xfId="0" applyFill="1" applyBorder="1"/>
    <xf numFmtId="0" fontId="0" fillId="24" borderId="28" xfId="0" applyFill="1" applyBorder="1"/>
    <xf numFmtId="0" fontId="0" fillId="24" borderId="35" xfId="0" applyFill="1" applyBorder="1"/>
    <xf numFmtId="0" fontId="0" fillId="24" borderId="36" xfId="0" applyFill="1" applyBorder="1"/>
    <xf numFmtId="0" fontId="0" fillId="24" borderId="37" xfId="0" applyFill="1" applyBorder="1"/>
    <xf numFmtId="2" fontId="0" fillId="7" borderId="4" xfId="0" applyNumberFormat="1" applyFill="1" applyBorder="1"/>
    <xf numFmtId="0" fontId="0" fillId="7" borderId="4" xfId="0" applyFill="1" applyBorder="1"/>
    <xf numFmtId="0" fontId="4" fillId="7" borderId="24" xfId="0" applyFont="1" applyFill="1" applyBorder="1"/>
    <xf numFmtId="0" fontId="0" fillId="7" borderId="27" xfId="0" applyFill="1" applyBorder="1"/>
    <xf numFmtId="14" fontId="0" fillId="10" borderId="4" xfId="0" applyNumberFormat="1" applyFill="1" applyBorder="1"/>
    <xf numFmtId="0" fontId="0" fillId="22" borderId="48" xfId="0" applyFill="1" applyBorder="1"/>
    <xf numFmtId="0" fontId="0" fillId="11" borderId="24" xfId="0" applyFill="1" applyBorder="1"/>
    <xf numFmtId="14" fontId="0" fillId="22" borderId="24" xfId="0" applyNumberFormat="1" applyFill="1" applyBorder="1"/>
    <xf numFmtId="0" fontId="0" fillId="22" borderId="24" xfId="0" applyFill="1" applyBorder="1"/>
    <xf numFmtId="0" fontId="0" fillId="16" borderId="24" xfId="0" applyFill="1" applyBorder="1"/>
    <xf numFmtId="0" fontId="0" fillId="22" borderId="44" xfId="0" applyFill="1" applyBorder="1"/>
    <xf numFmtId="2" fontId="0" fillId="16" borderId="26" xfId="0" applyNumberFormat="1" applyFill="1" applyBorder="1"/>
    <xf numFmtId="0" fontId="0" fillId="22" borderId="45" xfId="0" applyFill="1" applyBorder="1"/>
    <xf numFmtId="0" fontId="0" fillId="22" borderId="27" xfId="0" applyFill="1" applyBorder="1"/>
    <xf numFmtId="0" fontId="0" fillId="16" borderId="27" xfId="0" applyFill="1" applyBorder="1"/>
    <xf numFmtId="2" fontId="0" fillId="16" borderId="28" xfId="0" applyNumberFormat="1" applyFill="1" applyBorder="1"/>
    <xf numFmtId="14" fontId="0" fillId="24" borderId="4" xfId="0" applyNumberFormat="1" applyFill="1" applyBorder="1"/>
    <xf numFmtId="14" fontId="0" fillId="24" borderId="24" xfId="0" applyNumberFormat="1" applyFill="1" applyBorder="1"/>
    <xf numFmtId="14" fontId="0" fillId="24" borderId="27" xfId="0" applyNumberFormat="1" applyFill="1" applyBorder="1"/>
    <xf numFmtId="14" fontId="0" fillId="24" borderId="0" xfId="0" applyNumberFormat="1" applyFill="1"/>
    <xf numFmtId="0" fontId="0" fillId="13" borderId="0" xfId="0" applyFill="1" applyBorder="1"/>
    <xf numFmtId="0" fontId="0" fillId="13" borderId="7" xfId="0" applyFill="1" applyBorder="1"/>
    <xf numFmtId="0" fontId="0" fillId="11" borderId="21" xfId="0" applyFill="1" applyBorder="1"/>
    <xf numFmtId="0" fontId="0" fillId="11" borderId="17" xfId="0" applyFill="1" applyBorder="1"/>
    <xf numFmtId="0" fontId="0" fillId="11" borderId="23" xfId="0" applyFill="1" applyBorder="1"/>
    <xf numFmtId="0" fontId="0" fillId="12" borderId="17" xfId="0" applyFill="1" applyBorder="1"/>
    <xf numFmtId="168" fontId="0" fillId="0" borderId="0" xfId="0" applyNumberFormat="1"/>
    <xf numFmtId="168" fontId="0" fillId="10" borderId="0" xfId="0" applyNumberFormat="1" applyFill="1"/>
    <xf numFmtId="168" fontId="0" fillId="6" borderId="0" xfId="0" applyNumberFormat="1" applyFill="1"/>
    <xf numFmtId="168" fontId="0" fillId="19" borderId="0" xfId="0" applyNumberFormat="1" applyFill="1"/>
    <xf numFmtId="168" fontId="0" fillId="25" borderId="0" xfId="0" applyNumberFormat="1" applyFill="1"/>
    <xf numFmtId="168" fontId="0" fillId="7" borderId="0" xfId="0" applyNumberFormat="1" applyFill="1"/>
    <xf numFmtId="0" fontId="0" fillId="0" borderId="16" xfId="0" applyBorder="1"/>
    <xf numFmtId="0" fontId="4" fillId="3" borderId="23" xfId="0" applyFont="1" applyFill="1" applyBorder="1"/>
    <xf numFmtId="0" fontId="4" fillId="20" borderId="23" xfId="0" applyFont="1" applyFill="1" applyBorder="1"/>
    <xf numFmtId="0" fontId="4" fillId="21" borderId="23" xfId="0" applyFont="1" applyFill="1" applyBorder="1"/>
    <xf numFmtId="0" fontId="4" fillId="3" borderId="17" xfId="0" applyFont="1" applyFill="1" applyBorder="1"/>
    <xf numFmtId="0" fontId="4" fillId="20" borderId="17" xfId="0" applyFont="1" applyFill="1" applyBorder="1"/>
    <xf numFmtId="0" fontId="4" fillId="21" borderId="17" xfId="0" applyFont="1" applyFill="1" applyBorder="1"/>
    <xf numFmtId="0" fontId="4" fillId="13" borderId="23" xfId="0" applyFont="1" applyFill="1" applyBorder="1"/>
    <xf numFmtId="0" fontId="4" fillId="27" borderId="23" xfId="0" applyFont="1" applyFill="1" applyBorder="1"/>
    <xf numFmtId="0" fontId="4" fillId="26" borderId="23" xfId="0" applyFont="1" applyFill="1" applyBorder="1"/>
    <xf numFmtId="0" fontId="4" fillId="13" borderId="17" xfId="0" applyFont="1" applyFill="1" applyBorder="1"/>
    <xf numFmtId="0" fontId="4" fillId="27" borderId="17" xfId="0" applyFont="1" applyFill="1" applyBorder="1"/>
    <xf numFmtId="0" fontId="4" fillId="26" borderId="17" xfId="0" applyFont="1" applyFill="1" applyBorder="1"/>
    <xf numFmtId="0" fontId="4" fillId="10" borderId="23" xfId="0" applyFont="1" applyFill="1" applyBorder="1"/>
    <xf numFmtId="0" fontId="6" fillId="9" borderId="23" xfId="1" applyFont="1" applyFill="1" applyBorder="1" applyAlignment="1" applyProtection="1"/>
    <xf numFmtId="0" fontId="4" fillId="15" borderId="23" xfId="0" applyFont="1" applyFill="1" applyBorder="1"/>
    <xf numFmtId="0" fontId="4" fillId="10" borderId="17" xfId="0" applyFont="1" applyFill="1" applyBorder="1"/>
    <xf numFmtId="0" fontId="4" fillId="9" borderId="17" xfId="0" applyFont="1" applyFill="1" applyBorder="1"/>
    <xf numFmtId="0" fontId="4" fillId="15" borderId="17" xfId="0" applyFont="1" applyFill="1" applyBorder="1"/>
    <xf numFmtId="0" fontId="4" fillId="15" borderId="20" xfId="0" applyFont="1" applyFill="1" applyBorder="1"/>
    <xf numFmtId="0" fontId="4" fillId="3" borderId="21" xfId="0" applyFont="1" applyFill="1" applyBorder="1"/>
    <xf numFmtId="0" fontId="4" fillId="9" borderId="21" xfId="0" applyFont="1" applyFill="1" applyBorder="1"/>
    <xf numFmtId="0" fontId="4" fillId="15" borderId="21" xfId="0" applyFont="1" applyFill="1" applyBorder="1"/>
    <xf numFmtId="0" fontId="4" fillId="9" borderId="23" xfId="0" applyFont="1" applyFill="1" applyBorder="1"/>
    <xf numFmtId="0" fontId="0" fillId="9" borderId="0" xfId="0" applyFill="1"/>
    <xf numFmtId="0" fontId="4" fillId="7" borderId="23" xfId="0" applyFont="1" applyFill="1" applyBorder="1"/>
    <xf numFmtId="0" fontId="4" fillId="7" borderId="21" xfId="0" applyFont="1" applyFill="1" applyBorder="1"/>
    <xf numFmtId="0" fontId="4" fillId="7" borderId="17" xfId="0" applyFont="1" applyFill="1" applyBorder="1"/>
    <xf numFmtId="0" fontId="7" fillId="7" borderId="23" xfId="1" applyFont="1" applyFill="1" applyBorder="1" applyAlignment="1" applyProtection="1"/>
    <xf numFmtId="0" fontId="0" fillId="10" borderId="7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4" fillId="3" borderId="22" xfId="0" applyFont="1" applyFill="1" applyBorder="1"/>
    <xf numFmtId="0" fontId="4" fillId="3" borderId="20" xfId="0" applyFont="1" applyFill="1" applyBorder="1"/>
    <xf numFmtId="0" fontId="4" fillId="3" borderId="18" xfId="0" applyFont="1" applyFill="1" applyBorder="1"/>
    <xf numFmtId="0" fontId="4" fillId="15" borderId="22" xfId="0" applyFont="1" applyFill="1" applyBorder="1"/>
    <xf numFmtId="0" fontId="4" fillId="15" borderId="18" xfId="0" applyFont="1" applyFill="1" applyBorder="1"/>
    <xf numFmtId="0" fontId="4" fillId="9" borderId="22" xfId="0" applyFont="1" applyFill="1" applyBorder="1"/>
    <xf numFmtId="0" fontId="4" fillId="9" borderId="20" xfId="0" applyFont="1" applyFill="1" applyBorder="1"/>
    <xf numFmtId="0" fontId="4" fillId="9" borderId="18" xfId="0" applyFont="1" applyFill="1" applyBorder="1"/>
    <xf numFmtId="0" fontId="0" fillId="10" borderId="7" xfId="0" applyFill="1" applyBorder="1"/>
    <xf numFmtId="0" fontId="0" fillId="10" borderId="21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28" borderId="22" xfId="0" applyFill="1" applyBorder="1"/>
    <xf numFmtId="0" fontId="0" fillId="5" borderId="22" xfId="0" applyFill="1" applyBorder="1"/>
    <xf numFmtId="0" fontId="0" fillId="5" borderId="20" xfId="0" applyFill="1" applyBorder="1"/>
    <xf numFmtId="0" fontId="0" fillId="5" borderId="18" xfId="0" applyFill="1" applyBorder="1"/>
    <xf numFmtId="0" fontId="4" fillId="28" borderId="20" xfId="0" applyFont="1" applyFill="1" applyBorder="1"/>
    <xf numFmtId="0" fontId="4" fillId="28" borderId="18" xfId="0" applyFont="1" applyFill="1" applyBorder="1"/>
    <xf numFmtId="0" fontId="0" fillId="24" borderId="23" xfId="0" applyFill="1" applyBorder="1"/>
    <xf numFmtId="0" fontId="0" fillId="24" borderId="21" xfId="0" applyFill="1" applyBorder="1"/>
    <xf numFmtId="0" fontId="0" fillId="24" borderId="17" xfId="0" applyFill="1" applyBorder="1"/>
    <xf numFmtId="0" fontId="0" fillId="25" borderId="5" xfId="0" applyFill="1" applyBorder="1"/>
    <xf numFmtId="0" fontId="0" fillId="25" borderId="0" xfId="0" applyFill="1" applyBorder="1"/>
    <xf numFmtId="0" fontId="0" fillId="25" borderId="6" xfId="0" applyFill="1" applyBorder="1"/>
    <xf numFmtId="0" fontId="0" fillId="19" borderId="21" xfId="0" applyFill="1" applyBorder="1" applyAlignment="1">
      <alignment horizontal="center"/>
    </xf>
    <xf numFmtId="0" fontId="0" fillId="25" borderId="7" xfId="0" applyFill="1" applyBorder="1"/>
    <xf numFmtId="0" fontId="4" fillId="5" borderId="20" xfId="0" applyFont="1" applyFill="1" applyBorder="1"/>
    <xf numFmtId="0" fontId="4" fillId="9" borderId="7" xfId="0" applyFont="1" applyFill="1" applyBorder="1"/>
    <xf numFmtId="0" fontId="4" fillId="7" borderId="7" xfId="0" applyFont="1" applyFill="1" applyBorder="1"/>
    <xf numFmtId="0" fontId="4" fillId="3" borderId="7" xfId="0" applyFont="1" applyFill="1" applyBorder="1"/>
    <xf numFmtId="0" fontId="4" fillId="15" borderId="7" xfId="0" applyFont="1" applyFill="1" applyBorder="1"/>
    <xf numFmtId="0" fontId="0" fillId="5" borderId="16" xfId="0" applyFill="1" applyBorder="1"/>
    <xf numFmtId="0" fontId="0" fillId="24" borderId="7" xfId="0" applyFill="1" applyBorder="1"/>
    <xf numFmtId="0" fontId="4" fillId="5" borderId="16" xfId="0" applyFont="1" applyFill="1" applyBorder="1"/>
    <xf numFmtId="0" fontId="4" fillId="10" borderId="7" xfId="0" applyFont="1" applyFill="1" applyBorder="1"/>
    <xf numFmtId="0" fontId="4" fillId="29" borderId="16" xfId="0" applyFont="1" applyFill="1" applyBorder="1"/>
    <xf numFmtId="0" fontId="4" fillId="29" borderId="23" xfId="0" applyFont="1" applyFill="1" applyBorder="1"/>
    <xf numFmtId="0" fontId="4" fillId="29" borderId="17" xfId="0" applyFont="1" applyFill="1" applyBorder="1"/>
    <xf numFmtId="0" fontId="4" fillId="29" borderId="18" xfId="0" applyFont="1" applyFill="1" applyBorder="1"/>
    <xf numFmtId="14" fontId="0" fillId="11" borderId="49" xfId="0" applyNumberFormat="1" applyFill="1" applyBorder="1"/>
    <xf numFmtId="0" fontId="0" fillId="16" borderId="48" xfId="0" applyFill="1" applyBorder="1"/>
    <xf numFmtId="0" fontId="0" fillId="16" borderId="44" xfId="0" applyFill="1" applyBorder="1"/>
    <xf numFmtId="0" fontId="0" fillId="16" borderId="45" xfId="0" applyFill="1" applyBorder="1"/>
    <xf numFmtId="14" fontId="0" fillId="16" borderId="27" xfId="0" applyNumberFormat="1" applyFill="1" applyBorder="1"/>
    <xf numFmtId="0" fontId="0" fillId="10" borderId="27" xfId="0" applyFill="1" applyBorder="1"/>
    <xf numFmtId="0" fontId="0" fillId="11" borderId="48" xfId="0" applyFill="1" applyBorder="1"/>
    <xf numFmtId="2" fontId="0" fillId="11" borderId="25" xfId="0" applyNumberFormat="1" applyFill="1" applyBorder="1"/>
    <xf numFmtId="0" fontId="0" fillId="11" borderId="44" xfId="0" applyFill="1" applyBorder="1"/>
    <xf numFmtId="2" fontId="0" fillId="11" borderId="26" xfId="0" applyNumberFormat="1" applyFill="1" applyBorder="1"/>
    <xf numFmtId="0" fontId="0" fillId="11" borderId="45" xfId="0" applyFill="1" applyBorder="1"/>
    <xf numFmtId="14" fontId="0" fillId="11" borderId="27" xfId="0" applyNumberFormat="1" applyFill="1" applyBorder="1"/>
    <xf numFmtId="2" fontId="0" fillId="11" borderId="28" xfId="0" applyNumberFormat="1" applyFill="1" applyBorder="1"/>
    <xf numFmtId="0" fontId="0" fillId="10" borderId="48" xfId="0" applyFill="1" applyBorder="1"/>
    <xf numFmtId="14" fontId="0" fillId="10" borderId="24" xfId="0" applyNumberFormat="1" applyFill="1" applyBorder="1"/>
    <xf numFmtId="2" fontId="0" fillId="10" borderId="25" xfId="0" applyNumberFormat="1" applyFill="1" applyBorder="1"/>
    <xf numFmtId="2" fontId="0" fillId="10" borderId="26" xfId="0" applyNumberFormat="1" applyFill="1" applyBorder="1"/>
    <xf numFmtId="0" fontId="0" fillId="10" borderId="45" xfId="0" applyFill="1" applyBorder="1"/>
    <xf numFmtId="14" fontId="0" fillId="10" borderId="27" xfId="0" applyNumberFormat="1" applyFill="1" applyBorder="1"/>
    <xf numFmtId="2" fontId="0" fillId="10" borderId="28" xfId="0" applyNumberFormat="1" applyFill="1" applyBorder="1"/>
    <xf numFmtId="0" fontId="4" fillId="29" borderId="22" xfId="0" applyFont="1" applyFill="1" applyBorder="1"/>
    <xf numFmtId="0" fontId="4" fillId="29" borderId="7" xfId="0" applyFont="1" applyFill="1" applyBorder="1"/>
    <xf numFmtId="0" fontId="4" fillId="10" borderId="34" xfId="0" applyFont="1" applyFill="1" applyBorder="1" applyAlignment="1">
      <alignment horizontal="center"/>
    </xf>
    <xf numFmtId="0" fontId="4" fillId="19" borderId="50" xfId="0" applyFont="1" applyFill="1" applyBorder="1" applyAlignment="1">
      <alignment horizontal="center"/>
    </xf>
    <xf numFmtId="0" fontId="4" fillId="10" borderId="50" xfId="0" applyFont="1" applyFill="1" applyBorder="1" applyAlignment="1">
      <alignment horizontal="center"/>
    </xf>
    <xf numFmtId="0" fontId="4" fillId="10" borderId="51" xfId="0" applyFont="1" applyFill="1" applyBorder="1" applyAlignment="1">
      <alignment horizontal="center"/>
    </xf>
    <xf numFmtId="0" fontId="4" fillId="29" borderId="19" xfId="0" applyFont="1" applyFill="1" applyBorder="1" applyAlignment="1">
      <alignment horizontal="center"/>
    </xf>
    <xf numFmtId="0" fontId="4" fillId="29" borderId="16" xfId="0" applyFont="1" applyFill="1" applyBorder="1" applyAlignment="1">
      <alignment horizontal="center"/>
    </xf>
    <xf numFmtId="0" fontId="4" fillId="29" borderId="18" xfId="0" applyFont="1" applyFill="1" applyBorder="1" applyAlignment="1">
      <alignment horizontal="center"/>
    </xf>
    <xf numFmtId="0" fontId="4" fillId="15" borderId="52" xfId="0" applyFont="1" applyFill="1" applyBorder="1" applyAlignment="1">
      <alignment horizontal="center"/>
    </xf>
    <xf numFmtId="0" fontId="4" fillId="15" borderId="32" xfId="0" applyFont="1" applyFill="1" applyBorder="1" applyAlignment="1">
      <alignment horizontal="center"/>
    </xf>
    <xf numFmtId="0" fontId="4" fillId="15" borderId="34" xfId="0" applyFont="1" applyFill="1" applyBorder="1" applyAlignment="1">
      <alignment horizontal="center"/>
    </xf>
    <xf numFmtId="0" fontId="4" fillId="9" borderId="52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4" xfId="0" applyFont="1" applyFill="1" applyBorder="1" applyAlignment="1">
      <alignment horizontal="center"/>
    </xf>
    <xf numFmtId="0" fontId="4" fillId="13" borderId="32" xfId="0" applyFont="1" applyFill="1" applyBorder="1" applyAlignment="1">
      <alignment horizontal="center"/>
    </xf>
    <xf numFmtId="0" fontId="4" fillId="13" borderId="34" xfId="0" applyFont="1" applyFill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4" fillId="15" borderId="11" xfId="0" applyFont="1" applyFill="1" applyBorder="1" applyAlignment="1">
      <alignment horizontal="center"/>
    </xf>
    <xf numFmtId="0" fontId="4" fillId="3" borderId="53" xfId="0" applyFont="1" applyFill="1" applyBorder="1" applyAlignment="1">
      <alignment horizontal="center"/>
    </xf>
    <xf numFmtId="0" fontId="7" fillId="7" borderId="52" xfId="1" applyFont="1" applyFill="1" applyBorder="1" applyAlignment="1" applyProtection="1">
      <alignment horizontal="center"/>
    </xf>
    <xf numFmtId="0" fontId="4" fillId="7" borderId="53" xfId="0" applyFont="1" applyFill="1" applyBorder="1" applyAlignment="1">
      <alignment horizontal="center"/>
    </xf>
    <xf numFmtId="0" fontId="4" fillId="7" borderId="32" xfId="0" applyFont="1" applyFill="1" applyBorder="1" applyAlignment="1">
      <alignment horizontal="center"/>
    </xf>
    <xf numFmtId="0" fontId="4" fillId="7" borderId="34" xfId="0" applyFont="1" applyFill="1" applyBorder="1" applyAlignment="1">
      <alignment horizontal="center"/>
    </xf>
    <xf numFmtId="0" fontId="4" fillId="24" borderId="52" xfId="0" applyFont="1" applyFill="1" applyBorder="1" applyAlignment="1">
      <alignment horizontal="center"/>
    </xf>
    <xf numFmtId="0" fontId="4" fillId="24" borderId="53" xfId="0" applyFont="1" applyFill="1" applyBorder="1" applyAlignment="1">
      <alignment horizontal="center"/>
    </xf>
    <xf numFmtId="0" fontId="4" fillId="24" borderId="32" xfId="0" applyFont="1" applyFill="1" applyBorder="1" applyAlignment="1">
      <alignment horizontal="center"/>
    </xf>
    <xf numFmtId="0" fontId="4" fillId="24" borderId="34" xfId="0" applyFont="1" applyFill="1" applyBorder="1" applyAlignment="1">
      <alignment horizontal="center"/>
    </xf>
    <xf numFmtId="0" fontId="4" fillId="23" borderId="32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7" borderId="52" xfId="0" applyFont="1" applyFill="1" applyBorder="1" applyAlignment="1">
      <alignment horizontal="center"/>
    </xf>
    <xf numFmtId="0" fontId="7" fillId="3" borderId="32" xfId="1" applyFont="1" applyFill="1" applyBorder="1" applyAlignment="1" applyProtection="1">
      <alignment horizontal="center"/>
    </xf>
    <xf numFmtId="0" fontId="4" fillId="5" borderId="52" xfId="0" applyFont="1" applyFill="1" applyBorder="1" applyAlignment="1">
      <alignment horizontal="center"/>
    </xf>
    <xf numFmtId="0" fontId="4" fillId="5" borderId="53" xfId="0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10" borderId="32" xfId="0" applyFont="1" applyFill="1" applyBorder="1" applyAlignment="1">
      <alignment horizontal="center"/>
    </xf>
    <xf numFmtId="0" fontId="4" fillId="29" borderId="22" xfId="0" applyFont="1" applyFill="1" applyBorder="1" applyAlignment="1">
      <alignment horizontal="center"/>
    </xf>
    <xf numFmtId="0" fontId="4" fillId="23" borderId="9" xfId="0" applyFont="1" applyFill="1" applyBorder="1" applyAlignment="1">
      <alignment horizontal="center"/>
    </xf>
    <xf numFmtId="0" fontId="4" fillId="23" borderId="34" xfId="0" applyFont="1" applyFill="1" applyBorder="1" applyAlignment="1">
      <alignment horizontal="center"/>
    </xf>
    <xf numFmtId="0" fontId="4" fillId="23" borderId="11" xfId="0" applyFont="1" applyFill="1" applyBorder="1" applyAlignment="1">
      <alignment horizontal="center"/>
    </xf>
    <xf numFmtId="0" fontId="5" fillId="0" borderId="0" xfId="1" applyAlignment="1" applyProtection="1"/>
    <xf numFmtId="0" fontId="8" fillId="0" borderId="0" xfId="0" applyFont="1"/>
    <xf numFmtId="0" fontId="4" fillId="10" borderId="0" xfId="0" applyFont="1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51" xfId="0" applyBorder="1"/>
    <xf numFmtId="0" fontId="0" fillId="0" borderId="50" xfId="0" applyBorder="1"/>
    <xf numFmtId="0" fontId="0" fillId="0" borderId="34" xfId="0" applyBorder="1"/>
    <xf numFmtId="0" fontId="0" fillId="0" borderId="23" xfId="0" applyFill="1" applyBorder="1"/>
    <xf numFmtId="0" fontId="0" fillId="0" borderId="21" xfId="0" applyFill="1" applyBorder="1"/>
    <xf numFmtId="0" fontId="0" fillId="0" borderId="17" xfId="0" applyFill="1" applyBorder="1"/>
    <xf numFmtId="0" fontId="0" fillId="30" borderId="0" xfId="0" applyFill="1"/>
    <xf numFmtId="0" fontId="0" fillId="12" borderId="4" xfId="0" applyFont="1" applyFill="1" applyBorder="1"/>
    <xf numFmtId="0" fontId="0" fillId="12" borderId="49" xfId="0" applyFill="1" applyBorder="1"/>
    <xf numFmtId="0" fontId="0" fillId="0" borderId="49" xfId="0" applyBorder="1"/>
    <xf numFmtId="0" fontId="3" fillId="0" borderId="49" xfId="0" applyFont="1" applyBorder="1"/>
    <xf numFmtId="0" fontId="0" fillId="12" borderId="38" xfId="0" applyFill="1" applyBorder="1"/>
    <xf numFmtId="0" fontId="3" fillId="0" borderId="38" xfId="0" applyFont="1" applyBorder="1"/>
    <xf numFmtId="164" fontId="0" fillId="12" borderId="4" xfId="0" applyNumberFormat="1" applyFill="1" applyBorder="1"/>
    <xf numFmtId="164" fontId="1" fillId="12" borderId="4" xfId="0" applyNumberFormat="1" applyFont="1" applyFill="1" applyBorder="1"/>
    <xf numFmtId="164" fontId="0" fillId="12" borderId="49" xfId="0" applyNumberFormat="1" applyFill="1" applyBorder="1"/>
    <xf numFmtId="164" fontId="0" fillId="0" borderId="4" xfId="0" applyNumberFormat="1" applyBorder="1"/>
    <xf numFmtId="164" fontId="0" fillId="12" borderId="38" xfId="0" applyNumberFormat="1" applyFill="1" applyBorder="1"/>
    <xf numFmtId="0" fontId="0" fillId="0" borderId="0" xfId="0" applyFill="1"/>
    <xf numFmtId="0" fontId="4" fillId="10" borderId="8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4" fillId="29" borderId="48" xfId="0" applyFont="1" applyFill="1" applyBorder="1" applyAlignment="1">
      <alignment horizontal="center"/>
    </xf>
    <xf numFmtId="0" fontId="4" fillId="29" borderId="25" xfId="0" applyFont="1" applyFill="1" applyBorder="1" applyAlignment="1">
      <alignment horizontal="center"/>
    </xf>
    <xf numFmtId="0" fontId="4" fillId="29" borderId="45" xfId="0" applyFont="1" applyFill="1" applyBorder="1" applyAlignment="1">
      <alignment horizontal="center"/>
    </xf>
    <xf numFmtId="0" fontId="4" fillId="29" borderId="28" xfId="0" applyFont="1" applyFill="1" applyBorder="1" applyAlignment="1">
      <alignment horizontal="center"/>
    </xf>
    <xf numFmtId="0" fontId="4" fillId="13" borderId="17" xfId="0" applyFont="1" applyFill="1" applyBorder="1" applyAlignment="1">
      <alignment horizontal="center"/>
    </xf>
    <xf numFmtId="0" fontId="4" fillId="0" borderId="0" xfId="0" applyFont="1" applyBorder="1"/>
    <xf numFmtId="0" fontId="4" fillId="13" borderId="9" xfId="0" applyFont="1" applyFill="1" applyBorder="1" applyAlignment="1">
      <alignment horizontal="center"/>
    </xf>
    <xf numFmtId="0" fontId="4" fillId="13" borderId="11" xfId="0" applyFont="1" applyFill="1" applyBorder="1" applyAlignment="1">
      <alignment horizontal="center"/>
    </xf>
    <xf numFmtId="0" fontId="4" fillId="13" borderId="5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4" fillId="10" borderId="23" xfId="0" applyFont="1" applyFill="1" applyBorder="1" applyAlignment="1">
      <alignment horizontal="center"/>
    </xf>
    <xf numFmtId="0" fontId="4" fillId="19" borderId="7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7" borderId="23" xfId="0" applyFont="1" applyFill="1" applyBorder="1" applyAlignment="1">
      <alignment horizontal="center"/>
    </xf>
    <xf numFmtId="0" fontId="4" fillId="17" borderId="22" xfId="0" applyFont="1" applyFill="1" applyBorder="1" applyAlignment="1">
      <alignment horizontal="center"/>
    </xf>
    <xf numFmtId="0" fontId="4" fillId="17" borderId="7" xfId="0" applyFont="1" applyFill="1" applyBorder="1" applyAlignment="1">
      <alignment horizontal="center"/>
    </xf>
    <xf numFmtId="0" fontId="4" fillId="17" borderId="16" xfId="0" applyFont="1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4" fillId="0" borderId="34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7" fillId="0" borderId="17" xfId="1" applyNumberFormat="1" applyFont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6" borderId="23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10" borderId="33" xfId="1" applyNumberFormat="1" applyFont="1" applyFill="1" applyBorder="1" applyAlignment="1" applyProtection="1">
      <alignment horizontal="center"/>
    </xf>
    <xf numFmtId="0" fontId="4" fillId="10" borderId="33" xfId="0" applyFont="1" applyFill="1" applyBorder="1" applyAlignment="1">
      <alignment horizontal="center"/>
    </xf>
    <xf numFmtId="0" fontId="4" fillId="16" borderId="32" xfId="0" applyFont="1" applyFill="1" applyBorder="1" applyAlignment="1">
      <alignment horizontal="center"/>
    </xf>
    <xf numFmtId="0" fontId="7" fillId="16" borderId="33" xfId="1" applyNumberFormat="1" applyFont="1" applyFill="1" applyBorder="1" applyAlignment="1" applyProtection="1">
      <alignment horizontal="center"/>
    </xf>
    <xf numFmtId="0" fontId="4" fillId="16" borderId="33" xfId="0" applyFont="1" applyFill="1" applyBorder="1" applyAlignment="1">
      <alignment horizontal="center"/>
    </xf>
    <xf numFmtId="0" fontId="4" fillId="16" borderId="34" xfId="0" applyFont="1" applyFill="1" applyBorder="1" applyAlignment="1">
      <alignment horizontal="center"/>
    </xf>
    <xf numFmtId="0" fontId="4" fillId="8" borderId="33" xfId="0" applyFont="1" applyFill="1" applyBorder="1" applyAlignment="1">
      <alignment horizontal="center"/>
    </xf>
    <xf numFmtId="0" fontId="4" fillId="31" borderId="32" xfId="0" applyFont="1" applyFill="1" applyBorder="1" applyAlignment="1">
      <alignment horizontal="center"/>
    </xf>
    <xf numFmtId="0" fontId="0" fillId="8" borderId="33" xfId="0" applyFill="1" applyBorder="1"/>
    <xf numFmtId="0" fontId="0" fillId="8" borderId="51" xfId="0" applyFill="1" applyBorder="1"/>
    <xf numFmtId="0" fontId="0" fillId="8" borderId="32" xfId="0" applyFill="1" applyBorder="1"/>
    <xf numFmtId="0" fontId="0" fillId="8" borderId="34" xfId="0" applyFill="1" applyBorder="1"/>
    <xf numFmtId="0" fontId="0" fillId="8" borderId="9" xfId="0" applyFill="1" applyBorder="1"/>
    <xf numFmtId="0" fontId="0" fillId="8" borderId="54" xfId="0" applyFill="1" applyBorder="1"/>
    <xf numFmtId="0" fontId="0" fillId="8" borderId="11" xfId="0" applyFill="1" applyBorder="1"/>
    <xf numFmtId="0" fontId="0" fillId="8" borderId="22" xfId="0" applyFill="1" applyBorder="1"/>
    <xf numFmtId="0" fontId="0" fillId="8" borderId="7" xfId="0" applyFill="1" applyBorder="1"/>
    <xf numFmtId="0" fontId="0" fillId="8" borderId="7" xfId="0" applyFill="1" applyBorder="1" applyAlignment="1">
      <alignment horizontal="center"/>
    </xf>
    <xf numFmtId="0" fontId="0" fillId="8" borderId="23" xfId="0" applyFill="1" applyBorder="1"/>
    <xf numFmtId="0" fontId="0" fillId="8" borderId="21" xfId="0" applyFill="1" applyBorder="1"/>
    <xf numFmtId="0" fontId="0" fillId="8" borderId="17" xfId="0" applyFill="1" applyBorder="1"/>
    <xf numFmtId="0" fontId="4" fillId="3" borderId="23" xfId="0" applyFont="1" applyFill="1" applyBorder="1" applyAlignment="1">
      <alignment horizontal="center"/>
    </xf>
    <xf numFmtId="0" fontId="0" fillId="8" borderId="52" xfId="0" applyFill="1" applyBorder="1"/>
    <xf numFmtId="0" fontId="4" fillId="17" borderId="32" xfId="0" applyFont="1" applyFill="1" applyBorder="1" applyAlignment="1">
      <alignment horizontal="center"/>
    </xf>
    <xf numFmtId="0" fontId="4" fillId="17" borderId="33" xfId="0" applyFont="1" applyFill="1" applyBorder="1" applyAlignment="1">
      <alignment horizontal="center"/>
    </xf>
    <xf numFmtId="0" fontId="7" fillId="17" borderId="33" xfId="1" applyNumberFormat="1" applyFont="1" applyFill="1" applyBorder="1" applyAlignment="1" applyProtection="1">
      <alignment horizontal="center"/>
    </xf>
    <xf numFmtId="0" fontId="4" fillId="17" borderId="34" xfId="0" applyFont="1" applyFill="1" applyBorder="1" applyAlignment="1">
      <alignment horizontal="center"/>
    </xf>
    <xf numFmtId="0" fontId="4" fillId="26" borderId="32" xfId="0" applyFont="1" applyFill="1" applyBorder="1" applyAlignment="1">
      <alignment horizontal="center"/>
    </xf>
    <xf numFmtId="0" fontId="4" fillId="26" borderId="33" xfId="0" applyFont="1" applyFill="1" applyBorder="1" applyAlignment="1">
      <alignment horizontal="center"/>
    </xf>
    <xf numFmtId="0" fontId="7" fillId="26" borderId="33" xfId="1" applyNumberFormat="1" applyFont="1" applyFill="1" applyBorder="1" applyAlignment="1" applyProtection="1">
      <alignment horizontal="center"/>
    </xf>
    <xf numFmtId="0" fontId="4" fillId="26" borderId="34" xfId="0" applyFont="1" applyFill="1" applyBorder="1" applyAlignment="1">
      <alignment horizontal="center"/>
    </xf>
    <xf numFmtId="0" fontId="4" fillId="31" borderId="23" xfId="0" applyFont="1" applyFill="1" applyBorder="1" applyAlignment="1">
      <alignment horizontal="center"/>
    </xf>
    <xf numFmtId="0" fontId="4" fillId="31" borderId="33" xfId="0" applyFont="1" applyFill="1" applyBorder="1" applyAlignment="1">
      <alignment horizontal="center"/>
    </xf>
    <xf numFmtId="0" fontId="7" fillId="31" borderId="33" xfId="1" applyNumberFormat="1" applyFont="1" applyFill="1" applyBorder="1" applyAlignment="1" applyProtection="1">
      <alignment horizontal="center"/>
    </xf>
    <xf numFmtId="0" fontId="4" fillId="31" borderId="34" xfId="0" applyFont="1" applyFill="1" applyBorder="1" applyAlignment="1">
      <alignment horizontal="center"/>
    </xf>
    <xf numFmtId="0" fontId="0" fillId="10" borderId="0" xfId="0" applyFill="1"/>
    <xf numFmtId="0" fontId="4" fillId="14" borderId="15" xfId="0" applyFont="1" applyFill="1" applyBorder="1" applyAlignment="1">
      <alignment horizontal="center"/>
    </xf>
    <xf numFmtId="0" fontId="0" fillId="0" borderId="16" xfId="0" applyBorder="1"/>
    <xf numFmtId="0" fontId="4" fillId="13" borderId="15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4" fillId="10" borderId="19" xfId="0" applyFont="1" applyFill="1" applyBorder="1" applyAlignment="1">
      <alignment horizontal="center"/>
    </xf>
    <xf numFmtId="0" fontId="4" fillId="10" borderId="16" xfId="0" applyFont="1" applyFill="1" applyBorder="1" applyAlignment="1">
      <alignment horizontal="center"/>
    </xf>
    <xf numFmtId="0" fontId="4" fillId="15" borderId="0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4" fillId="10" borderId="23" xfId="0" applyFont="1" applyFill="1" applyBorder="1" applyAlignment="1">
      <alignment horizontal="center" vertical="center" textRotation="135"/>
    </xf>
    <xf numFmtId="0" fontId="4" fillId="10" borderId="17" xfId="0" applyFont="1" applyFill="1" applyBorder="1" applyAlignment="1">
      <alignment horizontal="center" vertical="center" textRotation="135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23" borderId="15" xfId="0" applyFont="1" applyFill="1" applyBorder="1" applyAlignment="1">
      <alignment horizontal="center"/>
    </xf>
    <xf numFmtId="0" fontId="4" fillId="23" borderId="16" xfId="0" applyFont="1" applyFill="1" applyBorder="1" applyAlignment="1">
      <alignment horizontal="center"/>
    </xf>
    <xf numFmtId="0" fontId="4" fillId="24" borderId="15" xfId="0" applyFont="1" applyFill="1" applyBorder="1" applyAlignment="1">
      <alignment horizontal="center"/>
    </xf>
    <xf numFmtId="0" fontId="4" fillId="24" borderId="16" xfId="0" applyFont="1" applyFill="1" applyBorder="1" applyAlignment="1">
      <alignment horizontal="center"/>
    </xf>
    <xf numFmtId="0" fontId="4" fillId="13" borderId="19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15" borderId="15" xfId="0" applyFont="1" applyFill="1" applyBorder="1" applyAlignment="1">
      <alignment horizontal="center"/>
    </xf>
    <xf numFmtId="0" fontId="4" fillId="15" borderId="16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15" borderId="19" xfId="0" applyFont="1" applyFill="1" applyBorder="1" applyAlignment="1">
      <alignment horizontal="center"/>
    </xf>
    <xf numFmtId="0" fontId="4" fillId="9" borderId="19" xfId="0" applyFont="1" applyFill="1" applyBorder="1" applyAlignment="1">
      <alignment horizontal="center"/>
    </xf>
    <xf numFmtId="0" fontId="0" fillId="19" borderId="23" xfId="0" applyFill="1" applyBorder="1" applyAlignment="1">
      <alignment horizontal="center" vertical="center" textRotation="90"/>
    </xf>
    <xf numFmtId="0" fontId="0" fillId="19" borderId="17" xfId="0" applyFill="1" applyBorder="1" applyAlignment="1">
      <alignment horizontal="center" vertical="center" textRotation="90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17" borderId="15" xfId="0" applyFont="1" applyFill="1" applyBorder="1" applyAlignment="1">
      <alignment horizontal="center"/>
    </xf>
    <xf numFmtId="0" fontId="4" fillId="17" borderId="16" xfId="0" applyFont="1" applyFill="1" applyBorder="1" applyAlignment="1">
      <alignment horizontal="center"/>
    </xf>
    <xf numFmtId="0" fontId="4" fillId="10" borderId="23" xfId="0" applyFont="1" applyFill="1" applyBorder="1" applyAlignment="1">
      <alignment horizontal="center" vertical="center"/>
    </xf>
    <xf numFmtId="0" fontId="0" fillId="0" borderId="17" xfId="0" applyBorder="1"/>
    <xf numFmtId="0" fontId="0" fillId="0" borderId="21" xfId="0" applyBorder="1" applyAlignment="1">
      <alignment horizontal="center" vertical="center"/>
    </xf>
    <xf numFmtId="0" fontId="4" fillId="29" borderId="1" xfId="0" applyFont="1" applyFill="1" applyBorder="1" applyAlignment="1">
      <alignment horizontal="center"/>
    </xf>
    <xf numFmtId="0" fontId="4" fillId="29" borderId="22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 vertical="center"/>
    </xf>
    <xf numFmtId="0" fontId="0" fillId="0" borderId="17" xfId="0" applyFill="1" applyBorder="1"/>
    <xf numFmtId="0" fontId="4" fillId="8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vertical="center"/>
    </xf>
    <xf numFmtId="0" fontId="4" fillId="10" borderId="17" xfId="0" applyFont="1" applyFill="1" applyBorder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0742498978044524E-2"/>
          <c:y val="2.1525642628005638E-2"/>
          <c:w val="0.95012721282181611"/>
          <c:h val="0.89464122540239355"/>
        </c:manualLayout>
      </c:layout>
      <c:barChart>
        <c:barDir val="col"/>
        <c:grouping val="clustered"/>
        <c:ser>
          <c:idx val="1"/>
          <c:order val="0"/>
          <c:tx>
            <c:strRef>
              <c:f>List4!$AM$1</c:f>
              <c:strCache>
                <c:ptCount val="1"/>
                <c:pt idx="0">
                  <c:v>Put</c:v>
                </c:pt>
              </c:strCache>
            </c:strRef>
          </c:tx>
          <c:dLbls>
            <c:spPr>
              <a:gradFill flip="none" rotWithShape="1">
                <a:gsLst>
                  <a:gs pos="0">
                    <a:srgbClr val="FFF2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  <a:lin ang="5400000" scaled="0"/>
                <a:tileRect/>
              </a:gradFill>
            </c:spPr>
            <c:txPr>
              <a:bodyPr/>
              <a:lstStyle/>
              <a:p>
                <a:pPr>
                  <a:defRPr b="1" i="0" baseline="0"/>
                </a:pPr>
                <a:endParaRPr lang="ru-RU"/>
              </a:p>
            </c:txPr>
            <c:showVal val="1"/>
          </c:dLbls>
          <c:cat>
            <c:numRef>
              <c:f>List4!$AL$2:$AL$15</c:f>
              <c:numCache>
                <c:formatCode>General</c:formatCode>
                <c:ptCount val="14"/>
                <c:pt idx="0">
                  <c:v>72000</c:v>
                </c:pt>
                <c:pt idx="1">
                  <c:v>72500</c:v>
                </c:pt>
                <c:pt idx="2">
                  <c:v>73000</c:v>
                </c:pt>
                <c:pt idx="3">
                  <c:v>73500</c:v>
                </c:pt>
                <c:pt idx="4">
                  <c:v>74000</c:v>
                </c:pt>
                <c:pt idx="5">
                  <c:v>74500</c:v>
                </c:pt>
                <c:pt idx="6">
                  <c:v>75000</c:v>
                </c:pt>
                <c:pt idx="7">
                  <c:v>75500</c:v>
                </c:pt>
                <c:pt idx="8">
                  <c:v>76000</c:v>
                </c:pt>
                <c:pt idx="9">
                  <c:v>76500</c:v>
                </c:pt>
                <c:pt idx="10">
                  <c:v>77000</c:v>
                </c:pt>
                <c:pt idx="11">
                  <c:v>77500</c:v>
                </c:pt>
                <c:pt idx="12">
                  <c:v>78000</c:v>
                </c:pt>
                <c:pt idx="13">
                  <c:v>78500</c:v>
                </c:pt>
              </c:numCache>
            </c:numRef>
          </c:cat>
          <c:val>
            <c:numRef>
              <c:f>List4!$AM$2:$AM$15</c:f>
              <c:numCache>
                <c:formatCode>General</c:formatCode>
                <c:ptCount val="14"/>
                <c:pt idx="3">
                  <c:v>10</c:v>
                </c:pt>
                <c:pt idx="8">
                  <c:v>10</c:v>
                </c:pt>
              </c:numCache>
            </c:numRef>
          </c:val>
        </c:ser>
        <c:ser>
          <c:idx val="0"/>
          <c:order val="1"/>
          <c:tx>
            <c:strRef>
              <c:f>List4!$AN$1</c:f>
              <c:strCache>
                <c:ptCount val="1"/>
                <c:pt idx="0">
                  <c:v>Call</c:v>
                </c:pt>
              </c:strCache>
            </c:strRef>
          </c:tx>
          <c:dLbls>
            <c:spPr>
              <a:gradFill flip="none" rotWithShape="1">
                <a:gsLst>
                  <a:gs pos="0">
                    <a:srgbClr val="4F81BD">
                      <a:tint val="66000"/>
                      <a:satMod val="160000"/>
                    </a:srgbClr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1"/>
                <a:tileRect/>
              </a:gradFill>
            </c:spPr>
            <c:txPr>
              <a:bodyPr/>
              <a:lstStyle/>
              <a:p>
                <a:pPr>
                  <a:defRPr b="1" i="0" baseline="0"/>
                </a:pPr>
                <a:endParaRPr lang="ru-RU"/>
              </a:p>
            </c:txPr>
            <c:showVal val="1"/>
          </c:dLbls>
          <c:cat>
            <c:numRef>
              <c:f>List4!$AL$2:$AL$15</c:f>
              <c:numCache>
                <c:formatCode>General</c:formatCode>
                <c:ptCount val="14"/>
                <c:pt idx="0">
                  <c:v>72000</c:v>
                </c:pt>
                <c:pt idx="1">
                  <c:v>72500</c:v>
                </c:pt>
                <c:pt idx="2">
                  <c:v>73000</c:v>
                </c:pt>
                <c:pt idx="3">
                  <c:v>73500</c:v>
                </c:pt>
                <c:pt idx="4">
                  <c:v>74000</c:v>
                </c:pt>
                <c:pt idx="5">
                  <c:v>74500</c:v>
                </c:pt>
                <c:pt idx="6">
                  <c:v>75000</c:v>
                </c:pt>
                <c:pt idx="7">
                  <c:v>75500</c:v>
                </c:pt>
                <c:pt idx="8">
                  <c:v>76000</c:v>
                </c:pt>
                <c:pt idx="9">
                  <c:v>76500</c:v>
                </c:pt>
                <c:pt idx="10">
                  <c:v>77000</c:v>
                </c:pt>
                <c:pt idx="11">
                  <c:v>77500</c:v>
                </c:pt>
                <c:pt idx="12">
                  <c:v>78000</c:v>
                </c:pt>
                <c:pt idx="13">
                  <c:v>78500</c:v>
                </c:pt>
              </c:numCache>
            </c:numRef>
          </c:cat>
          <c:val>
            <c:numRef>
              <c:f>List4!$AN$2:$AN$15</c:f>
              <c:numCache>
                <c:formatCode>General</c:formatCode>
                <c:ptCount val="14"/>
                <c:pt idx="5">
                  <c:v>-5</c:v>
                </c:pt>
                <c:pt idx="6">
                  <c:v>2</c:v>
                </c:pt>
                <c:pt idx="9">
                  <c:v>10</c:v>
                </c:pt>
              </c:numCache>
            </c:numRef>
          </c:val>
        </c:ser>
        <c:gapWidth val="46"/>
        <c:overlap val="5"/>
        <c:axId val="136915200"/>
        <c:axId val="136925184"/>
      </c:barChart>
      <c:catAx>
        <c:axId val="136915200"/>
        <c:scaling>
          <c:orientation val="minMax"/>
        </c:scaling>
        <c:axPos val="b"/>
        <c:majorGridlines/>
        <c:numFmt formatCode="General" sourceLinked="1"/>
        <c:tickLblPos val="low"/>
        <c:spPr>
          <a:gradFill flip="none" rotWithShape="1">
            <a:gsLst>
              <a:gs pos="0">
                <a:srgbClr val="5E9EFF"/>
              </a:gs>
              <a:gs pos="39999">
                <a:srgbClr val="85C2FF"/>
              </a:gs>
              <a:gs pos="70000">
                <a:srgbClr val="C4D6EB"/>
              </a:gs>
              <a:gs pos="100000">
                <a:srgbClr val="FFEBFA"/>
              </a:gs>
            </a:gsLst>
            <a:lin ang="2700000" scaled="1"/>
            <a:tileRect/>
          </a:gradFill>
        </c:spPr>
        <c:txPr>
          <a:bodyPr/>
          <a:lstStyle/>
          <a:p>
            <a:pPr>
              <a:defRPr sz="1200" b="1" i="0" baseline="0"/>
            </a:pPr>
            <a:endParaRPr lang="ru-RU"/>
          </a:p>
        </c:txPr>
        <c:crossAx val="136925184"/>
        <c:crosses val="autoZero"/>
        <c:lblAlgn val="ctr"/>
        <c:lblOffset val="100"/>
      </c:catAx>
      <c:valAx>
        <c:axId val="136925184"/>
        <c:scaling>
          <c:orientation val="minMax"/>
        </c:scaling>
        <c:axPos val="l"/>
        <c:majorGridlines/>
        <c:numFmt formatCode="General" sourceLinked="1"/>
        <c:tickLblPos val="nextTo"/>
        <c:crossAx val="136915200"/>
        <c:crosses val="autoZero"/>
        <c:crossBetween val="between"/>
      </c:valAx>
      <c:spPr>
        <a:gradFill>
          <a:gsLst>
            <a:gs pos="0">
              <a:srgbClr val="1F497D">
                <a:lumMod val="40000"/>
                <a:lumOff val="60000"/>
              </a:srgbClr>
            </a:gs>
            <a:gs pos="39999">
              <a:srgbClr val="85C2FF"/>
            </a:gs>
            <a:gs pos="70000">
              <a:srgbClr val="C4D6EB"/>
            </a:gs>
            <a:gs pos="100000">
              <a:srgbClr val="FFEBFA"/>
            </a:gs>
          </a:gsLst>
          <a:path path="circle">
            <a:fillToRect l="50000" t="50000" r="50000" b="50000"/>
          </a:path>
        </a:gradFill>
      </c:spPr>
    </c:plotArea>
    <c:plotVisOnly val="1"/>
  </c:chart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perspective val="30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0555563671424192"/>
          <c:y val="6.930512360599532E-2"/>
          <c:w val="0.88525699912510936"/>
          <c:h val="0.89814814814814814"/>
        </c:manualLayout>
      </c:layout>
      <c:surface3DChart>
        <c:wireframe val="1"/>
        <c:ser>
          <c:idx val="0"/>
          <c:order val="0"/>
          <c:tx>
            <c:strRef>
              <c:f>Лист14!$B$3</c:f>
              <c:strCache>
                <c:ptCount val="1"/>
                <c:pt idx="0">
                  <c:v>90,7</c:v>
                </c:pt>
              </c:strCache>
            </c:strRef>
          </c:tx>
          <c:cat>
            <c:numRef>
              <c:f>Лист14!$C$2:$H$2</c:f>
              <c:numCache>
                <c:formatCode>General</c:formatCode>
                <c:ptCount val="6"/>
                <c:pt idx="0">
                  <c:v>0.15</c:v>
                </c:pt>
                <c:pt idx="1">
                  <c:v>0.23</c:v>
                </c:pt>
                <c:pt idx="2">
                  <c:v>0.33</c:v>
                </c:pt>
                <c:pt idx="3">
                  <c:v>0.56000000000000005</c:v>
                </c:pt>
                <c:pt idx="4">
                  <c:v>0.8</c:v>
                </c:pt>
              </c:numCache>
            </c:numRef>
          </c:cat>
          <c:val>
            <c:numRef>
              <c:f>Лист14!$C$3:$H$3</c:f>
              <c:numCache>
                <c:formatCode>General</c:formatCode>
                <c:ptCount val="6"/>
                <c:pt idx="0">
                  <c:v>89.46</c:v>
                </c:pt>
                <c:pt idx="1">
                  <c:v>92.74</c:v>
                </c:pt>
                <c:pt idx="2">
                  <c:v>95.82</c:v>
                </c:pt>
                <c:pt idx="3">
                  <c:v>96.17</c:v>
                </c:pt>
                <c:pt idx="4">
                  <c:v>95.47</c:v>
                </c:pt>
              </c:numCache>
            </c:numRef>
          </c:val>
        </c:ser>
        <c:ser>
          <c:idx val="1"/>
          <c:order val="1"/>
          <c:tx>
            <c:strRef>
              <c:f>Лист14!$B$4</c:f>
              <c:strCache>
                <c:ptCount val="1"/>
                <c:pt idx="0">
                  <c:v>86,3</c:v>
                </c:pt>
              </c:strCache>
            </c:strRef>
          </c:tx>
          <c:cat>
            <c:numRef>
              <c:f>Лист14!$C$2:$H$2</c:f>
              <c:numCache>
                <c:formatCode>General</c:formatCode>
                <c:ptCount val="6"/>
                <c:pt idx="0">
                  <c:v>0.15</c:v>
                </c:pt>
                <c:pt idx="1">
                  <c:v>0.23</c:v>
                </c:pt>
                <c:pt idx="2">
                  <c:v>0.33</c:v>
                </c:pt>
                <c:pt idx="3">
                  <c:v>0.56000000000000005</c:v>
                </c:pt>
                <c:pt idx="4">
                  <c:v>0.8</c:v>
                </c:pt>
              </c:numCache>
            </c:numRef>
          </c:cat>
          <c:val>
            <c:numRef>
              <c:f>Лист14!$C$4:$H$4</c:f>
              <c:numCache>
                <c:formatCode>General</c:formatCode>
                <c:ptCount val="6"/>
                <c:pt idx="0">
                  <c:v>92.74</c:v>
                </c:pt>
                <c:pt idx="1">
                  <c:v>96.67</c:v>
                </c:pt>
                <c:pt idx="2">
                  <c:v>99.18</c:v>
                </c:pt>
                <c:pt idx="3">
                  <c:v>97.7</c:v>
                </c:pt>
                <c:pt idx="4">
                  <c:v>96.32</c:v>
                </c:pt>
              </c:numCache>
            </c:numRef>
          </c:val>
        </c:ser>
        <c:ser>
          <c:idx val="2"/>
          <c:order val="2"/>
          <c:tx>
            <c:strRef>
              <c:f>Лист14!$B$5</c:f>
              <c:strCache>
                <c:ptCount val="1"/>
                <c:pt idx="0">
                  <c:v>89,9</c:v>
                </c:pt>
              </c:strCache>
            </c:strRef>
          </c:tx>
          <c:cat>
            <c:numRef>
              <c:f>Лист14!$C$2:$H$2</c:f>
              <c:numCache>
                <c:formatCode>General</c:formatCode>
                <c:ptCount val="6"/>
                <c:pt idx="0">
                  <c:v>0.15</c:v>
                </c:pt>
                <c:pt idx="1">
                  <c:v>0.23</c:v>
                </c:pt>
                <c:pt idx="2">
                  <c:v>0.33</c:v>
                </c:pt>
                <c:pt idx="3">
                  <c:v>0.56000000000000005</c:v>
                </c:pt>
                <c:pt idx="4">
                  <c:v>0.8</c:v>
                </c:pt>
              </c:numCache>
            </c:numRef>
          </c:cat>
          <c:val>
            <c:numRef>
              <c:f>Лист14!$C$5:$H$5</c:f>
              <c:numCache>
                <c:formatCode>General</c:formatCode>
                <c:ptCount val="6"/>
                <c:pt idx="0">
                  <c:v>95.82</c:v>
                </c:pt>
                <c:pt idx="1">
                  <c:v>99.18</c:v>
                </c:pt>
                <c:pt idx="2">
                  <c:v>101.13</c:v>
                </c:pt>
                <c:pt idx="3">
                  <c:v>97.94</c:v>
                </c:pt>
                <c:pt idx="4">
                  <c:v>96.27</c:v>
                </c:pt>
              </c:numCache>
            </c:numRef>
          </c:val>
        </c:ser>
        <c:ser>
          <c:idx val="3"/>
          <c:order val="3"/>
          <c:tx>
            <c:strRef>
              <c:f>Лист14!$B$6</c:f>
              <c:strCache>
                <c:ptCount val="1"/>
                <c:pt idx="0">
                  <c:v>93,35</c:v>
                </c:pt>
              </c:strCache>
            </c:strRef>
          </c:tx>
          <c:cat>
            <c:numRef>
              <c:f>Лист14!$C$2:$H$2</c:f>
              <c:numCache>
                <c:formatCode>General</c:formatCode>
                <c:ptCount val="6"/>
                <c:pt idx="0">
                  <c:v>0.15</c:v>
                </c:pt>
                <c:pt idx="1">
                  <c:v>0.23</c:v>
                </c:pt>
                <c:pt idx="2">
                  <c:v>0.33</c:v>
                </c:pt>
                <c:pt idx="3">
                  <c:v>0.56000000000000005</c:v>
                </c:pt>
                <c:pt idx="4">
                  <c:v>0.8</c:v>
                </c:pt>
              </c:numCache>
            </c:numRef>
          </c:cat>
          <c:val>
            <c:numRef>
              <c:f>Лист14!$C$6:$H$6</c:f>
              <c:numCache>
                <c:formatCode>General</c:formatCode>
                <c:ptCount val="6"/>
                <c:pt idx="0">
                  <c:v>96.17</c:v>
                </c:pt>
                <c:pt idx="1">
                  <c:v>97.7</c:v>
                </c:pt>
                <c:pt idx="2">
                  <c:v>97.94</c:v>
                </c:pt>
                <c:pt idx="3">
                  <c:v>96.58</c:v>
                </c:pt>
                <c:pt idx="4">
                  <c:v>95.27</c:v>
                </c:pt>
              </c:numCache>
            </c:numRef>
          </c:val>
        </c:ser>
        <c:ser>
          <c:idx val="4"/>
          <c:order val="4"/>
          <c:tx>
            <c:strRef>
              <c:f>Лист14!$B$7</c:f>
              <c:strCache>
                <c:ptCount val="1"/>
                <c:pt idx="0">
                  <c:v>97,7</c:v>
                </c:pt>
              </c:strCache>
            </c:strRef>
          </c:tx>
          <c:cat>
            <c:numRef>
              <c:f>Лист14!$C$2:$H$2</c:f>
              <c:numCache>
                <c:formatCode>General</c:formatCode>
                <c:ptCount val="6"/>
                <c:pt idx="0">
                  <c:v>0.15</c:v>
                </c:pt>
                <c:pt idx="1">
                  <c:v>0.23</c:v>
                </c:pt>
                <c:pt idx="2">
                  <c:v>0.33</c:v>
                </c:pt>
                <c:pt idx="3">
                  <c:v>0.56000000000000005</c:v>
                </c:pt>
                <c:pt idx="4">
                  <c:v>0.8</c:v>
                </c:pt>
              </c:numCache>
            </c:numRef>
          </c:cat>
          <c:val>
            <c:numRef>
              <c:f>Лист14!$C$7:$H$7</c:f>
              <c:numCache>
                <c:formatCode>General</c:formatCode>
                <c:ptCount val="6"/>
                <c:pt idx="0">
                  <c:v>95.47</c:v>
                </c:pt>
                <c:pt idx="1">
                  <c:v>96.32</c:v>
                </c:pt>
                <c:pt idx="2">
                  <c:v>96.27</c:v>
                </c:pt>
                <c:pt idx="3">
                  <c:v>95.27</c:v>
                </c:pt>
                <c:pt idx="4">
                  <c:v>94.05</c:v>
                </c:pt>
              </c:numCache>
            </c:numRef>
          </c:val>
        </c:ser>
        <c:ser>
          <c:idx val="5"/>
          <c:order val="5"/>
          <c:tx>
            <c:strRef>
              <c:f>Лист14!#REF!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Лист14!$C$2:$H$2</c:f>
              <c:numCache>
                <c:formatCode>General</c:formatCode>
                <c:ptCount val="6"/>
                <c:pt idx="0">
                  <c:v>0.15</c:v>
                </c:pt>
                <c:pt idx="1">
                  <c:v>0.23</c:v>
                </c:pt>
                <c:pt idx="2">
                  <c:v>0.33</c:v>
                </c:pt>
                <c:pt idx="3">
                  <c:v>0.56000000000000005</c:v>
                </c:pt>
                <c:pt idx="4">
                  <c:v>0.8</c:v>
                </c:pt>
              </c:numCache>
            </c:numRef>
          </c:cat>
          <c:val>
            <c:numRef>
              <c:f>Лист14!#REF!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bandFmts/>
        <c:axId val="139555200"/>
        <c:axId val="139556736"/>
        <c:axId val="139529280"/>
      </c:surface3DChart>
      <c:catAx>
        <c:axId val="139555200"/>
        <c:scaling>
          <c:orientation val="minMax"/>
        </c:scaling>
        <c:delete val="1"/>
        <c:axPos val="b"/>
        <c:numFmt formatCode="General" sourceLinked="1"/>
        <c:tickLblPos val="none"/>
        <c:crossAx val="139556736"/>
        <c:crosses val="autoZero"/>
        <c:auto val="1"/>
        <c:lblAlgn val="ctr"/>
        <c:lblOffset val="100"/>
      </c:catAx>
      <c:valAx>
        <c:axId val="139556736"/>
        <c:scaling>
          <c:orientation val="minMax"/>
        </c:scaling>
        <c:delete val="1"/>
        <c:axPos val="l"/>
        <c:numFmt formatCode="General" sourceLinked="1"/>
        <c:tickLblPos val="none"/>
        <c:crossAx val="139555200"/>
        <c:crosses val="autoZero"/>
        <c:crossBetween val="midCat"/>
      </c:valAx>
      <c:serAx>
        <c:axId val="139529280"/>
        <c:scaling>
          <c:orientation val="minMax"/>
        </c:scaling>
        <c:delete val="1"/>
        <c:axPos val="b"/>
        <c:tickLblPos val="none"/>
        <c:crossAx val="139556736"/>
        <c:crosses val="autoZero"/>
      </c:serAx>
      <c:spPr>
        <a:noFill/>
        <a:ln w="25400">
          <a:noFill/>
        </a:ln>
      </c:spPr>
    </c:plotArea>
    <c:plotVisOnly val="1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20"/>
      <c:rotY val="330"/>
      <c:perspective val="10"/>
    </c:view3D>
    <c:floor>
      <c:spPr>
        <a:noFill/>
        <a:ln w="9525">
          <a:noFill/>
        </a:ln>
      </c:spPr>
    </c:floor>
    <c:plotArea>
      <c:layout>
        <c:manualLayout>
          <c:layoutTarget val="inner"/>
          <c:xMode val="edge"/>
          <c:yMode val="edge"/>
          <c:x val="0.22652496158187491"/>
          <c:y val="9.3692982254770268E-2"/>
          <c:w val="0.72809542140565764"/>
          <c:h val="0.8193194218069566"/>
        </c:manualLayout>
      </c:layout>
      <c:surface3DChart>
        <c:ser>
          <c:idx val="0"/>
          <c:order val="0"/>
          <c:tx>
            <c:strRef>
              <c:f>Лист14!$B$3</c:f>
              <c:strCache>
                <c:ptCount val="1"/>
                <c:pt idx="0">
                  <c:v>90,7</c:v>
                </c:pt>
              </c:strCache>
            </c:strRef>
          </c:tx>
          <c:cat>
            <c:numRef>
              <c:f>Лист14!$C$2:$G$2</c:f>
              <c:numCache>
                <c:formatCode>General</c:formatCode>
                <c:ptCount val="5"/>
                <c:pt idx="0">
                  <c:v>0.15</c:v>
                </c:pt>
                <c:pt idx="1">
                  <c:v>0.23</c:v>
                </c:pt>
                <c:pt idx="2">
                  <c:v>0.33</c:v>
                </c:pt>
                <c:pt idx="3">
                  <c:v>0.56000000000000005</c:v>
                </c:pt>
                <c:pt idx="4">
                  <c:v>0.8</c:v>
                </c:pt>
              </c:numCache>
            </c:numRef>
          </c:cat>
          <c:val>
            <c:numRef>
              <c:f>Лист14!$C$3:$G$3</c:f>
              <c:numCache>
                <c:formatCode>General</c:formatCode>
                <c:ptCount val="5"/>
                <c:pt idx="0">
                  <c:v>89.46</c:v>
                </c:pt>
                <c:pt idx="1">
                  <c:v>92.74</c:v>
                </c:pt>
                <c:pt idx="2">
                  <c:v>95.82</c:v>
                </c:pt>
                <c:pt idx="3">
                  <c:v>96.17</c:v>
                </c:pt>
                <c:pt idx="4">
                  <c:v>95.47</c:v>
                </c:pt>
              </c:numCache>
            </c:numRef>
          </c:val>
        </c:ser>
        <c:ser>
          <c:idx val="1"/>
          <c:order val="1"/>
          <c:tx>
            <c:strRef>
              <c:f>Лист14!$B$4</c:f>
              <c:strCache>
                <c:ptCount val="1"/>
                <c:pt idx="0">
                  <c:v>86,3</c:v>
                </c:pt>
              </c:strCache>
            </c:strRef>
          </c:tx>
          <c:cat>
            <c:numRef>
              <c:f>Лист14!$C$2:$G$2</c:f>
              <c:numCache>
                <c:formatCode>General</c:formatCode>
                <c:ptCount val="5"/>
                <c:pt idx="0">
                  <c:v>0.15</c:v>
                </c:pt>
                <c:pt idx="1">
                  <c:v>0.23</c:v>
                </c:pt>
                <c:pt idx="2">
                  <c:v>0.33</c:v>
                </c:pt>
                <c:pt idx="3">
                  <c:v>0.56000000000000005</c:v>
                </c:pt>
                <c:pt idx="4">
                  <c:v>0.8</c:v>
                </c:pt>
              </c:numCache>
            </c:numRef>
          </c:cat>
          <c:val>
            <c:numRef>
              <c:f>Лист14!$C$4:$G$4</c:f>
              <c:numCache>
                <c:formatCode>General</c:formatCode>
                <c:ptCount val="5"/>
                <c:pt idx="0">
                  <c:v>92.74</c:v>
                </c:pt>
                <c:pt idx="1">
                  <c:v>96.67</c:v>
                </c:pt>
                <c:pt idx="2">
                  <c:v>99.18</c:v>
                </c:pt>
                <c:pt idx="3">
                  <c:v>97.7</c:v>
                </c:pt>
                <c:pt idx="4">
                  <c:v>96.32</c:v>
                </c:pt>
              </c:numCache>
            </c:numRef>
          </c:val>
        </c:ser>
        <c:ser>
          <c:idx val="2"/>
          <c:order val="2"/>
          <c:tx>
            <c:strRef>
              <c:f>Лист14!$B$5</c:f>
              <c:strCache>
                <c:ptCount val="1"/>
                <c:pt idx="0">
                  <c:v>89,9</c:v>
                </c:pt>
              </c:strCache>
            </c:strRef>
          </c:tx>
          <c:cat>
            <c:numRef>
              <c:f>Лист14!$C$2:$G$2</c:f>
              <c:numCache>
                <c:formatCode>General</c:formatCode>
                <c:ptCount val="5"/>
                <c:pt idx="0">
                  <c:v>0.15</c:v>
                </c:pt>
                <c:pt idx="1">
                  <c:v>0.23</c:v>
                </c:pt>
                <c:pt idx="2">
                  <c:v>0.33</c:v>
                </c:pt>
                <c:pt idx="3">
                  <c:v>0.56000000000000005</c:v>
                </c:pt>
                <c:pt idx="4">
                  <c:v>0.8</c:v>
                </c:pt>
              </c:numCache>
            </c:numRef>
          </c:cat>
          <c:val>
            <c:numRef>
              <c:f>Лист14!$C$5:$G$5</c:f>
              <c:numCache>
                <c:formatCode>General</c:formatCode>
                <c:ptCount val="5"/>
                <c:pt idx="0">
                  <c:v>95.82</c:v>
                </c:pt>
                <c:pt idx="1">
                  <c:v>99.18</c:v>
                </c:pt>
                <c:pt idx="2">
                  <c:v>101.13</c:v>
                </c:pt>
                <c:pt idx="3">
                  <c:v>97.94</c:v>
                </c:pt>
                <c:pt idx="4">
                  <c:v>96.27</c:v>
                </c:pt>
              </c:numCache>
            </c:numRef>
          </c:val>
        </c:ser>
        <c:ser>
          <c:idx val="3"/>
          <c:order val="3"/>
          <c:tx>
            <c:strRef>
              <c:f>Лист14!$B$6</c:f>
              <c:strCache>
                <c:ptCount val="1"/>
                <c:pt idx="0">
                  <c:v>93,35</c:v>
                </c:pt>
              </c:strCache>
            </c:strRef>
          </c:tx>
          <c:cat>
            <c:numRef>
              <c:f>Лист14!$C$2:$G$2</c:f>
              <c:numCache>
                <c:formatCode>General</c:formatCode>
                <c:ptCount val="5"/>
                <c:pt idx="0">
                  <c:v>0.15</c:v>
                </c:pt>
                <c:pt idx="1">
                  <c:v>0.23</c:v>
                </c:pt>
                <c:pt idx="2">
                  <c:v>0.33</c:v>
                </c:pt>
                <c:pt idx="3">
                  <c:v>0.56000000000000005</c:v>
                </c:pt>
                <c:pt idx="4">
                  <c:v>0.8</c:v>
                </c:pt>
              </c:numCache>
            </c:numRef>
          </c:cat>
          <c:val>
            <c:numRef>
              <c:f>Лист14!$C$6:$G$6</c:f>
              <c:numCache>
                <c:formatCode>General</c:formatCode>
                <c:ptCount val="5"/>
                <c:pt idx="0">
                  <c:v>96.17</c:v>
                </c:pt>
                <c:pt idx="1">
                  <c:v>97.7</c:v>
                </c:pt>
                <c:pt idx="2">
                  <c:v>97.94</c:v>
                </c:pt>
                <c:pt idx="3">
                  <c:v>96.58</c:v>
                </c:pt>
                <c:pt idx="4">
                  <c:v>95.27</c:v>
                </c:pt>
              </c:numCache>
            </c:numRef>
          </c:val>
        </c:ser>
        <c:ser>
          <c:idx val="4"/>
          <c:order val="4"/>
          <c:tx>
            <c:strRef>
              <c:f>Лист14!$B$7</c:f>
              <c:strCache>
                <c:ptCount val="1"/>
                <c:pt idx="0">
                  <c:v>97,7</c:v>
                </c:pt>
              </c:strCache>
            </c:strRef>
          </c:tx>
          <c:cat>
            <c:numRef>
              <c:f>Лист14!$C$2:$G$2</c:f>
              <c:numCache>
                <c:formatCode>General</c:formatCode>
                <c:ptCount val="5"/>
                <c:pt idx="0">
                  <c:v>0.15</c:v>
                </c:pt>
                <c:pt idx="1">
                  <c:v>0.23</c:v>
                </c:pt>
                <c:pt idx="2">
                  <c:v>0.33</c:v>
                </c:pt>
                <c:pt idx="3">
                  <c:v>0.56000000000000005</c:v>
                </c:pt>
                <c:pt idx="4">
                  <c:v>0.8</c:v>
                </c:pt>
              </c:numCache>
            </c:numRef>
          </c:cat>
          <c:val>
            <c:numRef>
              <c:f>Лист14!$C$7:$G$7</c:f>
              <c:numCache>
                <c:formatCode>General</c:formatCode>
                <c:ptCount val="5"/>
                <c:pt idx="0">
                  <c:v>95.47</c:v>
                </c:pt>
                <c:pt idx="1">
                  <c:v>96.32</c:v>
                </c:pt>
                <c:pt idx="2">
                  <c:v>96.27</c:v>
                </c:pt>
                <c:pt idx="3">
                  <c:v>95.27</c:v>
                </c:pt>
                <c:pt idx="4">
                  <c:v>94.05</c:v>
                </c:pt>
              </c:numCache>
            </c:numRef>
          </c:val>
        </c:ser>
        <c:ser>
          <c:idx val="5"/>
          <c:order val="5"/>
          <c:tx>
            <c:strRef>
              <c:f>Лист14!#REF!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Лист14!$C$2:$G$2</c:f>
              <c:numCache>
                <c:formatCode>General</c:formatCode>
                <c:ptCount val="5"/>
                <c:pt idx="0">
                  <c:v>0.15</c:v>
                </c:pt>
                <c:pt idx="1">
                  <c:v>0.23</c:v>
                </c:pt>
                <c:pt idx="2">
                  <c:v>0.33</c:v>
                </c:pt>
                <c:pt idx="3">
                  <c:v>0.56000000000000005</c:v>
                </c:pt>
                <c:pt idx="4">
                  <c:v>0.8</c:v>
                </c:pt>
              </c:numCache>
            </c:numRef>
          </c:cat>
          <c:val>
            <c:numRef>
              <c:f>Лист14!#REF!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bandFmts/>
        <c:axId val="139582848"/>
        <c:axId val="139670656"/>
        <c:axId val="139566144"/>
      </c:surface3DChart>
      <c:catAx>
        <c:axId val="139582848"/>
        <c:scaling>
          <c:orientation val="minMax"/>
        </c:scaling>
        <c:axPos val="b"/>
        <c:numFmt formatCode="General" sourceLinked="1"/>
        <c:tickLblPos val="nextTo"/>
        <c:crossAx val="139670656"/>
        <c:crosses val="autoZero"/>
        <c:auto val="1"/>
        <c:lblAlgn val="ctr"/>
        <c:lblOffset val="100"/>
      </c:catAx>
      <c:valAx>
        <c:axId val="139670656"/>
        <c:scaling>
          <c:orientation val="minMax"/>
        </c:scaling>
        <c:axPos val="l"/>
        <c:majorGridlines/>
        <c:numFmt formatCode="General" sourceLinked="1"/>
        <c:tickLblPos val="nextTo"/>
        <c:crossAx val="139582848"/>
        <c:crosses val="autoZero"/>
        <c:crossBetween val="midCat"/>
      </c:valAx>
      <c:serAx>
        <c:axId val="139566144"/>
        <c:scaling>
          <c:orientation val="minMax"/>
        </c:scaling>
        <c:axPos val="b"/>
        <c:tickLblPos val="nextTo"/>
        <c:crossAx val="139670656"/>
        <c:crosses val="autoZero"/>
      </c:serAx>
      <c:spPr>
        <a:noFill/>
        <a:ln w="25400">
          <a:noFill/>
        </a:ln>
      </c:spPr>
    </c:plotArea>
    <c:legend>
      <c:legendPos val="r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perspective val="10"/>
    </c:view3D>
    <c:plotArea>
      <c:layout>
        <c:manualLayout>
          <c:layoutTarget val="inner"/>
          <c:xMode val="edge"/>
          <c:yMode val="edge"/>
          <c:x val="8.6251431514693264E-2"/>
          <c:y val="2.8252405949256338E-2"/>
          <c:w val="0.82463826637055948"/>
          <c:h val="0.86965660542432865"/>
        </c:manualLayout>
      </c:layout>
      <c:surface3DChart>
        <c:ser>
          <c:idx val="0"/>
          <c:order val="0"/>
          <c:tx>
            <c:strRef>
              <c:f>Лист14!$B$3</c:f>
              <c:strCache>
                <c:ptCount val="1"/>
                <c:pt idx="0">
                  <c:v>90,7</c:v>
                </c:pt>
              </c:strCache>
            </c:strRef>
          </c:tx>
          <c:cat>
            <c:numRef>
              <c:f>Лист14!$C$2:$G$2</c:f>
              <c:numCache>
                <c:formatCode>General</c:formatCode>
                <c:ptCount val="5"/>
                <c:pt idx="0">
                  <c:v>0.15</c:v>
                </c:pt>
                <c:pt idx="1">
                  <c:v>0.23</c:v>
                </c:pt>
                <c:pt idx="2">
                  <c:v>0.33</c:v>
                </c:pt>
                <c:pt idx="3">
                  <c:v>0.56000000000000005</c:v>
                </c:pt>
                <c:pt idx="4">
                  <c:v>0.8</c:v>
                </c:pt>
              </c:numCache>
            </c:numRef>
          </c:cat>
          <c:val>
            <c:numRef>
              <c:f>Лист14!$C$3:$G$3</c:f>
              <c:numCache>
                <c:formatCode>General</c:formatCode>
                <c:ptCount val="5"/>
                <c:pt idx="0">
                  <c:v>89.46</c:v>
                </c:pt>
                <c:pt idx="1">
                  <c:v>92.74</c:v>
                </c:pt>
                <c:pt idx="2">
                  <c:v>95.82</c:v>
                </c:pt>
                <c:pt idx="3">
                  <c:v>96.17</c:v>
                </c:pt>
                <c:pt idx="4">
                  <c:v>95.47</c:v>
                </c:pt>
              </c:numCache>
            </c:numRef>
          </c:val>
        </c:ser>
        <c:ser>
          <c:idx val="1"/>
          <c:order val="1"/>
          <c:tx>
            <c:strRef>
              <c:f>Лист14!$B$4</c:f>
              <c:strCache>
                <c:ptCount val="1"/>
                <c:pt idx="0">
                  <c:v>86,3</c:v>
                </c:pt>
              </c:strCache>
            </c:strRef>
          </c:tx>
          <c:cat>
            <c:numRef>
              <c:f>Лист14!$C$2:$G$2</c:f>
              <c:numCache>
                <c:formatCode>General</c:formatCode>
                <c:ptCount val="5"/>
                <c:pt idx="0">
                  <c:v>0.15</c:v>
                </c:pt>
                <c:pt idx="1">
                  <c:v>0.23</c:v>
                </c:pt>
                <c:pt idx="2">
                  <c:v>0.33</c:v>
                </c:pt>
                <c:pt idx="3">
                  <c:v>0.56000000000000005</c:v>
                </c:pt>
                <c:pt idx="4">
                  <c:v>0.8</c:v>
                </c:pt>
              </c:numCache>
            </c:numRef>
          </c:cat>
          <c:val>
            <c:numRef>
              <c:f>Лист14!$C$4:$G$4</c:f>
              <c:numCache>
                <c:formatCode>General</c:formatCode>
                <c:ptCount val="5"/>
                <c:pt idx="0">
                  <c:v>92.74</c:v>
                </c:pt>
                <c:pt idx="1">
                  <c:v>96.67</c:v>
                </c:pt>
                <c:pt idx="2">
                  <c:v>99.18</c:v>
                </c:pt>
                <c:pt idx="3">
                  <c:v>97.7</c:v>
                </c:pt>
                <c:pt idx="4">
                  <c:v>96.32</c:v>
                </c:pt>
              </c:numCache>
            </c:numRef>
          </c:val>
        </c:ser>
        <c:ser>
          <c:idx val="2"/>
          <c:order val="2"/>
          <c:tx>
            <c:strRef>
              <c:f>Лист14!$B$5</c:f>
              <c:strCache>
                <c:ptCount val="1"/>
                <c:pt idx="0">
                  <c:v>89,9</c:v>
                </c:pt>
              </c:strCache>
            </c:strRef>
          </c:tx>
          <c:cat>
            <c:numRef>
              <c:f>Лист14!$C$2:$G$2</c:f>
              <c:numCache>
                <c:formatCode>General</c:formatCode>
                <c:ptCount val="5"/>
                <c:pt idx="0">
                  <c:v>0.15</c:v>
                </c:pt>
                <c:pt idx="1">
                  <c:v>0.23</c:v>
                </c:pt>
                <c:pt idx="2">
                  <c:v>0.33</c:v>
                </c:pt>
                <c:pt idx="3">
                  <c:v>0.56000000000000005</c:v>
                </c:pt>
                <c:pt idx="4">
                  <c:v>0.8</c:v>
                </c:pt>
              </c:numCache>
            </c:numRef>
          </c:cat>
          <c:val>
            <c:numRef>
              <c:f>Лист14!$C$5:$G$5</c:f>
              <c:numCache>
                <c:formatCode>General</c:formatCode>
                <c:ptCount val="5"/>
                <c:pt idx="0">
                  <c:v>95.82</c:v>
                </c:pt>
                <c:pt idx="1">
                  <c:v>99.18</c:v>
                </c:pt>
                <c:pt idx="2">
                  <c:v>101.13</c:v>
                </c:pt>
                <c:pt idx="3">
                  <c:v>97.94</c:v>
                </c:pt>
                <c:pt idx="4">
                  <c:v>96.27</c:v>
                </c:pt>
              </c:numCache>
            </c:numRef>
          </c:val>
        </c:ser>
        <c:ser>
          <c:idx val="3"/>
          <c:order val="3"/>
          <c:tx>
            <c:strRef>
              <c:f>Лист14!$B$6</c:f>
              <c:strCache>
                <c:ptCount val="1"/>
                <c:pt idx="0">
                  <c:v>93,35</c:v>
                </c:pt>
              </c:strCache>
            </c:strRef>
          </c:tx>
          <c:cat>
            <c:numRef>
              <c:f>Лист14!$C$2:$G$2</c:f>
              <c:numCache>
                <c:formatCode>General</c:formatCode>
                <c:ptCount val="5"/>
                <c:pt idx="0">
                  <c:v>0.15</c:v>
                </c:pt>
                <c:pt idx="1">
                  <c:v>0.23</c:v>
                </c:pt>
                <c:pt idx="2">
                  <c:v>0.33</c:v>
                </c:pt>
                <c:pt idx="3">
                  <c:v>0.56000000000000005</c:v>
                </c:pt>
                <c:pt idx="4">
                  <c:v>0.8</c:v>
                </c:pt>
              </c:numCache>
            </c:numRef>
          </c:cat>
          <c:val>
            <c:numRef>
              <c:f>Лист14!$C$6:$G$6</c:f>
              <c:numCache>
                <c:formatCode>General</c:formatCode>
                <c:ptCount val="5"/>
                <c:pt idx="0">
                  <c:v>96.17</c:v>
                </c:pt>
                <c:pt idx="1">
                  <c:v>97.7</c:v>
                </c:pt>
                <c:pt idx="2">
                  <c:v>97.94</c:v>
                </c:pt>
                <c:pt idx="3">
                  <c:v>96.58</c:v>
                </c:pt>
                <c:pt idx="4">
                  <c:v>95.27</c:v>
                </c:pt>
              </c:numCache>
            </c:numRef>
          </c:val>
        </c:ser>
        <c:ser>
          <c:idx val="4"/>
          <c:order val="4"/>
          <c:tx>
            <c:strRef>
              <c:f>Лист14!$B$7</c:f>
              <c:strCache>
                <c:ptCount val="1"/>
                <c:pt idx="0">
                  <c:v>97,7</c:v>
                </c:pt>
              </c:strCache>
            </c:strRef>
          </c:tx>
          <c:cat>
            <c:numRef>
              <c:f>Лист14!$C$2:$G$2</c:f>
              <c:numCache>
                <c:formatCode>General</c:formatCode>
                <c:ptCount val="5"/>
                <c:pt idx="0">
                  <c:v>0.15</c:v>
                </c:pt>
                <c:pt idx="1">
                  <c:v>0.23</c:v>
                </c:pt>
                <c:pt idx="2">
                  <c:v>0.33</c:v>
                </c:pt>
                <c:pt idx="3">
                  <c:v>0.56000000000000005</c:v>
                </c:pt>
                <c:pt idx="4">
                  <c:v>0.8</c:v>
                </c:pt>
              </c:numCache>
            </c:numRef>
          </c:cat>
          <c:val>
            <c:numRef>
              <c:f>Лист14!$C$7:$G$7</c:f>
              <c:numCache>
                <c:formatCode>General</c:formatCode>
                <c:ptCount val="5"/>
                <c:pt idx="0">
                  <c:v>95.47</c:v>
                </c:pt>
                <c:pt idx="1">
                  <c:v>96.32</c:v>
                </c:pt>
                <c:pt idx="2">
                  <c:v>96.27</c:v>
                </c:pt>
                <c:pt idx="3">
                  <c:v>95.27</c:v>
                </c:pt>
                <c:pt idx="4">
                  <c:v>94.05</c:v>
                </c:pt>
              </c:numCache>
            </c:numRef>
          </c:val>
        </c:ser>
        <c:bandFmts/>
        <c:axId val="139703424"/>
        <c:axId val="139704960"/>
        <c:axId val="139664000"/>
      </c:surface3DChart>
      <c:catAx>
        <c:axId val="139703424"/>
        <c:scaling>
          <c:orientation val="minMax"/>
        </c:scaling>
        <c:axPos val="b"/>
        <c:numFmt formatCode="General" sourceLinked="1"/>
        <c:tickLblPos val="nextTo"/>
        <c:crossAx val="139704960"/>
        <c:crosses val="autoZero"/>
        <c:auto val="1"/>
        <c:lblAlgn val="ctr"/>
        <c:lblOffset val="100"/>
      </c:catAx>
      <c:valAx>
        <c:axId val="139704960"/>
        <c:scaling>
          <c:orientation val="minMax"/>
        </c:scaling>
        <c:axPos val="l"/>
        <c:majorGridlines/>
        <c:numFmt formatCode="General" sourceLinked="1"/>
        <c:tickLblPos val="nextTo"/>
        <c:crossAx val="139703424"/>
        <c:crosses val="autoZero"/>
        <c:crossBetween val="midCat"/>
      </c:valAx>
      <c:serAx>
        <c:axId val="139664000"/>
        <c:scaling>
          <c:orientation val="minMax"/>
        </c:scaling>
        <c:axPos val="b"/>
        <c:tickLblPos val="nextTo"/>
        <c:crossAx val="139704960"/>
        <c:crosses val="autoZero"/>
      </c:serAx>
    </c:plotArea>
    <c:legend>
      <c:legendPos val="t"/>
      <c:layout>
        <c:manualLayout>
          <c:xMode val="edge"/>
          <c:yMode val="edge"/>
          <c:x val="0.14138660240998072"/>
          <c:y val="2.6936026936026935E-2"/>
          <c:w val="0.72205745823793011"/>
          <c:h val="7.2201631361736934E-2"/>
        </c:manualLayout>
      </c:layout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152400</xdr:colOff>
      <xdr:row>17</xdr:row>
      <xdr:rowOff>114300</xdr:rowOff>
    </xdr:from>
    <xdr:to>
      <xdr:col>45</xdr:col>
      <xdr:colOff>161924</xdr:colOff>
      <xdr:row>36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10</xdr:row>
      <xdr:rowOff>9525</xdr:rowOff>
    </xdr:from>
    <xdr:to>
      <xdr:col>11</xdr:col>
      <xdr:colOff>19050</xdr:colOff>
      <xdr:row>10</xdr:row>
      <xdr:rowOff>9526</xdr:rowOff>
    </xdr:to>
    <xdr:cxnSp macro="">
      <xdr:nvCxnSpPr>
        <xdr:cNvPr id="5" name="Прямая соединительная линия 4"/>
        <xdr:cNvCxnSpPr/>
      </xdr:nvCxnSpPr>
      <xdr:spPr>
        <a:xfrm>
          <a:off x="1838325" y="1724025"/>
          <a:ext cx="4886325" cy="1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3</xdr:row>
      <xdr:rowOff>0</xdr:rowOff>
    </xdr:from>
    <xdr:to>
      <xdr:col>7</xdr:col>
      <xdr:colOff>0</xdr:colOff>
      <xdr:row>15</xdr:row>
      <xdr:rowOff>171450</xdr:rowOff>
    </xdr:to>
    <xdr:cxnSp macro="">
      <xdr:nvCxnSpPr>
        <xdr:cNvPr id="7" name="Прямая соединительная линия 6"/>
        <xdr:cNvCxnSpPr/>
      </xdr:nvCxnSpPr>
      <xdr:spPr>
        <a:xfrm>
          <a:off x="4248150" y="600075"/>
          <a:ext cx="19050" cy="2466975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11</xdr:row>
      <xdr:rowOff>180975</xdr:rowOff>
    </xdr:from>
    <xdr:to>
      <xdr:col>11</xdr:col>
      <xdr:colOff>0</xdr:colOff>
      <xdr:row>12</xdr:row>
      <xdr:rowOff>0</xdr:rowOff>
    </xdr:to>
    <xdr:cxnSp macro="">
      <xdr:nvCxnSpPr>
        <xdr:cNvPr id="29" name="Прямая соединительная линия 28"/>
        <xdr:cNvCxnSpPr/>
      </xdr:nvCxnSpPr>
      <xdr:spPr>
        <a:xfrm flipV="1">
          <a:off x="5476875" y="2085975"/>
          <a:ext cx="1228725" cy="9525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8</xdr:row>
      <xdr:rowOff>19050</xdr:rowOff>
    </xdr:from>
    <xdr:to>
      <xdr:col>12</xdr:col>
      <xdr:colOff>600075</xdr:colOff>
      <xdr:row>11</xdr:row>
      <xdr:rowOff>171450</xdr:rowOff>
    </xdr:to>
    <xdr:cxnSp macro="">
      <xdr:nvCxnSpPr>
        <xdr:cNvPr id="34" name="Прямая соединительная линия 33"/>
        <xdr:cNvCxnSpPr/>
      </xdr:nvCxnSpPr>
      <xdr:spPr>
        <a:xfrm flipV="1">
          <a:off x="6696075" y="1352550"/>
          <a:ext cx="1219200" cy="723900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7</xdr:row>
      <xdr:rowOff>0</xdr:rowOff>
    </xdr:from>
    <xdr:to>
      <xdr:col>9</xdr:col>
      <xdr:colOff>600076</xdr:colOff>
      <xdr:row>11</xdr:row>
      <xdr:rowOff>1</xdr:rowOff>
    </xdr:to>
    <xdr:cxnSp macro="">
      <xdr:nvCxnSpPr>
        <xdr:cNvPr id="36" name="Прямая соединительная линия 35"/>
        <xdr:cNvCxnSpPr/>
      </xdr:nvCxnSpPr>
      <xdr:spPr>
        <a:xfrm flipH="1" flipV="1">
          <a:off x="4895850" y="1143000"/>
          <a:ext cx="1190626" cy="762001"/>
        </a:xfrm>
        <a:prstGeom prst="line">
          <a:avLst/>
        </a:prstGeom>
        <a:ln w="635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6</xdr:row>
      <xdr:rowOff>171450</xdr:rowOff>
    </xdr:from>
    <xdr:to>
      <xdr:col>8</xdr:col>
      <xdr:colOff>9525</xdr:colOff>
      <xdr:row>7</xdr:row>
      <xdr:rowOff>0</xdr:rowOff>
    </xdr:to>
    <xdr:cxnSp macro="">
      <xdr:nvCxnSpPr>
        <xdr:cNvPr id="40" name="Прямая соединительная линия 39"/>
        <xdr:cNvCxnSpPr/>
      </xdr:nvCxnSpPr>
      <xdr:spPr>
        <a:xfrm flipH="1">
          <a:off x="3648075" y="1352550"/>
          <a:ext cx="1238250" cy="19050"/>
        </a:xfrm>
        <a:prstGeom prst="line">
          <a:avLst/>
        </a:prstGeom>
        <a:ln w="635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38099</xdr:colOff>
      <xdr:row>4</xdr:row>
      <xdr:rowOff>142875</xdr:rowOff>
    </xdr:from>
    <xdr:to>
      <xdr:col>10</xdr:col>
      <xdr:colOff>142874</xdr:colOff>
      <xdr:row>6</xdr:row>
      <xdr:rowOff>57150</xdr:rowOff>
    </xdr:to>
    <xdr:sp macro="" textlink="">
      <xdr:nvSpPr>
        <xdr:cNvPr id="41" name="Стрелка вправо 40"/>
        <xdr:cNvSpPr/>
      </xdr:nvSpPr>
      <xdr:spPr>
        <a:xfrm>
          <a:off x="5524499" y="733425"/>
          <a:ext cx="714375" cy="295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4</xdr:col>
      <xdr:colOff>28575</xdr:colOff>
      <xdr:row>4</xdr:row>
      <xdr:rowOff>142875</xdr:rowOff>
    </xdr:from>
    <xdr:to>
      <xdr:col>5</xdr:col>
      <xdr:colOff>161925</xdr:colOff>
      <xdr:row>6</xdr:row>
      <xdr:rowOff>57150</xdr:rowOff>
    </xdr:to>
    <xdr:sp macro="" textlink="">
      <xdr:nvSpPr>
        <xdr:cNvPr id="42" name="Стрелка вправо 41"/>
        <xdr:cNvSpPr/>
      </xdr:nvSpPr>
      <xdr:spPr>
        <a:xfrm>
          <a:off x="2466975" y="733425"/>
          <a:ext cx="742950" cy="295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3</xdr:col>
      <xdr:colOff>0</xdr:colOff>
      <xdr:row>11</xdr:row>
      <xdr:rowOff>180975</xdr:rowOff>
    </xdr:from>
    <xdr:to>
      <xdr:col>4</xdr:col>
      <xdr:colOff>590550</xdr:colOff>
      <xdr:row>12</xdr:row>
      <xdr:rowOff>0</xdr:rowOff>
    </xdr:to>
    <xdr:cxnSp macro="">
      <xdr:nvCxnSpPr>
        <xdr:cNvPr id="44" name="Прямая соединительная линия 43"/>
        <xdr:cNvCxnSpPr/>
      </xdr:nvCxnSpPr>
      <xdr:spPr>
        <a:xfrm flipH="1" flipV="1">
          <a:off x="1828800" y="2085975"/>
          <a:ext cx="1200150" cy="9525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</xdr:row>
      <xdr:rowOff>0</xdr:rowOff>
    </xdr:from>
    <xdr:to>
      <xdr:col>3</xdr:col>
      <xdr:colOff>0</xdr:colOff>
      <xdr:row>11</xdr:row>
      <xdr:rowOff>180975</xdr:rowOff>
    </xdr:to>
    <xdr:cxnSp macro="">
      <xdr:nvCxnSpPr>
        <xdr:cNvPr id="48" name="Прямая соединительная линия 47"/>
        <xdr:cNvCxnSpPr/>
      </xdr:nvCxnSpPr>
      <xdr:spPr>
        <a:xfrm flipH="1" flipV="1">
          <a:off x="609600" y="1333500"/>
          <a:ext cx="1219200" cy="752475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180975</xdr:rowOff>
    </xdr:from>
    <xdr:to>
      <xdr:col>5</xdr:col>
      <xdr:colOff>600075</xdr:colOff>
      <xdr:row>8</xdr:row>
      <xdr:rowOff>0</xdr:rowOff>
    </xdr:to>
    <xdr:cxnSp macro="">
      <xdr:nvCxnSpPr>
        <xdr:cNvPr id="50" name="Прямая соединительная линия 49"/>
        <xdr:cNvCxnSpPr/>
      </xdr:nvCxnSpPr>
      <xdr:spPr>
        <a:xfrm>
          <a:off x="2438400" y="1552575"/>
          <a:ext cx="1209675" cy="9525"/>
        </a:xfrm>
        <a:prstGeom prst="line">
          <a:avLst/>
        </a:prstGeom>
        <a:ln w="635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8</xdr:row>
      <xdr:rowOff>0</xdr:rowOff>
    </xdr:from>
    <xdr:to>
      <xdr:col>8</xdr:col>
      <xdr:colOff>0</xdr:colOff>
      <xdr:row>12</xdr:row>
      <xdr:rowOff>0</xdr:rowOff>
    </xdr:to>
    <xdr:cxnSp macro="">
      <xdr:nvCxnSpPr>
        <xdr:cNvPr id="52" name="Прямая соединительная линия 51"/>
        <xdr:cNvCxnSpPr/>
      </xdr:nvCxnSpPr>
      <xdr:spPr>
        <a:xfrm flipH="1" flipV="1">
          <a:off x="3629025" y="1562100"/>
          <a:ext cx="1247775" cy="762000"/>
        </a:xfrm>
        <a:prstGeom prst="line">
          <a:avLst/>
        </a:prstGeom>
        <a:ln w="635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26</xdr:row>
      <xdr:rowOff>9525</xdr:rowOff>
    </xdr:from>
    <xdr:to>
      <xdr:col>11</xdr:col>
      <xdr:colOff>19050</xdr:colOff>
      <xdr:row>26</xdr:row>
      <xdr:rowOff>9526</xdr:rowOff>
    </xdr:to>
    <xdr:cxnSp macro="">
      <xdr:nvCxnSpPr>
        <xdr:cNvPr id="53" name="Прямая соединительная линия 52"/>
        <xdr:cNvCxnSpPr/>
      </xdr:nvCxnSpPr>
      <xdr:spPr>
        <a:xfrm>
          <a:off x="1838325" y="1752600"/>
          <a:ext cx="4886325" cy="1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0</xdr:rowOff>
    </xdr:from>
    <xdr:to>
      <xdr:col>7</xdr:col>
      <xdr:colOff>0</xdr:colOff>
      <xdr:row>31</xdr:row>
      <xdr:rowOff>171450</xdr:rowOff>
    </xdr:to>
    <xdr:cxnSp macro="">
      <xdr:nvCxnSpPr>
        <xdr:cNvPr id="54" name="Прямая соединительная линия 53"/>
        <xdr:cNvCxnSpPr/>
      </xdr:nvCxnSpPr>
      <xdr:spPr>
        <a:xfrm>
          <a:off x="4267200" y="400050"/>
          <a:ext cx="0" cy="2466975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27</xdr:row>
      <xdr:rowOff>180975</xdr:rowOff>
    </xdr:from>
    <xdr:to>
      <xdr:col>11</xdr:col>
      <xdr:colOff>0</xdr:colOff>
      <xdr:row>28</xdr:row>
      <xdr:rowOff>0</xdr:rowOff>
    </xdr:to>
    <xdr:cxnSp macro="">
      <xdr:nvCxnSpPr>
        <xdr:cNvPr id="55" name="Прямая соединительная линия 54"/>
        <xdr:cNvCxnSpPr/>
      </xdr:nvCxnSpPr>
      <xdr:spPr>
        <a:xfrm flipV="1">
          <a:off x="5476875" y="2114550"/>
          <a:ext cx="1228725" cy="9525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24</xdr:row>
      <xdr:rowOff>19050</xdr:rowOff>
    </xdr:from>
    <xdr:to>
      <xdr:col>12</xdr:col>
      <xdr:colOff>600075</xdr:colOff>
      <xdr:row>27</xdr:row>
      <xdr:rowOff>171450</xdr:rowOff>
    </xdr:to>
    <xdr:cxnSp macro="">
      <xdr:nvCxnSpPr>
        <xdr:cNvPr id="56" name="Прямая соединительная линия 55"/>
        <xdr:cNvCxnSpPr/>
      </xdr:nvCxnSpPr>
      <xdr:spPr>
        <a:xfrm flipV="1">
          <a:off x="6696075" y="1381125"/>
          <a:ext cx="1219200" cy="723900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590551</xdr:colOff>
      <xdr:row>24</xdr:row>
      <xdr:rowOff>180975</xdr:rowOff>
    </xdr:from>
    <xdr:to>
      <xdr:col>10</xdr:col>
      <xdr:colOff>381000</xdr:colOff>
      <xdr:row>24</xdr:row>
      <xdr:rowOff>180976</xdr:rowOff>
    </xdr:to>
    <xdr:cxnSp macro="">
      <xdr:nvCxnSpPr>
        <xdr:cNvPr id="57" name="Прямая соединительная линия 56"/>
        <xdr:cNvCxnSpPr/>
      </xdr:nvCxnSpPr>
      <xdr:spPr>
        <a:xfrm flipH="1">
          <a:off x="4857751" y="4829175"/>
          <a:ext cx="1619249" cy="1"/>
        </a:xfrm>
        <a:prstGeom prst="line">
          <a:avLst/>
        </a:prstGeom>
        <a:ln w="635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25</xdr:row>
      <xdr:rowOff>0</xdr:rowOff>
    </xdr:from>
    <xdr:to>
      <xdr:col>7</xdr:col>
      <xdr:colOff>590550</xdr:colOff>
      <xdr:row>28</xdr:row>
      <xdr:rowOff>47625</xdr:rowOff>
    </xdr:to>
    <xdr:cxnSp macro="">
      <xdr:nvCxnSpPr>
        <xdr:cNvPr id="58" name="Прямая соединительная линия 57"/>
        <xdr:cNvCxnSpPr/>
      </xdr:nvCxnSpPr>
      <xdr:spPr>
        <a:xfrm flipH="1">
          <a:off x="3629025" y="4838700"/>
          <a:ext cx="1228725" cy="619125"/>
        </a:xfrm>
        <a:prstGeom prst="line">
          <a:avLst/>
        </a:prstGeom>
        <a:ln w="635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447674</xdr:colOff>
      <xdr:row>20</xdr:row>
      <xdr:rowOff>142874</xdr:rowOff>
    </xdr:from>
    <xdr:to>
      <xdr:col>9</xdr:col>
      <xdr:colOff>600073</xdr:colOff>
      <xdr:row>22</xdr:row>
      <xdr:rowOff>57149</xdr:rowOff>
    </xdr:to>
    <xdr:sp macro="" textlink="">
      <xdr:nvSpPr>
        <xdr:cNvPr id="59" name="Стрелка вправо 58"/>
        <xdr:cNvSpPr/>
      </xdr:nvSpPr>
      <xdr:spPr>
        <a:xfrm rot="10800000">
          <a:off x="5324474" y="3819524"/>
          <a:ext cx="761999" cy="2952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3</xdr:col>
      <xdr:colOff>457200</xdr:colOff>
      <xdr:row>20</xdr:row>
      <xdr:rowOff>152399</xdr:rowOff>
    </xdr:from>
    <xdr:to>
      <xdr:col>4</xdr:col>
      <xdr:colOff>600075</xdr:colOff>
      <xdr:row>22</xdr:row>
      <xdr:rowOff>66674</xdr:rowOff>
    </xdr:to>
    <xdr:sp macro="" textlink="">
      <xdr:nvSpPr>
        <xdr:cNvPr id="60" name="Стрелка вправо 59"/>
        <xdr:cNvSpPr/>
      </xdr:nvSpPr>
      <xdr:spPr>
        <a:xfrm rot="10800000">
          <a:off x="2286000" y="3829049"/>
          <a:ext cx="752475" cy="2952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3</xdr:col>
      <xdr:colOff>0</xdr:colOff>
      <xdr:row>27</xdr:row>
      <xdr:rowOff>180975</xdr:rowOff>
    </xdr:from>
    <xdr:to>
      <xdr:col>4</xdr:col>
      <xdr:colOff>590550</xdr:colOff>
      <xdr:row>28</xdr:row>
      <xdr:rowOff>0</xdr:rowOff>
    </xdr:to>
    <xdr:cxnSp macro="">
      <xdr:nvCxnSpPr>
        <xdr:cNvPr id="61" name="Прямая соединительная линия 60"/>
        <xdr:cNvCxnSpPr/>
      </xdr:nvCxnSpPr>
      <xdr:spPr>
        <a:xfrm flipH="1" flipV="1">
          <a:off x="1828800" y="2114550"/>
          <a:ext cx="1200150" cy="9525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24</xdr:row>
      <xdr:rowOff>0</xdr:rowOff>
    </xdr:from>
    <xdr:to>
      <xdr:col>3</xdr:col>
      <xdr:colOff>0</xdr:colOff>
      <xdr:row>27</xdr:row>
      <xdr:rowOff>180975</xdr:rowOff>
    </xdr:to>
    <xdr:cxnSp macro="">
      <xdr:nvCxnSpPr>
        <xdr:cNvPr id="62" name="Прямая соединительная линия 61"/>
        <xdr:cNvCxnSpPr/>
      </xdr:nvCxnSpPr>
      <xdr:spPr>
        <a:xfrm flipH="1" flipV="1">
          <a:off x="609600" y="1362075"/>
          <a:ext cx="1219200" cy="752475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24</xdr:row>
      <xdr:rowOff>0</xdr:rowOff>
    </xdr:from>
    <xdr:to>
      <xdr:col>5</xdr:col>
      <xdr:colOff>600075</xdr:colOff>
      <xdr:row>26</xdr:row>
      <xdr:rowOff>180975</xdr:rowOff>
    </xdr:to>
    <xdr:cxnSp macro="">
      <xdr:nvCxnSpPr>
        <xdr:cNvPr id="63" name="Прямая соединительная линия 62"/>
        <xdr:cNvCxnSpPr/>
      </xdr:nvCxnSpPr>
      <xdr:spPr>
        <a:xfrm flipV="1">
          <a:off x="2428875" y="4438650"/>
          <a:ext cx="1219200" cy="561975"/>
        </a:xfrm>
        <a:prstGeom prst="line">
          <a:avLst/>
        </a:prstGeom>
        <a:ln w="635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24</xdr:row>
      <xdr:rowOff>0</xdr:rowOff>
    </xdr:from>
    <xdr:to>
      <xdr:col>8</xdr:col>
      <xdr:colOff>352425</xdr:colOff>
      <xdr:row>24</xdr:row>
      <xdr:rowOff>0</xdr:rowOff>
    </xdr:to>
    <xdr:cxnSp macro="">
      <xdr:nvCxnSpPr>
        <xdr:cNvPr id="64" name="Прямая соединительная линия 63"/>
        <xdr:cNvCxnSpPr/>
      </xdr:nvCxnSpPr>
      <xdr:spPr>
        <a:xfrm flipH="1">
          <a:off x="3657600" y="4438650"/>
          <a:ext cx="1571625" cy="0"/>
        </a:xfrm>
        <a:prstGeom prst="line">
          <a:avLst/>
        </a:prstGeom>
        <a:ln w="635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45</xdr:row>
      <xdr:rowOff>9525</xdr:rowOff>
    </xdr:from>
    <xdr:to>
      <xdr:col>11</xdr:col>
      <xdr:colOff>19050</xdr:colOff>
      <xdr:row>45</xdr:row>
      <xdr:rowOff>9526</xdr:rowOff>
    </xdr:to>
    <xdr:cxnSp macro="">
      <xdr:nvCxnSpPr>
        <xdr:cNvPr id="73" name="Прямая соединительная линия 72"/>
        <xdr:cNvCxnSpPr/>
      </xdr:nvCxnSpPr>
      <xdr:spPr>
        <a:xfrm>
          <a:off x="1838325" y="5038725"/>
          <a:ext cx="4886325" cy="1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38</xdr:row>
      <xdr:rowOff>0</xdr:rowOff>
    </xdr:from>
    <xdr:to>
      <xdr:col>7</xdr:col>
      <xdr:colOff>0</xdr:colOff>
      <xdr:row>50</xdr:row>
      <xdr:rowOff>171450</xdr:rowOff>
    </xdr:to>
    <xdr:cxnSp macro="">
      <xdr:nvCxnSpPr>
        <xdr:cNvPr id="74" name="Прямая соединительная линия 73"/>
        <xdr:cNvCxnSpPr/>
      </xdr:nvCxnSpPr>
      <xdr:spPr>
        <a:xfrm>
          <a:off x="4267200" y="3686175"/>
          <a:ext cx="0" cy="2466975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44</xdr:row>
      <xdr:rowOff>180975</xdr:rowOff>
    </xdr:from>
    <xdr:to>
      <xdr:col>11</xdr:col>
      <xdr:colOff>0</xdr:colOff>
      <xdr:row>45</xdr:row>
      <xdr:rowOff>0</xdr:rowOff>
    </xdr:to>
    <xdr:cxnSp macro="">
      <xdr:nvCxnSpPr>
        <xdr:cNvPr id="75" name="Прямая соединительная линия 74"/>
        <xdr:cNvCxnSpPr/>
      </xdr:nvCxnSpPr>
      <xdr:spPr>
        <a:xfrm flipV="1">
          <a:off x="5476875" y="5400675"/>
          <a:ext cx="1228725" cy="9525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43</xdr:row>
      <xdr:rowOff>9525</xdr:rowOff>
    </xdr:from>
    <xdr:to>
      <xdr:col>12</xdr:col>
      <xdr:colOff>604875</xdr:colOff>
      <xdr:row>46</xdr:row>
      <xdr:rowOff>171450</xdr:rowOff>
    </xdr:to>
    <xdr:cxnSp macro="">
      <xdr:nvCxnSpPr>
        <xdr:cNvPr id="76" name="Прямая соединительная линия 75"/>
        <xdr:cNvCxnSpPr/>
      </xdr:nvCxnSpPr>
      <xdr:spPr>
        <a:xfrm flipV="1">
          <a:off x="6696075" y="8277225"/>
          <a:ext cx="1224000" cy="733425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43</xdr:row>
      <xdr:rowOff>171450</xdr:rowOff>
    </xdr:from>
    <xdr:to>
      <xdr:col>10</xdr:col>
      <xdr:colOff>400050</xdr:colOff>
      <xdr:row>43</xdr:row>
      <xdr:rowOff>171451</xdr:rowOff>
    </xdr:to>
    <xdr:cxnSp macro="">
      <xdr:nvCxnSpPr>
        <xdr:cNvPr id="77" name="Прямая соединительная линия 76"/>
        <xdr:cNvCxnSpPr/>
      </xdr:nvCxnSpPr>
      <xdr:spPr>
        <a:xfrm flipH="1">
          <a:off x="4876801" y="8439150"/>
          <a:ext cx="1619249" cy="1"/>
        </a:xfrm>
        <a:prstGeom prst="line">
          <a:avLst/>
        </a:prstGeom>
        <a:ln w="635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43</xdr:row>
      <xdr:rowOff>161925</xdr:rowOff>
    </xdr:from>
    <xdr:to>
      <xdr:col>8</xdr:col>
      <xdr:colOff>19050</xdr:colOff>
      <xdr:row>47</xdr:row>
      <xdr:rowOff>19050</xdr:rowOff>
    </xdr:to>
    <xdr:cxnSp macro="">
      <xdr:nvCxnSpPr>
        <xdr:cNvPr id="78" name="Прямая соединительная линия 77"/>
        <xdr:cNvCxnSpPr/>
      </xdr:nvCxnSpPr>
      <xdr:spPr>
        <a:xfrm flipH="1">
          <a:off x="3667125" y="8429625"/>
          <a:ext cx="1228725" cy="619125"/>
        </a:xfrm>
        <a:prstGeom prst="line">
          <a:avLst/>
        </a:prstGeom>
        <a:ln w="635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46</xdr:row>
      <xdr:rowOff>180975</xdr:rowOff>
    </xdr:from>
    <xdr:to>
      <xdr:col>4</xdr:col>
      <xdr:colOff>590550</xdr:colOff>
      <xdr:row>47</xdr:row>
      <xdr:rowOff>0</xdr:rowOff>
    </xdr:to>
    <xdr:cxnSp macro="">
      <xdr:nvCxnSpPr>
        <xdr:cNvPr id="81" name="Прямая соединительная линия 80"/>
        <xdr:cNvCxnSpPr/>
      </xdr:nvCxnSpPr>
      <xdr:spPr>
        <a:xfrm flipH="1" flipV="1">
          <a:off x="1828800" y="5400675"/>
          <a:ext cx="1200150" cy="9525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43</xdr:row>
      <xdr:rowOff>9525</xdr:rowOff>
    </xdr:from>
    <xdr:to>
      <xdr:col>3</xdr:col>
      <xdr:colOff>0</xdr:colOff>
      <xdr:row>46</xdr:row>
      <xdr:rowOff>180976</xdr:rowOff>
    </xdr:to>
    <xdr:cxnSp macro="">
      <xdr:nvCxnSpPr>
        <xdr:cNvPr id="82" name="Прямая соединительная линия 81"/>
        <xdr:cNvCxnSpPr/>
      </xdr:nvCxnSpPr>
      <xdr:spPr>
        <a:xfrm flipH="1" flipV="1">
          <a:off x="628650" y="8277225"/>
          <a:ext cx="1200150" cy="742951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43</xdr:row>
      <xdr:rowOff>0</xdr:rowOff>
    </xdr:from>
    <xdr:to>
      <xdr:col>5</xdr:col>
      <xdr:colOff>600075</xdr:colOff>
      <xdr:row>45</xdr:row>
      <xdr:rowOff>180975</xdr:rowOff>
    </xdr:to>
    <xdr:cxnSp macro="">
      <xdr:nvCxnSpPr>
        <xdr:cNvPr id="83" name="Прямая соединительная линия 82"/>
        <xdr:cNvCxnSpPr/>
      </xdr:nvCxnSpPr>
      <xdr:spPr>
        <a:xfrm flipV="1">
          <a:off x="2428875" y="4648200"/>
          <a:ext cx="1219200" cy="561975"/>
        </a:xfrm>
        <a:prstGeom prst="line">
          <a:avLst/>
        </a:prstGeom>
        <a:ln w="635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43</xdr:row>
      <xdr:rowOff>0</xdr:rowOff>
    </xdr:from>
    <xdr:to>
      <xdr:col>8</xdr:col>
      <xdr:colOff>352425</xdr:colOff>
      <xdr:row>43</xdr:row>
      <xdr:rowOff>0</xdr:rowOff>
    </xdr:to>
    <xdr:cxnSp macro="">
      <xdr:nvCxnSpPr>
        <xdr:cNvPr id="84" name="Прямая соединительная линия 83"/>
        <xdr:cNvCxnSpPr/>
      </xdr:nvCxnSpPr>
      <xdr:spPr>
        <a:xfrm flipH="1">
          <a:off x="3657600" y="4648200"/>
          <a:ext cx="1571625" cy="0"/>
        </a:xfrm>
        <a:prstGeom prst="line">
          <a:avLst/>
        </a:prstGeom>
        <a:ln w="635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41</xdr:row>
      <xdr:rowOff>9525</xdr:rowOff>
    </xdr:from>
    <xdr:to>
      <xdr:col>8</xdr:col>
      <xdr:colOff>9525</xdr:colOff>
      <xdr:row>41</xdr:row>
      <xdr:rowOff>28575</xdr:rowOff>
    </xdr:to>
    <xdr:cxnSp macro="">
      <xdr:nvCxnSpPr>
        <xdr:cNvPr id="85" name="Прямая соединительная линия 84"/>
        <xdr:cNvCxnSpPr/>
      </xdr:nvCxnSpPr>
      <xdr:spPr>
        <a:xfrm flipH="1">
          <a:off x="3648075" y="7934325"/>
          <a:ext cx="1238250" cy="19050"/>
        </a:xfrm>
        <a:prstGeom prst="line">
          <a:avLst/>
        </a:prstGeom>
        <a:ln w="635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41</xdr:row>
      <xdr:rowOff>9525</xdr:rowOff>
    </xdr:from>
    <xdr:to>
      <xdr:col>9</xdr:col>
      <xdr:colOff>561976</xdr:colOff>
      <xdr:row>45</xdr:row>
      <xdr:rowOff>9526</xdr:rowOff>
    </xdr:to>
    <xdr:cxnSp macro="">
      <xdr:nvCxnSpPr>
        <xdr:cNvPr id="86" name="Прямая соединительная линия 85"/>
        <xdr:cNvCxnSpPr/>
      </xdr:nvCxnSpPr>
      <xdr:spPr>
        <a:xfrm flipH="1" flipV="1">
          <a:off x="4857750" y="7934325"/>
          <a:ext cx="1190626" cy="762001"/>
        </a:xfrm>
        <a:prstGeom prst="line">
          <a:avLst/>
        </a:prstGeom>
        <a:ln w="635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42</xdr:row>
      <xdr:rowOff>9525</xdr:rowOff>
    </xdr:from>
    <xdr:to>
      <xdr:col>6</xdr:col>
      <xdr:colOff>0</xdr:colOff>
      <xdr:row>42</xdr:row>
      <xdr:rowOff>19050</xdr:rowOff>
    </xdr:to>
    <xdr:cxnSp macro="">
      <xdr:nvCxnSpPr>
        <xdr:cNvPr id="87" name="Прямая соединительная линия 86"/>
        <xdr:cNvCxnSpPr/>
      </xdr:nvCxnSpPr>
      <xdr:spPr>
        <a:xfrm>
          <a:off x="2447925" y="8124825"/>
          <a:ext cx="1209675" cy="9525"/>
        </a:xfrm>
        <a:prstGeom prst="line">
          <a:avLst/>
        </a:prstGeom>
        <a:ln w="635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42</xdr:row>
      <xdr:rowOff>9525</xdr:rowOff>
    </xdr:from>
    <xdr:to>
      <xdr:col>8</xdr:col>
      <xdr:colOff>9525</xdr:colOff>
      <xdr:row>46</xdr:row>
      <xdr:rowOff>9525</xdr:rowOff>
    </xdr:to>
    <xdr:cxnSp macro="">
      <xdr:nvCxnSpPr>
        <xdr:cNvPr id="89" name="Прямая соединительная линия 88"/>
        <xdr:cNvCxnSpPr/>
      </xdr:nvCxnSpPr>
      <xdr:spPr>
        <a:xfrm flipH="1" flipV="1">
          <a:off x="3638550" y="8124825"/>
          <a:ext cx="1247775" cy="762000"/>
        </a:xfrm>
        <a:prstGeom prst="line">
          <a:avLst/>
        </a:prstGeom>
        <a:ln w="635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46</xdr:row>
      <xdr:rowOff>171450</xdr:rowOff>
    </xdr:from>
    <xdr:to>
      <xdr:col>11</xdr:col>
      <xdr:colOff>9525</xdr:colOff>
      <xdr:row>46</xdr:row>
      <xdr:rowOff>180975</xdr:rowOff>
    </xdr:to>
    <xdr:cxnSp macro="">
      <xdr:nvCxnSpPr>
        <xdr:cNvPr id="91" name="Прямая соединительная линия 90"/>
        <xdr:cNvCxnSpPr/>
      </xdr:nvCxnSpPr>
      <xdr:spPr>
        <a:xfrm flipV="1">
          <a:off x="5486400" y="9029700"/>
          <a:ext cx="1228725" cy="9525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40</xdr:row>
      <xdr:rowOff>0</xdr:rowOff>
    </xdr:from>
    <xdr:to>
      <xdr:col>11</xdr:col>
      <xdr:colOff>276225</xdr:colOff>
      <xdr:row>48</xdr:row>
      <xdr:rowOff>66675</xdr:rowOff>
    </xdr:to>
    <xdr:sp macro="" textlink="">
      <xdr:nvSpPr>
        <xdr:cNvPr id="96" name="Трапеция 95"/>
        <xdr:cNvSpPr/>
      </xdr:nvSpPr>
      <xdr:spPr>
        <a:xfrm>
          <a:off x="1581150" y="7696200"/>
          <a:ext cx="5400675" cy="1590675"/>
        </a:xfrm>
        <a:prstGeom prst="trapezoid">
          <a:avLst/>
        </a:prstGeom>
        <a:solidFill>
          <a:srgbClr val="FF0000">
            <a:alpha val="23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7</xdr:col>
      <xdr:colOff>9525</xdr:colOff>
      <xdr:row>51</xdr:row>
      <xdr:rowOff>57150</xdr:rowOff>
    </xdr:from>
    <xdr:to>
      <xdr:col>7</xdr:col>
      <xdr:colOff>19050</xdr:colOff>
      <xdr:row>75</xdr:row>
      <xdr:rowOff>28575</xdr:rowOff>
    </xdr:to>
    <xdr:cxnSp macro="">
      <xdr:nvCxnSpPr>
        <xdr:cNvPr id="45" name="Прямая соединительная линия 44"/>
        <xdr:cNvCxnSpPr/>
      </xdr:nvCxnSpPr>
      <xdr:spPr>
        <a:xfrm>
          <a:off x="4276725" y="9848850"/>
          <a:ext cx="9525" cy="4543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52</xdr:row>
      <xdr:rowOff>76200</xdr:rowOff>
    </xdr:from>
    <xdr:to>
      <xdr:col>9</xdr:col>
      <xdr:colOff>561975</xdr:colOff>
      <xdr:row>65</xdr:row>
      <xdr:rowOff>114300</xdr:rowOff>
    </xdr:to>
    <xdr:cxnSp macro="">
      <xdr:nvCxnSpPr>
        <xdr:cNvPr id="72" name="Прямая соединительная линия 71"/>
        <xdr:cNvCxnSpPr>
          <a:cxnSpLocks/>
        </xdr:cNvCxnSpPr>
      </xdr:nvCxnSpPr>
      <xdr:spPr>
        <a:xfrm flipV="1">
          <a:off x="2362200" y="10058400"/>
          <a:ext cx="3686175" cy="251460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59</xdr:row>
      <xdr:rowOff>19050</xdr:rowOff>
    </xdr:from>
    <xdr:to>
      <xdr:col>9</xdr:col>
      <xdr:colOff>0</xdr:colOff>
      <xdr:row>62</xdr:row>
      <xdr:rowOff>171450</xdr:rowOff>
    </xdr:to>
    <xdr:cxnSp macro="">
      <xdr:nvCxnSpPr>
        <xdr:cNvPr id="90" name="Прямая соединительная линия 89"/>
        <xdr:cNvCxnSpPr/>
      </xdr:nvCxnSpPr>
      <xdr:spPr>
        <a:xfrm>
          <a:off x="4248150" y="11334750"/>
          <a:ext cx="1238250" cy="723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600075</xdr:colOff>
      <xdr:row>63</xdr:row>
      <xdr:rowOff>38100</xdr:rowOff>
    </xdr:from>
    <xdr:to>
      <xdr:col>8</xdr:col>
      <xdr:colOff>600075</xdr:colOff>
      <xdr:row>65</xdr:row>
      <xdr:rowOff>0</xdr:rowOff>
    </xdr:to>
    <xdr:cxnSp macro="">
      <xdr:nvCxnSpPr>
        <xdr:cNvPr id="95" name="Прямая соединительная линия 94"/>
        <xdr:cNvCxnSpPr/>
      </xdr:nvCxnSpPr>
      <xdr:spPr>
        <a:xfrm flipH="1">
          <a:off x="4867275" y="12115800"/>
          <a:ext cx="60960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65</xdr:row>
      <xdr:rowOff>38100</xdr:rowOff>
    </xdr:from>
    <xdr:to>
      <xdr:col>10</xdr:col>
      <xdr:colOff>19050</xdr:colOff>
      <xdr:row>68</xdr:row>
      <xdr:rowOff>0</xdr:rowOff>
    </xdr:to>
    <xdr:cxnSp macro="">
      <xdr:nvCxnSpPr>
        <xdr:cNvPr id="98" name="Прямая соединительная линия 97"/>
        <xdr:cNvCxnSpPr/>
      </xdr:nvCxnSpPr>
      <xdr:spPr>
        <a:xfrm>
          <a:off x="4857750" y="12496800"/>
          <a:ext cx="1257300" cy="533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68</xdr:row>
      <xdr:rowOff>9525</xdr:rowOff>
    </xdr:from>
    <xdr:to>
      <xdr:col>10</xdr:col>
      <xdr:colOff>9525</xdr:colOff>
      <xdr:row>70</xdr:row>
      <xdr:rowOff>19050</xdr:rowOff>
    </xdr:to>
    <xdr:cxnSp macro="">
      <xdr:nvCxnSpPr>
        <xdr:cNvPr id="100" name="Прямая соединительная линия 99"/>
        <xdr:cNvCxnSpPr/>
      </xdr:nvCxnSpPr>
      <xdr:spPr>
        <a:xfrm flipH="1">
          <a:off x="5524500" y="13039725"/>
          <a:ext cx="581025" cy="39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70</xdr:row>
      <xdr:rowOff>47625</xdr:rowOff>
    </xdr:from>
    <xdr:to>
      <xdr:col>11</xdr:col>
      <xdr:colOff>9525</xdr:colOff>
      <xdr:row>73</xdr:row>
      <xdr:rowOff>180975</xdr:rowOff>
    </xdr:to>
    <xdr:cxnSp macro="">
      <xdr:nvCxnSpPr>
        <xdr:cNvPr id="102" name="Прямая соединительная линия 101"/>
        <xdr:cNvCxnSpPr/>
      </xdr:nvCxnSpPr>
      <xdr:spPr>
        <a:xfrm>
          <a:off x="5514975" y="13458825"/>
          <a:ext cx="1200150" cy="704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55</xdr:row>
      <xdr:rowOff>171450</xdr:rowOff>
    </xdr:from>
    <xdr:to>
      <xdr:col>6</xdr:col>
      <xdr:colOff>514350</xdr:colOff>
      <xdr:row>58</xdr:row>
      <xdr:rowOff>161925</xdr:rowOff>
    </xdr:to>
    <xdr:cxnSp macro="">
      <xdr:nvCxnSpPr>
        <xdr:cNvPr id="104" name="Прямая соединительная линия 103"/>
        <xdr:cNvCxnSpPr/>
      </xdr:nvCxnSpPr>
      <xdr:spPr>
        <a:xfrm flipH="1" flipV="1">
          <a:off x="3067050" y="10725150"/>
          <a:ext cx="1104900" cy="561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53</xdr:row>
      <xdr:rowOff>161925</xdr:rowOff>
    </xdr:from>
    <xdr:to>
      <xdr:col>6</xdr:col>
      <xdr:colOff>9525</xdr:colOff>
      <xdr:row>55</xdr:row>
      <xdr:rowOff>161925</xdr:rowOff>
    </xdr:to>
    <xdr:cxnSp macro="">
      <xdr:nvCxnSpPr>
        <xdr:cNvPr id="106" name="Прямая соединительная линия 105"/>
        <xdr:cNvCxnSpPr/>
      </xdr:nvCxnSpPr>
      <xdr:spPr>
        <a:xfrm flipV="1">
          <a:off x="3048000" y="10334625"/>
          <a:ext cx="619125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50</xdr:row>
      <xdr:rowOff>142875</xdr:rowOff>
    </xdr:from>
    <xdr:to>
      <xdr:col>5</xdr:col>
      <xdr:colOff>600075</xdr:colOff>
      <xdr:row>53</xdr:row>
      <xdr:rowOff>142875</xdr:rowOff>
    </xdr:to>
    <xdr:cxnSp macro="">
      <xdr:nvCxnSpPr>
        <xdr:cNvPr id="108" name="Прямая соединительная линия 107"/>
        <xdr:cNvCxnSpPr/>
      </xdr:nvCxnSpPr>
      <xdr:spPr>
        <a:xfrm flipH="1" flipV="1">
          <a:off x="2466975" y="9744075"/>
          <a:ext cx="1181100" cy="57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58</xdr:row>
      <xdr:rowOff>180975</xdr:rowOff>
    </xdr:from>
    <xdr:to>
      <xdr:col>12</xdr:col>
      <xdr:colOff>28575</xdr:colOff>
      <xdr:row>59</xdr:row>
      <xdr:rowOff>9525</xdr:rowOff>
    </xdr:to>
    <xdr:cxnSp macro="">
      <xdr:nvCxnSpPr>
        <xdr:cNvPr id="111" name="Прямая соединительная линия 110"/>
        <xdr:cNvCxnSpPr/>
      </xdr:nvCxnSpPr>
      <xdr:spPr>
        <a:xfrm>
          <a:off x="1238250" y="11306175"/>
          <a:ext cx="61055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62</xdr:row>
      <xdr:rowOff>76200</xdr:rowOff>
    </xdr:from>
    <xdr:to>
      <xdr:col>9</xdr:col>
      <xdr:colOff>400050</xdr:colOff>
      <xdr:row>63</xdr:row>
      <xdr:rowOff>95250</xdr:rowOff>
    </xdr:to>
    <xdr:sp macro="" textlink="">
      <xdr:nvSpPr>
        <xdr:cNvPr id="114" name="Стрелка влево 113"/>
        <xdr:cNvSpPr/>
      </xdr:nvSpPr>
      <xdr:spPr>
        <a:xfrm>
          <a:off x="5572125" y="11963400"/>
          <a:ext cx="314325" cy="2095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238125</xdr:colOff>
      <xdr:row>3</xdr:row>
      <xdr:rowOff>104774</xdr:rowOff>
    </xdr:from>
    <xdr:ext cx="1371600" cy="819151"/>
    <xdr:sp macro="" textlink="">
      <xdr:nvSpPr>
        <xdr:cNvPr id="2" name="TextBox 1"/>
        <xdr:cNvSpPr txBox="1"/>
      </xdr:nvSpPr>
      <xdr:spPr>
        <a:xfrm>
          <a:off x="25212675" y="695324"/>
          <a:ext cx="1371600" cy="8191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endParaRPr lang="ru-RU" sz="1100"/>
        </a:p>
      </xdr:txBody>
    </xdr:sp>
    <xdr:clientData/>
  </xdr:oneCellAnchor>
  <xdr:oneCellAnchor>
    <xdr:from>
      <xdr:col>37</xdr:col>
      <xdr:colOff>923925</xdr:colOff>
      <xdr:row>66</xdr:row>
      <xdr:rowOff>95250</xdr:rowOff>
    </xdr:from>
    <xdr:ext cx="184731" cy="264560"/>
    <xdr:sp macro="" textlink="">
      <xdr:nvSpPr>
        <xdr:cNvPr id="3" name="TextBox 2"/>
        <xdr:cNvSpPr txBox="1"/>
      </xdr:nvSpPr>
      <xdr:spPr>
        <a:xfrm>
          <a:off x="26508075" y="1295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10</xdr:row>
      <xdr:rowOff>47625</xdr:rowOff>
    </xdr:from>
    <xdr:to>
      <xdr:col>12</xdr:col>
      <xdr:colOff>495299</xdr:colOff>
      <xdr:row>16</xdr:row>
      <xdr:rowOff>142874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238126</xdr:colOff>
      <xdr:row>11</xdr:row>
      <xdr:rowOff>47624</xdr:rowOff>
    </xdr:from>
    <xdr:to>
      <xdr:col>18</xdr:col>
      <xdr:colOff>257176</xdr:colOff>
      <xdr:row>28</xdr:row>
      <xdr:rowOff>57149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7</xdr:row>
      <xdr:rowOff>133350</xdr:rowOff>
    </xdr:from>
    <xdr:to>
      <xdr:col>7</xdr:col>
      <xdr:colOff>9526</xdr:colOff>
      <xdr:row>22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d@V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mailto:d@V" TargetMode="External"/><Relationship Id="rId1" Type="http://schemas.openxmlformats.org/officeDocument/2006/relationships/hyperlink" Target="mailto:d@V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mailto:d@V" TargetMode="External"/><Relationship Id="rId4" Type="http://schemas.openxmlformats.org/officeDocument/2006/relationships/hyperlink" Target="mailto:d@V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aliexpress.ru/store/3898022" TargetMode="External"/><Relationship Id="rId2" Type="http://schemas.openxmlformats.org/officeDocument/2006/relationships/hyperlink" Target="https://aliexpress.ru/store/3898022" TargetMode="External"/><Relationship Id="rId1" Type="http://schemas.openxmlformats.org/officeDocument/2006/relationships/hyperlink" Target="https://aliexpress.ru/store/3898022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N28"/>
  <sheetViews>
    <sheetView topLeftCell="C1" workbookViewId="0">
      <selection activeCell="H35" sqref="H35"/>
    </sheetView>
  </sheetViews>
  <sheetFormatPr defaultRowHeight="15"/>
  <cols>
    <col min="3" max="3" width="12.42578125" customWidth="1"/>
  </cols>
  <sheetData>
    <row r="1" spans="2:14">
      <c r="E1" t="s">
        <v>2</v>
      </c>
      <c r="F1" t="s">
        <v>4</v>
      </c>
      <c r="G1" t="s">
        <v>5</v>
      </c>
      <c r="J1" t="s">
        <v>0</v>
      </c>
    </row>
    <row r="2" spans="2:14">
      <c r="C2" s="1">
        <v>44075</v>
      </c>
      <c r="E2">
        <v>74500</v>
      </c>
      <c r="F2">
        <v>10</v>
      </c>
      <c r="G2">
        <v>-5</v>
      </c>
      <c r="J2" t="s">
        <v>1</v>
      </c>
      <c r="K2">
        <v>74500</v>
      </c>
      <c r="L2">
        <v>10</v>
      </c>
      <c r="M2">
        <v>-10</v>
      </c>
      <c r="N2">
        <f>L2+M2</f>
        <v>0</v>
      </c>
    </row>
    <row r="3" spans="2:14">
      <c r="E3">
        <v>74000</v>
      </c>
      <c r="G3">
        <v>5</v>
      </c>
      <c r="J3" t="s">
        <v>3</v>
      </c>
      <c r="K3">
        <v>74500</v>
      </c>
      <c r="L3">
        <v>-5</v>
      </c>
      <c r="N3">
        <f t="shared" ref="N3:N15" si="0">L3+M3</f>
        <v>-5</v>
      </c>
    </row>
    <row r="4" spans="2:14">
      <c r="E4">
        <v>73500</v>
      </c>
      <c r="G4">
        <v>10</v>
      </c>
      <c r="J4" t="s">
        <v>3</v>
      </c>
      <c r="K4">
        <v>74000</v>
      </c>
      <c r="L4">
        <v>5</v>
      </c>
      <c r="M4">
        <v>-5</v>
      </c>
      <c r="N4">
        <f t="shared" si="0"/>
        <v>0</v>
      </c>
    </row>
    <row r="5" spans="2:14">
      <c r="J5" t="s">
        <v>3</v>
      </c>
      <c r="K5">
        <v>73500</v>
      </c>
      <c r="L5">
        <v>10</v>
      </c>
      <c r="M5">
        <v>5</v>
      </c>
      <c r="N5">
        <f t="shared" si="0"/>
        <v>15</v>
      </c>
    </row>
    <row r="6" spans="2:14">
      <c r="J6" t="s">
        <v>1</v>
      </c>
      <c r="K6">
        <v>74000</v>
      </c>
      <c r="L6">
        <v>0</v>
      </c>
      <c r="M6">
        <v>13</v>
      </c>
      <c r="N6">
        <f t="shared" si="0"/>
        <v>13</v>
      </c>
    </row>
    <row r="7" spans="2:14">
      <c r="N7">
        <f t="shared" si="0"/>
        <v>0</v>
      </c>
    </row>
    <row r="8" spans="2:14">
      <c r="N8">
        <f t="shared" si="0"/>
        <v>0</v>
      </c>
    </row>
    <row r="9" spans="2:14">
      <c r="C9" s="1">
        <v>44091</v>
      </c>
      <c r="J9" t="s">
        <v>3</v>
      </c>
      <c r="K9">
        <v>75000</v>
      </c>
      <c r="L9">
        <v>10</v>
      </c>
      <c r="M9">
        <v>-3</v>
      </c>
      <c r="N9">
        <f t="shared" si="0"/>
        <v>7</v>
      </c>
    </row>
    <row r="10" spans="2:14">
      <c r="J10" t="s">
        <v>1</v>
      </c>
      <c r="K10">
        <v>75000</v>
      </c>
      <c r="L10">
        <v>7</v>
      </c>
      <c r="M10">
        <v>0</v>
      </c>
      <c r="N10">
        <f t="shared" si="0"/>
        <v>7</v>
      </c>
    </row>
    <row r="11" spans="2:14">
      <c r="C11">
        <f>SUM(C13:C28)</f>
        <v>24792.11</v>
      </c>
      <c r="J11" t="s">
        <v>3</v>
      </c>
      <c r="K11">
        <v>75500</v>
      </c>
      <c r="L11">
        <v>-8</v>
      </c>
      <c r="M11">
        <v>0</v>
      </c>
      <c r="N11">
        <f t="shared" si="0"/>
        <v>-8</v>
      </c>
    </row>
    <row r="12" spans="2:14">
      <c r="J12" t="s">
        <v>1</v>
      </c>
      <c r="K12">
        <v>75500</v>
      </c>
      <c r="L12">
        <v>-8</v>
      </c>
      <c r="M12">
        <v>3</v>
      </c>
      <c r="N12">
        <f t="shared" si="0"/>
        <v>-5</v>
      </c>
    </row>
    <row r="13" spans="2:14">
      <c r="B13" t="s">
        <v>55</v>
      </c>
      <c r="C13">
        <v>5155.8599999999997</v>
      </c>
      <c r="J13" t="s">
        <v>1</v>
      </c>
      <c r="K13">
        <v>76000</v>
      </c>
      <c r="L13">
        <v>5</v>
      </c>
      <c r="M13">
        <v>0</v>
      </c>
      <c r="N13">
        <f t="shared" si="0"/>
        <v>5</v>
      </c>
    </row>
    <row r="14" spans="2:14">
      <c r="B14" t="s">
        <v>56</v>
      </c>
      <c r="C14">
        <v>1163</v>
      </c>
      <c r="N14">
        <f t="shared" si="0"/>
        <v>0</v>
      </c>
    </row>
    <row r="15" spans="2:14">
      <c r="B15" t="s">
        <v>57</v>
      </c>
      <c r="C15">
        <v>1567.65</v>
      </c>
      <c r="N15">
        <f t="shared" si="0"/>
        <v>0</v>
      </c>
    </row>
    <row r="16" spans="2:14">
      <c r="B16" t="s">
        <v>58</v>
      </c>
      <c r="C16">
        <v>2427.3000000000002</v>
      </c>
    </row>
    <row r="17" spans="2:14">
      <c r="B17" t="s">
        <v>59</v>
      </c>
      <c r="C17">
        <v>1983.67</v>
      </c>
    </row>
    <row r="18" spans="2:14">
      <c r="B18" t="s">
        <v>60</v>
      </c>
      <c r="C18">
        <v>1953.41</v>
      </c>
    </row>
    <row r="19" spans="2:14">
      <c r="B19" t="s">
        <v>61</v>
      </c>
      <c r="C19">
        <v>622.19000000000005</v>
      </c>
    </row>
    <row r="20" spans="2:14">
      <c r="B20" t="s">
        <v>62</v>
      </c>
      <c r="C20">
        <v>857.75</v>
      </c>
    </row>
    <row r="21" spans="2:14">
      <c r="B21" t="s">
        <v>63</v>
      </c>
      <c r="C21">
        <v>431.9</v>
      </c>
      <c r="J21" t="s">
        <v>1</v>
      </c>
      <c r="K21">
        <v>75500</v>
      </c>
      <c r="L21">
        <v>-8</v>
      </c>
      <c r="M21">
        <v>3</v>
      </c>
      <c r="N21">
        <f t="shared" ref="N21" si="1">L21+M21</f>
        <v>-5</v>
      </c>
    </row>
    <row r="22" spans="2:14">
      <c r="B22" t="s">
        <v>63</v>
      </c>
      <c r="C22">
        <v>458.74</v>
      </c>
    </row>
    <row r="23" spans="2:14">
      <c r="B23" t="s">
        <v>63</v>
      </c>
      <c r="C23">
        <v>311.98</v>
      </c>
    </row>
    <row r="24" spans="2:14">
      <c r="B24" t="s">
        <v>64</v>
      </c>
      <c r="C24">
        <v>2526.65</v>
      </c>
    </row>
    <row r="25" spans="2:14">
      <c r="B25" t="s">
        <v>65</v>
      </c>
      <c r="C25">
        <v>2364.7800000000002</v>
      </c>
    </row>
    <row r="26" spans="2:14">
      <c r="B26" t="s">
        <v>66</v>
      </c>
      <c r="C26">
        <v>2191.08</v>
      </c>
    </row>
    <row r="27" spans="2:14">
      <c r="B27" t="s">
        <v>63</v>
      </c>
      <c r="C27">
        <v>423.97</v>
      </c>
    </row>
    <row r="28" spans="2:14">
      <c r="B28" t="s">
        <v>67</v>
      </c>
      <c r="C28">
        <v>352.18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10"/>
  <dimension ref="A1:AA37"/>
  <sheetViews>
    <sheetView topLeftCell="A28" workbookViewId="0">
      <selection activeCell="F46" sqref="F46"/>
    </sheetView>
  </sheetViews>
  <sheetFormatPr defaultRowHeight="15"/>
  <cols>
    <col min="1" max="1" width="10" customWidth="1"/>
    <col min="2" max="2" width="9.140625" customWidth="1"/>
    <col min="4" max="4" width="7.5703125" customWidth="1"/>
    <col min="5" max="5" width="10.140625" customWidth="1"/>
    <col min="6" max="6" width="10.7109375" customWidth="1"/>
    <col min="8" max="8" width="8.5703125" customWidth="1"/>
    <col min="9" max="9" width="9.28515625" customWidth="1"/>
    <col min="10" max="10" width="7.5703125" customWidth="1"/>
    <col min="11" max="11" width="9.42578125" customWidth="1"/>
    <col min="12" max="12" width="9" customWidth="1"/>
    <col min="13" max="13" width="8.140625" customWidth="1"/>
    <col min="14" max="14" width="9.85546875" customWidth="1"/>
    <col min="15" max="15" width="10" style="56" customWidth="1"/>
    <col min="16" max="16" width="9" customWidth="1"/>
    <col min="17" max="17" width="9.85546875" customWidth="1"/>
    <col min="18" max="18" width="8.7109375" customWidth="1"/>
    <col min="21" max="21" width="8.85546875" customWidth="1"/>
    <col min="22" max="22" width="9" customWidth="1"/>
    <col min="23" max="23" width="7.7109375" customWidth="1"/>
    <col min="26" max="26" width="13.140625" customWidth="1"/>
    <col min="27" max="27" width="10.42578125" customWidth="1"/>
  </cols>
  <sheetData>
    <row r="1" spans="1:27">
      <c r="A1" s="6">
        <f>SUMIF(E5:E99,"Total")</f>
        <v>0</v>
      </c>
      <c r="N1" s="63"/>
      <c r="O1" s="64"/>
      <c r="P1" s="63">
        <f>SUM(P2:P15)</f>
        <v>-1636</v>
      </c>
      <c r="Q1" s="63">
        <f t="shared" ref="Q1" si="0">SUM(Q2:Q15)</f>
        <v>4904</v>
      </c>
      <c r="R1" s="63">
        <f>SUM(R2:R11)</f>
        <v>880</v>
      </c>
      <c r="S1" s="65"/>
      <c r="T1" s="66"/>
      <c r="U1" s="65">
        <f>SUM(U2:U15)</f>
        <v>-3204</v>
      </c>
      <c r="V1" s="65">
        <f t="shared" ref="V1" si="1">SUM(V2:V15)</f>
        <v>1740</v>
      </c>
      <c r="W1" s="65">
        <f>SUM(W2:W12)</f>
        <v>-1464</v>
      </c>
    </row>
    <row r="2" spans="1:27">
      <c r="B2" s="57" t="s">
        <v>135</v>
      </c>
      <c r="C2" s="57">
        <v>44419</v>
      </c>
      <c r="D2" s="58" t="s">
        <v>49</v>
      </c>
      <c r="E2" s="58" t="s">
        <v>124</v>
      </c>
      <c r="F2" s="6">
        <f>SUM(F3+F4)</f>
        <v>985</v>
      </c>
      <c r="H2" s="59" t="s">
        <v>136</v>
      </c>
      <c r="I2" s="59">
        <v>44420</v>
      </c>
      <c r="J2" s="60" t="s">
        <v>49</v>
      </c>
      <c r="K2" s="60" t="s">
        <v>124</v>
      </c>
      <c r="L2" s="61">
        <f>SUM(L3:L7)</f>
        <v>1275</v>
      </c>
      <c r="N2" s="67" t="s">
        <v>44</v>
      </c>
      <c r="O2" s="64" t="s">
        <v>141</v>
      </c>
      <c r="P2" s="68" t="s">
        <v>138</v>
      </c>
      <c r="Q2" s="63" t="s">
        <v>139</v>
      </c>
      <c r="R2" s="63" t="s">
        <v>140</v>
      </c>
      <c r="S2" s="69" t="s">
        <v>134</v>
      </c>
      <c r="T2" s="66" t="s">
        <v>141</v>
      </c>
      <c r="U2" s="70" t="s">
        <v>138</v>
      </c>
      <c r="V2" s="65" t="s">
        <v>139</v>
      </c>
      <c r="W2" s="65" t="s">
        <v>140</v>
      </c>
    </row>
    <row r="3" spans="1:27">
      <c r="B3" t="s">
        <v>1</v>
      </c>
      <c r="C3">
        <v>32000</v>
      </c>
      <c r="D3">
        <v>5</v>
      </c>
      <c r="E3">
        <v>113</v>
      </c>
      <c r="F3">
        <f>D3*E3</f>
        <v>565</v>
      </c>
      <c r="H3" t="s">
        <v>3</v>
      </c>
      <c r="I3">
        <v>73000</v>
      </c>
      <c r="J3">
        <v>5</v>
      </c>
      <c r="K3">
        <v>113</v>
      </c>
      <c r="L3">
        <f>J3*K3</f>
        <v>565</v>
      </c>
      <c r="N3" s="63"/>
      <c r="O3" s="64">
        <v>44420</v>
      </c>
      <c r="P3" s="63">
        <v>981</v>
      </c>
      <c r="Q3" s="63">
        <v>-1275</v>
      </c>
      <c r="R3" s="63">
        <f>SUM(P3:Q3)</f>
        <v>-294</v>
      </c>
      <c r="S3" s="65"/>
      <c r="T3" s="66">
        <v>44419</v>
      </c>
      <c r="U3" s="70">
        <v>-8521</v>
      </c>
      <c r="V3" s="65">
        <v>10000</v>
      </c>
      <c r="W3" s="70">
        <f>U3+V3</f>
        <v>1479</v>
      </c>
    </row>
    <row r="4" spans="1:27">
      <c r="B4" t="s">
        <v>1</v>
      </c>
      <c r="C4">
        <v>32500</v>
      </c>
      <c r="D4">
        <v>10</v>
      </c>
      <c r="E4">
        <v>42</v>
      </c>
      <c r="F4">
        <f>D4*E4</f>
        <v>420</v>
      </c>
      <c r="H4" t="s">
        <v>3</v>
      </c>
      <c r="I4">
        <v>73000</v>
      </c>
      <c r="J4">
        <v>5</v>
      </c>
      <c r="K4">
        <v>58</v>
      </c>
      <c r="L4">
        <f>J4*K4</f>
        <v>290</v>
      </c>
      <c r="N4" s="63"/>
      <c r="O4" s="64">
        <v>44427</v>
      </c>
      <c r="P4" s="63">
        <v>-828</v>
      </c>
      <c r="Q4" s="63">
        <v>-702</v>
      </c>
      <c r="R4" s="63">
        <f t="shared" ref="R4:R5" si="2">SUM(P4:Q4)</f>
        <v>-1530</v>
      </c>
      <c r="S4" s="65"/>
      <c r="T4" s="66">
        <v>44426</v>
      </c>
      <c r="U4" s="65">
        <v>-537</v>
      </c>
      <c r="V4" s="65">
        <v>-1170</v>
      </c>
      <c r="W4" s="70">
        <f>U4+V4</f>
        <v>-1707</v>
      </c>
    </row>
    <row r="5" spans="1:27">
      <c r="E5" s="84"/>
      <c r="F5" s="84"/>
      <c r="H5" t="s">
        <v>1</v>
      </c>
      <c r="I5">
        <v>73000</v>
      </c>
      <c r="J5">
        <v>5</v>
      </c>
      <c r="K5">
        <v>58</v>
      </c>
      <c r="L5">
        <f>J5*K5</f>
        <v>290</v>
      </c>
      <c r="N5" s="63"/>
      <c r="O5" s="66">
        <v>44434</v>
      </c>
      <c r="P5" s="63">
        <v>-279</v>
      </c>
      <c r="Q5" s="63">
        <v>-705</v>
      </c>
      <c r="R5" s="63">
        <f t="shared" si="2"/>
        <v>-984</v>
      </c>
      <c r="S5" s="65"/>
      <c r="T5" s="66">
        <v>44433</v>
      </c>
      <c r="U5" s="65">
        <v>647</v>
      </c>
      <c r="V5" s="65">
        <v>-1870</v>
      </c>
      <c r="W5" s="70">
        <f>U5+V5</f>
        <v>-1223</v>
      </c>
    </row>
    <row r="6" spans="1:27">
      <c r="B6" s="57" t="s">
        <v>135</v>
      </c>
      <c r="C6" s="57">
        <v>44426</v>
      </c>
      <c r="D6" s="58" t="s">
        <v>49</v>
      </c>
      <c r="E6" s="58" t="s">
        <v>124</v>
      </c>
      <c r="F6" s="6">
        <f>SUM(F7:F10)</f>
        <v>3040</v>
      </c>
      <c r="H6" t="s">
        <v>137</v>
      </c>
      <c r="I6">
        <v>73500</v>
      </c>
      <c r="J6">
        <v>5</v>
      </c>
      <c r="K6">
        <v>26</v>
      </c>
      <c r="L6">
        <f t="shared" ref="L6:L13" si="3">J6*K6</f>
        <v>130</v>
      </c>
      <c r="O6" s="66">
        <v>44441</v>
      </c>
      <c r="P6" s="63">
        <v>-279</v>
      </c>
      <c r="Q6" s="63">
        <v>-705</v>
      </c>
      <c r="R6" s="63">
        <f t="shared" ref="R6" si="4">SUM(P6:Q6)</f>
        <v>-984</v>
      </c>
      <c r="S6" s="65"/>
      <c r="T6" s="66">
        <v>44440</v>
      </c>
      <c r="U6" s="65">
        <v>2675</v>
      </c>
      <c r="V6" s="65">
        <v>-2030</v>
      </c>
      <c r="W6" s="70">
        <f>U6+V6</f>
        <v>645</v>
      </c>
    </row>
    <row r="7" spans="1:27">
      <c r="B7" t="s">
        <v>1</v>
      </c>
      <c r="C7">
        <v>34000</v>
      </c>
      <c r="D7">
        <v>10</v>
      </c>
      <c r="E7">
        <v>110</v>
      </c>
      <c r="F7">
        <f>D7*E7</f>
        <v>1100</v>
      </c>
      <c r="L7">
        <f t="shared" si="3"/>
        <v>0</v>
      </c>
      <c r="O7" s="66">
        <v>44455</v>
      </c>
      <c r="P7" s="63">
        <v>-1828</v>
      </c>
      <c r="Q7" s="63">
        <v>6500</v>
      </c>
      <c r="R7" s="63">
        <f t="shared" ref="R7" si="5">SUM(P7:Q7)</f>
        <v>4672</v>
      </c>
      <c r="S7" s="65"/>
      <c r="T7" s="66">
        <v>44454</v>
      </c>
      <c r="U7" s="65">
        <v>2532</v>
      </c>
      <c r="V7" s="65">
        <v>-3190</v>
      </c>
      <c r="W7" s="70">
        <f>U7+V7</f>
        <v>-658</v>
      </c>
      <c r="Y7" t="s">
        <v>190</v>
      </c>
      <c r="Z7" t="s">
        <v>192</v>
      </c>
      <c r="AA7" t="s">
        <v>191</v>
      </c>
    </row>
    <row r="8" spans="1:27">
      <c r="B8" t="s">
        <v>1</v>
      </c>
      <c r="C8">
        <v>34000</v>
      </c>
      <c r="D8">
        <v>14</v>
      </c>
      <c r="E8">
        <v>5</v>
      </c>
      <c r="F8">
        <f>D8*E8</f>
        <v>70</v>
      </c>
      <c r="H8" s="59" t="s">
        <v>136</v>
      </c>
      <c r="I8" s="59">
        <v>44427</v>
      </c>
      <c r="J8" s="60" t="s">
        <v>49</v>
      </c>
      <c r="K8" s="60" t="s">
        <v>124</v>
      </c>
      <c r="L8" s="61">
        <f>SUM(L9:L13)</f>
        <v>702</v>
      </c>
    </row>
    <row r="9" spans="1:27">
      <c r="H9" t="s">
        <v>3</v>
      </c>
      <c r="I9">
        <v>73000</v>
      </c>
      <c r="J9">
        <v>10</v>
      </c>
      <c r="K9">
        <v>46</v>
      </c>
      <c r="L9">
        <f>J9*K9</f>
        <v>460</v>
      </c>
    </row>
    <row r="10" spans="1:27">
      <c r="B10" s="57" t="s">
        <v>135</v>
      </c>
      <c r="C10" s="57">
        <v>44433</v>
      </c>
      <c r="D10" s="58" t="s">
        <v>49</v>
      </c>
      <c r="E10" s="58" t="s">
        <v>124</v>
      </c>
      <c r="F10" s="6">
        <f>SUM(F11:F17)</f>
        <v>1870</v>
      </c>
      <c r="H10" t="s">
        <v>3</v>
      </c>
      <c r="I10">
        <v>72500</v>
      </c>
      <c r="J10">
        <v>3</v>
      </c>
      <c r="K10">
        <v>14</v>
      </c>
      <c r="L10" s="99">
        <f>J10*K10</f>
        <v>42</v>
      </c>
    </row>
    <row r="11" spans="1:27">
      <c r="B11" t="s">
        <v>1</v>
      </c>
      <c r="C11">
        <v>35000</v>
      </c>
      <c r="D11">
        <v>10</v>
      </c>
      <c r="E11">
        <v>58</v>
      </c>
      <c r="F11">
        <f>D11*E11</f>
        <v>580</v>
      </c>
      <c r="H11" t="s">
        <v>1</v>
      </c>
      <c r="I11">
        <v>74500</v>
      </c>
      <c r="J11">
        <v>0</v>
      </c>
      <c r="K11">
        <v>58</v>
      </c>
      <c r="L11" s="99">
        <f>J11*K11</f>
        <v>0</v>
      </c>
    </row>
    <row r="12" spans="1:27">
      <c r="B12" t="s">
        <v>1</v>
      </c>
      <c r="C12">
        <v>35000</v>
      </c>
      <c r="D12">
        <v>10</v>
      </c>
      <c r="E12">
        <v>14</v>
      </c>
      <c r="F12">
        <f>D12*E12</f>
        <v>140</v>
      </c>
      <c r="H12" t="s">
        <v>1</v>
      </c>
      <c r="I12">
        <v>75000</v>
      </c>
      <c r="J12">
        <v>10</v>
      </c>
      <c r="K12">
        <v>20</v>
      </c>
      <c r="L12" s="99">
        <f>J12*K12</f>
        <v>200</v>
      </c>
    </row>
    <row r="13" spans="1:27">
      <c r="B13" t="s">
        <v>1</v>
      </c>
      <c r="C13">
        <v>34000</v>
      </c>
      <c r="D13">
        <v>10</v>
      </c>
      <c r="E13">
        <v>58</v>
      </c>
      <c r="F13">
        <f t="shared" ref="F13:F19" si="6">D13*E13</f>
        <v>580</v>
      </c>
      <c r="L13">
        <f t="shared" si="3"/>
        <v>0</v>
      </c>
      <c r="N13">
        <f>O13/P13</f>
        <v>2.3324022346368714</v>
      </c>
      <c r="O13">
        <v>835</v>
      </c>
      <c r="P13">
        <v>358</v>
      </c>
      <c r="Q13">
        <f>P13*3</f>
        <v>1074</v>
      </c>
      <c r="R13">
        <f>Q13-O13</f>
        <v>239</v>
      </c>
    </row>
    <row r="14" spans="1:27">
      <c r="B14" t="s">
        <v>1</v>
      </c>
      <c r="C14">
        <v>34000</v>
      </c>
      <c r="D14">
        <v>5</v>
      </c>
      <c r="E14">
        <v>14</v>
      </c>
      <c r="F14">
        <f t="shared" si="6"/>
        <v>70</v>
      </c>
      <c r="H14" s="59" t="s">
        <v>136</v>
      </c>
      <c r="I14" s="59">
        <v>44434</v>
      </c>
      <c r="J14" s="60" t="s">
        <v>49</v>
      </c>
      <c r="K14" s="60" t="s">
        <v>124</v>
      </c>
      <c r="L14" s="61">
        <f>SUM(L15:L19)</f>
        <v>705</v>
      </c>
      <c r="N14">
        <f>O14/P14</f>
        <v>2.99163179916318</v>
      </c>
      <c r="O14">
        <v>715</v>
      </c>
      <c r="P14">
        <v>239</v>
      </c>
      <c r="Q14">
        <f>P14*3</f>
        <v>717</v>
      </c>
      <c r="R14">
        <f>Q14-O14</f>
        <v>2</v>
      </c>
    </row>
    <row r="15" spans="1:27">
      <c r="B15" t="s">
        <v>1</v>
      </c>
      <c r="C15">
        <v>33000</v>
      </c>
      <c r="D15">
        <v>5</v>
      </c>
      <c r="E15">
        <v>46</v>
      </c>
      <c r="F15">
        <f t="shared" si="6"/>
        <v>230</v>
      </c>
      <c r="H15" t="s">
        <v>3</v>
      </c>
      <c r="I15">
        <v>73500</v>
      </c>
      <c r="J15">
        <v>10</v>
      </c>
      <c r="K15">
        <v>34</v>
      </c>
      <c r="L15">
        <f>J15*K15</f>
        <v>340</v>
      </c>
    </row>
    <row r="16" spans="1:27">
      <c r="B16" t="s">
        <v>1</v>
      </c>
      <c r="C16">
        <v>33000</v>
      </c>
      <c r="D16">
        <v>5</v>
      </c>
      <c r="E16">
        <v>34</v>
      </c>
      <c r="F16">
        <f t="shared" si="6"/>
        <v>170</v>
      </c>
      <c r="H16" t="s">
        <v>3</v>
      </c>
      <c r="I16">
        <v>74000</v>
      </c>
      <c r="J16">
        <v>5</v>
      </c>
      <c r="K16">
        <v>68</v>
      </c>
      <c r="L16" s="99">
        <f>J16*K16</f>
        <v>340</v>
      </c>
    </row>
    <row r="17" spans="1:19">
      <c r="B17" t="s">
        <v>1</v>
      </c>
      <c r="C17">
        <v>33000</v>
      </c>
      <c r="D17">
        <v>5</v>
      </c>
      <c r="E17">
        <v>20</v>
      </c>
      <c r="F17">
        <f t="shared" si="6"/>
        <v>100</v>
      </c>
      <c r="H17" t="s">
        <v>1</v>
      </c>
      <c r="I17">
        <v>75000</v>
      </c>
      <c r="J17">
        <v>5</v>
      </c>
      <c r="K17">
        <v>5</v>
      </c>
      <c r="L17" s="99">
        <f>J17*K17</f>
        <v>25</v>
      </c>
    </row>
    <row r="18" spans="1:19">
      <c r="B18" t="s">
        <v>1</v>
      </c>
      <c r="C18">
        <v>32500</v>
      </c>
      <c r="D18">
        <v>5</v>
      </c>
      <c r="E18">
        <v>20</v>
      </c>
      <c r="F18">
        <f t="shared" si="6"/>
        <v>100</v>
      </c>
      <c r="H18" t="s">
        <v>1</v>
      </c>
      <c r="L18" s="99">
        <f>J18*K18</f>
        <v>0</v>
      </c>
    </row>
    <row r="19" spans="1:19">
      <c r="F19">
        <f t="shared" si="6"/>
        <v>0</v>
      </c>
    </row>
    <row r="20" spans="1:19">
      <c r="B20" s="57" t="s">
        <v>135</v>
      </c>
      <c r="C20" s="57">
        <v>44433</v>
      </c>
      <c r="D20" s="58" t="s">
        <v>49</v>
      </c>
      <c r="E20" s="58" t="s">
        <v>124</v>
      </c>
      <c r="F20" s="6">
        <f>SUM(F21:F23)</f>
        <v>2030</v>
      </c>
      <c r="H20" s="59" t="s">
        <v>136</v>
      </c>
      <c r="I20" s="59">
        <v>44455</v>
      </c>
      <c r="J20" s="60" t="s">
        <v>49</v>
      </c>
      <c r="K20" s="60" t="s">
        <v>124</v>
      </c>
      <c r="L20" s="61">
        <f>SUM(L21:L25)</f>
        <v>3575</v>
      </c>
      <c r="O20" s="126"/>
      <c r="P20" s="126">
        <f>SUM(P21:P24)</f>
        <v>6280</v>
      </c>
    </row>
    <row r="21" spans="1:19">
      <c r="B21" t="s">
        <v>1</v>
      </c>
      <c r="C21">
        <v>33500</v>
      </c>
      <c r="D21">
        <v>10</v>
      </c>
      <c r="E21">
        <v>55</v>
      </c>
      <c r="F21">
        <f>D21*E21</f>
        <v>550</v>
      </c>
      <c r="H21" t="s">
        <v>3</v>
      </c>
      <c r="I21">
        <v>74000</v>
      </c>
      <c r="J21">
        <v>5</v>
      </c>
      <c r="K21">
        <v>420</v>
      </c>
      <c r="L21">
        <f>J21*K21</f>
        <v>2100</v>
      </c>
      <c r="M21">
        <v>5</v>
      </c>
      <c r="N21">
        <v>1400</v>
      </c>
      <c r="O21" s="126">
        <f>M21*N21</f>
        <v>7000</v>
      </c>
      <c r="P21" s="126">
        <f>O21-L21</f>
        <v>4900</v>
      </c>
    </row>
    <row r="22" spans="1:19">
      <c r="B22" t="s">
        <v>1</v>
      </c>
      <c r="C22">
        <v>34000</v>
      </c>
      <c r="D22">
        <v>10</v>
      </c>
      <c r="E22">
        <v>14</v>
      </c>
      <c r="F22">
        <f t="shared" ref="F22:F23" si="7">D22*E22</f>
        <v>140</v>
      </c>
      <c r="H22" t="s">
        <v>3</v>
      </c>
      <c r="I22">
        <v>73000</v>
      </c>
      <c r="J22">
        <v>5</v>
      </c>
      <c r="K22">
        <v>260</v>
      </c>
      <c r="L22" s="99">
        <f>J22*K22</f>
        <v>1300</v>
      </c>
      <c r="M22" s="99">
        <v>5</v>
      </c>
      <c r="N22" s="99">
        <v>571</v>
      </c>
      <c r="O22" s="126">
        <f>M22*N22</f>
        <v>2855</v>
      </c>
      <c r="P22" s="126">
        <f>O22-L22</f>
        <v>1555</v>
      </c>
    </row>
    <row r="23" spans="1:19">
      <c r="B23" t="s">
        <v>1</v>
      </c>
      <c r="C23">
        <v>33000</v>
      </c>
      <c r="D23">
        <v>10</v>
      </c>
      <c r="E23">
        <v>134</v>
      </c>
      <c r="F23">
        <f t="shared" si="7"/>
        <v>1340</v>
      </c>
      <c r="H23" t="s">
        <v>3</v>
      </c>
      <c r="I23">
        <v>72000</v>
      </c>
      <c r="J23">
        <v>5</v>
      </c>
      <c r="K23">
        <v>35</v>
      </c>
      <c r="L23" s="99">
        <f>J23*K23</f>
        <v>175</v>
      </c>
      <c r="M23" s="99">
        <v>5</v>
      </c>
      <c r="N23" s="99">
        <v>0</v>
      </c>
      <c r="O23" s="126">
        <f>M23*N23</f>
        <v>0</v>
      </c>
      <c r="P23" s="126">
        <f>O23-L23</f>
        <v>-175</v>
      </c>
    </row>
    <row r="24" spans="1:19">
      <c r="O24" s="126"/>
    </row>
    <row r="25" spans="1:19">
      <c r="B25" s="57" t="s">
        <v>135</v>
      </c>
      <c r="C25" s="57">
        <v>44455</v>
      </c>
      <c r="D25" s="58" t="s">
        <v>49</v>
      </c>
      <c r="E25" s="58" t="s">
        <v>124</v>
      </c>
      <c r="F25" s="6">
        <f>SUM(F26:F31)</f>
        <v>18162</v>
      </c>
    </row>
    <row r="26" spans="1:19">
      <c r="B26" t="s">
        <v>1</v>
      </c>
      <c r="C26">
        <v>33500</v>
      </c>
      <c r="D26">
        <v>5</v>
      </c>
      <c r="E26">
        <v>500</v>
      </c>
      <c r="F26">
        <f>D26*E26</f>
        <v>2500</v>
      </c>
    </row>
    <row r="27" spans="1:19">
      <c r="B27" t="s">
        <v>1</v>
      </c>
      <c r="C27">
        <v>34000</v>
      </c>
      <c r="D27">
        <v>5</v>
      </c>
      <c r="E27">
        <v>100</v>
      </c>
      <c r="F27">
        <f t="shared" ref="F27:F28" si="8">D27*E27</f>
        <v>500</v>
      </c>
    </row>
    <row r="28" spans="1:19">
      <c r="B28" t="s">
        <v>3</v>
      </c>
      <c r="C28">
        <v>31500</v>
      </c>
      <c r="D28">
        <v>2</v>
      </c>
      <c r="E28">
        <v>95</v>
      </c>
      <c r="F28">
        <f t="shared" si="8"/>
        <v>190</v>
      </c>
    </row>
    <row r="29" spans="1:19" ht="15.75" thickBot="1">
      <c r="F29" t="s">
        <v>200</v>
      </c>
      <c r="G29">
        <v>2804</v>
      </c>
      <c r="H29" t="s">
        <v>197</v>
      </c>
      <c r="I29" t="s">
        <v>199</v>
      </c>
      <c r="O29" t="s">
        <v>200</v>
      </c>
      <c r="Q29" t="s">
        <v>201</v>
      </c>
      <c r="R29" t="s">
        <v>199</v>
      </c>
      <c r="S29" s="11" t="s">
        <v>202</v>
      </c>
    </row>
    <row r="30" spans="1:19">
      <c r="A30" s="136" t="s">
        <v>196</v>
      </c>
      <c r="B30" s="137" t="s">
        <v>139</v>
      </c>
      <c r="C30" s="137" t="s">
        <v>2</v>
      </c>
      <c r="D30" s="138" t="s">
        <v>49</v>
      </c>
      <c r="E30" s="166" t="s">
        <v>203</v>
      </c>
      <c r="F30" s="158">
        <f>SUM(F31:F37)</f>
        <v>13542</v>
      </c>
      <c r="G30" s="90" t="s">
        <v>198</v>
      </c>
      <c r="H30" s="144">
        <f>SUM(H31:H36)</f>
        <v>19250</v>
      </c>
      <c r="I30" s="145">
        <f>SUM(I31:I36)</f>
        <v>5708</v>
      </c>
      <c r="J30" s="136" t="s">
        <v>195</v>
      </c>
      <c r="K30" s="137" t="s">
        <v>139</v>
      </c>
      <c r="L30" s="137" t="s">
        <v>2</v>
      </c>
      <c r="M30" s="138" t="s">
        <v>49</v>
      </c>
      <c r="N30" s="166" t="s">
        <v>203</v>
      </c>
      <c r="O30" s="161">
        <f>SUM(O31:O37)</f>
        <v>35814</v>
      </c>
      <c r="P30" s="156" t="s">
        <v>198</v>
      </c>
      <c r="Q30" s="144">
        <f>SUM(Q31:Q37)</f>
        <v>1316</v>
      </c>
      <c r="R30" s="151">
        <f>SUM(R31:R36)</f>
        <v>-34492</v>
      </c>
      <c r="S30" s="164">
        <f>I30+R30</f>
        <v>-28784</v>
      </c>
    </row>
    <row r="31" spans="1:19">
      <c r="A31" s="108" t="s">
        <v>1</v>
      </c>
      <c r="B31" s="135">
        <v>44475</v>
      </c>
      <c r="C31" s="100">
        <v>34000</v>
      </c>
      <c r="D31" s="100">
        <v>5</v>
      </c>
      <c r="E31" s="165">
        <v>286</v>
      </c>
      <c r="F31" s="159">
        <f>D31*E31</f>
        <v>1430</v>
      </c>
      <c r="G31" s="154">
        <v>0</v>
      </c>
      <c r="H31" s="100">
        <f>D31*G31</f>
        <v>0</v>
      </c>
      <c r="I31" s="139">
        <f>H31-F31</f>
        <v>-1430</v>
      </c>
      <c r="J31" s="108" t="s">
        <v>3</v>
      </c>
      <c r="K31" s="135">
        <v>44469</v>
      </c>
      <c r="L31" s="100">
        <v>73000</v>
      </c>
      <c r="M31" s="100">
        <v>2</v>
      </c>
      <c r="N31" s="165">
        <v>133</v>
      </c>
      <c r="O31" s="162">
        <f>M31*N31</f>
        <v>266</v>
      </c>
      <c r="P31" s="157">
        <v>0</v>
      </c>
      <c r="Q31" s="100">
        <f>M31*P31</f>
        <v>0</v>
      </c>
      <c r="R31" s="152">
        <f>Q31-O31</f>
        <v>-266</v>
      </c>
      <c r="S31" s="165"/>
    </row>
    <row r="32" spans="1:19" ht="15.75" thickBot="1">
      <c r="A32" s="140" t="s">
        <v>1</v>
      </c>
      <c r="B32" s="141">
        <v>44489</v>
      </c>
      <c r="C32" s="142">
        <v>34000</v>
      </c>
      <c r="D32" s="142">
        <v>5</v>
      </c>
      <c r="E32" s="167">
        <v>460</v>
      </c>
      <c r="F32" s="160">
        <f t="shared" ref="F32:F34" si="9">D32*E32</f>
        <v>2300</v>
      </c>
      <c r="G32" s="155">
        <v>3850</v>
      </c>
      <c r="H32" s="142">
        <f>D32*G32</f>
        <v>19250</v>
      </c>
      <c r="I32" s="143">
        <f>H32-F32</f>
        <v>16950</v>
      </c>
      <c r="J32" s="140" t="s">
        <v>1</v>
      </c>
      <c r="K32" s="141">
        <v>44490</v>
      </c>
      <c r="L32" s="142">
        <v>74500</v>
      </c>
      <c r="M32" s="142">
        <v>5</v>
      </c>
      <c r="N32" s="167">
        <v>608</v>
      </c>
      <c r="O32" s="163">
        <f>M32*N32</f>
        <v>3040</v>
      </c>
      <c r="P32" s="112">
        <v>210</v>
      </c>
      <c r="Q32" s="142">
        <f>M32*P32</f>
        <v>1050</v>
      </c>
      <c r="R32" s="153">
        <f>Q32-O32</f>
        <v>-1990</v>
      </c>
      <c r="S32" s="165"/>
    </row>
    <row r="33" spans="1:19" s="12" customFormat="1" ht="15.75" thickBot="1">
      <c r="A33" s="146" t="s">
        <v>196</v>
      </c>
      <c r="B33" s="147">
        <v>44477</v>
      </c>
      <c r="C33" s="148"/>
      <c r="D33" s="148"/>
      <c r="E33" s="148"/>
      <c r="F33" s="150">
        <f>-List4!$W$13</f>
        <v>7012</v>
      </c>
      <c r="G33" s="148"/>
      <c r="H33" s="147"/>
      <c r="I33" s="150">
        <f>List4!$W$13</f>
        <v>-7012</v>
      </c>
      <c r="J33" s="146">
        <v>0</v>
      </c>
      <c r="K33" s="148">
        <v>95</v>
      </c>
      <c r="L33" s="148">
        <f t="shared" ref="L33" si="10">J33*K33</f>
        <v>0</v>
      </c>
      <c r="M33" s="148"/>
      <c r="N33" s="148"/>
      <c r="O33" s="150">
        <f>-List4!$Q$13</f>
        <v>31175</v>
      </c>
      <c r="P33" s="146"/>
      <c r="Q33" s="148"/>
      <c r="R33" s="149">
        <f>List4!$Q$13</f>
        <v>-31175</v>
      </c>
      <c r="S33" s="165"/>
    </row>
    <row r="34" spans="1:19" ht="15.75" thickBot="1">
      <c r="A34" s="99" t="s">
        <v>3</v>
      </c>
      <c r="B34" s="56">
        <v>44478</v>
      </c>
      <c r="C34">
        <v>33000</v>
      </c>
      <c r="D34">
        <v>0</v>
      </c>
      <c r="E34">
        <v>11</v>
      </c>
      <c r="F34" s="160">
        <f t="shared" si="9"/>
        <v>0</v>
      </c>
      <c r="G34" s="155">
        <v>0</v>
      </c>
      <c r="H34" s="142">
        <f>D34*G34</f>
        <v>0</v>
      </c>
      <c r="I34" s="143">
        <f>H34-F34</f>
        <v>0</v>
      </c>
      <c r="J34" s="140" t="s">
        <v>1</v>
      </c>
      <c r="K34" s="141">
        <v>44476</v>
      </c>
      <c r="L34" s="142">
        <v>74000</v>
      </c>
      <c r="M34" s="142">
        <v>5</v>
      </c>
      <c r="N34" s="167">
        <v>167</v>
      </c>
      <c r="O34" s="163">
        <f>M34*N34</f>
        <v>835</v>
      </c>
      <c r="P34" s="112">
        <v>0</v>
      </c>
      <c r="Q34" s="142">
        <f>M34*P34</f>
        <v>0</v>
      </c>
      <c r="R34" s="153">
        <f>Q34-O34</f>
        <v>-835</v>
      </c>
    </row>
    <row r="35" spans="1:19">
      <c r="A35" s="108" t="s">
        <v>1</v>
      </c>
      <c r="B35" s="135">
        <v>44475</v>
      </c>
      <c r="C35" s="100">
        <v>34000</v>
      </c>
      <c r="D35" s="100">
        <v>2</v>
      </c>
      <c r="E35" s="165">
        <v>1400</v>
      </c>
      <c r="F35" s="159">
        <f>D35*E35</f>
        <v>2800</v>
      </c>
      <c r="G35" s="154">
        <v>0</v>
      </c>
      <c r="H35" s="100">
        <f>D35*G35</f>
        <v>0</v>
      </c>
      <c r="I35" s="139">
        <f>H35-F35</f>
        <v>-2800</v>
      </c>
      <c r="J35" s="108" t="s">
        <v>3</v>
      </c>
      <c r="K35" s="135">
        <v>44469</v>
      </c>
      <c r="L35" s="100">
        <v>73000</v>
      </c>
      <c r="M35" s="100">
        <v>2</v>
      </c>
      <c r="N35" s="165">
        <v>133</v>
      </c>
      <c r="O35" s="162">
        <f>M35*N35</f>
        <v>266</v>
      </c>
      <c r="P35" s="157">
        <v>0</v>
      </c>
      <c r="Q35" s="100">
        <f>M35*P35</f>
        <v>0</v>
      </c>
      <c r="R35" s="152">
        <f>Q35-O35</f>
        <v>-266</v>
      </c>
      <c r="S35" s="165"/>
    </row>
    <row r="36" spans="1:19" ht="15.75" thickBot="1">
      <c r="B36" s="56"/>
      <c r="J36" s="108" t="s">
        <v>3</v>
      </c>
      <c r="K36" s="135">
        <v>44490</v>
      </c>
      <c r="L36" s="100">
        <v>71500</v>
      </c>
      <c r="M36" s="100">
        <v>2</v>
      </c>
      <c r="N36" s="165">
        <v>95</v>
      </c>
      <c r="O36" s="162">
        <f>M36*N36</f>
        <v>190</v>
      </c>
      <c r="P36" s="157">
        <v>115</v>
      </c>
      <c r="Q36" s="100">
        <f>M36*P36</f>
        <v>230</v>
      </c>
      <c r="R36" s="152">
        <f>Q36-O36</f>
        <v>40</v>
      </c>
    </row>
    <row r="37" spans="1:19" ht="15.75" thickBot="1">
      <c r="B37" s="56"/>
      <c r="G37" s="82"/>
      <c r="J37" s="108" t="s">
        <v>3</v>
      </c>
      <c r="K37" s="135">
        <v>44483</v>
      </c>
      <c r="L37" s="100">
        <v>71500</v>
      </c>
      <c r="M37" s="100">
        <v>1</v>
      </c>
      <c r="N37" s="165">
        <v>42</v>
      </c>
      <c r="O37" s="162">
        <f>M37*N37</f>
        <v>42</v>
      </c>
      <c r="P37" s="157">
        <v>36</v>
      </c>
      <c r="Q37" s="100">
        <f>M37*P37</f>
        <v>36</v>
      </c>
      <c r="R37" s="152">
        <f>Q37-O37</f>
        <v>-6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11"/>
  <dimension ref="C1:BE124"/>
  <sheetViews>
    <sheetView tabSelected="1" topLeftCell="Y79" zoomScaleNormal="100" workbookViewId="0">
      <selection activeCell="AC122" sqref="AC122"/>
    </sheetView>
  </sheetViews>
  <sheetFormatPr defaultRowHeight="15"/>
  <cols>
    <col min="3" max="3" width="14.7109375" customWidth="1"/>
    <col min="4" max="4" width="10.42578125" customWidth="1"/>
    <col min="5" max="5" width="10.7109375" customWidth="1"/>
    <col min="6" max="6" width="12.28515625" customWidth="1"/>
    <col min="7" max="7" width="14.42578125" customWidth="1"/>
    <col min="8" max="8" width="13.140625" customWidth="1"/>
    <col min="9" max="9" width="14.85546875" customWidth="1"/>
    <col min="10" max="10" width="13" customWidth="1"/>
    <col min="11" max="11" width="7.28515625" customWidth="1"/>
    <col min="12" max="12" width="8.5703125" customWidth="1"/>
    <col min="13" max="13" width="11" customWidth="1"/>
    <col min="14" max="14" width="9.42578125" customWidth="1"/>
    <col min="15" max="15" width="10.7109375" customWidth="1"/>
    <col min="16" max="16" width="11" customWidth="1"/>
    <col min="21" max="21" width="9.42578125" customWidth="1"/>
    <col min="25" max="25" width="11.140625" customWidth="1"/>
    <col min="29" max="29" width="9.85546875" customWidth="1"/>
    <col min="30" max="30" width="12.85546875" customWidth="1"/>
    <col min="31" max="31" width="12.42578125" customWidth="1"/>
    <col min="32" max="32" width="8.42578125" customWidth="1"/>
    <col min="33" max="33" width="13.5703125" customWidth="1"/>
    <col min="34" max="34" width="15.42578125" customWidth="1"/>
    <col min="35" max="35" width="14.28515625" customWidth="1"/>
    <col min="36" max="36" width="10.7109375" customWidth="1"/>
    <col min="38" max="38" width="10.28515625" customWidth="1"/>
    <col min="39" max="39" width="30.28515625" customWidth="1"/>
    <col min="40" max="40" width="15.7109375" customWidth="1"/>
    <col min="42" max="42" width="9.5703125" customWidth="1"/>
    <col min="43" max="43" width="17.42578125" customWidth="1"/>
    <col min="51" max="51" width="20.7109375" customWidth="1"/>
  </cols>
  <sheetData>
    <row r="1" spans="3:57" ht="15.75" thickBot="1"/>
    <row r="2" spans="3:57" ht="15.75" thickBot="1">
      <c r="C2" s="93" t="s">
        <v>144</v>
      </c>
      <c r="D2" s="90" t="s">
        <v>124</v>
      </c>
      <c r="E2" s="85" t="s">
        <v>145</v>
      </c>
      <c r="F2" s="96" t="s">
        <v>146</v>
      </c>
      <c r="G2" s="93" t="s">
        <v>144</v>
      </c>
      <c r="H2" s="90" t="s">
        <v>124</v>
      </c>
      <c r="I2" s="85" t="s">
        <v>145</v>
      </c>
      <c r="J2" s="86" t="s">
        <v>154</v>
      </c>
      <c r="M2" s="184" t="s">
        <v>121</v>
      </c>
      <c r="N2" s="184" t="s">
        <v>38</v>
      </c>
      <c r="O2" s="184" t="s">
        <v>205</v>
      </c>
    </row>
    <row r="3" spans="3:57">
      <c r="C3" s="94" t="s">
        <v>118</v>
      </c>
      <c r="D3" s="91" t="s">
        <v>116</v>
      </c>
      <c r="E3" s="83" t="s">
        <v>149</v>
      </c>
      <c r="F3" s="97" t="s">
        <v>148</v>
      </c>
      <c r="G3" s="94" t="s">
        <v>118</v>
      </c>
      <c r="H3" s="91" t="s">
        <v>156</v>
      </c>
      <c r="I3" s="83" t="s">
        <v>155</v>
      </c>
      <c r="J3" s="87" t="s">
        <v>153</v>
      </c>
      <c r="L3" s="120" t="s">
        <v>118</v>
      </c>
      <c r="M3" s="120" t="s">
        <v>116</v>
      </c>
      <c r="N3" s="120" t="s">
        <v>149</v>
      </c>
      <c r="O3" s="120" t="s">
        <v>148</v>
      </c>
      <c r="T3" s="197" t="s">
        <v>219</v>
      </c>
      <c r="U3" s="198" t="s">
        <v>219</v>
      </c>
      <c r="V3" s="199" t="s">
        <v>219</v>
      </c>
    </row>
    <row r="4" spans="3:57" ht="15.75" thickBot="1">
      <c r="C4" s="94" t="s">
        <v>116</v>
      </c>
      <c r="D4" s="91" t="s">
        <v>147</v>
      </c>
      <c r="E4" s="83" t="s">
        <v>150</v>
      </c>
      <c r="F4" s="97" t="s">
        <v>151</v>
      </c>
      <c r="G4" s="94" t="s">
        <v>116</v>
      </c>
      <c r="H4" s="91" t="s">
        <v>158</v>
      </c>
      <c r="I4" s="83" t="s">
        <v>150</v>
      </c>
      <c r="J4" s="87" t="s">
        <v>157</v>
      </c>
      <c r="L4" s="120" t="s">
        <v>143</v>
      </c>
      <c r="M4" s="120" t="s">
        <v>148</v>
      </c>
      <c r="N4" s="120" t="s">
        <v>162</v>
      </c>
      <c r="O4" s="120" t="s">
        <v>152</v>
      </c>
      <c r="T4" s="200" t="s">
        <v>220</v>
      </c>
      <c r="U4" s="201" t="s">
        <v>223</v>
      </c>
      <c r="V4" s="202" t="s">
        <v>226</v>
      </c>
    </row>
    <row r="5" spans="3:57">
      <c r="C5" s="94" t="s">
        <v>142</v>
      </c>
      <c r="D5" s="91"/>
      <c r="E5" s="83"/>
      <c r="F5" s="97"/>
      <c r="G5" s="94" t="s">
        <v>142</v>
      </c>
      <c r="H5" s="91"/>
      <c r="I5" s="83"/>
      <c r="J5" s="87"/>
      <c r="L5" t="s">
        <v>142</v>
      </c>
      <c r="M5" t="s">
        <v>149</v>
      </c>
      <c r="O5" t="s">
        <v>162</v>
      </c>
      <c r="T5" s="203" t="s">
        <v>219</v>
      </c>
      <c r="U5" s="204" t="s">
        <v>219</v>
      </c>
      <c r="V5" s="205" t="s">
        <v>219</v>
      </c>
    </row>
    <row r="6" spans="3:57" ht="15.75" thickBot="1">
      <c r="C6" s="95" t="s">
        <v>143</v>
      </c>
      <c r="D6" s="92" t="s">
        <v>148</v>
      </c>
      <c r="E6" s="88" t="s">
        <v>162</v>
      </c>
      <c r="F6" s="98" t="s">
        <v>152</v>
      </c>
      <c r="G6" s="95" t="s">
        <v>143</v>
      </c>
      <c r="H6" s="92" t="s">
        <v>159</v>
      </c>
      <c r="I6" s="88" t="s">
        <v>160</v>
      </c>
      <c r="J6" s="89" t="s">
        <v>161</v>
      </c>
      <c r="T6" s="206" t="s">
        <v>221</v>
      </c>
      <c r="U6" s="207" t="s">
        <v>224</v>
      </c>
      <c r="V6" s="208" t="s">
        <v>227</v>
      </c>
    </row>
    <row r="7" spans="3:57" ht="15.75" thickBot="1">
      <c r="O7" s="185"/>
      <c r="P7" s="185" t="s">
        <v>121</v>
      </c>
      <c r="Q7" s="185" t="s">
        <v>205</v>
      </c>
      <c r="R7" s="185" t="s">
        <v>38</v>
      </c>
      <c r="T7" s="209" t="s">
        <v>219</v>
      </c>
      <c r="U7" s="210" t="s">
        <v>219</v>
      </c>
      <c r="V7" s="211" t="s">
        <v>219</v>
      </c>
    </row>
    <row r="8" spans="3:57" ht="15.75" thickBot="1">
      <c r="C8" s="82" t="s">
        <v>144</v>
      </c>
      <c r="D8" s="80" t="s">
        <v>124</v>
      </c>
      <c r="E8" s="81" t="s">
        <v>145</v>
      </c>
      <c r="F8" s="62" t="s">
        <v>146</v>
      </c>
      <c r="O8" s="186" t="s">
        <v>118</v>
      </c>
      <c r="P8" s="186" t="s">
        <v>116</v>
      </c>
      <c r="Q8" s="186" t="s">
        <v>148</v>
      </c>
      <c r="R8" s="186" t="s">
        <v>149</v>
      </c>
      <c r="T8" s="212" t="s">
        <v>222</v>
      </c>
      <c r="U8" s="213" t="s">
        <v>225</v>
      </c>
      <c r="V8" s="214" t="s">
        <v>228</v>
      </c>
      <c r="AH8" s="325" t="s">
        <v>358</v>
      </c>
    </row>
    <row r="9" spans="3:57">
      <c r="C9" s="77" t="s">
        <v>118</v>
      </c>
      <c r="D9" s="16" t="s">
        <v>116</v>
      </c>
      <c r="E9" s="71" t="s">
        <v>149</v>
      </c>
      <c r="F9" s="72" t="s">
        <v>148</v>
      </c>
      <c r="O9" s="186" t="s">
        <v>143</v>
      </c>
      <c r="P9" s="186" t="s">
        <v>148</v>
      </c>
      <c r="Q9" s="186" t="s">
        <v>152</v>
      </c>
      <c r="R9" s="186" t="s">
        <v>162</v>
      </c>
      <c r="AH9" s="325" t="s">
        <v>249</v>
      </c>
    </row>
    <row r="10" spans="3:57" ht="15.75" thickBot="1">
      <c r="C10" s="78"/>
      <c r="D10" s="18"/>
      <c r="E10" s="73"/>
      <c r="F10" s="74"/>
      <c r="O10" s="187" t="s">
        <v>142</v>
      </c>
      <c r="P10" s="187" t="s">
        <v>149</v>
      </c>
      <c r="Q10" s="187" t="s">
        <v>162</v>
      </c>
      <c r="R10" s="189" t="s">
        <v>206</v>
      </c>
    </row>
    <row r="11" spans="3:57" ht="15.75" thickBot="1">
      <c r="C11" s="78" t="s">
        <v>116</v>
      </c>
      <c r="D11" s="18" t="s">
        <v>147</v>
      </c>
      <c r="E11" s="73" t="s">
        <v>150</v>
      </c>
      <c r="F11" s="74" t="s">
        <v>151</v>
      </c>
      <c r="I11" t="s">
        <v>174</v>
      </c>
      <c r="J11" t="s">
        <v>173</v>
      </c>
      <c r="L11">
        <v>252</v>
      </c>
      <c r="M11">
        <v>365</v>
      </c>
      <c r="O11" s="188" t="s">
        <v>116</v>
      </c>
      <c r="P11" s="188" t="s">
        <v>147</v>
      </c>
      <c r="Q11" s="188" t="s">
        <v>151</v>
      </c>
      <c r="R11" s="188" t="s">
        <v>150</v>
      </c>
    </row>
    <row r="12" spans="3:57" ht="19.5" thickBot="1">
      <c r="C12" s="78"/>
      <c r="D12" s="18"/>
      <c r="E12" s="73"/>
      <c r="F12" s="74"/>
      <c r="I12" s="1">
        <v>44455</v>
      </c>
      <c r="J12" s="1">
        <v>44435</v>
      </c>
      <c r="K12">
        <f>I12-J12</f>
        <v>20</v>
      </c>
      <c r="L12">
        <f>K12/252</f>
        <v>7.9365079365079361E-2</v>
      </c>
      <c r="M12">
        <f>K12/365</f>
        <v>5.4794520547945202E-2</v>
      </c>
      <c r="O12" s="187" t="s">
        <v>152</v>
      </c>
      <c r="P12" s="79"/>
      <c r="Q12" s="187" t="s">
        <v>212</v>
      </c>
      <c r="R12" s="79"/>
      <c r="AY12" s="433" t="s">
        <v>346</v>
      </c>
      <c r="AZ12" s="430" t="s">
        <v>347</v>
      </c>
      <c r="BA12" s="431"/>
      <c r="BB12" s="431"/>
      <c r="BC12" s="431"/>
      <c r="BD12" s="431"/>
      <c r="BE12" s="432"/>
    </row>
    <row r="13" spans="3:57" ht="15.75" thickBot="1">
      <c r="C13" s="78" t="s">
        <v>142</v>
      </c>
      <c r="D13" s="18"/>
      <c r="E13" s="73"/>
      <c r="F13" s="74"/>
      <c r="S13" s="235"/>
      <c r="T13" s="226" t="s">
        <v>121</v>
      </c>
      <c r="U13" s="225" t="s">
        <v>205</v>
      </c>
      <c r="V13" s="226" t="s">
        <v>38</v>
      </c>
      <c r="X13" s="235"/>
      <c r="Y13" s="226" t="s">
        <v>121</v>
      </c>
      <c r="Z13" s="225" t="s">
        <v>205</v>
      </c>
      <c r="AA13" s="226" t="s">
        <v>38</v>
      </c>
      <c r="AC13" s="261"/>
      <c r="AD13" s="426" t="s">
        <v>121</v>
      </c>
      <c r="AE13" s="428"/>
      <c r="AF13" s="426" t="s">
        <v>205</v>
      </c>
      <c r="AG13" s="428"/>
      <c r="AH13" s="426" t="s">
        <v>38</v>
      </c>
      <c r="AI13" s="428"/>
      <c r="AQ13" s="26" t="s">
        <v>345</v>
      </c>
      <c r="AR13" s="426" t="s">
        <v>121</v>
      </c>
      <c r="AS13" s="428"/>
      <c r="AT13" s="426" t="s">
        <v>205</v>
      </c>
      <c r="AU13" s="428"/>
      <c r="AV13" s="426" t="s">
        <v>38</v>
      </c>
      <c r="AW13" s="428"/>
      <c r="AY13" s="434"/>
      <c r="AZ13" s="426" t="s">
        <v>121</v>
      </c>
      <c r="BA13" s="428"/>
      <c r="BB13" s="426" t="s">
        <v>205</v>
      </c>
      <c r="BC13" s="428"/>
      <c r="BD13" s="426" t="s">
        <v>38</v>
      </c>
      <c r="BE13" s="428"/>
    </row>
    <row r="14" spans="3:57" ht="15.75" thickBot="1">
      <c r="C14" s="78"/>
      <c r="D14" s="18"/>
      <c r="E14" s="73"/>
      <c r="F14" s="74"/>
      <c r="H14" t="s">
        <v>208</v>
      </c>
      <c r="I14" t="s">
        <v>53</v>
      </c>
      <c r="J14" t="s">
        <v>207</v>
      </c>
      <c r="S14" s="238" t="s">
        <v>118</v>
      </c>
      <c r="T14" s="227" t="s">
        <v>230</v>
      </c>
      <c r="U14" s="211" t="s">
        <v>230</v>
      </c>
      <c r="V14" s="219" t="s">
        <v>230</v>
      </c>
      <c r="X14" s="225" t="s">
        <v>118</v>
      </c>
      <c r="Y14" s="229" t="s">
        <v>116</v>
      </c>
      <c r="Z14" s="214" t="s">
        <v>148</v>
      </c>
      <c r="AA14" s="213" t="s">
        <v>149</v>
      </c>
      <c r="AC14" s="26" t="s">
        <v>118</v>
      </c>
      <c r="AD14" s="446" t="s">
        <v>116</v>
      </c>
      <c r="AE14" s="443"/>
      <c r="AF14" s="447" t="s">
        <v>148</v>
      </c>
      <c r="AG14" s="448"/>
      <c r="AH14" s="449" t="s">
        <v>149</v>
      </c>
      <c r="AI14" s="450"/>
      <c r="AK14" t="s">
        <v>116</v>
      </c>
      <c r="AL14" t="s">
        <v>301</v>
      </c>
      <c r="AM14" t="s">
        <v>300</v>
      </c>
      <c r="AQ14" s="26" t="s">
        <v>118</v>
      </c>
      <c r="AR14" s="446" t="s">
        <v>116</v>
      </c>
      <c r="AS14" s="443"/>
      <c r="AT14" s="447" t="s">
        <v>148</v>
      </c>
      <c r="AU14" s="448"/>
      <c r="AV14" s="449" t="s">
        <v>149</v>
      </c>
      <c r="AW14" s="450"/>
      <c r="AY14" s="26" t="s">
        <v>116</v>
      </c>
      <c r="AZ14" s="441" t="s">
        <v>147</v>
      </c>
      <c r="BA14" s="425"/>
      <c r="BB14" s="439" t="s">
        <v>151</v>
      </c>
      <c r="BC14" s="440"/>
      <c r="BD14" s="435" t="s">
        <v>150</v>
      </c>
      <c r="BE14" s="436"/>
    </row>
    <row r="15" spans="3:57" ht="15.75" thickBot="1">
      <c r="C15" s="79" t="s">
        <v>143</v>
      </c>
      <c r="D15" s="17" t="s">
        <v>148</v>
      </c>
      <c r="E15" s="75" t="s">
        <v>163</v>
      </c>
      <c r="F15" s="76" t="s">
        <v>152</v>
      </c>
      <c r="H15" t="s">
        <v>209</v>
      </c>
      <c r="I15" t="s">
        <v>210</v>
      </c>
      <c r="J15" t="s">
        <v>211</v>
      </c>
      <c r="S15" s="251" t="s">
        <v>246</v>
      </c>
      <c r="T15" s="228" t="s">
        <v>231</v>
      </c>
      <c r="U15" s="218" t="s">
        <v>233</v>
      </c>
      <c r="V15" s="217" t="s">
        <v>234</v>
      </c>
      <c r="X15" s="251" t="s">
        <v>246</v>
      </c>
      <c r="Y15" s="227" t="s">
        <v>230</v>
      </c>
      <c r="Z15" s="211" t="s">
        <v>230</v>
      </c>
      <c r="AA15" s="219" t="s">
        <v>230</v>
      </c>
      <c r="AC15" s="289" t="s">
        <v>246</v>
      </c>
      <c r="AD15" s="304" t="s">
        <v>122</v>
      </c>
      <c r="AE15" s="304" t="s">
        <v>230</v>
      </c>
      <c r="AF15" s="296" t="s">
        <v>122</v>
      </c>
      <c r="AG15" s="295" t="s">
        <v>230</v>
      </c>
      <c r="AH15" s="299" t="s">
        <v>122</v>
      </c>
      <c r="AI15" s="298" t="s">
        <v>230</v>
      </c>
      <c r="AK15" t="s">
        <v>148</v>
      </c>
      <c r="AL15" t="s">
        <v>303</v>
      </c>
      <c r="AM15" t="s">
        <v>302</v>
      </c>
      <c r="AN15" t="s">
        <v>306</v>
      </c>
      <c r="AQ15" s="289" t="s">
        <v>246</v>
      </c>
      <c r="AR15" s="304" t="s">
        <v>122</v>
      </c>
      <c r="AS15" s="304" t="s">
        <v>230</v>
      </c>
      <c r="AT15" s="296" t="s">
        <v>122</v>
      </c>
      <c r="AU15" s="295" t="s">
        <v>230</v>
      </c>
      <c r="AV15" s="299" t="s">
        <v>122</v>
      </c>
      <c r="AW15" s="298" t="s">
        <v>230</v>
      </c>
      <c r="AY15" s="290" t="s">
        <v>230</v>
      </c>
      <c r="AZ15" s="301" t="s">
        <v>255</v>
      </c>
      <c r="BA15" s="301" t="s">
        <v>236</v>
      </c>
      <c r="BB15" s="314" t="s">
        <v>255</v>
      </c>
      <c r="BC15" s="312" t="s">
        <v>236</v>
      </c>
      <c r="BD15" s="322" t="s">
        <v>255</v>
      </c>
      <c r="BE15" s="320" t="s">
        <v>236</v>
      </c>
    </row>
    <row r="16" spans="3:57" ht="15.75" thickBot="1">
      <c r="R16" s="80"/>
      <c r="S16" s="237" t="s">
        <v>247</v>
      </c>
      <c r="T16" s="229" t="s">
        <v>116</v>
      </c>
      <c r="U16" s="214" t="s">
        <v>148</v>
      </c>
      <c r="V16" s="213" t="s">
        <v>149</v>
      </c>
      <c r="X16" s="237" t="s">
        <v>247</v>
      </c>
      <c r="Y16" s="228" t="s">
        <v>231</v>
      </c>
      <c r="Z16" s="218" t="s">
        <v>233</v>
      </c>
      <c r="AA16" s="217" t="s">
        <v>234</v>
      </c>
      <c r="AC16" s="288" t="s">
        <v>247</v>
      </c>
      <c r="AD16" s="305" t="s">
        <v>120</v>
      </c>
      <c r="AE16" s="305" t="s">
        <v>231</v>
      </c>
      <c r="AF16" s="297" t="s">
        <v>252</v>
      </c>
      <c r="AG16" s="306" t="s">
        <v>256</v>
      </c>
      <c r="AH16" s="300" t="s">
        <v>249</v>
      </c>
      <c r="AI16" s="317" t="s">
        <v>234</v>
      </c>
      <c r="AK16" t="s">
        <v>149</v>
      </c>
      <c r="AL16" t="s">
        <v>304</v>
      </c>
      <c r="AM16" t="s">
        <v>305</v>
      </c>
      <c r="AN16" t="s">
        <v>307</v>
      </c>
      <c r="AQ16" s="288" t="s">
        <v>247</v>
      </c>
      <c r="AR16" s="305" t="s">
        <v>120</v>
      </c>
      <c r="AS16" s="305" t="s">
        <v>231</v>
      </c>
      <c r="AT16" s="297" t="s">
        <v>252</v>
      </c>
      <c r="AU16" s="306" t="s">
        <v>256</v>
      </c>
      <c r="AV16" s="300" t="s">
        <v>249</v>
      </c>
      <c r="AW16" s="317" t="s">
        <v>234</v>
      </c>
      <c r="AY16" s="291" t="s">
        <v>231</v>
      </c>
      <c r="AZ16" s="302" t="s">
        <v>120</v>
      </c>
      <c r="BA16" s="302" t="s">
        <v>237</v>
      </c>
      <c r="BB16" s="315" t="s">
        <v>252</v>
      </c>
      <c r="BC16" s="313" t="s">
        <v>257</v>
      </c>
      <c r="BD16" s="323" t="s">
        <v>249</v>
      </c>
      <c r="BE16" s="321" t="s">
        <v>245</v>
      </c>
    </row>
    <row r="17" spans="3:57" ht="15.75" thickBot="1">
      <c r="S17" s="236" t="s">
        <v>143</v>
      </c>
      <c r="T17" s="230" t="s">
        <v>230</v>
      </c>
      <c r="U17" s="197" t="s">
        <v>219</v>
      </c>
      <c r="V17" s="221" t="s">
        <v>230</v>
      </c>
      <c r="X17" s="225" t="s">
        <v>143</v>
      </c>
      <c r="Y17" s="257" t="s">
        <v>148</v>
      </c>
      <c r="Z17" s="256" t="s">
        <v>152</v>
      </c>
      <c r="AA17" s="255" t="s">
        <v>162</v>
      </c>
      <c r="AC17" s="26" t="s">
        <v>143</v>
      </c>
      <c r="AD17" s="451" t="s">
        <v>148</v>
      </c>
      <c r="AE17" s="448"/>
      <c r="AF17" s="442" t="s">
        <v>152</v>
      </c>
      <c r="AG17" s="443"/>
      <c r="AH17" s="444" t="s">
        <v>162</v>
      </c>
      <c r="AI17" s="445"/>
      <c r="AK17" t="s">
        <v>152</v>
      </c>
      <c r="AL17" t="s">
        <v>308</v>
      </c>
      <c r="AM17" t="s">
        <v>309</v>
      </c>
      <c r="AQ17" s="26" t="s">
        <v>143</v>
      </c>
      <c r="AR17" s="451" t="s">
        <v>148</v>
      </c>
      <c r="AS17" s="448"/>
      <c r="AT17" s="442" t="s">
        <v>152</v>
      </c>
      <c r="AU17" s="443"/>
      <c r="AV17" s="444" t="s">
        <v>162</v>
      </c>
      <c r="AW17" s="445"/>
      <c r="AY17" s="26" t="s">
        <v>152</v>
      </c>
      <c r="AZ17" s="292"/>
      <c r="BA17" s="293"/>
      <c r="BB17" s="437" t="s">
        <v>212</v>
      </c>
      <c r="BC17" s="438"/>
      <c r="BD17" s="287"/>
      <c r="BE17" s="262"/>
    </row>
    <row r="18" spans="3:57" ht="15.75" thickBot="1">
      <c r="S18" s="236" t="s">
        <v>246</v>
      </c>
      <c r="T18" s="215" t="s">
        <v>243</v>
      </c>
      <c r="U18" s="216" t="s">
        <v>239</v>
      </c>
      <c r="V18" s="222" t="s">
        <v>232</v>
      </c>
      <c r="X18" s="236" t="s">
        <v>246</v>
      </c>
      <c r="Y18" s="230" t="s">
        <v>230</v>
      </c>
      <c r="Z18" s="197" t="s">
        <v>219</v>
      </c>
      <c r="AA18" s="221" t="s">
        <v>230</v>
      </c>
      <c r="AC18" s="290" t="s">
        <v>246</v>
      </c>
      <c r="AD18" s="296" t="s">
        <v>251</v>
      </c>
      <c r="AE18" s="296" t="s">
        <v>230</v>
      </c>
      <c r="AF18" s="304" t="s">
        <v>251</v>
      </c>
      <c r="AG18" s="303" t="s">
        <v>219</v>
      </c>
      <c r="AH18" s="310" t="s">
        <v>251</v>
      </c>
      <c r="AI18" s="318" t="s">
        <v>230</v>
      </c>
      <c r="AK18" t="s">
        <v>162</v>
      </c>
      <c r="AL18" t="s">
        <v>310</v>
      </c>
      <c r="AM18" t="s">
        <v>311</v>
      </c>
      <c r="AN18" t="s">
        <v>312</v>
      </c>
      <c r="AQ18" s="290" t="s">
        <v>246</v>
      </c>
      <c r="AR18" s="296" t="s">
        <v>251</v>
      </c>
      <c r="AS18" s="296" t="s">
        <v>230</v>
      </c>
      <c r="AT18" s="304" t="s">
        <v>251</v>
      </c>
      <c r="AU18" s="303" t="s">
        <v>219</v>
      </c>
      <c r="AV18" s="310" t="s">
        <v>251</v>
      </c>
      <c r="AW18" s="318" t="s">
        <v>230</v>
      </c>
      <c r="AY18" s="324" t="s">
        <v>230</v>
      </c>
      <c r="AZ18" s="325"/>
      <c r="BA18" s="325"/>
      <c r="BB18" s="316" t="s">
        <v>258</v>
      </c>
      <c r="BC18" s="326" t="s">
        <v>236</v>
      </c>
      <c r="BD18" s="263"/>
      <c r="BE18" s="286"/>
    </row>
    <row r="19" spans="3:57" ht="15.75" thickBot="1">
      <c r="C19">
        <v>365</v>
      </c>
      <c r="D19">
        <v>5</v>
      </c>
      <c r="E19">
        <f>SQRT(D19/C19)</f>
        <v>0.11704114719613055</v>
      </c>
      <c r="I19" s="103" t="s">
        <v>44</v>
      </c>
      <c r="J19" s="104" t="s">
        <v>164</v>
      </c>
      <c r="K19" s="104" t="s">
        <v>1</v>
      </c>
      <c r="L19" s="104" t="s">
        <v>3</v>
      </c>
      <c r="M19" s="104" t="s">
        <v>172</v>
      </c>
      <c r="N19" s="104" t="s">
        <v>169</v>
      </c>
      <c r="O19" s="104" t="s">
        <v>170</v>
      </c>
      <c r="P19" s="105" t="s">
        <v>168</v>
      </c>
      <c r="S19" s="237" t="s">
        <v>248</v>
      </c>
      <c r="T19" s="231" t="s">
        <v>148</v>
      </c>
      <c r="U19" s="200" t="s">
        <v>152</v>
      </c>
      <c r="V19" s="223" t="s">
        <v>162</v>
      </c>
      <c r="X19" s="237" t="s">
        <v>248</v>
      </c>
      <c r="Y19" s="215" t="s">
        <v>243</v>
      </c>
      <c r="Z19" s="216" t="s">
        <v>239</v>
      </c>
      <c r="AA19" s="222" t="s">
        <v>232</v>
      </c>
      <c r="AC19" s="291" t="s">
        <v>252</v>
      </c>
      <c r="AD19" s="297" t="s">
        <v>120</v>
      </c>
      <c r="AE19" s="297" t="s">
        <v>254</v>
      </c>
      <c r="AF19" s="305" t="s">
        <v>252</v>
      </c>
      <c r="AG19" s="307" t="s">
        <v>261</v>
      </c>
      <c r="AH19" s="311" t="s">
        <v>249</v>
      </c>
      <c r="AI19" s="309" t="s">
        <v>260</v>
      </c>
      <c r="AK19" t="s">
        <v>147</v>
      </c>
      <c r="AL19" t="s">
        <v>313</v>
      </c>
      <c r="AM19" t="s">
        <v>318</v>
      </c>
      <c r="AN19" t="s">
        <v>314</v>
      </c>
      <c r="AQ19" s="291" t="s">
        <v>252</v>
      </c>
      <c r="AR19" s="297" t="s">
        <v>120</v>
      </c>
      <c r="AS19" s="297" t="s">
        <v>254</v>
      </c>
      <c r="AT19" s="305" t="s">
        <v>252</v>
      </c>
      <c r="AU19" s="307" t="s">
        <v>261</v>
      </c>
      <c r="AV19" s="311" t="s">
        <v>249</v>
      </c>
      <c r="AW19" s="309" t="s">
        <v>260</v>
      </c>
      <c r="AY19" s="288" t="s">
        <v>261</v>
      </c>
      <c r="AZ19" s="294"/>
      <c r="BA19" s="294"/>
      <c r="BB19" s="327" t="s">
        <v>252</v>
      </c>
      <c r="BC19" s="328" t="s">
        <v>259</v>
      </c>
      <c r="BD19" s="264"/>
      <c r="BE19" s="265"/>
    </row>
    <row r="20" spans="3:57" ht="15.75" thickBot="1">
      <c r="C20">
        <v>365</v>
      </c>
      <c r="D20">
        <v>7</v>
      </c>
      <c r="E20">
        <f>SQRT(D20/C20)</f>
        <v>0.13848495294356286</v>
      </c>
      <c r="F20">
        <f>E20-E19</f>
        <v>2.1443805747432307E-2</v>
      </c>
      <c r="I20" s="106" t="s">
        <v>165</v>
      </c>
      <c r="J20" s="102">
        <v>8.4350000000000005</v>
      </c>
      <c r="K20" s="102">
        <v>404</v>
      </c>
      <c r="L20" s="102">
        <v>204</v>
      </c>
      <c r="M20" s="102">
        <f>K20+L20</f>
        <v>608</v>
      </c>
      <c r="N20" s="102">
        <f>K20*0.9</f>
        <v>363.6</v>
      </c>
      <c r="O20" s="102">
        <f>L20*0.9</f>
        <v>183.6</v>
      </c>
      <c r="P20" s="107">
        <f>N20+O20</f>
        <v>547.20000000000005</v>
      </c>
      <c r="S20" s="236" t="s">
        <v>142</v>
      </c>
      <c r="T20" s="232" t="s">
        <v>230</v>
      </c>
      <c r="U20" s="224" t="s">
        <v>230</v>
      </c>
      <c r="V20" s="197" t="s">
        <v>230</v>
      </c>
      <c r="X20" s="225" t="s">
        <v>142</v>
      </c>
      <c r="Y20" s="254" t="s">
        <v>149</v>
      </c>
      <c r="Z20" s="255" t="s">
        <v>162</v>
      </c>
      <c r="AA20" s="256" t="s">
        <v>229</v>
      </c>
      <c r="AC20" s="26" t="s">
        <v>142</v>
      </c>
      <c r="AD20" s="452" t="s">
        <v>149</v>
      </c>
      <c r="AE20" s="450"/>
      <c r="AF20" s="444" t="s">
        <v>162</v>
      </c>
      <c r="AG20" s="445"/>
      <c r="AH20" s="442" t="s">
        <v>343</v>
      </c>
      <c r="AI20" s="443"/>
      <c r="AK20" t="s">
        <v>151</v>
      </c>
      <c r="AL20" t="s">
        <v>315</v>
      </c>
      <c r="AM20" t="s">
        <v>317</v>
      </c>
      <c r="AN20" t="s">
        <v>316</v>
      </c>
      <c r="AQ20" s="26" t="s">
        <v>142</v>
      </c>
      <c r="AR20" s="452" t="s">
        <v>149</v>
      </c>
      <c r="AS20" s="450"/>
      <c r="AT20" s="444" t="s">
        <v>162</v>
      </c>
      <c r="AU20" s="445"/>
      <c r="AV20" s="442" t="s">
        <v>343</v>
      </c>
      <c r="AW20" s="443"/>
    </row>
    <row r="21" spans="3:57">
      <c r="C21">
        <v>255</v>
      </c>
      <c r="D21">
        <v>5</v>
      </c>
      <c r="E21">
        <f>SQRT(D21/C21)</f>
        <v>0.14002800840280097</v>
      </c>
      <c r="I21" s="108" t="s">
        <v>166</v>
      </c>
      <c r="J21" s="100">
        <v>8.4350000000000005</v>
      </c>
      <c r="K21" s="100">
        <v>460</v>
      </c>
      <c r="L21" s="100">
        <v>223</v>
      </c>
      <c r="M21" s="100">
        <f>K21+L21</f>
        <v>683</v>
      </c>
      <c r="N21" s="100">
        <f>K21*0.9</f>
        <v>414</v>
      </c>
      <c r="O21" s="100">
        <f>L21*0.9</f>
        <v>200.70000000000002</v>
      </c>
      <c r="P21" s="109">
        <f>N21+O21</f>
        <v>614.70000000000005</v>
      </c>
      <c r="S21" s="236" t="s">
        <v>246</v>
      </c>
      <c r="T21" s="233" t="s">
        <v>242</v>
      </c>
      <c r="U21" s="222" t="s">
        <v>241</v>
      </c>
      <c r="V21" s="216" t="s">
        <v>235</v>
      </c>
      <c r="X21" s="236" t="s">
        <v>246</v>
      </c>
      <c r="Y21" s="232" t="s">
        <v>230</v>
      </c>
      <c r="Z21" s="224" t="s">
        <v>230</v>
      </c>
      <c r="AA21" s="197" t="s">
        <v>230</v>
      </c>
      <c r="AC21" s="290" t="s">
        <v>246</v>
      </c>
      <c r="AD21" s="299" t="s">
        <v>253</v>
      </c>
      <c r="AE21" s="299" t="s">
        <v>230</v>
      </c>
      <c r="AF21" s="310" t="s">
        <v>253</v>
      </c>
      <c r="AG21" s="308" t="s">
        <v>230</v>
      </c>
      <c r="AH21" s="319" t="s">
        <v>253</v>
      </c>
      <c r="AI21" s="303" t="s">
        <v>230</v>
      </c>
      <c r="AK21" t="s">
        <v>150</v>
      </c>
      <c r="AL21" t="s">
        <v>319</v>
      </c>
      <c r="AM21" t="s">
        <v>320</v>
      </c>
      <c r="AN21" t="s">
        <v>321</v>
      </c>
      <c r="AQ21" s="290" t="s">
        <v>246</v>
      </c>
      <c r="AR21" s="299" t="s">
        <v>253</v>
      </c>
      <c r="AS21" s="299" t="s">
        <v>230</v>
      </c>
      <c r="AT21" s="310" t="s">
        <v>253</v>
      </c>
      <c r="AU21" s="308" t="s">
        <v>230</v>
      </c>
      <c r="AV21" s="319" t="s">
        <v>253</v>
      </c>
      <c r="AW21" s="303" t="s">
        <v>230</v>
      </c>
    </row>
    <row r="22" spans="3:57" ht="15.75" thickBot="1">
      <c r="C22">
        <v>255</v>
      </c>
      <c r="D22">
        <v>7</v>
      </c>
      <c r="E22">
        <f>SQRT(D22/C22)</f>
        <v>0.16568337391590279</v>
      </c>
      <c r="F22">
        <f>E22-E21</f>
        <v>2.5655365513101824E-2</v>
      </c>
      <c r="I22" s="110" t="s">
        <v>167</v>
      </c>
      <c r="J22" s="101"/>
      <c r="K22" s="101">
        <f>AVERAGE(K20:K21)</f>
        <v>432</v>
      </c>
      <c r="L22" s="101">
        <f>AVERAGE(L20:L21)</f>
        <v>213.5</v>
      </c>
      <c r="M22" s="101">
        <f>(K22+L22)</f>
        <v>645.5</v>
      </c>
      <c r="N22" s="101">
        <f t="shared" ref="N22:P22" si="0">(N20+N21)/2</f>
        <v>388.8</v>
      </c>
      <c r="O22" s="101">
        <f t="shared" si="0"/>
        <v>192.15</v>
      </c>
      <c r="P22" s="111">
        <f t="shared" si="0"/>
        <v>580.95000000000005</v>
      </c>
      <c r="S22" s="237" t="s">
        <v>249</v>
      </c>
      <c r="T22" s="234" t="s">
        <v>149</v>
      </c>
      <c r="U22" s="223" t="s">
        <v>162</v>
      </c>
      <c r="V22" s="200" t="s">
        <v>229</v>
      </c>
      <c r="X22" s="236" t="s">
        <v>249</v>
      </c>
      <c r="Y22" s="233" t="s">
        <v>242</v>
      </c>
      <c r="Z22" s="222" t="s">
        <v>241</v>
      </c>
      <c r="AA22" s="216" t="s">
        <v>235</v>
      </c>
      <c r="AC22" s="291" t="s">
        <v>249</v>
      </c>
      <c r="AD22" s="300" t="s">
        <v>120</v>
      </c>
      <c r="AE22" s="300" t="s">
        <v>242</v>
      </c>
      <c r="AF22" s="311" t="s">
        <v>252</v>
      </c>
      <c r="AG22" s="309" t="s">
        <v>240</v>
      </c>
      <c r="AH22" s="305" t="s">
        <v>249</v>
      </c>
      <c r="AI22" s="307" t="s">
        <v>235</v>
      </c>
      <c r="AK22" t="s">
        <v>212</v>
      </c>
      <c r="AL22" t="s">
        <v>322</v>
      </c>
      <c r="AM22" t="s">
        <v>323</v>
      </c>
      <c r="AN22" t="s">
        <v>324</v>
      </c>
      <c r="AQ22" s="291" t="s">
        <v>249</v>
      </c>
      <c r="AR22" s="300" t="s">
        <v>120</v>
      </c>
      <c r="AS22" s="300" t="s">
        <v>242</v>
      </c>
      <c r="AT22" s="311" t="s">
        <v>252</v>
      </c>
      <c r="AU22" s="309" t="s">
        <v>240</v>
      </c>
      <c r="AV22" s="305" t="s">
        <v>249</v>
      </c>
      <c r="AW22" s="307" t="s">
        <v>235</v>
      </c>
    </row>
    <row r="23" spans="3:57" ht="15.75" thickBot="1">
      <c r="I23" s="112" t="s">
        <v>171</v>
      </c>
      <c r="J23" s="113">
        <v>7.8</v>
      </c>
      <c r="K23" s="113">
        <v>430</v>
      </c>
      <c r="L23" s="113">
        <v>230</v>
      </c>
      <c r="M23" s="113">
        <v>598</v>
      </c>
      <c r="N23" s="113"/>
      <c r="O23" s="113"/>
      <c r="P23" s="114">
        <f>M23</f>
        <v>598</v>
      </c>
      <c r="S23" s="236" t="s">
        <v>116</v>
      </c>
      <c r="T23" s="240" t="s">
        <v>236</v>
      </c>
      <c r="U23" s="245" t="s">
        <v>236</v>
      </c>
      <c r="V23" s="239" t="s">
        <v>236</v>
      </c>
      <c r="X23" s="225" t="s">
        <v>116</v>
      </c>
      <c r="Y23" s="258" t="s">
        <v>147</v>
      </c>
      <c r="Z23" s="259" t="s">
        <v>151</v>
      </c>
      <c r="AA23" s="260" t="s">
        <v>150</v>
      </c>
      <c r="AC23" s="26" t="s">
        <v>116</v>
      </c>
      <c r="AD23" s="441" t="s">
        <v>147</v>
      </c>
      <c r="AE23" s="425"/>
      <c r="AF23" s="439" t="s">
        <v>151</v>
      </c>
      <c r="AG23" s="440"/>
      <c r="AH23" s="435" t="s">
        <v>150</v>
      </c>
      <c r="AI23" s="436"/>
      <c r="AQ23" s="26" t="s">
        <v>116</v>
      </c>
      <c r="AR23" s="441" t="s">
        <v>147</v>
      </c>
      <c r="AS23" s="425"/>
      <c r="AT23" s="439" t="s">
        <v>151</v>
      </c>
      <c r="AU23" s="440"/>
      <c r="AV23" s="435" t="s">
        <v>150</v>
      </c>
      <c r="AW23" s="436"/>
    </row>
    <row r="24" spans="3:57" ht="15.75" thickBot="1">
      <c r="S24" s="236" t="s">
        <v>230</v>
      </c>
      <c r="T24" s="241" t="s">
        <v>237</v>
      </c>
      <c r="U24" s="246" t="s">
        <v>244</v>
      </c>
      <c r="V24" s="243" t="s">
        <v>245</v>
      </c>
      <c r="X24" s="236" t="s">
        <v>230</v>
      </c>
      <c r="Y24" s="240" t="s">
        <v>236</v>
      </c>
      <c r="Z24" s="245" t="s">
        <v>236</v>
      </c>
      <c r="AA24" s="240" t="s">
        <v>236</v>
      </c>
      <c r="AC24" s="290" t="s">
        <v>230</v>
      </c>
      <c r="AD24" s="301" t="s">
        <v>255</v>
      </c>
      <c r="AE24" s="301" t="s">
        <v>236</v>
      </c>
      <c r="AF24" s="314" t="s">
        <v>255</v>
      </c>
      <c r="AG24" s="312" t="s">
        <v>236</v>
      </c>
      <c r="AH24" s="322" t="s">
        <v>255</v>
      </c>
      <c r="AI24" s="320" t="s">
        <v>236</v>
      </c>
      <c r="AK24" t="s">
        <v>118</v>
      </c>
      <c r="AL24" t="s">
        <v>325</v>
      </c>
      <c r="AQ24" s="290" t="s">
        <v>230</v>
      </c>
      <c r="AR24" s="301" t="s">
        <v>255</v>
      </c>
      <c r="AS24" s="301" t="s">
        <v>236</v>
      </c>
      <c r="AT24" s="314" t="s">
        <v>255</v>
      </c>
      <c r="AU24" s="312" t="s">
        <v>236</v>
      </c>
      <c r="AV24" s="322" t="s">
        <v>255</v>
      </c>
      <c r="AW24" s="320" t="s">
        <v>236</v>
      </c>
    </row>
    <row r="25" spans="3:57" ht="15.75" thickBot="1">
      <c r="H25" s="82"/>
      <c r="S25" s="237" t="s">
        <v>231</v>
      </c>
      <c r="T25" s="242" t="s">
        <v>147</v>
      </c>
      <c r="U25" s="247" t="s">
        <v>151</v>
      </c>
      <c r="V25" s="244" t="s">
        <v>150</v>
      </c>
      <c r="X25" s="237" t="s">
        <v>231</v>
      </c>
      <c r="Y25" s="241" t="s">
        <v>237</v>
      </c>
      <c r="Z25" s="246" t="s">
        <v>244</v>
      </c>
      <c r="AA25" s="253" t="s">
        <v>245</v>
      </c>
      <c r="AC25" s="291" t="s">
        <v>231</v>
      </c>
      <c r="AD25" s="302" t="s">
        <v>120</v>
      </c>
      <c r="AE25" s="302" t="s">
        <v>237</v>
      </c>
      <c r="AF25" s="315" t="s">
        <v>252</v>
      </c>
      <c r="AG25" s="313" t="s">
        <v>257</v>
      </c>
      <c r="AH25" s="323" t="s">
        <v>249</v>
      </c>
      <c r="AI25" s="321" t="s">
        <v>245</v>
      </c>
      <c r="AK25" t="s">
        <v>143</v>
      </c>
      <c r="AL25" t="s">
        <v>326</v>
      </c>
      <c r="AQ25" s="291" t="s">
        <v>231</v>
      </c>
      <c r="AR25" s="302" t="s">
        <v>120</v>
      </c>
      <c r="AS25" s="302" t="s">
        <v>237</v>
      </c>
      <c r="AT25" s="315" t="s">
        <v>252</v>
      </c>
      <c r="AU25" s="313" t="s">
        <v>257</v>
      </c>
      <c r="AV25" s="323" t="s">
        <v>249</v>
      </c>
      <c r="AW25" s="321" t="s">
        <v>245</v>
      </c>
    </row>
    <row r="26" spans="3:57" ht="15.75" thickBot="1">
      <c r="I26" t="s">
        <v>175</v>
      </c>
      <c r="J26" t="s">
        <v>166</v>
      </c>
      <c r="K26" t="s">
        <v>165</v>
      </c>
      <c r="L26" t="s">
        <v>178</v>
      </c>
      <c r="M26" t="s">
        <v>177</v>
      </c>
      <c r="N26" t="s">
        <v>176</v>
      </c>
      <c r="S26" s="236" t="s">
        <v>152</v>
      </c>
      <c r="T26" s="71"/>
      <c r="U26" s="248" t="s">
        <v>236</v>
      </c>
      <c r="V26" s="72"/>
      <c r="X26" s="225" t="s">
        <v>152</v>
      </c>
      <c r="Y26" s="81"/>
      <c r="Z26" s="252" t="s">
        <v>212</v>
      </c>
      <c r="AA26" s="196"/>
      <c r="AC26" s="26" t="s">
        <v>152</v>
      </c>
      <c r="AD26" s="462" t="s">
        <v>356</v>
      </c>
      <c r="AE26" s="463"/>
      <c r="AF26" s="437" t="s">
        <v>212</v>
      </c>
      <c r="AG26" s="438"/>
      <c r="AH26" s="457" t="s">
        <v>229</v>
      </c>
      <c r="AI26" s="458"/>
      <c r="AK26" t="s">
        <v>142</v>
      </c>
      <c r="AL26" t="s">
        <v>328</v>
      </c>
      <c r="AQ26" s="26" t="s">
        <v>152</v>
      </c>
      <c r="AR26" s="292"/>
      <c r="AS26" s="293"/>
      <c r="AT26" s="437" t="s">
        <v>212</v>
      </c>
      <c r="AU26" s="438"/>
      <c r="AV26" s="287"/>
      <c r="AW26" s="262"/>
    </row>
    <row r="27" spans="3:57" ht="15.75" thickBot="1">
      <c r="H27" t="s">
        <v>44</v>
      </c>
      <c r="I27" s="1">
        <v>44441</v>
      </c>
      <c r="J27">
        <v>183</v>
      </c>
      <c r="K27">
        <v>164</v>
      </c>
      <c r="L27">
        <f>J27/2+K27/2</f>
        <v>173.5</v>
      </c>
      <c r="M27">
        <f>J27-K27</f>
        <v>19</v>
      </c>
      <c r="N27" s="115">
        <f>M27/L27</f>
        <v>0.10951008645533142</v>
      </c>
      <c r="S27" s="236" t="s">
        <v>230</v>
      </c>
      <c r="T27" s="73"/>
      <c r="U27" s="249" t="s">
        <v>238</v>
      </c>
      <c r="V27" s="74"/>
      <c r="X27" s="236" t="s">
        <v>230</v>
      </c>
      <c r="Y27" s="73"/>
      <c r="Z27" s="249" t="s">
        <v>236</v>
      </c>
      <c r="AA27" s="74"/>
      <c r="AC27" s="353" t="s">
        <v>230</v>
      </c>
      <c r="AD27" s="355" t="s">
        <v>258</v>
      </c>
      <c r="AE27" s="356" t="s">
        <v>236</v>
      </c>
      <c r="AF27" s="326" t="s">
        <v>258</v>
      </c>
      <c r="AG27" s="326" t="s">
        <v>236</v>
      </c>
      <c r="AH27" s="368" t="s">
        <v>358</v>
      </c>
      <c r="AI27" s="369" t="s">
        <v>236</v>
      </c>
      <c r="AQ27" s="324" t="s">
        <v>230</v>
      </c>
      <c r="AR27" s="325"/>
      <c r="AS27" s="325"/>
      <c r="AT27" s="316" t="s">
        <v>258</v>
      </c>
      <c r="AU27" s="326" t="s">
        <v>236</v>
      </c>
      <c r="AV27" s="263"/>
      <c r="AW27" s="286"/>
    </row>
    <row r="28" spans="3:57" ht="15.75" thickBot="1">
      <c r="H28" t="s">
        <v>44</v>
      </c>
      <c r="I28" s="1">
        <v>44455</v>
      </c>
      <c r="J28">
        <v>485</v>
      </c>
      <c r="K28">
        <v>471</v>
      </c>
      <c r="L28">
        <f>J28/2+K28/2</f>
        <v>478</v>
      </c>
      <c r="M28">
        <f>J28-K28</f>
        <v>14</v>
      </c>
      <c r="N28" s="115">
        <f>M28/L28</f>
        <v>2.9288702928870293E-2</v>
      </c>
      <c r="S28" s="237" t="s">
        <v>239</v>
      </c>
      <c r="T28" s="75"/>
      <c r="U28" s="250" t="s">
        <v>212</v>
      </c>
      <c r="V28" s="76"/>
      <c r="X28" s="237" t="s">
        <v>239</v>
      </c>
      <c r="Y28" s="75"/>
      <c r="Z28" s="250" t="s">
        <v>238</v>
      </c>
      <c r="AA28" s="76"/>
      <c r="AC28" s="354" t="s">
        <v>261</v>
      </c>
      <c r="AD28" s="357" t="s">
        <v>120</v>
      </c>
      <c r="AE28" s="358" t="s">
        <v>357</v>
      </c>
      <c r="AF28" s="328" t="s">
        <v>252</v>
      </c>
      <c r="AG28" s="328" t="s">
        <v>259</v>
      </c>
      <c r="AH28" s="370" t="s">
        <v>249</v>
      </c>
      <c r="AI28" s="371" t="s">
        <v>352</v>
      </c>
      <c r="AQ28" s="288" t="s">
        <v>261</v>
      </c>
      <c r="AR28" s="294"/>
      <c r="AS28" s="294"/>
      <c r="AT28" s="327" t="s">
        <v>252</v>
      </c>
      <c r="AU28" s="328" t="s">
        <v>259</v>
      </c>
      <c r="AV28" s="264"/>
      <c r="AW28" s="265"/>
    </row>
    <row r="30" spans="3:57" ht="15.75" thickBot="1">
      <c r="T30" s="220"/>
      <c r="AH30" t="s">
        <v>353</v>
      </c>
    </row>
    <row r="31" spans="3:57">
      <c r="AC31" s="331" t="s">
        <v>344</v>
      </c>
      <c r="AE31" t="s">
        <v>148</v>
      </c>
      <c r="AF31" t="s">
        <v>152</v>
      </c>
      <c r="AH31" t="s">
        <v>354</v>
      </c>
      <c r="AI31" t="s">
        <v>355</v>
      </c>
      <c r="AK31" s="332" t="s">
        <v>329</v>
      </c>
      <c r="AL31" s="332" t="s">
        <v>307</v>
      </c>
      <c r="AM31" s="332" t="s">
        <v>340</v>
      </c>
    </row>
    <row r="32" spans="3:57">
      <c r="AK32" s="333"/>
      <c r="AL32" s="333"/>
      <c r="AM32" s="333" t="s">
        <v>331</v>
      </c>
    </row>
    <row r="33" spans="19:39">
      <c r="AK33" s="333"/>
      <c r="AL33" s="333" t="s">
        <v>304</v>
      </c>
      <c r="AM33" s="333" t="s">
        <v>332</v>
      </c>
    </row>
    <row r="34" spans="19:39" ht="15.75" thickBot="1">
      <c r="S34" t="s">
        <v>250</v>
      </c>
      <c r="AK34" s="334"/>
      <c r="AL34" s="334" t="s">
        <v>333</v>
      </c>
      <c r="AM34" s="334" t="s">
        <v>334</v>
      </c>
    </row>
    <row r="35" spans="19:39">
      <c r="AB35" s="84"/>
      <c r="AC35" s="84" t="s">
        <v>359</v>
      </c>
      <c r="AD35" s="84" t="s">
        <v>360</v>
      </c>
      <c r="AE35" s="84" t="s">
        <v>361</v>
      </c>
      <c r="AK35" s="77" t="s">
        <v>148</v>
      </c>
      <c r="AL35" s="77" t="s">
        <v>306</v>
      </c>
      <c r="AM35" s="77" t="s">
        <v>341</v>
      </c>
    </row>
    <row r="36" spans="19:39">
      <c r="AB36" s="84" t="s">
        <v>362</v>
      </c>
      <c r="AC36" s="84" t="s">
        <v>363</v>
      </c>
      <c r="AD36" s="84" t="s">
        <v>365</v>
      </c>
      <c r="AE36" s="100"/>
      <c r="AK36" s="335"/>
      <c r="AL36" s="335"/>
      <c r="AM36" s="335" t="s">
        <v>335</v>
      </c>
    </row>
    <row r="37" spans="19:39">
      <c r="AB37" s="84" t="s">
        <v>288</v>
      </c>
      <c r="AC37" s="84" t="s">
        <v>364</v>
      </c>
      <c r="AD37" s="100"/>
      <c r="AE37" s="100"/>
      <c r="AK37" s="333"/>
      <c r="AL37" s="333" t="s">
        <v>303</v>
      </c>
      <c r="AM37" s="333" t="s">
        <v>336</v>
      </c>
    </row>
    <row r="38" spans="19:39" ht="15.75" thickBot="1">
      <c r="AB38" s="84" t="s">
        <v>297</v>
      </c>
      <c r="AC38" s="100"/>
      <c r="AD38" s="100"/>
      <c r="AE38" s="100"/>
      <c r="AK38" s="336"/>
      <c r="AL38" s="336" t="s">
        <v>302</v>
      </c>
      <c r="AM38" s="336" t="s">
        <v>337</v>
      </c>
    </row>
    <row r="39" spans="19:39" ht="15.75" thickBot="1">
      <c r="AK39" s="77" t="s">
        <v>162</v>
      </c>
      <c r="AL39" s="337" t="s">
        <v>312</v>
      </c>
      <c r="AM39" s="332" t="s">
        <v>342</v>
      </c>
    </row>
    <row r="40" spans="19:39" ht="15.75" thickBot="1">
      <c r="AB40" s="353" t="s">
        <v>121</v>
      </c>
      <c r="AC40" s="301" t="s">
        <v>118</v>
      </c>
      <c r="AD40" s="361" t="s">
        <v>116</v>
      </c>
      <c r="AE40" s="301" t="s">
        <v>147</v>
      </c>
      <c r="AG40" s="469" t="s">
        <v>386</v>
      </c>
      <c r="AH40" s="301" t="s">
        <v>118</v>
      </c>
      <c r="AI40" s="361" t="s">
        <v>116</v>
      </c>
      <c r="AJ40" s="301" t="s">
        <v>147</v>
      </c>
      <c r="AK40" s="78"/>
      <c r="AL40" s="78"/>
      <c r="AM40" s="332" t="s">
        <v>330</v>
      </c>
    </row>
    <row r="41" spans="19:39" ht="15.75" thickBot="1">
      <c r="AB41" s="365" t="s">
        <v>376</v>
      </c>
      <c r="AC41" s="302" t="s">
        <v>359</v>
      </c>
      <c r="AD41" s="362" t="s">
        <v>360</v>
      </c>
      <c r="AE41" s="302" t="s">
        <v>361</v>
      </c>
      <c r="AG41" s="470"/>
      <c r="AH41" s="302" t="s">
        <v>359</v>
      </c>
      <c r="AI41" s="362" t="s">
        <v>360</v>
      </c>
      <c r="AJ41" s="302" t="s">
        <v>361</v>
      </c>
      <c r="AK41" s="78"/>
      <c r="AL41" s="78" t="s">
        <v>310</v>
      </c>
      <c r="AM41" s="338" t="s">
        <v>338</v>
      </c>
    </row>
    <row r="42" spans="19:39" ht="15.75" thickBot="1">
      <c r="AB42" s="301" t="s">
        <v>143</v>
      </c>
      <c r="AC42" s="363" t="s">
        <v>148</v>
      </c>
      <c r="AD42" s="301" t="s">
        <v>151</v>
      </c>
      <c r="AE42" s="360" t="s">
        <v>396</v>
      </c>
      <c r="AG42" s="301" t="s">
        <v>143</v>
      </c>
      <c r="AH42" s="363" t="s">
        <v>148</v>
      </c>
      <c r="AI42" s="301" t="s">
        <v>151</v>
      </c>
      <c r="AJ42" s="360"/>
      <c r="AK42" s="79"/>
      <c r="AL42" s="79" t="s">
        <v>311</v>
      </c>
      <c r="AM42" s="339" t="s">
        <v>339</v>
      </c>
    </row>
    <row r="43" spans="19:39" ht="15.75" thickBot="1">
      <c r="AB43" s="302" t="s">
        <v>362</v>
      </c>
      <c r="AC43" s="302" t="s">
        <v>363</v>
      </c>
      <c r="AD43" s="302" t="s">
        <v>365</v>
      </c>
      <c r="AE43" s="360"/>
      <c r="AG43" s="302" t="s">
        <v>377</v>
      </c>
      <c r="AH43" s="302" t="s">
        <v>380</v>
      </c>
      <c r="AI43" s="302" t="s">
        <v>365</v>
      </c>
      <c r="AJ43" s="360"/>
    </row>
    <row r="44" spans="19:39">
      <c r="AB44" s="301" t="s">
        <v>152</v>
      </c>
      <c r="AC44" s="301"/>
      <c r="AD44" s="360" t="s">
        <v>397</v>
      </c>
      <c r="AE44" s="360"/>
      <c r="AG44" s="301" t="s">
        <v>152</v>
      </c>
      <c r="AH44" s="301"/>
      <c r="AI44" s="360" t="s">
        <v>356</v>
      </c>
      <c r="AJ44" s="360"/>
    </row>
    <row r="45" spans="19:39" ht="15.75" thickBot="1">
      <c r="AB45" s="302" t="s">
        <v>288</v>
      </c>
      <c r="AC45" s="302" t="s">
        <v>364</v>
      </c>
      <c r="AD45" s="360"/>
      <c r="AE45" s="360"/>
      <c r="AG45" s="302" t="s">
        <v>378</v>
      </c>
      <c r="AH45" s="302" t="s">
        <v>364</v>
      </c>
      <c r="AI45" s="360"/>
      <c r="AJ45" s="360"/>
    </row>
    <row r="46" spans="19:39">
      <c r="AB46" s="301" t="s">
        <v>212</v>
      </c>
      <c r="AC46" s="360"/>
      <c r="AD46" s="360"/>
      <c r="AE46" s="360"/>
      <c r="AG46" s="301" t="s">
        <v>212</v>
      </c>
      <c r="AH46" s="360"/>
      <c r="AI46" s="360"/>
      <c r="AJ46" s="360"/>
    </row>
    <row r="47" spans="19:39" ht="15.75" thickBot="1">
      <c r="AB47" s="359" t="s">
        <v>297</v>
      </c>
      <c r="AC47" s="360"/>
      <c r="AD47" s="360"/>
      <c r="AE47" s="360"/>
      <c r="AG47" s="302" t="s">
        <v>379</v>
      </c>
      <c r="AH47" s="360"/>
      <c r="AI47" s="360"/>
      <c r="AJ47" s="360"/>
    </row>
    <row r="48" spans="19:39" ht="15.75" thickBot="1">
      <c r="AL48" s="24"/>
    </row>
    <row r="49" spans="28:39" ht="15.75" thickBot="1">
      <c r="AB49" s="353" t="s">
        <v>121</v>
      </c>
      <c r="AC49" s="301" t="s">
        <v>118</v>
      </c>
      <c r="AD49" s="301" t="s">
        <v>116</v>
      </c>
      <c r="AE49" s="301" t="s">
        <v>147</v>
      </c>
      <c r="AG49" s="459" t="s">
        <v>392</v>
      </c>
      <c r="AH49" s="301" t="s">
        <v>118</v>
      </c>
      <c r="AI49" s="301" t="s">
        <v>116</v>
      </c>
      <c r="AJ49" s="301" t="s">
        <v>147</v>
      </c>
    </row>
    <row r="50" spans="28:39" ht="15.75" thickBot="1">
      <c r="AB50" s="365" t="s">
        <v>145</v>
      </c>
      <c r="AC50" s="302" t="s">
        <v>359</v>
      </c>
      <c r="AD50" s="302" t="s">
        <v>360</v>
      </c>
      <c r="AE50" s="302" t="s">
        <v>361</v>
      </c>
      <c r="AG50" s="460"/>
      <c r="AH50" s="302" t="s">
        <v>359</v>
      </c>
      <c r="AI50" s="302" t="s">
        <v>360</v>
      </c>
      <c r="AJ50" s="302" t="s">
        <v>361</v>
      </c>
    </row>
    <row r="51" spans="28:39">
      <c r="AB51" s="301" t="s">
        <v>142</v>
      </c>
      <c r="AC51" s="301" t="s">
        <v>149</v>
      </c>
      <c r="AD51" s="301" t="s">
        <v>150</v>
      </c>
      <c r="AE51" s="360" t="s">
        <v>395</v>
      </c>
      <c r="AG51" s="301" t="s">
        <v>142</v>
      </c>
      <c r="AH51" s="301" t="s">
        <v>149</v>
      </c>
      <c r="AI51" s="301" t="s">
        <v>150</v>
      </c>
      <c r="AJ51" s="360"/>
    </row>
    <row r="52" spans="28:39" ht="15.75" thickBot="1">
      <c r="AB52" s="302" t="s">
        <v>366</v>
      </c>
      <c r="AC52" s="302" t="s">
        <v>393</v>
      </c>
      <c r="AD52" s="302" t="s">
        <v>373</v>
      </c>
      <c r="AE52" s="360"/>
      <c r="AG52" s="302" t="s">
        <v>366</v>
      </c>
      <c r="AH52" s="302" t="s">
        <v>363</v>
      </c>
      <c r="AI52" s="302" t="s">
        <v>373</v>
      </c>
      <c r="AJ52" s="360"/>
    </row>
    <row r="53" spans="28:39">
      <c r="AB53" s="301" t="s">
        <v>343</v>
      </c>
      <c r="AC53" s="301" t="s">
        <v>384</v>
      </c>
      <c r="AD53" s="360"/>
      <c r="AE53" s="360"/>
      <c r="AG53" s="301" t="s">
        <v>343</v>
      </c>
      <c r="AH53" s="301" t="s">
        <v>374</v>
      </c>
      <c r="AI53" s="360"/>
      <c r="AJ53" s="360"/>
    </row>
    <row r="54" spans="28:39" ht="15.75" thickBot="1">
      <c r="AB54" s="302" t="s">
        <v>367</v>
      </c>
      <c r="AC54" s="302" t="s">
        <v>369</v>
      </c>
      <c r="AD54" s="360"/>
      <c r="AE54" s="360"/>
      <c r="AG54" s="302" t="s">
        <v>367</v>
      </c>
      <c r="AH54" s="302" t="s">
        <v>369</v>
      </c>
      <c r="AI54" s="360"/>
      <c r="AJ54" s="360"/>
    </row>
    <row r="55" spans="28:39">
      <c r="AB55" s="301" t="s">
        <v>229</v>
      </c>
      <c r="AC55" s="360"/>
      <c r="AD55" s="360"/>
      <c r="AE55" s="360"/>
      <c r="AG55" s="301" t="s">
        <v>229</v>
      </c>
      <c r="AH55" s="360"/>
      <c r="AI55" s="360"/>
      <c r="AJ55" s="360"/>
      <c r="AL55" t="s">
        <v>381</v>
      </c>
      <c r="AM55" t="s">
        <v>118</v>
      </c>
    </row>
    <row r="56" spans="28:39" ht="15.75" thickBot="1">
      <c r="AB56" s="359" t="s">
        <v>368</v>
      </c>
      <c r="AC56" s="360"/>
      <c r="AD56" s="360"/>
      <c r="AE56" s="360"/>
      <c r="AG56" s="359" t="s">
        <v>368</v>
      </c>
      <c r="AH56" s="360"/>
      <c r="AI56" s="360"/>
      <c r="AJ56" s="360"/>
      <c r="AL56" t="s">
        <v>382</v>
      </c>
      <c r="AM56" t="s">
        <v>212</v>
      </c>
    </row>
    <row r="57" spans="28:39">
      <c r="AB57" s="364"/>
      <c r="AC57" s="360"/>
      <c r="AD57" s="360"/>
      <c r="AE57" s="360"/>
      <c r="AG57" s="364"/>
      <c r="AH57" s="360"/>
      <c r="AI57" s="360"/>
      <c r="AJ57" s="360"/>
    </row>
    <row r="58" spans="28:39" ht="15.75" thickBot="1">
      <c r="AL58" t="s">
        <v>383</v>
      </c>
      <c r="AM58" t="s">
        <v>148</v>
      </c>
    </row>
    <row r="59" spans="28:39" ht="15.75" thickBot="1">
      <c r="AB59" s="26" t="s">
        <v>376</v>
      </c>
      <c r="AC59" s="301" t="s">
        <v>143</v>
      </c>
      <c r="AD59" s="301" t="s">
        <v>152</v>
      </c>
      <c r="AE59" s="301" t="s">
        <v>212</v>
      </c>
    </row>
    <row r="60" spans="28:39" ht="15.75" thickBot="1">
      <c r="AB60" s="367" t="s">
        <v>145</v>
      </c>
      <c r="AC60" s="302" t="s">
        <v>362</v>
      </c>
      <c r="AD60" s="302" t="s">
        <v>288</v>
      </c>
      <c r="AE60" s="302" t="s">
        <v>297</v>
      </c>
    </row>
    <row r="61" spans="28:39" ht="15.75" thickBot="1">
      <c r="AB61" s="301" t="s">
        <v>142</v>
      </c>
      <c r="AC61" s="301" t="s">
        <v>162</v>
      </c>
      <c r="AD61" s="301" t="s">
        <v>394</v>
      </c>
      <c r="AE61" s="360"/>
      <c r="AI61" s="366" t="s">
        <v>390</v>
      </c>
      <c r="AJ61" s="366" t="s">
        <v>387</v>
      </c>
      <c r="AK61" s="372" t="s">
        <v>388</v>
      </c>
      <c r="AL61" s="372" t="s">
        <v>389</v>
      </c>
    </row>
    <row r="62" spans="28:39" ht="15.75" thickBot="1">
      <c r="AB62" s="302" t="s">
        <v>366</v>
      </c>
      <c r="AC62" s="302" t="s">
        <v>370</v>
      </c>
      <c r="AD62" s="302" t="s">
        <v>372</v>
      </c>
      <c r="AE62" s="360"/>
      <c r="AI62" s="459" t="s">
        <v>391</v>
      </c>
      <c r="AJ62" s="301" t="s">
        <v>143</v>
      </c>
      <c r="AK62" s="301" t="s">
        <v>152</v>
      </c>
      <c r="AL62" s="301" t="s">
        <v>212</v>
      </c>
    </row>
    <row r="63" spans="28:39" ht="15.75" thickBot="1">
      <c r="AB63" s="301" t="s">
        <v>343</v>
      </c>
      <c r="AC63" s="301" t="s">
        <v>385</v>
      </c>
      <c r="AD63" s="360"/>
      <c r="AE63" s="360"/>
      <c r="AI63" s="460"/>
      <c r="AJ63" s="302" t="s">
        <v>362</v>
      </c>
      <c r="AK63" s="302" t="s">
        <v>288</v>
      </c>
      <c r="AL63" s="302" t="s">
        <v>297</v>
      </c>
    </row>
    <row r="64" spans="28:39" ht="15.75" customHeight="1" thickBot="1">
      <c r="AB64" s="302" t="s">
        <v>367</v>
      </c>
      <c r="AC64" s="302" t="s">
        <v>371</v>
      </c>
      <c r="AD64" s="360"/>
      <c r="AE64" s="360"/>
      <c r="AH64" s="453" t="s">
        <v>387</v>
      </c>
      <c r="AI64" s="301" t="s">
        <v>142</v>
      </c>
      <c r="AJ64" s="301" t="s">
        <v>162</v>
      </c>
      <c r="AK64" s="301"/>
      <c r="AL64" s="360"/>
    </row>
    <row r="65" spans="28:38" ht="15.75" thickBot="1">
      <c r="AB65" s="301" t="s">
        <v>229</v>
      </c>
      <c r="AC65" s="360"/>
      <c r="AD65" s="360"/>
      <c r="AE65" s="360"/>
      <c r="AH65" s="454"/>
      <c r="AI65" s="302" t="s">
        <v>366</v>
      </c>
      <c r="AJ65" s="302" t="s">
        <v>370</v>
      </c>
      <c r="AK65" s="302" t="s">
        <v>372</v>
      </c>
      <c r="AL65" s="360"/>
    </row>
    <row r="66" spans="28:38" ht="15.75" thickBot="1">
      <c r="AB66" s="359" t="s">
        <v>368</v>
      </c>
      <c r="AC66" s="360"/>
      <c r="AD66" s="360"/>
      <c r="AE66" s="360"/>
      <c r="AH66" s="453" t="s">
        <v>388</v>
      </c>
      <c r="AI66" s="301" t="s">
        <v>343</v>
      </c>
      <c r="AJ66" s="301" t="s">
        <v>375</v>
      </c>
      <c r="AK66" s="360"/>
      <c r="AL66" s="360"/>
    </row>
    <row r="67" spans="28:38" ht="15.75" thickBot="1">
      <c r="AH67" s="454"/>
      <c r="AI67" s="302" t="s">
        <v>367</v>
      </c>
      <c r="AJ67" s="302" t="s">
        <v>371</v>
      </c>
      <c r="AK67" s="360"/>
      <c r="AL67" s="360"/>
    </row>
    <row r="68" spans="28:38" ht="15.75" thickBot="1">
      <c r="AH68" s="453" t="s">
        <v>389</v>
      </c>
      <c r="AI68" s="301" t="s">
        <v>229</v>
      </c>
      <c r="AJ68" s="360"/>
      <c r="AK68" s="360"/>
      <c r="AL68" s="360"/>
    </row>
    <row r="69" spans="28:38" ht="15" customHeight="1" thickBot="1">
      <c r="AG69" s="464"/>
      <c r="AH69" s="454"/>
      <c r="AI69" s="359" t="s">
        <v>368</v>
      </c>
      <c r="AJ69" s="360"/>
      <c r="AK69" s="360"/>
      <c r="AL69" s="360"/>
    </row>
    <row r="70" spans="28:38" ht="15.75" thickBot="1">
      <c r="AG70" s="465"/>
      <c r="AH70" s="374"/>
      <c r="AI70" s="374"/>
      <c r="AJ70" s="374"/>
      <c r="AK70" s="352"/>
    </row>
    <row r="71" spans="28:38">
      <c r="AG71" s="373"/>
    </row>
    <row r="72" spans="28:38" ht="15.75" thickBot="1">
      <c r="AG72" s="374"/>
    </row>
    <row r="73" spans="28:38">
      <c r="AG73" s="373"/>
    </row>
    <row r="74" spans="28:38" ht="15.75" thickBot="1">
      <c r="AG74" s="374"/>
    </row>
    <row r="75" spans="28:38">
      <c r="AC75" t="s">
        <v>121</v>
      </c>
      <c r="AD75" t="s">
        <v>37</v>
      </c>
      <c r="AE75" t="s">
        <v>38</v>
      </c>
      <c r="AG75" s="373"/>
    </row>
    <row r="76" spans="28:38" ht="15.75" thickBot="1">
      <c r="AB76" t="s">
        <v>121</v>
      </c>
      <c r="AC76" t="s">
        <v>116</v>
      </c>
      <c r="AD76" t="s">
        <v>148</v>
      </c>
      <c r="AE76" t="s">
        <v>149</v>
      </c>
      <c r="AG76" s="375"/>
    </row>
    <row r="77" spans="28:38">
      <c r="AB77" t="s">
        <v>37</v>
      </c>
      <c r="AC77" t="s">
        <v>148</v>
      </c>
      <c r="AD77" t="s">
        <v>152</v>
      </c>
      <c r="AE77" t="s">
        <v>162</v>
      </c>
    </row>
    <row r="78" spans="28:38">
      <c r="AB78" t="s">
        <v>38</v>
      </c>
      <c r="AC78" t="s">
        <v>149</v>
      </c>
      <c r="AD78" t="s">
        <v>162</v>
      </c>
      <c r="AE78" t="s">
        <v>343</v>
      </c>
    </row>
    <row r="80" spans="28:38">
      <c r="AC80" t="s">
        <v>359</v>
      </c>
      <c r="AD80" t="s">
        <v>362</v>
      </c>
      <c r="AE80" t="s">
        <v>366</v>
      </c>
    </row>
    <row r="81" spans="28:37">
      <c r="AB81" t="s">
        <v>360</v>
      </c>
      <c r="AC81" t="s">
        <v>147</v>
      </c>
      <c r="AD81" t="s">
        <v>365</v>
      </c>
      <c r="AE81" t="s">
        <v>373</v>
      </c>
    </row>
    <row r="82" spans="28:37">
      <c r="AB82" t="s">
        <v>288</v>
      </c>
      <c r="AC82" t="s">
        <v>399</v>
      </c>
      <c r="AD82" t="s">
        <v>212</v>
      </c>
      <c r="AE82" t="s">
        <v>372</v>
      </c>
    </row>
    <row r="83" spans="28:37">
      <c r="AB83" t="s">
        <v>367</v>
      </c>
      <c r="AC83" t="s">
        <v>400</v>
      </c>
      <c r="AD83" t="s">
        <v>398</v>
      </c>
      <c r="AE83" t="s">
        <v>229</v>
      </c>
    </row>
    <row r="84" spans="28:37" ht="15.75" thickBot="1">
      <c r="AG84" s="24"/>
      <c r="AH84" s="24"/>
    </row>
    <row r="85" spans="28:37" ht="15.75" thickBot="1">
      <c r="AC85" t="s">
        <v>359</v>
      </c>
      <c r="AD85" t="s">
        <v>362</v>
      </c>
      <c r="AE85" t="s">
        <v>366</v>
      </c>
      <c r="AG85" s="377" t="s">
        <v>359</v>
      </c>
      <c r="AH85" s="378" t="s">
        <v>362</v>
      </c>
      <c r="AI85" s="378" t="s">
        <v>366</v>
      </c>
    </row>
    <row r="86" spans="28:37">
      <c r="AB86" t="s">
        <v>360</v>
      </c>
      <c r="AC86" s="77" t="s">
        <v>147</v>
      </c>
      <c r="AD86" t="s">
        <v>365</v>
      </c>
      <c r="AE86" t="s">
        <v>373</v>
      </c>
      <c r="AF86" s="455" t="s">
        <v>360</v>
      </c>
      <c r="AG86" s="379" t="s">
        <v>147</v>
      </c>
      <c r="AH86" s="379" t="s">
        <v>415</v>
      </c>
      <c r="AI86" s="379" t="s">
        <v>411</v>
      </c>
    </row>
    <row r="87" spans="28:37" ht="15.75" thickBot="1">
      <c r="AC87" s="376" t="s">
        <v>401</v>
      </c>
      <c r="AE87" t="s">
        <v>372</v>
      </c>
      <c r="AF87" s="456"/>
      <c r="AG87" s="380" t="s">
        <v>405</v>
      </c>
      <c r="AH87" s="380" t="s">
        <v>402</v>
      </c>
      <c r="AI87" s="380" t="s">
        <v>408</v>
      </c>
    </row>
    <row r="88" spans="28:37">
      <c r="AB88" t="s">
        <v>288</v>
      </c>
      <c r="AC88" t="s">
        <v>400</v>
      </c>
      <c r="AE88" t="s">
        <v>229</v>
      </c>
      <c r="AF88" s="461" t="s">
        <v>288</v>
      </c>
      <c r="AG88" s="379" t="s">
        <v>410</v>
      </c>
      <c r="AH88" s="379" t="s">
        <v>212</v>
      </c>
      <c r="AI88" s="379" t="s">
        <v>412</v>
      </c>
    </row>
    <row r="89" spans="28:37" ht="15.75" thickBot="1">
      <c r="AB89" t="s">
        <v>367</v>
      </c>
      <c r="AF89" s="461"/>
      <c r="AG89" s="380" t="s">
        <v>404</v>
      </c>
      <c r="AH89" s="380" t="s">
        <v>406</v>
      </c>
      <c r="AI89" s="380" t="s">
        <v>413</v>
      </c>
    </row>
    <row r="90" spans="28:37">
      <c r="AD90" t="s">
        <v>212</v>
      </c>
      <c r="AF90" s="455" t="s">
        <v>367</v>
      </c>
      <c r="AG90" s="379" t="s">
        <v>409</v>
      </c>
      <c r="AH90" s="379" t="s">
        <v>414</v>
      </c>
      <c r="AI90" s="379" t="s">
        <v>229</v>
      </c>
    </row>
    <row r="91" spans="28:37" ht="15.75" thickBot="1">
      <c r="AD91" t="s">
        <v>398</v>
      </c>
      <c r="AF91" s="456"/>
      <c r="AG91" s="380" t="s">
        <v>403</v>
      </c>
      <c r="AH91" s="380" t="s">
        <v>403</v>
      </c>
      <c r="AI91" s="380" t="s">
        <v>407</v>
      </c>
    </row>
    <row r="92" spans="28:37" ht="15.75" thickBot="1"/>
    <row r="93" spans="28:37" ht="15.75" thickBot="1">
      <c r="AF93" s="403" t="s">
        <v>387</v>
      </c>
      <c r="AG93" s="383" t="s">
        <v>121</v>
      </c>
      <c r="AH93" s="382" t="s">
        <v>37</v>
      </c>
      <c r="AI93" s="382" t="s">
        <v>38</v>
      </c>
      <c r="AJ93" s="402" t="s">
        <v>457</v>
      </c>
    </row>
    <row r="94" spans="28:37">
      <c r="AF94" s="404"/>
      <c r="AG94" s="324" t="s">
        <v>118</v>
      </c>
      <c r="AH94" s="324" t="s">
        <v>143</v>
      </c>
      <c r="AI94" s="324" t="s">
        <v>142</v>
      </c>
      <c r="AJ94" s="408" t="s">
        <v>428</v>
      </c>
    </row>
    <row r="95" spans="28:37">
      <c r="AF95" s="405"/>
      <c r="AG95" s="387" t="s">
        <v>440</v>
      </c>
      <c r="AH95" s="387" t="s">
        <v>441</v>
      </c>
      <c r="AI95" s="387" t="s">
        <v>442</v>
      </c>
      <c r="AJ95" s="399" t="s">
        <v>429</v>
      </c>
      <c r="AK95" t="s">
        <v>423</v>
      </c>
    </row>
    <row r="96" spans="28:37" ht="15.75" thickBot="1">
      <c r="AF96" s="406"/>
      <c r="AG96" s="386" t="s">
        <v>359</v>
      </c>
      <c r="AH96" s="386" t="s">
        <v>362</v>
      </c>
      <c r="AI96" s="386" t="s">
        <v>366</v>
      </c>
      <c r="AJ96" s="400" t="s">
        <v>430</v>
      </c>
    </row>
    <row r="97" spans="25:36" ht="15.75" thickBot="1">
      <c r="Y97" t="s">
        <v>432</v>
      </c>
      <c r="AF97" s="385"/>
      <c r="AG97" s="381"/>
      <c r="AH97" s="381"/>
      <c r="AI97" s="381"/>
    </row>
    <row r="98" spans="25:36" ht="15.75" thickBot="1">
      <c r="AF98" s="403" t="s">
        <v>388</v>
      </c>
      <c r="AG98" s="383" t="s">
        <v>359</v>
      </c>
      <c r="AH98" s="382" t="s">
        <v>362</v>
      </c>
      <c r="AI98" s="382" t="s">
        <v>366</v>
      </c>
      <c r="AJ98" s="398" t="s">
        <v>457</v>
      </c>
    </row>
    <row r="99" spans="25:36">
      <c r="AF99" s="466" t="s">
        <v>359</v>
      </c>
      <c r="AG99" s="388" t="s">
        <v>116</v>
      </c>
      <c r="AH99" s="409" t="s">
        <v>148</v>
      </c>
      <c r="AI99" s="413" t="s">
        <v>149</v>
      </c>
      <c r="AJ99" s="398" t="s">
        <v>428</v>
      </c>
    </row>
    <row r="100" spans="25:36">
      <c r="Y100" t="s">
        <v>433</v>
      </c>
      <c r="AF100" s="467"/>
      <c r="AG100" s="390" t="s">
        <v>301</v>
      </c>
      <c r="AH100" s="410" t="s">
        <v>425</v>
      </c>
      <c r="AI100" s="414" t="s">
        <v>304</v>
      </c>
      <c r="AJ100" s="399" t="s">
        <v>429</v>
      </c>
    </row>
    <row r="101" spans="25:36">
      <c r="AF101" s="467"/>
      <c r="AG101" s="389" t="s">
        <v>451</v>
      </c>
      <c r="AH101" s="411" t="s">
        <v>452</v>
      </c>
      <c r="AI101" s="415" t="s">
        <v>453</v>
      </c>
      <c r="AJ101" s="399" t="s">
        <v>429</v>
      </c>
    </row>
    <row r="102" spans="25:36" ht="15.75" thickBot="1">
      <c r="Y102" t="s">
        <v>434</v>
      </c>
      <c r="AF102" s="468"/>
      <c r="AG102" s="391" t="s">
        <v>360</v>
      </c>
      <c r="AH102" s="412" t="s">
        <v>363</v>
      </c>
      <c r="AI102" s="416" t="s">
        <v>393</v>
      </c>
      <c r="AJ102" s="400" t="s">
        <v>430</v>
      </c>
    </row>
    <row r="103" spans="25:36">
      <c r="AF103" s="466" t="s">
        <v>362</v>
      </c>
      <c r="AG103" s="368" t="s">
        <v>148</v>
      </c>
      <c r="AH103" s="384" t="s">
        <v>152</v>
      </c>
      <c r="AI103" s="417" t="s">
        <v>162</v>
      </c>
      <c r="AJ103" s="401" t="s">
        <v>428</v>
      </c>
    </row>
    <row r="104" spans="25:36">
      <c r="Y104" t="s">
        <v>435</v>
      </c>
      <c r="AF104" s="467"/>
      <c r="AG104" s="410" t="s">
        <v>302</v>
      </c>
      <c r="AH104" s="390" t="s">
        <v>424</v>
      </c>
      <c r="AI104" s="418" t="s">
        <v>310</v>
      </c>
      <c r="AJ104" s="399" t="s">
        <v>429</v>
      </c>
    </row>
    <row r="105" spans="25:36">
      <c r="Y105" t="s">
        <v>435</v>
      </c>
      <c r="AF105" s="467"/>
      <c r="AG105" s="411" t="s">
        <v>452</v>
      </c>
      <c r="AH105" s="389" t="s">
        <v>454</v>
      </c>
      <c r="AI105" s="419" t="s">
        <v>455</v>
      </c>
      <c r="AJ105" s="399" t="s">
        <v>429</v>
      </c>
    </row>
    <row r="106" spans="25:36" ht="15.75" thickBot="1">
      <c r="AF106" s="468"/>
      <c r="AG106" s="412" t="s">
        <v>363</v>
      </c>
      <c r="AH106" s="391" t="s">
        <v>288</v>
      </c>
      <c r="AI106" s="420" t="s">
        <v>370</v>
      </c>
      <c r="AJ106" s="400" t="s">
        <v>430</v>
      </c>
    </row>
    <row r="107" spans="25:36">
      <c r="AF107" s="466" t="s">
        <v>366</v>
      </c>
      <c r="AG107" s="413" t="s">
        <v>149</v>
      </c>
      <c r="AH107" s="393" t="s">
        <v>162</v>
      </c>
      <c r="AI107" s="407" t="s">
        <v>343</v>
      </c>
      <c r="AJ107" s="398" t="s">
        <v>428</v>
      </c>
    </row>
    <row r="108" spans="25:36">
      <c r="AF108" s="467"/>
      <c r="AG108" s="414" t="s">
        <v>333</v>
      </c>
      <c r="AH108" s="418" t="s">
        <v>426</v>
      </c>
      <c r="AI108" s="390" t="s">
        <v>427</v>
      </c>
      <c r="AJ108" s="399" t="s">
        <v>429</v>
      </c>
    </row>
    <row r="109" spans="25:36">
      <c r="AE109" t="s">
        <v>431</v>
      </c>
      <c r="AF109" s="467"/>
      <c r="AG109" s="415" t="s">
        <v>453</v>
      </c>
      <c r="AH109" s="419" t="s">
        <v>455</v>
      </c>
      <c r="AI109" s="389" t="s">
        <v>456</v>
      </c>
      <c r="AJ109" s="399" t="s">
        <v>429</v>
      </c>
    </row>
    <row r="110" spans="25:36" ht="15.75" thickBot="1">
      <c r="AF110" s="468"/>
      <c r="AG110" s="416" t="s">
        <v>393</v>
      </c>
      <c r="AH110" s="420" t="s">
        <v>370</v>
      </c>
      <c r="AI110" s="391" t="s">
        <v>367</v>
      </c>
      <c r="AJ110" s="400" t="s">
        <v>430</v>
      </c>
    </row>
    <row r="111" spans="25:36" ht="15.75" thickBot="1"/>
    <row r="112" spans="25:36" ht="15.75" thickBot="1">
      <c r="AF112" s="403" t="s">
        <v>389</v>
      </c>
      <c r="AG112" s="383" t="s">
        <v>359</v>
      </c>
      <c r="AH112" s="382" t="s">
        <v>362</v>
      </c>
      <c r="AI112" s="382" t="s">
        <v>366</v>
      </c>
      <c r="AJ112" s="398" t="s">
        <v>457</v>
      </c>
    </row>
    <row r="113" spans="29:36">
      <c r="AF113" s="466" t="s">
        <v>360</v>
      </c>
      <c r="AG113" s="388" t="s">
        <v>147</v>
      </c>
      <c r="AH113" s="324" t="s">
        <v>151</v>
      </c>
      <c r="AI113" s="324" t="s">
        <v>150</v>
      </c>
      <c r="AJ113" s="396" t="s">
        <v>428</v>
      </c>
    </row>
    <row r="114" spans="29:36">
      <c r="AC114" s="392" t="s">
        <v>425</v>
      </c>
      <c r="AF114" s="467"/>
      <c r="AG114" s="390" t="s">
        <v>313</v>
      </c>
      <c r="AH114" s="387" t="s">
        <v>416</v>
      </c>
      <c r="AI114" s="387" t="s">
        <v>319</v>
      </c>
      <c r="AJ114" s="394" t="s">
        <v>429</v>
      </c>
    </row>
    <row r="115" spans="29:36">
      <c r="AF115" s="467"/>
      <c r="AG115" s="389" t="s">
        <v>443</v>
      </c>
      <c r="AH115" s="386" t="s">
        <v>444</v>
      </c>
      <c r="AI115" s="386" t="s">
        <v>445</v>
      </c>
      <c r="AJ115" s="394" t="s">
        <v>429</v>
      </c>
    </row>
    <row r="116" spans="29:36" ht="15.75" thickBot="1">
      <c r="AF116" s="468"/>
      <c r="AG116" s="391" t="s">
        <v>361</v>
      </c>
      <c r="AH116" s="288" t="s">
        <v>365</v>
      </c>
      <c r="AI116" s="288" t="s">
        <v>373</v>
      </c>
      <c r="AJ116" s="395" t="s">
        <v>430</v>
      </c>
    </row>
    <row r="117" spans="29:36">
      <c r="AF117" s="466" t="s">
        <v>288</v>
      </c>
      <c r="AG117" s="304" t="s">
        <v>436</v>
      </c>
      <c r="AH117" s="388" t="s">
        <v>212</v>
      </c>
      <c r="AI117" s="304" t="s">
        <v>437</v>
      </c>
      <c r="AJ117" s="396" t="s">
        <v>428</v>
      </c>
    </row>
    <row r="118" spans="29:36">
      <c r="AF118" s="467"/>
      <c r="AG118" s="387" t="s">
        <v>418</v>
      </c>
      <c r="AH118" s="390" t="s">
        <v>417</v>
      </c>
      <c r="AI118" s="387" t="s">
        <v>419</v>
      </c>
      <c r="AJ118" s="394" t="s">
        <v>429</v>
      </c>
    </row>
    <row r="119" spans="29:36">
      <c r="AF119" s="467"/>
      <c r="AG119" s="386" t="s">
        <v>446</v>
      </c>
      <c r="AH119" s="389" t="s">
        <v>447</v>
      </c>
      <c r="AI119" s="386" t="s">
        <v>445</v>
      </c>
      <c r="AJ119" s="394" t="s">
        <v>429</v>
      </c>
    </row>
    <row r="120" spans="29:36" ht="15.75" thickBot="1">
      <c r="AF120" s="467"/>
      <c r="AG120" s="288" t="s">
        <v>399</v>
      </c>
      <c r="AH120" s="391" t="s">
        <v>297</v>
      </c>
      <c r="AI120" s="288" t="s">
        <v>372</v>
      </c>
      <c r="AJ120" s="397" t="s">
        <v>430</v>
      </c>
    </row>
    <row r="121" spans="29:36">
      <c r="AF121" s="466" t="s">
        <v>367</v>
      </c>
      <c r="AG121" s="304" t="s">
        <v>438</v>
      </c>
      <c r="AH121" s="304" t="s">
        <v>439</v>
      </c>
      <c r="AI121" s="304" t="s">
        <v>458</v>
      </c>
      <c r="AJ121" s="396" t="s">
        <v>428</v>
      </c>
    </row>
    <row r="122" spans="29:36">
      <c r="AF122" s="467"/>
      <c r="AG122" s="387" t="s">
        <v>420</v>
      </c>
      <c r="AH122" s="387" t="s">
        <v>421</v>
      </c>
      <c r="AI122" s="390" t="s">
        <v>422</v>
      </c>
      <c r="AJ122" s="394" t="s">
        <v>429</v>
      </c>
    </row>
    <row r="123" spans="29:36">
      <c r="AF123" s="467"/>
      <c r="AG123" s="386" t="s">
        <v>448</v>
      </c>
      <c r="AH123" s="386" t="s">
        <v>449</v>
      </c>
      <c r="AI123" s="389" t="s">
        <v>450</v>
      </c>
      <c r="AJ123" s="394" t="s">
        <v>429</v>
      </c>
    </row>
    <row r="124" spans="29:36" ht="15.75" thickBot="1">
      <c r="AF124" s="468"/>
      <c r="AG124" s="288" t="s">
        <v>400</v>
      </c>
      <c r="AH124" s="288" t="s">
        <v>398</v>
      </c>
      <c r="AI124" s="391" t="s">
        <v>368</v>
      </c>
      <c r="AJ124" s="397" t="s">
        <v>430</v>
      </c>
    </row>
  </sheetData>
  <mergeCells count="59">
    <mergeCell ref="AF113:AF116"/>
    <mergeCell ref="AF117:AF120"/>
    <mergeCell ref="AF121:AF124"/>
    <mergeCell ref="AF99:AF102"/>
    <mergeCell ref="AF103:AF106"/>
    <mergeCell ref="AF88:AF89"/>
    <mergeCell ref="AF90:AF91"/>
    <mergeCell ref="AD26:AE26"/>
    <mergeCell ref="AG69:AG70"/>
    <mergeCell ref="AF107:AF110"/>
    <mergeCell ref="AG49:AG50"/>
    <mergeCell ref="AG40:AG41"/>
    <mergeCell ref="AH64:AH65"/>
    <mergeCell ref="AH66:AH67"/>
    <mergeCell ref="AF86:AF87"/>
    <mergeCell ref="AH68:AH69"/>
    <mergeCell ref="AF26:AG26"/>
    <mergeCell ref="AH26:AI26"/>
    <mergeCell ref="AI62:AI63"/>
    <mergeCell ref="AR23:AS23"/>
    <mergeCell ref="AD14:AE14"/>
    <mergeCell ref="AD17:AE17"/>
    <mergeCell ref="AD20:AE20"/>
    <mergeCell ref="AD23:AE23"/>
    <mergeCell ref="AR20:AS20"/>
    <mergeCell ref="AR17:AS17"/>
    <mergeCell ref="AH14:AI14"/>
    <mergeCell ref="AH17:AI17"/>
    <mergeCell ref="AH20:AI20"/>
    <mergeCell ref="AF23:AG23"/>
    <mergeCell ref="AH23:AI23"/>
    <mergeCell ref="AD13:AE13"/>
    <mergeCell ref="AF14:AG14"/>
    <mergeCell ref="AF17:AG17"/>
    <mergeCell ref="AF20:AG20"/>
    <mergeCell ref="AT13:AU13"/>
    <mergeCell ref="AH13:AI13"/>
    <mergeCell ref="AF13:AG13"/>
    <mergeCell ref="AV13:AW13"/>
    <mergeCell ref="AR14:AS14"/>
    <mergeCell ref="AT14:AU14"/>
    <mergeCell ref="AV14:AW14"/>
    <mergeCell ref="AR13:AS13"/>
    <mergeCell ref="AT23:AU23"/>
    <mergeCell ref="AV23:AW23"/>
    <mergeCell ref="AT26:AU26"/>
    <mergeCell ref="AZ14:BA14"/>
    <mergeCell ref="BB14:BC14"/>
    <mergeCell ref="AT17:AU17"/>
    <mergeCell ref="AV17:AW17"/>
    <mergeCell ref="AT20:AU20"/>
    <mergeCell ref="AV20:AW20"/>
    <mergeCell ref="AZ12:BE12"/>
    <mergeCell ref="AY12:AY13"/>
    <mergeCell ref="BD14:BE14"/>
    <mergeCell ref="BB17:BC17"/>
    <mergeCell ref="AZ13:BA13"/>
    <mergeCell ref="BB13:BC13"/>
    <mergeCell ref="BD13:BE13"/>
  </mergeCells>
  <hyperlinks>
    <hyperlink ref="U7" r:id="rId1" display="d@V"/>
    <hyperlink ref="U20" r:id="rId2" display="d@V"/>
    <hyperlink ref="Z21" r:id="rId3" display="d@V"/>
    <hyperlink ref="AG21" r:id="rId4" display="d@V"/>
    <hyperlink ref="AU21" r:id="rId5" display="d@V"/>
  </hyperlinks>
  <pageMargins left="0.7" right="0.7" top="0.75" bottom="0.75" header="0.3" footer="0.3"/>
  <pageSetup paperSize="9" orientation="portrait" r:id="rId6"/>
  <drawing r:id="rId7"/>
</worksheet>
</file>

<file path=xl/worksheets/sheet12.xml><?xml version="1.0" encoding="utf-8"?>
<worksheet xmlns="http://schemas.openxmlformats.org/spreadsheetml/2006/main" xmlns:r="http://schemas.openxmlformats.org/officeDocument/2006/relationships">
  <sheetPr codeName="Лист12"/>
  <dimension ref="B2:L7"/>
  <sheetViews>
    <sheetView workbookViewId="0">
      <selection activeCell="C13" sqref="C13"/>
    </sheetView>
  </sheetViews>
  <sheetFormatPr defaultRowHeight="15"/>
  <cols>
    <col min="4" max="5" width="9.140625" style="3"/>
    <col min="12" max="12" width="10" customWidth="1"/>
  </cols>
  <sheetData>
    <row r="2" spans="2:12" ht="15.75" thickBot="1"/>
    <row r="3" spans="2:12" ht="15.75" thickBot="1">
      <c r="B3" s="103" t="s">
        <v>44</v>
      </c>
      <c r="C3" s="116" t="s">
        <v>145</v>
      </c>
      <c r="D3" s="118"/>
      <c r="E3" s="118" t="s">
        <v>2</v>
      </c>
      <c r="F3" s="104" t="s">
        <v>164</v>
      </c>
      <c r="G3" s="104" t="s">
        <v>1</v>
      </c>
      <c r="H3" s="104" t="s">
        <v>3</v>
      </c>
      <c r="I3" s="104" t="s">
        <v>172</v>
      </c>
      <c r="J3" s="104" t="s">
        <v>169</v>
      </c>
      <c r="K3" s="104" t="s">
        <v>170</v>
      </c>
      <c r="L3" s="105" t="s">
        <v>168</v>
      </c>
    </row>
    <row r="4" spans="2:12">
      <c r="B4" s="106" t="s">
        <v>166</v>
      </c>
      <c r="C4" s="117">
        <v>0.625</v>
      </c>
      <c r="D4" s="119">
        <v>73710</v>
      </c>
      <c r="E4" s="119">
        <v>73500</v>
      </c>
      <c r="F4" s="102">
        <v>9.5280000000000005</v>
      </c>
      <c r="G4" s="102">
        <v>384</v>
      </c>
      <c r="H4" s="102">
        <v>175</v>
      </c>
      <c r="I4" s="102">
        <f>G4+H4</f>
        <v>559</v>
      </c>
      <c r="J4" s="102">
        <f>G4*0.9</f>
        <v>345.6</v>
      </c>
      <c r="K4" s="102">
        <f>H4*0.9</f>
        <v>157.5</v>
      </c>
      <c r="L4" s="107">
        <f>J4+K4</f>
        <v>503.1</v>
      </c>
    </row>
    <row r="5" spans="2:12">
      <c r="B5" s="108" t="s">
        <v>165</v>
      </c>
      <c r="C5" s="117">
        <v>0.625</v>
      </c>
      <c r="D5" s="119">
        <v>73710</v>
      </c>
      <c r="E5" s="119">
        <v>73500</v>
      </c>
      <c r="F5" s="102">
        <v>9.5280000000000005</v>
      </c>
      <c r="G5" s="100">
        <v>365</v>
      </c>
      <c r="H5" s="100">
        <v>162</v>
      </c>
      <c r="I5" s="100">
        <f>G5+H5</f>
        <v>527</v>
      </c>
      <c r="J5" s="100">
        <f>G5*0.9</f>
        <v>328.5</v>
      </c>
      <c r="K5" s="100">
        <f>H5*0.9</f>
        <v>145.80000000000001</v>
      </c>
      <c r="L5" s="109">
        <f>J5+K5</f>
        <v>474.3</v>
      </c>
    </row>
    <row r="6" spans="2:12">
      <c r="B6" s="110" t="s">
        <v>167</v>
      </c>
      <c r="C6" s="117">
        <v>0.625</v>
      </c>
      <c r="D6" s="119">
        <v>73710</v>
      </c>
      <c r="E6" s="119"/>
      <c r="F6" s="101"/>
      <c r="G6" s="101">
        <f>AVERAGE(G4:G5)</f>
        <v>374.5</v>
      </c>
      <c r="H6" s="101">
        <f>AVERAGE(H4:H5)</f>
        <v>168.5</v>
      </c>
      <c r="I6" s="101">
        <f>(G6+H6)</f>
        <v>543</v>
      </c>
      <c r="J6" s="101">
        <f t="shared" ref="J6:L6" si="0">(J4+J5)/2</f>
        <v>337.05</v>
      </c>
      <c r="K6" s="101">
        <f t="shared" si="0"/>
        <v>151.65</v>
      </c>
      <c r="L6" s="111">
        <f t="shared" si="0"/>
        <v>488.70000000000005</v>
      </c>
    </row>
    <row r="7" spans="2:12" ht="15.75" thickBot="1">
      <c r="B7" s="112" t="s">
        <v>171</v>
      </c>
      <c r="C7" s="117">
        <v>0.625</v>
      </c>
      <c r="D7" s="119">
        <v>73710</v>
      </c>
      <c r="E7" s="119">
        <v>73500</v>
      </c>
      <c r="F7" s="113">
        <v>9.3699999999999992</v>
      </c>
      <c r="G7" s="113">
        <v>256</v>
      </c>
      <c r="H7" s="113">
        <v>256</v>
      </c>
      <c r="I7" s="113">
        <v>512</v>
      </c>
      <c r="J7" s="113"/>
      <c r="K7" s="113"/>
      <c r="L7" s="114">
        <f>I7</f>
        <v>512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Лист13"/>
  <dimension ref="B2:S20"/>
  <sheetViews>
    <sheetView topLeftCell="A4" workbookViewId="0">
      <selection activeCell="W112" sqref="W112"/>
    </sheetView>
  </sheetViews>
  <sheetFormatPr defaultRowHeight="15"/>
  <cols>
    <col min="3" max="3" width="8.28515625" customWidth="1"/>
    <col min="5" max="5" width="9.5703125" customWidth="1"/>
    <col min="6" max="6" width="10" style="7" customWidth="1"/>
    <col min="7" max="7" width="10.28515625" style="7" customWidth="1"/>
    <col min="8" max="8" width="8.140625" style="7" customWidth="1"/>
    <col min="10" max="10" width="10" customWidth="1"/>
    <col min="11" max="11" width="6.7109375" customWidth="1"/>
    <col min="12" max="12" width="6.5703125" customWidth="1"/>
    <col min="14" max="14" width="8" customWidth="1"/>
    <col min="16" max="16" width="7.28515625" customWidth="1"/>
    <col min="17" max="17" width="7" customWidth="1"/>
    <col min="18" max="18" width="8" customWidth="1"/>
    <col min="19" max="19" width="6.28515625" customWidth="1"/>
  </cols>
  <sheetData>
    <row r="2" spans="2:19">
      <c r="B2" t="s">
        <v>179</v>
      </c>
      <c r="J2" t="s">
        <v>164</v>
      </c>
      <c r="K2" t="s">
        <v>182</v>
      </c>
      <c r="L2" t="s">
        <v>186</v>
      </c>
      <c r="M2" t="s">
        <v>187</v>
      </c>
      <c r="N2" t="s">
        <v>188</v>
      </c>
      <c r="O2" t="s">
        <v>189</v>
      </c>
    </row>
    <row r="3" spans="2:19">
      <c r="J3" t="s">
        <v>181</v>
      </c>
      <c r="K3" t="s">
        <v>184</v>
      </c>
      <c r="L3" t="s">
        <v>183</v>
      </c>
      <c r="M3" t="s">
        <v>38</v>
      </c>
      <c r="O3" t="s">
        <v>182</v>
      </c>
      <c r="P3" t="s">
        <v>124</v>
      </c>
      <c r="Q3" t="s">
        <v>2</v>
      </c>
      <c r="R3" t="s">
        <v>185</v>
      </c>
      <c r="S3" t="s">
        <v>164</v>
      </c>
    </row>
    <row r="4" spans="2:19">
      <c r="D4" t="s">
        <v>116</v>
      </c>
      <c r="E4" t="s">
        <v>180</v>
      </c>
      <c r="I4">
        <v>2</v>
      </c>
      <c r="J4">
        <v>3.1415926535893899</v>
      </c>
      <c r="K4">
        <v>2</v>
      </c>
      <c r="L4">
        <v>252</v>
      </c>
      <c r="M4">
        <f>K4/L4</f>
        <v>7.9365079365079361E-3</v>
      </c>
      <c r="N4">
        <f>I4*J4/M4</f>
        <v>791.68134870452627</v>
      </c>
      <c r="O4">
        <f>SQRT(N4)</f>
        <v>28.136832599006702</v>
      </c>
      <c r="P4">
        <v>73433</v>
      </c>
      <c r="Q4">
        <v>73500</v>
      </c>
      <c r="R4">
        <f>P4/Q4</f>
        <v>0.99908843537414971</v>
      </c>
      <c r="S4">
        <f>O4*R4</f>
        <v>28.111184057725975</v>
      </c>
    </row>
    <row r="5" spans="2:19">
      <c r="B5" t="s">
        <v>44</v>
      </c>
      <c r="D5">
        <v>2.66E-3</v>
      </c>
      <c r="E5">
        <v>-167.63</v>
      </c>
      <c r="F5" s="7">
        <f>-2*E5/D5</f>
        <v>126037.5939849624</v>
      </c>
      <c r="G5" s="7">
        <f>SQRT(F5)</f>
        <v>355.01773756386086</v>
      </c>
    </row>
    <row r="6" spans="2:19">
      <c r="B6" t="s">
        <v>134</v>
      </c>
      <c r="D6">
        <v>1.4999999999999999E-2</v>
      </c>
      <c r="E6">
        <v>-1167</v>
      </c>
      <c r="F6" s="7">
        <f>-2*E6/D6</f>
        <v>155600</v>
      </c>
      <c r="G6" s="7">
        <f>SQRT(F6)</f>
        <v>394.46165846632039</v>
      </c>
    </row>
    <row r="11" spans="2:19">
      <c r="D11" t="s">
        <v>213</v>
      </c>
      <c r="E11" t="s">
        <v>214</v>
      </c>
      <c r="F11" s="7" t="s">
        <v>215</v>
      </c>
      <c r="G11" s="7" t="s">
        <v>216</v>
      </c>
      <c r="H11" s="7" t="s">
        <v>217</v>
      </c>
      <c r="I11" s="7" t="s">
        <v>218</v>
      </c>
    </row>
    <row r="12" spans="2:19">
      <c r="C12" t="s">
        <v>213</v>
      </c>
      <c r="D12" s="194">
        <v>0</v>
      </c>
      <c r="E12" s="190">
        <v>0</v>
      </c>
      <c r="F12" s="192">
        <v>4.43933</v>
      </c>
      <c r="G12" s="191">
        <v>4.10534</v>
      </c>
      <c r="H12" s="192">
        <v>4.43933</v>
      </c>
      <c r="I12" s="191">
        <v>4.10534</v>
      </c>
      <c r="J12" s="190"/>
      <c r="K12" s="7"/>
    </row>
    <row r="13" spans="2:19">
      <c r="C13" t="s">
        <v>214</v>
      </c>
      <c r="D13" s="190">
        <v>0</v>
      </c>
      <c r="E13" s="194">
        <v>0</v>
      </c>
      <c r="F13" s="190"/>
      <c r="G13" s="190"/>
      <c r="H13" s="190"/>
      <c r="I13" s="190"/>
      <c r="J13" s="190"/>
      <c r="K13" s="7"/>
    </row>
    <row r="14" spans="2:19">
      <c r="C14" t="s">
        <v>215</v>
      </c>
      <c r="D14" s="192">
        <v>4.43933</v>
      </c>
      <c r="E14" s="190"/>
      <c r="F14" s="194">
        <v>0</v>
      </c>
      <c r="G14" s="190"/>
      <c r="H14" s="195">
        <v>4.5</v>
      </c>
      <c r="I14" s="190"/>
      <c r="J14" s="190"/>
      <c r="K14" s="7"/>
    </row>
    <row r="15" spans="2:19">
      <c r="C15" t="s">
        <v>216</v>
      </c>
      <c r="D15" s="191">
        <v>4.10534</v>
      </c>
      <c r="E15" s="190"/>
      <c r="F15" s="190"/>
      <c r="G15" s="194">
        <v>0</v>
      </c>
      <c r="H15" s="190"/>
      <c r="I15" s="193">
        <v>0</v>
      </c>
      <c r="J15" s="190"/>
      <c r="K15" s="7"/>
    </row>
    <row r="16" spans="2:19">
      <c r="C16" t="s">
        <v>217</v>
      </c>
      <c r="D16" s="192">
        <v>4.43933</v>
      </c>
      <c r="E16" s="190"/>
      <c r="F16" s="195">
        <v>4.5</v>
      </c>
      <c r="G16" s="190"/>
      <c r="H16" s="194">
        <v>0</v>
      </c>
      <c r="I16" s="190"/>
      <c r="J16" s="190"/>
      <c r="K16" s="7"/>
    </row>
    <row r="17" spans="3:11">
      <c r="C17" t="s">
        <v>218</v>
      </c>
      <c r="D17" s="191">
        <v>4.10534</v>
      </c>
      <c r="E17" s="190"/>
      <c r="F17" s="190"/>
      <c r="G17" s="193">
        <v>0</v>
      </c>
      <c r="H17" s="190"/>
      <c r="I17" s="194">
        <v>0</v>
      </c>
      <c r="J17" s="190"/>
      <c r="K17" s="7"/>
    </row>
    <row r="18" spans="3:11">
      <c r="D18" s="190"/>
      <c r="E18" s="190"/>
      <c r="F18" s="190"/>
      <c r="G18" s="190"/>
      <c r="H18" s="190"/>
      <c r="I18" s="190"/>
      <c r="J18" s="190"/>
      <c r="K18" s="7"/>
    </row>
    <row r="19" spans="3:11">
      <c r="D19" s="190"/>
      <c r="E19" s="190"/>
      <c r="F19" s="190"/>
      <c r="G19" s="190"/>
      <c r="H19" s="190"/>
      <c r="I19" s="190"/>
      <c r="J19" s="190"/>
      <c r="K19" s="7"/>
    </row>
    <row r="20" spans="3:11">
      <c r="D20" s="190"/>
      <c r="E20" s="190"/>
      <c r="F20" s="190"/>
      <c r="G20" s="190"/>
      <c r="H20" s="190"/>
      <c r="I20" s="190"/>
      <c r="J20" s="190"/>
      <c r="K20" s="7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Лист14"/>
  <dimension ref="A1:G16"/>
  <sheetViews>
    <sheetView topLeftCell="A7" workbookViewId="0">
      <selection activeCell="I8" sqref="I8"/>
    </sheetView>
  </sheetViews>
  <sheetFormatPr defaultRowHeight="15"/>
  <sheetData>
    <row r="1" spans="1:7">
      <c r="C1">
        <v>86.3</v>
      </c>
      <c r="D1">
        <v>89.9</v>
      </c>
      <c r="E1">
        <v>93.35</v>
      </c>
      <c r="F1">
        <v>94.7</v>
      </c>
      <c r="G1">
        <v>94.5</v>
      </c>
    </row>
    <row r="2" spans="1:7" ht="15.75" thickBot="1">
      <c r="C2">
        <v>0.15</v>
      </c>
      <c r="D2">
        <v>0.23</v>
      </c>
      <c r="E2">
        <v>0.33</v>
      </c>
      <c r="F2">
        <v>0.56000000000000005</v>
      </c>
      <c r="G2">
        <v>0.8</v>
      </c>
    </row>
    <row r="3" spans="1:7">
      <c r="A3">
        <v>0.06</v>
      </c>
      <c r="B3">
        <v>90.7</v>
      </c>
      <c r="C3" s="123">
        <v>89.46</v>
      </c>
      <c r="D3" s="71">
        <v>92.74</v>
      </c>
      <c r="E3" s="71">
        <v>95.82</v>
      </c>
      <c r="F3" s="71">
        <v>96.17</v>
      </c>
      <c r="G3" s="72">
        <v>95.47</v>
      </c>
    </row>
    <row r="4" spans="1:7">
      <c r="A4">
        <v>0.15</v>
      </c>
      <c r="B4">
        <v>86.3</v>
      </c>
      <c r="C4" s="18">
        <v>92.74</v>
      </c>
      <c r="D4" s="120">
        <v>96.67</v>
      </c>
      <c r="E4" s="73">
        <v>99.18</v>
      </c>
      <c r="F4" s="73">
        <v>97.7</v>
      </c>
      <c r="G4" s="74">
        <v>96.32</v>
      </c>
    </row>
    <row r="5" spans="1:7">
      <c r="A5">
        <v>0.23</v>
      </c>
      <c r="B5">
        <v>89.9</v>
      </c>
      <c r="C5" s="18">
        <v>95.82</v>
      </c>
      <c r="D5" s="73">
        <v>99.18</v>
      </c>
      <c r="E5" s="122">
        <v>101.13</v>
      </c>
      <c r="F5" s="73">
        <v>97.94</v>
      </c>
      <c r="G5" s="74">
        <v>96.27</v>
      </c>
    </row>
    <row r="6" spans="1:7">
      <c r="A6">
        <v>0.33</v>
      </c>
      <c r="B6">
        <v>93.35</v>
      </c>
      <c r="C6" s="18">
        <v>96.17</v>
      </c>
      <c r="D6" s="73">
        <v>97.7</v>
      </c>
      <c r="E6" s="73">
        <v>97.94</v>
      </c>
      <c r="F6" s="120">
        <v>96.58</v>
      </c>
      <c r="G6" s="74">
        <v>95.27</v>
      </c>
    </row>
    <row r="7" spans="1:7" ht="15.75" thickBot="1">
      <c r="A7">
        <v>0.56000000000000005</v>
      </c>
      <c r="B7">
        <v>97.7</v>
      </c>
      <c r="C7" s="17">
        <v>95.47</v>
      </c>
      <c r="D7" s="75">
        <v>96.32</v>
      </c>
      <c r="E7" s="75">
        <v>96.27</v>
      </c>
      <c r="F7" s="75">
        <v>95.27</v>
      </c>
      <c r="G7" s="121">
        <v>94.05</v>
      </c>
    </row>
    <row r="15" spans="1:7" ht="15.75" thickBot="1"/>
    <row r="16" spans="1:7" ht="15.75" thickBot="1">
      <c r="E16" s="44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Лист15"/>
  <dimension ref="B2:AI41"/>
  <sheetViews>
    <sheetView topLeftCell="S4" workbookViewId="0">
      <selection activeCell="AC32" sqref="AC32"/>
    </sheetView>
  </sheetViews>
  <sheetFormatPr defaultRowHeight="15"/>
  <cols>
    <col min="4" max="4" width="9.28515625" customWidth="1"/>
    <col min="5" max="5" width="12.140625" customWidth="1"/>
    <col min="6" max="6" width="10.5703125" customWidth="1"/>
    <col min="7" max="7" width="7" customWidth="1"/>
    <col min="13" max="13" width="10.28515625" customWidth="1"/>
    <col min="14" max="14" width="10.42578125" customWidth="1"/>
    <col min="17" max="17" width="7" customWidth="1"/>
    <col min="18" max="18" width="8.140625" customWidth="1"/>
    <col min="19" max="19" width="11.28515625" customWidth="1"/>
    <col min="20" max="20" width="10.5703125" customWidth="1"/>
    <col min="21" max="21" width="9.85546875" customWidth="1"/>
    <col min="22" max="22" width="8.42578125" customWidth="1"/>
    <col min="23" max="23" width="8.7109375" customWidth="1"/>
    <col min="24" max="24" width="10.7109375" style="7" customWidth="1"/>
    <col min="27" max="27" width="10.42578125" customWidth="1"/>
    <col min="29" max="29" width="8" customWidth="1"/>
    <col min="30" max="30" width="10.28515625" customWidth="1"/>
    <col min="31" max="31" width="10.42578125" customWidth="1"/>
    <col min="32" max="32" width="7.42578125" customWidth="1"/>
    <col min="33" max="33" width="8.28515625" customWidth="1"/>
    <col min="34" max="34" width="9.7109375" customWidth="1"/>
    <col min="36" max="36" width="9.28515625" customWidth="1"/>
  </cols>
  <sheetData>
    <row r="2" spans="2:35">
      <c r="AA2" s="1">
        <f ca="1">TODAY()</f>
        <v>45161</v>
      </c>
    </row>
    <row r="3" spans="2:35">
      <c r="B3" t="s">
        <v>44</v>
      </c>
      <c r="C3" t="s">
        <v>2</v>
      </c>
      <c r="D3" t="s">
        <v>129</v>
      </c>
      <c r="E3" s="1">
        <v>44462</v>
      </c>
      <c r="F3" s="1">
        <v>44490</v>
      </c>
      <c r="G3">
        <f>F3-E3</f>
        <v>28</v>
      </c>
      <c r="J3" t="s">
        <v>134</v>
      </c>
      <c r="K3" t="s">
        <v>2</v>
      </c>
      <c r="L3" t="s">
        <v>129</v>
      </c>
      <c r="M3" s="1">
        <v>44461</v>
      </c>
      <c r="N3" s="1">
        <v>44489</v>
      </c>
      <c r="O3">
        <f>N3-M3</f>
        <v>28</v>
      </c>
    </row>
    <row r="4" spans="2:35">
      <c r="B4" t="s">
        <v>1</v>
      </c>
      <c r="C4">
        <v>73500</v>
      </c>
      <c r="D4">
        <v>73628</v>
      </c>
      <c r="E4">
        <v>424</v>
      </c>
      <c r="F4">
        <v>894</v>
      </c>
      <c r="G4">
        <f>F4/E4</f>
        <v>2.108490566037736</v>
      </c>
      <c r="J4" t="s">
        <v>1</v>
      </c>
      <c r="K4">
        <v>33500</v>
      </c>
      <c r="L4">
        <v>33291</v>
      </c>
      <c r="M4">
        <v>246</v>
      </c>
      <c r="N4">
        <v>800</v>
      </c>
      <c r="O4">
        <f>N4/M4</f>
        <v>3.2520325203252032</v>
      </c>
    </row>
    <row r="5" spans="2:35">
      <c r="B5" t="s">
        <v>3</v>
      </c>
      <c r="C5">
        <v>73500</v>
      </c>
      <c r="D5">
        <v>73628</v>
      </c>
      <c r="E5">
        <v>339</v>
      </c>
      <c r="F5">
        <v>803</v>
      </c>
      <c r="G5">
        <f>F5/E5</f>
        <v>2.3687315634218291</v>
      </c>
      <c r="J5" t="s">
        <v>3</v>
      </c>
      <c r="K5">
        <v>33500</v>
      </c>
      <c r="L5">
        <v>33291</v>
      </c>
      <c r="M5">
        <v>442</v>
      </c>
      <c r="N5">
        <v>996</v>
      </c>
      <c r="O5">
        <f>N5/M5</f>
        <v>2.253393665158371</v>
      </c>
    </row>
    <row r="6" spans="2:35">
      <c r="T6" t="s">
        <v>193</v>
      </c>
      <c r="U6" t="s">
        <v>194</v>
      </c>
      <c r="AB6" t="s">
        <v>129</v>
      </c>
      <c r="AD6" t="s">
        <v>193</v>
      </c>
      <c r="AE6" t="s">
        <v>194</v>
      </c>
      <c r="AI6" s="7"/>
    </row>
    <row r="7" spans="2:35">
      <c r="J7" t="s">
        <v>134</v>
      </c>
      <c r="K7" t="s">
        <v>2</v>
      </c>
      <c r="L7" t="s">
        <v>129</v>
      </c>
      <c r="M7" s="1">
        <v>44461</v>
      </c>
      <c r="N7" s="1">
        <v>44489</v>
      </c>
      <c r="O7">
        <f>N7-M7</f>
        <v>28</v>
      </c>
      <c r="Q7" t="s">
        <v>134</v>
      </c>
      <c r="R7" t="s">
        <v>2</v>
      </c>
      <c r="S7" t="s">
        <v>129</v>
      </c>
      <c r="T7" s="127">
        <f ca="1">TODAY()</f>
        <v>45161</v>
      </c>
      <c r="U7" s="1"/>
      <c r="V7">
        <f t="shared" ref="V7:V9" ca="1" si="0">U7-T7</f>
        <v>-45161</v>
      </c>
      <c r="W7" t="s">
        <v>124</v>
      </c>
      <c r="Z7" t="s">
        <v>44</v>
      </c>
      <c r="AA7" t="s">
        <v>2</v>
      </c>
      <c r="AB7">
        <v>75330</v>
      </c>
      <c r="AD7" s="180">
        <f ca="1">TODAY()</f>
        <v>45161</v>
      </c>
      <c r="AE7" s="1">
        <v>44468</v>
      </c>
      <c r="AF7">
        <f t="shared" ref="AF7" ca="1" si="1">AE7-AD7</f>
        <v>-693</v>
      </c>
      <c r="AG7" t="s">
        <v>124</v>
      </c>
      <c r="AH7">
        <v>72674</v>
      </c>
      <c r="AI7" s="7"/>
    </row>
    <row r="8" spans="2:35">
      <c r="J8" t="s">
        <v>1</v>
      </c>
      <c r="K8">
        <v>34000</v>
      </c>
      <c r="L8">
        <v>33291</v>
      </c>
      <c r="M8">
        <v>96</v>
      </c>
      <c r="N8">
        <v>140</v>
      </c>
      <c r="O8">
        <f>N8/M8</f>
        <v>1.4583333333333333</v>
      </c>
      <c r="Q8" s="83" t="s">
        <v>1</v>
      </c>
      <c r="R8" s="83">
        <v>37000</v>
      </c>
      <c r="S8" s="83">
        <v>33291</v>
      </c>
      <c r="T8" s="127">
        <f ca="1">TODAY()</f>
        <v>45161</v>
      </c>
      <c r="U8" s="127">
        <v>44482</v>
      </c>
      <c r="V8" s="83">
        <f t="shared" ca="1" si="0"/>
        <v>-679</v>
      </c>
      <c r="W8" s="83">
        <v>676</v>
      </c>
      <c r="X8" s="128">
        <f t="shared" ref="X8:X13" ca="1" si="2">W8/V8</f>
        <v>-0.9955817378497791</v>
      </c>
      <c r="Z8" s="83" t="s">
        <v>1</v>
      </c>
      <c r="AA8" s="83">
        <v>74500</v>
      </c>
      <c r="AB8" s="83">
        <f>$AB$7</f>
        <v>75330</v>
      </c>
      <c r="AC8" s="83">
        <f>AB8-AA8</f>
        <v>830</v>
      </c>
      <c r="AD8" s="180">
        <f ca="1">TODAY()</f>
        <v>45161</v>
      </c>
      <c r="AE8" s="130">
        <v>44476</v>
      </c>
      <c r="AF8" s="83">
        <f ca="1">AE8-AD8+1</f>
        <v>-684</v>
      </c>
      <c r="AG8" s="83">
        <v>167</v>
      </c>
      <c r="AH8" s="129">
        <f>AG8-AC8/2</f>
        <v>-248</v>
      </c>
      <c r="AI8" s="128">
        <f t="shared" ref="AI8:AI9" ca="1" si="3">AG8/AF8</f>
        <v>-0.24415204678362573</v>
      </c>
    </row>
    <row r="9" spans="2:35" ht="15.75" thickBot="1">
      <c r="J9" t="s">
        <v>3</v>
      </c>
      <c r="K9">
        <v>32000</v>
      </c>
      <c r="L9">
        <v>33291</v>
      </c>
      <c r="M9">
        <v>95</v>
      </c>
      <c r="N9">
        <v>100</v>
      </c>
      <c r="O9">
        <f>N9/M9</f>
        <v>1.0526315789473684</v>
      </c>
      <c r="Q9" s="83" t="s">
        <v>3</v>
      </c>
      <c r="R9" s="83">
        <v>37000</v>
      </c>
      <c r="S9" s="83">
        <v>33000</v>
      </c>
      <c r="T9" s="127">
        <f t="shared" ref="T9:T15" ca="1" si="4">TODAY()</f>
        <v>45161</v>
      </c>
      <c r="U9" s="127">
        <v>44482</v>
      </c>
      <c r="V9" s="83">
        <f t="shared" ca="1" si="0"/>
        <v>-679</v>
      </c>
      <c r="W9" s="83">
        <v>0</v>
      </c>
      <c r="X9" s="128">
        <f t="shared" ca="1" si="2"/>
        <v>0</v>
      </c>
      <c r="Z9" s="83" t="s">
        <v>3</v>
      </c>
      <c r="AA9" s="83">
        <v>73500</v>
      </c>
      <c r="AB9" s="83">
        <f t="shared" ref="AB9:AB27" si="5">$AB$7</f>
        <v>75330</v>
      </c>
      <c r="AC9" s="83">
        <f t="shared" ref="AC9:AC21" si="6">AB9-AA9</f>
        <v>1830</v>
      </c>
      <c r="AD9" s="180">
        <f t="shared" ref="AD9" ca="1" si="7">TODAY()</f>
        <v>45161</v>
      </c>
      <c r="AE9" s="130">
        <v>44476</v>
      </c>
      <c r="AF9" s="83">
        <f t="shared" ref="AF9:AF27" ca="1" si="8">AE9-AD9+1</f>
        <v>-684</v>
      </c>
      <c r="AG9" s="83">
        <v>373</v>
      </c>
      <c r="AH9" s="129">
        <f>AG9+AC9/2</f>
        <v>1288</v>
      </c>
      <c r="AI9" s="128">
        <f t="shared" ca="1" si="3"/>
        <v>-0.54532163742690054</v>
      </c>
    </row>
    <row r="10" spans="2:35">
      <c r="Q10" s="129" t="s">
        <v>1</v>
      </c>
      <c r="R10" s="83">
        <v>37000</v>
      </c>
      <c r="S10" s="129">
        <v>33291</v>
      </c>
      <c r="T10" s="127">
        <f t="shared" ca="1" si="4"/>
        <v>45161</v>
      </c>
      <c r="U10" s="133">
        <v>44489</v>
      </c>
      <c r="V10" s="129">
        <f t="shared" ref="V10:V15" ca="1" si="9">U10-T10</f>
        <v>-672</v>
      </c>
      <c r="W10" s="129">
        <v>1005</v>
      </c>
      <c r="X10" s="131">
        <f t="shared" ca="1" si="2"/>
        <v>-1.4955357142857142</v>
      </c>
      <c r="Z10" s="169" t="s">
        <v>1</v>
      </c>
      <c r="AA10" s="170">
        <v>75000</v>
      </c>
      <c r="AB10" s="83">
        <f t="shared" si="5"/>
        <v>75330</v>
      </c>
      <c r="AC10" s="170">
        <f t="shared" ref="AC10:AC15" si="10">AB10-AA10</f>
        <v>330</v>
      </c>
      <c r="AD10" s="181">
        <f t="shared" ref="AD10:AD27" ca="1" si="11">TODAY()</f>
        <v>45161</v>
      </c>
      <c r="AE10" s="171">
        <v>44503</v>
      </c>
      <c r="AF10" s="83">
        <f t="shared" ca="1" si="8"/>
        <v>-657</v>
      </c>
      <c r="AG10" s="172">
        <v>844</v>
      </c>
      <c r="AH10" s="173">
        <f>AG10-AC10/2</f>
        <v>679</v>
      </c>
      <c r="AI10" s="145">
        <f t="shared" ref="AI10:AI15" ca="1" si="12">AH10/AF10</f>
        <v>-1.0334855403348555</v>
      </c>
    </row>
    <row r="11" spans="2:35">
      <c r="Q11" s="129" t="s">
        <v>3</v>
      </c>
      <c r="R11" s="83">
        <v>37000</v>
      </c>
      <c r="S11" s="129">
        <v>33291</v>
      </c>
      <c r="T11" s="127">
        <f t="shared" ca="1" si="4"/>
        <v>45161</v>
      </c>
      <c r="U11" s="133">
        <v>44489</v>
      </c>
      <c r="V11" s="129">
        <f t="shared" ca="1" si="9"/>
        <v>-672</v>
      </c>
      <c r="W11" s="129">
        <v>0</v>
      </c>
      <c r="X11" s="131">
        <f t="shared" ca="1" si="2"/>
        <v>0</v>
      </c>
      <c r="Z11" s="174" t="s">
        <v>3</v>
      </c>
      <c r="AA11" s="83">
        <f>AA10</f>
        <v>75000</v>
      </c>
      <c r="AB11" s="83">
        <f t="shared" si="5"/>
        <v>75330</v>
      </c>
      <c r="AC11" s="83">
        <f t="shared" si="10"/>
        <v>330</v>
      </c>
      <c r="AD11" s="180">
        <f t="shared" ca="1" si="11"/>
        <v>45161</v>
      </c>
      <c r="AE11" s="133">
        <f>AE10</f>
        <v>44503</v>
      </c>
      <c r="AF11" s="83">
        <f t="shared" ca="1" si="8"/>
        <v>-657</v>
      </c>
      <c r="AG11" s="132">
        <v>250</v>
      </c>
      <c r="AH11" s="129">
        <f>AG11+AC11/2</f>
        <v>415</v>
      </c>
      <c r="AI11" s="175">
        <f t="shared" ca="1" si="12"/>
        <v>-0.63165905631659058</v>
      </c>
    </row>
    <row r="12" spans="2:35">
      <c r="Q12" s="132" t="s">
        <v>1</v>
      </c>
      <c r="R12" s="83">
        <v>37000</v>
      </c>
      <c r="S12" s="132">
        <v>33291</v>
      </c>
      <c r="T12" s="127">
        <f t="shared" ca="1" si="4"/>
        <v>45161</v>
      </c>
      <c r="U12" s="133">
        <v>44517</v>
      </c>
      <c r="V12" s="132">
        <f t="shared" ca="1" si="9"/>
        <v>-644</v>
      </c>
      <c r="W12" s="132">
        <v>1557</v>
      </c>
      <c r="X12" s="134">
        <f t="shared" ca="1" si="2"/>
        <v>-2.4177018633540373</v>
      </c>
      <c r="Z12" s="174" t="s">
        <v>1</v>
      </c>
      <c r="AA12" s="83">
        <v>75500</v>
      </c>
      <c r="AB12" s="83">
        <f t="shared" si="5"/>
        <v>75330</v>
      </c>
      <c r="AC12" s="83">
        <f t="shared" si="10"/>
        <v>-170</v>
      </c>
      <c r="AD12" s="180">
        <f t="shared" ca="1" si="11"/>
        <v>45161</v>
      </c>
      <c r="AE12" s="133">
        <f t="shared" ref="AE12:AE15" si="13">AE11</f>
        <v>44503</v>
      </c>
      <c r="AF12" s="83">
        <f t="shared" ca="1" si="8"/>
        <v>-657</v>
      </c>
      <c r="AG12" s="132">
        <v>549</v>
      </c>
      <c r="AH12" s="129">
        <f>AG12-AC12/2</f>
        <v>634</v>
      </c>
      <c r="AI12" s="175">
        <f t="shared" ca="1" si="12"/>
        <v>-0.96499238964992384</v>
      </c>
    </row>
    <row r="13" spans="2:35">
      <c r="Q13" s="132" t="s">
        <v>3</v>
      </c>
      <c r="R13" s="83">
        <v>37000</v>
      </c>
      <c r="S13" s="132">
        <v>33291</v>
      </c>
      <c r="T13" s="127">
        <f t="shared" ca="1" si="4"/>
        <v>45161</v>
      </c>
      <c r="U13" s="133">
        <v>44517</v>
      </c>
      <c r="V13" s="132">
        <f t="shared" ca="1" si="9"/>
        <v>-644</v>
      </c>
      <c r="W13" s="132">
        <v>0</v>
      </c>
      <c r="X13" s="134">
        <f t="shared" ca="1" si="2"/>
        <v>0</v>
      </c>
      <c r="Z13" s="174" t="s">
        <v>3</v>
      </c>
      <c r="AA13" s="83">
        <f>AA12</f>
        <v>75500</v>
      </c>
      <c r="AB13" s="83">
        <f t="shared" si="5"/>
        <v>75330</v>
      </c>
      <c r="AC13" s="83">
        <f t="shared" si="10"/>
        <v>-170</v>
      </c>
      <c r="AD13" s="180">
        <f t="shared" ca="1" si="11"/>
        <v>45161</v>
      </c>
      <c r="AE13" s="133">
        <f t="shared" si="13"/>
        <v>44503</v>
      </c>
      <c r="AF13" s="83">
        <f t="shared" ca="1" si="8"/>
        <v>-657</v>
      </c>
      <c r="AG13" s="132">
        <v>463</v>
      </c>
      <c r="AH13" s="129">
        <f>AG13+AC13/2</f>
        <v>378</v>
      </c>
      <c r="AI13" s="175">
        <f t="shared" ca="1" si="12"/>
        <v>-0.57534246575342463</v>
      </c>
    </row>
    <row r="14" spans="2:35">
      <c r="Q14" s="132" t="s">
        <v>1</v>
      </c>
      <c r="R14" s="83">
        <v>37000</v>
      </c>
      <c r="S14" s="132">
        <v>33291</v>
      </c>
      <c r="T14" s="127">
        <f t="shared" ca="1" si="4"/>
        <v>45161</v>
      </c>
      <c r="U14" s="133">
        <v>44545</v>
      </c>
      <c r="V14" s="132">
        <f t="shared" ca="1" si="9"/>
        <v>-616</v>
      </c>
      <c r="W14" s="132">
        <v>1642</v>
      </c>
      <c r="X14" s="134">
        <f t="shared" ref="X14:X15" ca="1" si="14">W14/V14</f>
        <v>-2.6655844155844157</v>
      </c>
      <c r="Z14" s="174" t="s">
        <v>1</v>
      </c>
      <c r="AA14" s="83">
        <v>76000</v>
      </c>
      <c r="AB14" s="83">
        <f t="shared" si="5"/>
        <v>75330</v>
      </c>
      <c r="AC14" s="83">
        <f t="shared" si="10"/>
        <v>-670</v>
      </c>
      <c r="AD14" s="180">
        <f t="shared" ca="1" si="11"/>
        <v>45161</v>
      </c>
      <c r="AE14" s="133">
        <f t="shared" si="13"/>
        <v>44503</v>
      </c>
      <c r="AF14" s="83">
        <f t="shared" ca="1" si="8"/>
        <v>-657</v>
      </c>
      <c r="AG14" s="132">
        <v>338</v>
      </c>
      <c r="AH14" s="129">
        <f>AG14-AC14/2</f>
        <v>673</v>
      </c>
      <c r="AI14" s="175">
        <f t="shared" ca="1" si="12"/>
        <v>-1.0243531202435312</v>
      </c>
    </row>
    <row r="15" spans="2:35" ht="15.75" thickBot="1">
      <c r="Q15" s="132" t="s">
        <v>3</v>
      </c>
      <c r="R15" s="83">
        <v>37000</v>
      </c>
      <c r="S15" s="132">
        <v>33291</v>
      </c>
      <c r="T15" s="127">
        <f t="shared" ca="1" si="4"/>
        <v>45161</v>
      </c>
      <c r="U15" s="133">
        <v>44545</v>
      </c>
      <c r="V15" s="132">
        <f t="shared" ca="1" si="9"/>
        <v>-616</v>
      </c>
      <c r="W15" s="132">
        <v>0</v>
      </c>
      <c r="X15" s="134">
        <f t="shared" ca="1" si="14"/>
        <v>0</v>
      </c>
      <c r="Z15" s="176" t="s">
        <v>3</v>
      </c>
      <c r="AA15" s="88">
        <f>AA14</f>
        <v>76000</v>
      </c>
      <c r="AB15" s="83">
        <f t="shared" si="5"/>
        <v>75330</v>
      </c>
      <c r="AC15" s="88">
        <f t="shared" si="10"/>
        <v>-670</v>
      </c>
      <c r="AD15" s="182">
        <f t="shared" ca="1" si="11"/>
        <v>45161</v>
      </c>
      <c r="AE15" s="133">
        <f t="shared" si="13"/>
        <v>44503</v>
      </c>
      <c r="AF15" s="83">
        <f t="shared" ca="1" si="8"/>
        <v>-657</v>
      </c>
      <c r="AG15" s="177">
        <v>762</v>
      </c>
      <c r="AH15" s="178">
        <f>AG15+AC15/2</f>
        <v>427</v>
      </c>
      <c r="AI15" s="179">
        <f t="shared" ca="1" si="12"/>
        <v>-0.64992389649923898</v>
      </c>
    </row>
    <row r="16" spans="2:35" ht="15.75" thickBot="1">
      <c r="Z16" s="169" t="s">
        <v>1</v>
      </c>
      <c r="AA16" s="170">
        <f>AA10</f>
        <v>75000</v>
      </c>
      <c r="AB16" s="83">
        <f t="shared" si="5"/>
        <v>75330</v>
      </c>
      <c r="AC16" s="170">
        <f t="shared" si="6"/>
        <v>330</v>
      </c>
      <c r="AD16" s="181">
        <f t="shared" ca="1" si="11"/>
        <v>45161</v>
      </c>
      <c r="AE16" s="171">
        <v>44518</v>
      </c>
      <c r="AF16" s="83">
        <f t="shared" ca="1" si="8"/>
        <v>-642</v>
      </c>
      <c r="AG16" s="172">
        <v>1542</v>
      </c>
      <c r="AH16" s="173">
        <f>AG16-AC16/2</f>
        <v>1377</v>
      </c>
      <c r="AI16" s="145">
        <f t="shared" ref="AI16:AI21" ca="1" si="15">AH16/AF16</f>
        <v>-2.1448598130841123</v>
      </c>
    </row>
    <row r="17" spans="14:35" ht="15.75" thickBot="1">
      <c r="Z17" s="174" t="s">
        <v>3</v>
      </c>
      <c r="AA17" s="170">
        <f t="shared" ref="AA17:AA27" si="16">AA11</f>
        <v>75000</v>
      </c>
      <c r="AB17" s="83">
        <f t="shared" si="5"/>
        <v>75330</v>
      </c>
      <c r="AC17" s="83">
        <f t="shared" si="6"/>
        <v>330</v>
      </c>
      <c r="AD17" s="180">
        <f t="shared" ca="1" si="11"/>
        <v>45161</v>
      </c>
      <c r="AE17" s="133">
        <f>AE16</f>
        <v>44518</v>
      </c>
      <c r="AF17" s="83">
        <f t="shared" ca="1" si="8"/>
        <v>-642</v>
      </c>
      <c r="AG17" s="132">
        <v>41</v>
      </c>
      <c r="AH17" s="129">
        <f>AG17+AC17/2</f>
        <v>206</v>
      </c>
      <c r="AI17" s="175">
        <f t="shared" ca="1" si="15"/>
        <v>-0.32087227414330216</v>
      </c>
    </row>
    <row r="18" spans="14:35" ht="15.75" thickBot="1">
      <c r="N18" t="s">
        <v>44</v>
      </c>
      <c r="O18" t="s">
        <v>2</v>
      </c>
      <c r="P18">
        <v>72733</v>
      </c>
      <c r="Q18">
        <v>31677</v>
      </c>
      <c r="R18" s="266"/>
      <c r="S18" s="183" t="s">
        <v>193</v>
      </c>
      <c r="T18" t="e">
        <f t="shared" ref="T18" si="17">S18-R18</f>
        <v>#VALUE!</v>
      </c>
      <c r="U18" t="s">
        <v>107</v>
      </c>
      <c r="V18">
        <v>72674</v>
      </c>
      <c r="W18" s="7"/>
      <c r="Z18" s="174" t="s">
        <v>1</v>
      </c>
      <c r="AA18" s="170">
        <f t="shared" si="16"/>
        <v>75500</v>
      </c>
      <c r="AB18" s="83">
        <f t="shared" si="5"/>
        <v>75330</v>
      </c>
      <c r="AC18" s="83">
        <f t="shared" si="6"/>
        <v>-170</v>
      </c>
      <c r="AD18" s="180">
        <f t="shared" ca="1" si="11"/>
        <v>45161</v>
      </c>
      <c r="AE18" s="133">
        <f t="shared" ref="AE18:AE21" si="18">AE17</f>
        <v>44518</v>
      </c>
      <c r="AF18" s="83">
        <f t="shared" ca="1" si="8"/>
        <v>-642</v>
      </c>
      <c r="AG18" s="132">
        <v>1542</v>
      </c>
      <c r="AH18" s="129">
        <f>AG18+AC18/2</f>
        <v>1457</v>
      </c>
      <c r="AI18" s="175">
        <f t="shared" ca="1" si="15"/>
        <v>-2.2694704049844239</v>
      </c>
    </row>
    <row r="19" spans="14:35" ht="15.75" thickBot="1">
      <c r="O19" s="279" t="s">
        <v>1</v>
      </c>
      <c r="P19" s="170">
        <v>31000</v>
      </c>
      <c r="Q19" s="144">
        <f>$Q$18</f>
        <v>31677</v>
      </c>
      <c r="R19" s="144">
        <f t="shared" ref="R19:R24" si="19">Q19-P19</f>
        <v>677</v>
      </c>
      <c r="S19" s="181">
        <f ca="1">TODAY()</f>
        <v>45161</v>
      </c>
      <c r="T19" s="280">
        <v>44580</v>
      </c>
      <c r="U19" s="144">
        <f ca="1">T19-S19+1</f>
        <v>-580</v>
      </c>
      <c r="V19" s="144">
        <v>1041</v>
      </c>
      <c r="W19" s="144">
        <f>V19-R19/2</f>
        <v>702.5</v>
      </c>
      <c r="X19" s="281">
        <f ca="1">W19/U19</f>
        <v>-1.2112068965517242</v>
      </c>
      <c r="Z19" s="174" t="s">
        <v>3</v>
      </c>
      <c r="AA19" s="170">
        <f t="shared" si="16"/>
        <v>75500</v>
      </c>
      <c r="AB19" s="83">
        <f t="shared" si="5"/>
        <v>75330</v>
      </c>
      <c r="AC19" s="83">
        <f t="shared" si="6"/>
        <v>-170</v>
      </c>
      <c r="AD19" s="180">
        <f t="shared" ca="1" si="11"/>
        <v>45161</v>
      </c>
      <c r="AE19" s="133">
        <f t="shared" si="18"/>
        <v>44518</v>
      </c>
      <c r="AF19" s="83">
        <f t="shared" ca="1" si="8"/>
        <v>-642</v>
      </c>
      <c r="AG19" s="132">
        <v>690</v>
      </c>
      <c r="AH19" s="129">
        <f>AG19-AC19/2</f>
        <v>775</v>
      </c>
      <c r="AI19" s="175">
        <f t="shared" ca="1" si="15"/>
        <v>-1.2071651090342679</v>
      </c>
    </row>
    <row r="20" spans="14:35" ht="15.75" thickBot="1">
      <c r="O20" s="110" t="s">
        <v>3</v>
      </c>
      <c r="P20" s="83">
        <f>P19</f>
        <v>31000</v>
      </c>
      <c r="Q20" s="101">
        <f t="shared" ref="Q20:Q36" si="20">$Q$18</f>
        <v>31677</v>
      </c>
      <c r="R20" s="101">
        <f t="shared" si="19"/>
        <v>677</v>
      </c>
      <c r="S20" s="180">
        <f t="shared" ref="S20:S24" ca="1" si="21">TODAY()</f>
        <v>45161</v>
      </c>
      <c r="T20" s="168">
        <f>T19</f>
        <v>44580</v>
      </c>
      <c r="U20" s="101">
        <f t="shared" ref="U20:U36" ca="1" si="22">T20-S20+1</f>
        <v>-580</v>
      </c>
      <c r="V20" s="101">
        <v>549</v>
      </c>
      <c r="W20" s="101">
        <f>V20+R20/2</f>
        <v>887.5</v>
      </c>
      <c r="X20" s="282">
        <f t="shared" ref="X20:X24" ca="1" si="23">W20/U20</f>
        <v>-1.5301724137931034</v>
      </c>
      <c r="Z20" s="174" t="s">
        <v>1</v>
      </c>
      <c r="AA20" s="170">
        <f t="shared" si="16"/>
        <v>76000</v>
      </c>
      <c r="AB20" s="83">
        <f t="shared" si="5"/>
        <v>75330</v>
      </c>
      <c r="AC20" s="83">
        <f t="shared" si="6"/>
        <v>-670</v>
      </c>
      <c r="AD20" s="180">
        <f t="shared" ca="1" si="11"/>
        <v>45161</v>
      </c>
      <c r="AE20" s="133">
        <f t="shared" si="18"/>
        <v>44518</v>
      </c>
      <c r="AF20" s="83">
        <f t="shared" ca="1" si="8"/>
        <v>-642</v>
      </c>
      <c r="AG20" s="132">
        <v>565</v>
      </c>
      <c r="AH20" s="129">
        <f>AG20-AC20/2</f>
        <v>900</v>
      </c>
      <c r="AI20" s="175">
        <f t="shared" ca="1" si="15"/>
        <v>-1.4018691588785046</v>
      </c>
    </row>
    <row r="21" spans="14:35" ht="15.75" thickBot="1">
      <c r="O21" s="110" t="s">
        <v>1</v>
      </c>
      <c r="P21" s="83">
        <v>31500</v>
      </c>
      <c r="Q21" s="101">
        <f t="shared" si="20"/>
        <v>31677</v>
      </c>
      <c r="R21" s="101">
        <f t="shared" si="19"/>
        <v>177</v>
      </c>
      <c r="S21" s="180">
        <f t="shared" ca="1" si="21"/>
        <v>45161</v>
      </c>
      <c r="T21" s="168">
        <f t="shared" ref="T21:T24" si="24">T20</f>
        <v>44580</v>
      </c>
      <c r="U21" s="101">
        <f t="shared" ca="1" si="22"/>
        <v>-580</v>
      </c>
      <c r="V21" s="101">
        <v>733</v>
      </c>
      <c r="W21" s="101">
        <f>V21-R21/2</f>
        <v>644.5</v>
      </c>
      <c r="X21" s="282">
        <f t="shared" ca="1" si="23"/>
        <v>-1.1112068965517241</v>
      </c>
      <c r="Z21" s="176" t="s">
        <v>3</v>
      </c>
      <c r="AA21" s="170">
        <f t="shared" si="16"/>
        <v>76000</v>
      </c>
      <c r="AB21" s="83">
        <f t="shared" si="5"/>
        <v>75330</v>
      </c>
      <c r="AC21" s="88">
        <f t="shared" si="6"/>
        <v>-670</v>
      </c>
      <c r="AD21" s="182">
        <f t="shared" ca="1" si="11"/>
        <v>45161</v>
      </c>
      <c r="AE21" s="133">
        <f t="shared" si="18"/>
        <v>44518</v>
      </c>
      <c r="AF21" s="83">
        <f t="shared" ca="1" si="8"/>
        <v>-642</v>
      </c>
      <c r="AG21" s="177">
        <v>990</v>
      </c>
      <c r="AH21" s="178">
        <f>AG21+AC21/2</f>
        <v>655</v>
      </c>
      <c r="AI21" s="179">
        <f t="shared" ca="1" si="15"/>
        <v>-1.0202492211838006</v>
      </c>
    </row>
    <row r="22" spans="14:35" ht="15.75" thickBot="1">
      <c r="O22" s="110" t="s">
        <v>3</v>
      </c>
      <c r="P22" s="83">
        <f>P21</f>
        <v>31500</v>
      </c>
      <c r="Q22" s="101">
        <f t="shared" si="20"/>
        <v>31677</v>
      </c>
      <c r="R22" s="101">
        <f t="shared" si="19"/>
        <v>177</v>
      </c>
      <c r="S22" s="180">
        <f t="shared" ca="1" si="21"/>
        <v>45161</v>
      </c>
      <c r="T22" s="168">
        <f t="shared" si="24"/>
        <v>44580</v>
      </c>
      <c r="U22" s="101">
        <f t="shared" ca="1" si="22"/>
        <v>-580</v>
      </c>
      <c r="V22" s="101">
        <v>741</v>
      </c>
      <c r="W22" s="101">
        <f>V22+R22/2</f>
        <v>829.5</v>
      </c>
      <c r="X22" s="282">
        <f t="shared" ca="1" si="23"/>
        <v>-1.4301724137931036</v>
      </c>
      <c r="Z22" s="169" t="s">
        <v>1</v>
      </c>
      <c r="AA22" s="170">
        <f t="shared" si="16"/>
        <v>75000</v>
      </c>
      <c r="AB22" s="83">
        <f t="shared" si="5"/>
        <v>75330</v>
      </c>
      <c r="AC22" s="170">
        <f t="shared" ref="AC22:AC27" si="25">AB22-AA22</f>
        <v>330</v>
      </c>
      <c r="AD22" s="181">
        <f t="shared" ca="1" si="11"/>
        <v>45161</v>
      </c>
      <c r="AE22" s="171">
        <v>44637</v>
      </c>
      <c r="AF22" s="83">
        <f t="shared" ca="1" si="8"/>
        <v>-523</v>
      </c>
      <c r="AG22" s="172">
        <v>2523</v>
      </c>
      <c r="AH22" s="173">
        <f>AG22-AC22/2</f>
        <v>2358</v>
      </c>
      <c r="AI22" s="145">
        <f t="shared" ref="AI22:AI27" ca="1" si="26">AH22/AF22</f>
        <v>-4.5086042065009559</v>
      </c>
    </row>
    <row r="23" spans="14:35" ht="15.75" thickBot="1">
      <c r="O23" s="110" t="s">
        <v>1</v>
      </c>
      <c r="P23" s="83">
        <v>32000</v>
      </c>
      <c r="Q23" s="101">
        <f t="shared" si="20"/>
        <v>31677</v>
      </c>
      <c r="R23" s="101">
        <f t="shared" si="19"/>
        <v>-323</v>
      </c>
      <c r="S23" s="180">
        <f t="shared" ca="1" si="21"/>
        <v>45161</v>
      </c>
      <c r="T23" s="168">
        <f t="shared" si="24"/>
        <v>44580</v>
      </c>
      <c r="U23" s="101">
        <f t="shared" ca="1" si="22"/>
        <v>-580</v>
      </c>
      <c r="V23" s="101">
        <v>483</v>
      </c>
      <c r="W23" s="101">
        <f>V23-R23/2</f>
        <v>644.5</v>
      </c>
      <c r="X23" s="282">
        <f t="shared" ca="1" si="23"/>
        <v>-1.1112068965517241</v>
      </c>
      <c r="Z23" s="174" t="s">
        <v>3</v>
      </c>
      <c r="AA23" s="170">
        <f t="shared" si="16"/>
        <v>75000</v>
      </c>
      <c r="AB23" s="83">
        <f t="shared" si="5"/>
        <v>75330</v>
      </c>
      <c r="AC23" s="83">
        <f t="shared" si="25"/>
        <v>330</v>
      </c>
      <c r="AD23" s="180">
        <f t="shared" ca="1" si="11"/>
        <v>45161</v>
      </c>
      <c r="AE23" s="133">
        <f>AE22</f>
        <v>44637</v>
      </c>
      <c r="AF23" s="83">
        <f t="shared" ca="1" si="8"/>
        <v>-523</v>
      </c>
      <c r="AG23" s="132">
        <v>2468</v>
      </c>
      <c r="AH23" s="129">
        <f>AG23+AC23/2</f>
        <v>2633</v>
      </c>
      <c r="AI23" s="175">
        <f t="shared" ca="1" si="26"/>
        <v>-5.0344168260038238</v>
      </c>
    </row>
    <row r="24" spans="14:35" ht="15.75" thickBot="1">
      <c r="O24" s="283" t="s">
        <v>3</v>
      </c>
      <c r="P24" s="88">
        <f>P23</f>
        <v>32000</v>
      </c>
      <c r="Q24" s="271">
        <f t="shared" si="20"/>
        <v>31677</v>
      </c>
      <c r="R24" s="271">
        <f t="shared" si="19"/>
        <v>-323</v>
      </c>
      <c r="S24" s="182">
        <f t="shared" ca="1" si="21"/>
        <v>45161</v>
      </c>
      <c r="T24" s="284">
        <f t="shared" si="24"/>
        <v>44580</v>
      </c>
      <c r="U24" s="271">
        <f t="shared" ca="1" si="22"/>
        <v>-580</v>
      </c>
      <c r="V24" s="271">
        <v>991</v>
      </c>
      <c r="W24" s="271">
        <f>V24+R24/2</f>
        <v>829.5</v>
      </c>
      <c r="X24" s="285">
        <f t="shared" ca="1" si="23"/>
        <v>-1.4301724137931036</v>
      </c>
      <c r="Z24" s="174" t="s">
        <v>1</v>
      </c>
      <c r="AA24" s="170">
        <f t="shared" si="16"/>
        <v>75500</v>
      </c>
      <c r="AB24" s="83">
        <f t="shared" si="5"/>
        <v>75330</v>
      </c>
      <c r="AC24" s="83">
        <f t="shared" si="25"/>
        <v>-170</v>
      </c>
      <c r="AD24" s="180">
        <f t="shared" ca="1" si="11"/>
        <v>45161</v>
      </c>
      <c r="AE24" s="133">
        <f t="shared" ref="AE24:AE27" si="27">AE23</f>
        <v>44637</v>
      </c>
      <c r="AF24" s="83">
        <f t="shared" ca="1" si="8"/>
        <v>-523</v>
      </c>
      <c r="AG24" s="132">
        <v>2309</v>
      </c>
      <c r="AH24" s="129">
        <f>AG24-AC24/2</f>
        <v>2394</v>
      </c>
      <c r="AI24" s="175">
        <f t="shared" ca="1" si="26"/>
        <v>-4.5774378585086044</v>
      </c>
    </row>
    <row r="25" spans="14:35" ht="15.75" thickBot="1">
      <c r="O25" s="272" t="s">
        <v>1</v>
      </c>
      <c r="P25" s="170">
        <v>31000</v>
      </c>
      <c r="Q25" s="170">
        <f t="shared" si="20"/>
        <v>31677</v>
      </c>
      <c r="R25" s="170">
        <f t="shared" ref="R25:R32" si="28">Q25-P25</f>
        <v>677</v>
      </c>
      <c r="S25" s="181">
        <f t="shared" ref="S25:S36" ca="1" si="29">TODAY()</f>
        <v>45161</v>
      </c>
      <c r="T25" s="280">
        <v>44608</v>
      </c>
      <c r="U25" s="144">
        <f t="shared" ca="1" si="22"/>
        <v>-552</v>
      </c>
      <c r="V25" s="170">
        <v>2525</v>
      </c>
      <c r="W25" s="170">
        <f>V25-R25/2</f>
        <v>2186.5</v>
      </c>
      <c r="X25" s="273">
        <f t="shared" ref="X25:X32" ca="1" si="30">W25/U25</f>
        <v>-3.9610507246376812</v>
      </c>
      <c r="Z25" s="174" t="s">
        <v>3</v>
      </c>
      <c r="AA25" s="170">
        <f t="shared" si="16"/>
        <v>75500</v>
      </c>
      <c r="AB25" s="83">
        <f t="shared" si="5"/>
        <v>75330</v>
      </c>
      <c r="AC25" s="83">
        <f t="shared" si="25"/>
        <v>-170</v>
      </c>
      <c r="AD25" s="180">
        <f t="shared" ca="1" si="11"/>
        <v>45161</v>
      </c>
      <c r="AE25" s="133">
        <f t="shared" si="27"/>
        <v>44637</v>
      </c>
      <c r="AF25" s="83">
        <f t="shared" ca="1" si="8"/>
        <v>-523</v>
      </c>
      <c r="AG25" s="132">
        <v>2486</v>
      </c>
      <c r="AH25" s="129">
        <f>AG25+AC25/2</f>
        <v>2401</v>
      </c>
      <c r="AI25" s="175">
        <f t="shared" ca="1" si="26"/>
        <v>-4.5908221797323137</v>
      </c>
    </row>
    <row r="26" spans="14:35" ht="15.75" thickBot="1">
      <c r="O26" s="274" t="s">
        <v>3</v>
      </c>
      <c r="P26" s="83">
        <f>P25</f>
        <v>31000</v>
      </c>
      <c r="Q26" s="83">
        <f t="shared" si="20"/>
        <v>31677</v>
      </c>
      <c r="R26" s="83">
        <f t="shared" si="28"/>
        <v>677</v>
      </c>
      <c r="S26" s="180">
        <f t="shared" ca="1" si="29"/>
        <v>45161</v>
      </c>
      <c r="T26" s="127">
        <f>T25</f>
        <v>44608</v>
      </c>
      <c r="U26" s="101">
        <f t="shared" ca="1" si="22"/>
        <v>-552</v>
      </c>
      <c r="V26" s="83">
        <v>1849</v>
      </c>
      <c r="W26" s="83">
        <f>V26+R26/2</f>
        <v>2187.5</v>
      </c>
      <c r="X26" s="275">
        <f t="shared" ca="1" si="30"/>
        <v>-3.9628623188405796</v>
      </c>
      <c r="Z26" s="174" t="s">
        <v>1</v>
      </c>
      <c r="AA26" s="170">
        <f t="shared" si="16"/>
        <v>76000</v>
      </c>
      <c r="AB26" s="83">
        <f t="shared" si="5"/>
        <v>75330</v>
      </c>
      <c r="AC26" s="83">
        <f t="shared" si="25"/>
        <v>-670</v>
      </c>
      <c r="AD26" s="180">
        <f t="shared" ca="1" si="11"/>
        <v>45161</v>
      </c>
      <c r="AE26" s="133">
        <f t="shared" si="27"/>
        <v>44637</v>
      </c>
      <c r="AF26" s="83">
        <f t="shared" ca="1" si="8"/>
        <v>-523</v>
      </c>
      <c r="AG26" s="132">
        <v>2106</v>
      </c>
      <c r="AH26" s="129">
        <v>1000</v>
      </c>
      <c r="AI26" s="175">
        <f t="shared" ca="1" si="26"/>
        <v>-1.9120458891013383</v>
      </c>
    </row>
    <row r="27" spans="14:35" ht="15.75" thickBot="1">
      <c r="O27" s="274" t="s">
        <v>1</v>
      </c>
      <c r="P27" s="83">
        <v>31500</v>
      </c>
      <c r="Q27" s="101">
        <f t="shared" si="20"/>
        <v>31677</v>
      </c>
      <c r="R27" s="83">
        <f t="shared" si="28"/>
        <v>177</v>
      </c>
      <c r="S27" s="180">
        <f t="shared" ca="1" si="29"/>
        <v>45161</v>
      </c>
      <c r="T27" s="127">
        <f t="shared" ref="T27:T30" si="31">T26</f>
        <v>44608</v>
      </c>
      <c r="U27" s="101">
        <f t="shared" ca="1" si="22"/>
        <v>-552</v>
      </c>
      <c r="V27" s="83">
        <v>2243</v>
      </c>
      <c r="W27" s="170">
        <f>V27-R27/2</f>
        <v>2154.5</v>
      </c>
      <c r="X27" s="275">
        <f ca="1">W27/U27</f>
        <v>-3.9030797101449277</v>
      </c>
      <c r="Z27" s="176" t="s">
        <v>3</v>
      </c>
      <c r="AA27" s="170">
        <f t="shared" si="16"/>
        <v>76000</v>
      </c>
      <c r="AB27" s="83">
        <f t="shared" si="5"/>
        <v>75330</v>
      </c>
      <c r="AC27" s="88">
        <f t="shared" si="25"/>
        <v>-670</v>
      </c>
      <c r="AD27" s="182">
        <f t="shared" ca="1" si="11"/>
        <v>45161</v>
      </c>
      <c r="AE27" s="133">
        <f t="shared" si="27"/>
        <v>44637</v>
      </c>
      <c r="AF27" s="83">
        <f t="shared" ca="1" si="8"/>
        <v>-523</v>
      </c>
      <c r="AG27" s="177">
        <v>2801</v>
      </c>
      <c r="AH27" s="178">
        <f>AG27+AC27/2</f>
        <v>2466</v>
      </c>
      <c r="AI27" s="179">
        <f t="shared" ca="1" si="26"/>
        <v>-4.7151051625239004</v>
      </c>
    </row>
    <row r="28" spans="14:35">
      <c r="O28" s="274" t="s">
        <v>3</v>
      </c>
      <c r="P28" s="83">
        <f>P27</f>
        <v>31500</v>
      </c>
      <c r="Q28" s="101">
        <f t="shared" si="20"/>
        <v>31677</v>
      </c>
      <c r="R28" s="83">
        <f t="shared" si="28"/>
        <v>177</v>
      </c>
      <c r="S28" s="180">
        <f t="shared" ca="1" si="29"/>
        <v>45161</v>
      </c>
      <c r="T28" s="127">
        <f t="shared" si="31"/>
        <v>44608</v>
      </c>
      <c r="U28" s="101">
        <f t="shared" ca="1" si="22"/>
        <v>-552</v>
      </c>
      <c r="V28" s="83">
        <v>2067</v>
      </c>
      <c r="W28" s="83">
        <f>V28+R28/2</f>
        <v>2155.5</v>
      </c>
      <c r="X28" s="275">
        <f t="shared" ca="1" si="30"/>
        <v>-3.9048913043478262</v>
      </c>
    </row>
    <row r="29" spans="14:35">
      <c r="O29" s="274" t="s">
        <v>1</v>
      </c>
      <c r="P29" s="83">
        <v>32000</v>
      </c>
      <c r="Q29" s="83">
        <f t="shared" si="20"/>
        <v>31677</v>
      </c>
      <c r="R29" s="83">
        <f t="shared" si="28"/>
        <v>-323</v>
      </c>
      <c r="S29" s="180">
        <f t="shared" ca="1" si="29"/>
        <v>45161</v>
      </c>
      <c r="T29" s="127">
        <f t="shared" si="31"/>
        <v>44608</v>
      </c>
      <c r="U29" s="101">
        <f t="shared" ca="1" si="22"/>
        <v>-552</v>
      </c>
      <c r="V29" s="83">
        <v>1981</v>
      </c>
      <c r="W29" s="83">
        <f>V29-R29/2</f>
        <v>2142.5</v>
      </c>
      <c r="X29" s="275">
        <f t="shared" ca="1" si="30"/>
        <v>-3.881340579710145</v>
      </c>
    </row>
    <row r="30" spans="14:35" ht="15.75" thickBot="1">
      <c r="O30" s="276" t="s">
        <v>3</v>
      </c>
      <c r="P30" s="88">
        <f>P29</f>
        <v>32000</v>
      </c>
      <c r="Q30" s="88">
        <f t="shared" si="20"/>
        <v>31677</v>
      </c>
      <c r="R30" s="88">
        <f t="shared" si="28"/>
        <v>-323</v>
      </c>
      <c r="S30" s="182">
        <f t="shared" ca="1" si="29"/>
        <v>45161</v>
      </c>
      <c r="T30" s="277">
        <f t="shared" si="31"/>
        <v>44608</v>
      </c>
      <c r="U30" s="271">
        <f t="shared" ca="1" si="22"/>
        <v>-552</v>
      </c>
      <c r="V30" s="88">
        <v>2304</v>
      </c>
      <c r="W30" s="88">
        <f>V30+R30/2</f>
        <v>2142.5</v>
      </c>
      <c r="X30" s="278">
        <f t="shared" ca="1" si="30"/>
        <v>-3.881340579710145</v>
      </c>
    </row>
    <row r="31" spans="14:35">
      <c r="O31" s="267" t="s">
        <v>1</v>
      </c>
      <c r="P31" s="170">
        <v>31000</v>
      </c>
      <c r="Q31" s="173">
        <f t="shared" si="20"/>
        <v>31677</v>
      </c>
      <c r="R31" s="173">
        <f t="shared" si="28"/>
        <v>677</v>
      </c>
      <c r="S31" s="181">
        <f t="shared" ca="1" si="29"/>
        <v>45161</v>
      </c>
      <c r="T31" s="280">
        <v>44636</v>
      </c>
      <c r="U31" s="144">
        <f t="shared" ca="1" si="22"/>
        <v>-524</v>
      </c>
      <c r="V31" s="173">
        <v>2519</v>
      </c>
      <c r="W31" s="173">
        <f>V31-R31/2</f>
        <v>2180.5</v>
      </c>
      <c r="X31" s="145">
        <f t="shared" ca="1" si="30"/>
        <v>-4.1612595419847329</v>
      </c>
    </row>
    <row r="32" spans="14:35" ht="15.75" thickBot="1">
      <c r="O32" s="268" t="s">
        <v>3</v>
      </c>
      <c r="P32" s="83">
        <f>P31</f>
        <v>31000</v>
      </c>
      <c r="Q32" s="129">
        <f t="shared" si="20"/>
        <v>31677</v>
      </c>
      <c r="R32" s="129">
        <f t="shared" si="28"/>
        <v>677</v>
      </c>
      <c r="S32" s="180">
        <f t="shared" ca="1" si="29"/>
        <v>45161</v>
      </c>
      <c r="T32" s="130">
        <f>T31</f>
        <v>44636</v>
      </c>
      <c r="U32" s="101">
        <f t="shared" ca="1" si="22"/>
        <v>-524</v>
      </c>
      <c r="V32" s="129">
        <v>1848</v>
      </c>
      <c r="W32" s="129">
        <f>V32+R32/2</f>
        <v>2186.5</v>
      </c>
      <c r="X32" s="175">
        <f t="shared" ca="1" si="30"/>
        <v>-4.1727099236641223</v>
      </c>
    </row>
    <row r="33" spans="15:27">
      <c r="O33" s="268" t="s">
        <v>1</v>
      </c>
      <c r="P33" s="83">
        <v>31500</v>
      </c>
      <c r="Q33" s="101">
        <f t="shared" si="20"/>
        <v>31677</v>
      </c>
      <c r="R33" s="129">
        <f t="shared" ref="R33:R36" si="32">Q33-P33</f>
        <v>177</v>
      </c>
      <c r="S33" s="180">
        <f t="shared" ca="1" si="29"/>
        <v>45161</v>
      </c>
      <c r="T33" s="130">
        <f t="shared" ref="T33:T36" si="33">T32</f>
        <v>44636</v>
      </c>
      <c r="U33" s="101">
        <f t="shared" ca="1" si="22"/>
        <v>-524</v>
      </c>
      <c r="V33" s="129">
        <v>2234</v>
      </c>
      <c r="W33" s="173">
        <f>V33-R33/2</f>
        <v>2145.5</v>
      </c>
      <c r="X33" s="175">
        <f t="shared" ref="X33:X36" ca="1" si="34">W33/U33</f>
        <v>-4.0944656488549622</v>
      </c>
    </row>
    <row r="34" spans="15:27">
      <c r="O34" s="268" t="s">
        <v>3</v>
      </c>
      <c r="P34" s="83">
        <f>P33</f>
        <v>31500</v>
      </c>
      <c r="Q34" s="101">
        <f t="shared" si="20"/>
        <v>31677</v>
      </c>
      <c r="R34" s="129">
        <f t="shared" si="32"/>
        <v>177</v>
      </c>
      <c r="S34" s="180">
        <f t="shared" ca="1" si="29"/>
        <v>45161</v>
      </c>
      <c r="T34" s="130">
        <f t="shared" si="33"/>
        <v>44636</v>
      </c>
      <c r="U34" s="101">
        <f t="shared" ca="1" si="22"/>
        <v>-524</v>
      </c>
      <c r="V34" s="129">
        <v>2073</v>
      </c>
      <c r="W34" s="129">
        <f>V34+R34/2</f>
        <v>2161.5</v>
      </c>
      <c r="X34" s="175">
        <f t="shared" ca="1" si="34"/>
        <v>-4.125</v>
      </c>
    </row>
    <row r="35" spans="15:27">
      <c r="O35" s="268" t="s">
        <v>1</v>
      </c>
      <c r="P35" s="83">
        <v>32000</v>
      </c>
      <c r="Q35" s="129">
        <f t="shared" si="20"/>
        <v>31677</v>
      </c>
      <c r="R35" s="129">
        <f t="shared" si="32"/>
        <v>-323</v>
      </c>
      <c r="S35" s="180">
        <f t="shared" ca="1" si="29"/>
        <v>45161</v>
      </c>
      <c r="T35" s="130">
        <f t="shared" si="33"/>
        <v>44636</v>
      </c>
      <c r="U35" s="101">
        <f t="shared" ca="1" si="22"/>
        <v>-524</v>
      </c>
      <c r="V35" s="129">
        <v>1971</v>
      </c>
      <c r="W35" s="129">
        <f>V35-R35/2</f>
        <v>2132.5</v>
      </c>
      <c r="X35" s="175">
        <f t="shared" ca="1" si="34"/>
        <v>-4.0696564885496187</v>
      </c>
    </row>
    <row r="36" spans="15:27" ht="15.75" thickBot="1">
      <c r="O36" s="269" t="s">
        <v>3</v>
      </c>
      <c r="P36" s="88">
        <f>P35</f>
        <v>32000</v>
      </c>
      <c r="Q36" s="178">
        <f t="shared" si="20"/>
        <v>31677</v>
      </c>
      <c r="R36" s="178">
        <f t="shared" si="32"/>
        <v>-323</v>
      </c>
      <c r="S36" s="182">
        <f t="shared" ca="1" si="29"/>
        <v>45161</v>
      </c>
      <c r="T36" s="270">
        <f t="shared" si="33"/>
        <v>44636</v>
      </c>
      <c r="U36" s="271">
        <f t="shared" ca="1" si="22"/>
        <v>-524</v>
      </c>
      <c r="V36" s="178">
        <v>2310</v>
      </c>
      <c r="W36" s="178">
        <f>V36+R36/2</f>
        <v>2148.5</v>
      </c>
      <c r="X36" s="179">
        <f t="shared" ca="1" si="34"/>
        <v>-4.1001908396946565</v>
      </c>
    </row>
    <row r="40" spans="15:27">
      <c r="S40">
        <v>0.4</v>
      </c>
      <c r="T40" t="s">
        <v>204</v>
      </c>
    </row>
    <row r="41" spans="15:27">
      <c r="O41">
        <v>2</v>
      </c>
      <c r="P41">
        <v>3.14159265358979</v>
      </c>
      <c r="Q41">
        <f>P41*O41</f>
        <v>6.28318530717958</v>
      </c>
      <c r="R41">
        <f>SQRT(Q41)</f>
        <v>2.5066282746309994</v>
      </c>
      <c r="S41">
        <f>1/R41</f>
        <v>0.39894228040143287</v>
      </c>
      <c r="T41">
        <v>8.2610000000000003E-2</v>
      </c>
      <c r="U41">
        <v>7</v>
      </c>
      <c r="V41">
        <v>365</v>
      </c>
      <c r="W41">
        <f>U41/V41</f>
        <v>1.9178082191780823E-2</v>
      </c>
      <c r="X41" s="7">
        <f>SQRT(W41)</f>
        <v>0.13848495294356286</v>
      </c>
      <c r="Y41">
        <f>S41*T41*W41</f>
        <v>6.3204480133626471E-4</v>
      </c>
      <c r="Z41">
        <v>72000</v>
      </c>
      <c r="AA41">
        <f>Y41*Z41</f>
        <v>45.507225696211059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D1:F4"/>
  <sheetViews>
    <sheetView topLeftCell="A7" workbookViewId="0">
      <selection activeCell="K23" sqref="K23"/>
    </sheetView>
  </sheetViews>
  <sheetFormatPr defaultRowHeight="15"/>
  <sheetData>
    <row r="1" spans="4:6">
      <c r="F1">
        <f>SUM(F2:F4)</f>
        <v>-10</v>
      </c>
    </row>
    <row r="2" spans="4:6">
      <c r="D2">
        <v>-1</v>
      </c>
      <c r="E2">
        <v>13260</v>
      </c>
      <c r="F2">
        <f>D2*E2</f>
        <v>-13260</v>
      </c>
    </row>
    <row r="3" spans="4:6">
      <c r="D3">
        <v>2</v>
      </c>
      <c r="E3">
        <v>9520</v>
      </c>
      <c r="F3">
        <f t="shared" ref="F3:F4" si="0">D3*E3</f>
        <v>19040</v>
      </c>
    </row>
    <row r="4" spans="4:6">
      <c r="D4">
        <v>-1</v>
      </c>
      <c r="E4">
        <v>5790</v>
      </c>
      <c r="F4">
        <f t="shared" si="0"/>
        <v>-5790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2:P35"/>
  <sheetViews>
    <sheetView topLeftCell="E7" workbookViewId="0">
      <selection activeCell="B26" sqref="B26"/>
    </sheetView>
  </sheetViews>
  <sheetFormatPr defaultRowHeight="15"/>
  <cols>
    <col min="1" max="1" width="14.28515625" customWidth="1"/>
    <col min="2" max="2" width="11.85546875" customWidth="1"/>
    <col min="3" max="3" width="8.28515625" customWidth="1"/>
    <col min="4" max="4" width="8.85546875" customWidth="1"/>
    <col min="5" max="5" width="7.85546875" customWidth="1"/>
    <col min="9" max="9" width="7.7109375" customWidth="1"/>
    <col min="10" max="11" width="8.28515625" customWidth="1"/>
    <col min="12" max="12" width="8.42578125" customWidth="1"/>
  </cols>
  <sheetData>
    <row r="2" spans="1:13">
      <c r="K2" t="s">
        <v>269</v>
      </c>
      <c r="L2" t="s">
        <v>270</v>
      </c>
    </row>
    <row r="3" spans="1:13">
      <c r="A3" t="s">
        <v>267</v>
      </c>
      <c r="B3" t="s">
        <v>264</v>
      </c>
      <c r="C3" t="s">
        <v>262</v>
      </c>
      <c r="E3" t="s">
        <v>263</v>
      </c>
      <c r="F3" t="s">
        <v>265</v>
      </c>
      <c r="H3" t="s">
        <v>266</v>
      </c>
      <c r="I3" t="s">
        <v>268</v>
      </c>
      <c r="J3">
        <v>1333</v>
      </c>
      <c r="K3">
        <v>2</v>
      </c>
      <c r="L3">
        <v>2</v>
      </c>
    </row>
    <row r="4" spans="1:13">
      <c r="A4">
        <v>4334</v>
      </c>
      <c r="B4" t="s">
        <v>264</v>
      </c>
      <c r="C4" t="s">
        <v>262</v>
      </c>
      <c r="D4" t="s">
        <v>271</v>
      </c>
      <c r="E4" t="s">
        <v>263</v>
      </c>
    </row>
    <row r="5" spans="1:13">
      <c r="A5">
        <v>4657</v>
      </c>
      <c r="B5" t="s">
        <v>272</v>
      </c>
      <c r="C5" t="s">
        <v>262</v>
      </c>
      <c r="D5" t="s">
        <v>273</v>
      </c>
      <c r="G5" t="s">
        <v>274</v>
      </c>
      <c r="K5">
        <v>3</v>
      </c>
      <c r="L5">
        <v>1</v>
      </c>
    </row>
    <row r="6" spans="1:13">
      <c r="B6" t="s">
        <v>273</v>
      </c>
      <c r="C6" t="s">
        <v>262</v>
      </c>
      <c r="D6" t="s">
        <v>273</v>
      </c>
      <c r="G6" t="s">
        <v>274</v>
      </c>
    </row>
    <row r="7" spans="1:13">
      <c r="A7">
        <v>5365</v>
      </c>
      <c r="B7" s="329" t="s">
        <v>275</v>
      </c>
      <c r="C7" t="s">
        <v>262</v>
      </c>
      <c r="D7" t="s">
        <v>271</v>
      </c>
      <c r="F7" t="s">
        <v>277</v>
      </c>
      <c r="K7">
        <v>5</v>
      </c>
      <c r="L7">
        <v>1</v>
      </c>
    </row>
    <row r="8" spans="1:13">
      <c r="A8">
        <v>9994</v>
      </c>
      <c r="B8" s="329" t="s">
        <v>275</v>
      </c>
      <c r="C8" t="s">
        <v>276</v>
      </c>
    </row>
    <row r="9" spans="1:13">
      <c r="A9">
        <v>5365</v>
      </c>
      <c r="B9" s="329" t="s">
        <v>275</v>
      </c>
      <c r="C9" t="s">
        <v>278</v>
      </c>
      <c r="D9" t="s">
        <v>271</v>
      </c>
    </row>
    <row r="10" spans="1:13" ht="18">
      <c r="C10" t="s">
        <v>280</v>
      </c>
      <c r="D10" s="330" t="s">
        <v>279</v>
      </c>
    </row>
    <row r="12" spans="1:13">
      <c r="L12" t="s">
        <v>284</v>
      </c>
      <c r="M12">
        <v>4000</v>
      </c>
    </row>
    <row r="13" spans="1:13">
      <c r="A13" t="s">
        <v>281</v>
      </c>
      <c r="B13">
        <v>12000</v>
      </c>
      <c r="D13">
        <v>6000</v>
      </c>
      <c r="G13">
        <v>1570.91</v>
      </c>
      <c r="H13">
        <v>4</v>
      </c>
      <c r="I13">
        <f>G13*H13</f>
        <v>6283.64</v>
      </c>
      <c r="L13" t="s">
        <v>285</v>
      </c>
      <c r="M13">
        <v>1000</v>
      </c>
    </row>
    <row r="14" spans="1:13">
      <c r="A14" t="s">
        <v>282</v>
      </c>
      <c r="B14">
        <v>5000</v>
      </c>
      <c r="D14">
        <v>4000</v>
      </c>
      <c r="G14">
        <v>924</v>
      </c>
      <c r="H14">
        <v>8</v>
      </c>
      <c r="I14">
        <f>G14*H14</f>
        <v>7392</v>
      </c>
      <c r="L14" t="s">
        <v>286</v>
      </c>
      <c r="M14">
        <v>6900</v>
      </c>
    </row>
    <row r="15" spans="1:13">
      <c r="A15" t="s">
        <v>283</v>
      </c>
      <c r="B15">
        <v>4120</v>
      </c>
    </row>
    <row r="16" spans="1:13">
      <c r="G16">
        <v>6283</v>
      </c>
    </row>
    <row r="17" spans="2:16">
      <c r="G17">
        <v>7000</v>
      </c>
    </row>
    <row r="18" spans="2:16">
      <c r="G18">
        <v>2500</v>
      </c>
    </row>
    <row r="19" spans="2:16">
      <c r="J19">
        <v>81.66</v>
      </c>
      <c r="K19">
        <v>200</v>
      </c>
      <c r="L19">
        <f>J19*K19</f>
        <v>16332</v>
      </c>
      <c r="N19">
        <v>16438</v>
      </c>
      <c r="O19">
        <v>6791</v>
      </c>
      <c r="P19">
        <f>N19-O19</f>
        <v>9647</v>
      </c>
    </row>
    <row r="20" spans="2:16">
      <c r="J20">
        <v>82.21</v>
      </c>
      <c r="K20">
        <v>200</v>
      </c>
      <c r="L20">
        <f>J20*K20</f>
        <v>16442</v>
      </c>
      <c r="N20">
        <v>6791</v>
      </c>
      <c r="O20">
        <v>9244.99</v>
      </c>
    </row>
    <row r="21" spans="2:16">
      <c r="D21" t="s">
        <v>292</v>
      </c>
      <c r="E21" t="s">
        <v>293</v>
      </c>
      <c r="F21" t="s">
        <v>290</v>
      </c>
      <c r="G21" t="s">
        <v>291</v>
      </c>
      <c r="H21" t="s">
        <v>289</v>
      </c>
      <c r="I21" t="s">
        <v>124</v>
      </c>
      <c r="O21">
        <f>O19+O20</f>
        <v>16035.99</v>
      </c>
    </row>
    <row r="22" spans="2:16">
      <c r="B22" t="s">
        <v>287</v>
      </c>
      <c r="C22" t="s">
        <v>288</v>
      </c>
      <c r="D22">
        <v>8</v>
      </c>
      <c r="E22">
        <v>16</v>
      </c>
      <c r="F22">
        <v>2.6</v>
      </c>
      <c r="G22">
        <v>3.4</v>
      </c>
      <c r="H22">
        <v>95</v>
      </c>
      <c r="I22">
        <v>1046</v>
      </c>
      <c r="L22">
        <v>6770</v>
      </c>
      <c r="M22">
        <f>I22+L22</f>
        <v>7816</v>
      </c>
    </row>
    <row r="23" spans="2:16">
      <c r="B23" t="s">
        <v>287</v>
      </c>
      <c r="C23" t="s">
        <v>297</v>
      </c>
      <c r="D23">
        <v>10</v>
      </c>
      <c r="E23">
        <v>20</v>
      </c>
      <c r="F23">
        <v>2.2999999999999998</v>
      </c>
      <c r="G23">
        <v>3</v>
      </c>
      <c r="H23">
        <v>105</v>
      </c>
      <c r="I23">
        <v>3351</v>
      </c>
      <c r="L23">
        <v>6770</v>
      </c>
      <c r="M23">
        <f>I23+L23</f>
        <v>10121</v>
      </c>
    </row>
    <row r="24" spans="2:16">
      <c r="B24" t="s">
        <v>294</v>
      </c>
      <c r="D24">
        <v>8</v>
      </c>
      <c r="E24">
        <v>16</v>
      </c>
      <c r="F24">
        <v>2.6</v>
      </c>
      <c r="G24">
        <v>3.5</v>
      </c>
      <c r="H24">
        <v>115</v>
      </c>
      <c r="I24">
        <v>3290</v>
      </c>
      <c r="L24">
        <v>6770</v>
      </c>
      <c r="M24">
        <f t="shared" ref="M24:M28" si="0">I24+L24</f>
        <v>10060</v>
      </c>
    </row>
    <row r="25" spans="2:16">
      <c r="B25" t="s">
        <v>295</v>
      </c>
      <c r="C25" t="s">
        <v>288</v>
      </c>
      <c r="D25">
        <v>6</v>
      </c>
      <c r="E25">
        <v>12</v>
      </c>
      <c r="F25">
        <v>2.1</v>
      </c>
      <c r="G25">
        <v>2.6</v>
      </c>
      <c r="H25">
        <v>80</v>
      </c>
      <c r="I25">
        <v>1100</v>
      </c>
      <c r="L25">
        <v>6770</v>
      </c>
      <c r="M25">
        <f t="shared" si="0"/>
        <v>7870</v>
      </c>
    </row>
    <row r="26" spans="2:16">
      <c r="B26" t="s">
        <v>296</v>
      </c>
      <c r="D26">
        <v>6</v>
      </c>
      <c r="E26">
        <v>12</v>
      </c>
      <c r="F26">
        <v>3.2</v>
      </c>
      <c r="G26">
        <v>3.8</v>
      </c>
      <c r="H26">
        <v>130</v>
      </c>
      <c r="I26">
        <v>3777</v>
      </c>
      <c r="L26">
        <v>6770</v>
      </c>
      <c r="M26">
        <f t="shared" si="0"/>
        <v>10547</v>
      </c>
    </row>
    <row r="27" spans="2:16">
      <c r="B27" t="s">
        <v>296</v>
      </c>
      <c r="C27" t="s">
        <v>288</v>
      </c>
      <c r="D27">
        <v>6</v>
      </c>
      <c r="E27">
        <v>12</v>
      </c>
      <c r="F27">
        <v>3.5</v>
      </c>
      <c r="G27">
        <v>3.9</v>
      </c>
      <c r="H27">
        <v>130</v>
      </c>
      <c r="I27">
        <v>4250</v>
      </c>
      <c r="L27">
        <v>6770</v>
      </c>
      <c r="M27">
        <f t="shared" si="0"/>
        <v>11020</v>
      </c>
    </row>
    <row r="28" spans="2:16">
      <c r="B28" t="s">
        <v>296</v>
      </c>
      <c r="C28" t="s">
        <v>297</v>
      </c>
      <c r="D28">
        <v>6</v>
      </c>
      <c r="E28">
        <v>12</v>
      </c>
      <c r="F28">
        <v>3.5</v>
      </c>
      <c r="G28">
        <v>3.8</v>
      </c>
      <c r="H28">
        <v>140</v>
      </c>
      <c r="I28">
        <v>3700</v>
      </c>
      <c r="L28">
        <v>6770</v>
      </c>
      <c r="M28">
        <f t="shared" si="0"/>
        <v>10470</v>
      </c>
    </row>
    <row r="29" spans="2:16">
      <c r="B29" t="s">
        <v>298</v>
      </c>
      <c r="C29" t="s">
        <v>288</v>
      </c>
      <c r="D29">
        <v>10</v>
      </c>
      <c r="E29">
        <v>20</v>
      </c>
      <c r="F29">
        <v>3</v>
      </c>
      <c r="G29">
        <v>3.6</v>
      </c>
      <c r="H29">
        <v>130</v>
      </c>
      <c r="I29">
        <v>4800</v>
      </c>
      <c r="J29">
        <v>2057</v>
      </c>
      <c r="K29">
        <v>2061</v>
      </c>
      <c r="L29">
        <v>6770</v>
      </c>
      <c r="M29">
        <f>I29+L29</f>
        <v>11570</v>
      </c>
    </row>
    <row r="30" spans="2:16">
      <c r="B30" t="s">
        <v>327</v>
      </c>
      <c r="C30" t="s">
        <v>288</v>
      </c>
      <c r="D30">
        <v>8</v>
      </c>
      <c r="E30">
        <v>16</v>
      </c>
      <c r="F30">
        <v>3.3</v>
      </c>
      <c r="G30">
        <v>4</v>
      </c>
      <c r="H30">
        <v>130</v>
      </c>
      <c r="I30">
        <v>4837</v>
      </c>
      <c r="J30">
        <v>2057</v>
      </c>
    </row>
    <row r="31" spans="2:16">
      <c r="B31" t="s">
        <v>298</v>
      </c>
      <c r="C31" t="s">
        <v>297</v>
      </c>
      <c r="D31">
        <v>12</v>
      </c>
      <c r="E31">
        <v>24</v>
      </c>
      <c r="F31">
        <v>2.6</v>
      </c>
      <c r="G31">
        <v>3.5</v>
      </c>
      <c r="H31">
        <v>135</v>
      </c>
      <c r="I31">
        <v>4800</v>
      </c>
      <c r="L31">
        <v>6770</v>
      </c>
      <c r="M31">
        <f>I31+L31</f>
        <v>11570</v>
      </c>
    </row>
    <row r="32" spans="2:16">
      <c r="B32" t="s">
        <v>299</v>
      </c>
      <c r="C32" t="s">
        <v>297</v>
      </c>
      <c r="D32">
        <v>4</v>
      </c>
      <c r="E32">
        <v>8</v>
      </c>
      <c r="F32">
        <v>3.5</v>
      </c>
      <c r="G32">
        <v>3.9</v>
      </c>
      <c r="H32">
        <v>80</v>
      </c>
      <c r="I32">
        <v>4387</v>
      </c>
    </row>
    <row r="33" spans="2:9">
      <c r="B33" t="s">
        <v>299</v>
      </c>
      <c r="C33" t="s">
        <v>288</v>
      </c>
      <c r="D33">
        <v>4</v>
      </c>
      <c r="E33">
        <v>8</v>
      </c>
      <c r="F33">
        <v>3.5</v>
      </c>
      <c r="G33">
        <v>3.9</v>
      </c>
      <c r="H33">
        <v>69</v>
      </c>
      <c r="I33">
        <v>3844</v>
      </c>
    </row>
    <row r="35" spans="2:9">
      <c r="G35">
        <v>0</v>
      </c>
    </row>
  </sheetData>
  <hyperlinks>
    <hyperlink ref="B7" r:id="rId1" display="https://aliexpress.ru/store/3898022"/>
    <hyperlink ref="B8" r:id="rId2" display="https://aliexpress.ru/store/3898022"/>
    <hyperlink ref="B9" r:id="rId3" display="https://aliexpress.ru/store/3898022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C2:F4"/>
  <sheetViews>
    <sheetView topLeftCell="E1" workbookViewId="0">
      <selection activeCell="F3" sqref="F3"/>
    </sheetView>
  </sheetViews>
  <sheetFormatPr defaultRowHeight="15"/>
  <cols>
    <col min="4" max="4" width="7.42578125" customWidth="1"/>
    <col min="5" max="5" width="8.140625" customWidth="1"/>
  </cols>
  <sheetData>
    <row r="2" spans="3:6">
      <c r="C2">
        <f>SUM(C3:C4)</f>
        <v>100000</v>
      </c>
      <c r="E2">
        <f>SUM(E3:E4)</f>
        <v>97500</v>
      </c>
      <c r="F2">
        <f>E2/$C$2</f>
        <v>0.97499999999999998</v>
      </c>
    </row>
    <row r="3" spans="3:6">
      <c r="C3">
        <v>10000</v>
      </c>
      <c r="D3">
        <v>1.2</v>
      </c>
      <c r="E3">
        <f>C3*D3</f>
        <v>12000</v>
      </c>
    </row>
    <row r="4" spans="3:6">
      <c r="C4">
        <v>90000</v>
      </c>
      <c r="D4">
        <v>0.95</v>
      </c>
      <c r="E4">
        <f>C4*D4</f>
        <v>85500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C1:P25"/>
  <sheetViews>
    <sheetView topLeftCell="A4" workbookViewId="0">
      <selection activeCell="E24" sqref="E24"/>
    </sheetView>
  </sheetViews>
  <sheetFormatPr defaultRowHeight="15"/>
  <cols>
    <col min="5" max="5" width="7.28515625" customWidth="1"/>
    <col min="6" max="6" width="5.7109375" customWidth="1"/>
    <col min="7" max="7" width="8.42578125" customWidth="1"/>
    <col min="9" max="9" width="6.85546875" customWidth="1"/>
    <col min="10" max="10" width="8.28515625" customWidth="1"/>
    <col min="12" max="12" width="9.5703125" customWidth="1"/>
    <col min="13" max="13" width="11.140625" style="126" customWidth="1"/>
    <col min="16" max="16" width="11.140625" customWidth="1"/>
  </cols>
  <sheetData>
    <row r="1" spans="3:16">
      <c r="M1" s="126">
        <f>SUM(M2:M19)</f>
        <v>334670.38</v>
      </c>
      <c r="O1">
        <v>100000</v>
      </c>
      <c r="P1" s="126">
        <f>O1+M1</f>
        <v>434670.38</v>
      </c>
    </row>
    <row r="2" spans="3:16">
      <c r="C2" t="s">
        <v>2</v>
      </c>
      <c r="D2" t="s">
        <v>118</v>
      </c>
      <c r="H2" s="421">
        <f>SUM(H3:H6)</f>
        <v>8.6999999999999993</v>
      </c>
      <c r="K2">
        <v>187</v>
      </c>
      <c r="L2">
        <v>96.74</v>
      </c>
      <c r="M2" s="126">
        <f>K2*L2</f>
        <v>18090.379999999997</v>
      </c>
    </row>
    <row r="3" spans="3:16">
      <c r="C3" s="340">
        <v>75500</v>
      </c>
      <c r="D3">
        <v>0.99</v>
      </c>
      <c r="E3">
        <v>2</v>
      </c>
      <c r="F3">
        <v>-2</v>
      </c>
      <c r="G3">
        <f>E3+F3</f>
        <v>0</v>
      </c>
      <c r="H3">
        <f>G3*D3</f>
        <v>0</v>
      </c>
      <c r="K3">
        <v>1000</v>
      </c>
      <c r="L3">
        <v>100.86</v>
      </c>
      <c r="M3" s="126">
        <f t="shared" ref="M3:M5" si="0">K3*L3</f>
        <v>100860</v>
      </c>
    </row>
    <row r="4" spans="3:16">
      <c r="C4">
        <v>76000</v>
      </c>
      <c r="D4">
        <v>0.99</v>
      </c>
      <c r="E4">
        <v>3</v>
      </c>
      <c r="F4">
        <v>-3</v>
      </c>
      <c r="G4">
        <f t="shared" ref="G4:G6" si="1">E4+F4</f>
        <v>0</v>
      </c>
      <c r="H4">
        <f t="shared" ref="H4:H6" si="2">G4*D4</f>
        <v>0</v>
      </c>
      <c r="K4">
        <v>1000</v>
      </c>
      <c r="L4">
        <v>105.86</v>
      </c>
      <c r="M4" s="126">
        <f t="shared" si="0"/>
        <v>105860</v>
      </c>
    </row>
    <row r="5" spans="3:16">
      <c r="C5">
        <v>90000</v>
      </c>
      <c r="D5">
        <v>0.91</v>
      </c>
      <c r="E5">
        <v>5</v>
      </c>
      <c r="F5">
        <v>0</v>
      </c>
      <c r="G5">
        <f t="shared" si="1"/>
        <v>5</v>
      </c>
      <c r="H5">
        <f t="shared" si="2"/>
        <v>4.55</v>
      </c>
      <c r="K5">
        <v>1000</v>
      </c>
      <c r="L5">
        <v>109.86</v>
      </c>
      <c r="M5" s="126">
        <f t="shared" si="0"/>
        <v>109860</v>
      </c>
    </row>
    <row r="6" spans="3:16">
      <c r="C6">
        <v>95000</v>
      </c>
      <c r="D6">
        <v>0.83</v>
      </c>
      <c r="E6">
        <v>5</v>
      </c>
      <c r="F6">
        <v>0</v>
      </c>
      <c r="G6">
        <f t="shared" si="1"/>
        <v>5</v>
      </c>
      <c r="H6">
        <f t="shared" si="2"/>
        <v>4.1499999999999995</v>
      </c>
    </row>
    <row r="9" spans="3:16">
      <c r="C9" t="s">
        <v>2</v>
      </c>
      <c r="D9" t="s">
        <v>118</v>
      </c>
      <c r="H9" s="421">
        <f>SUM(H10:H13)</f>
        <v>7.1199999999999992</v>
      </c>
    </row>
    <row r="10" spans="3:16">
      <c r="C10" s="340">
        <v>75500</v>
      </c>
      <c r="D10">
        <v>0.99</v>
      </c>
      <c r="E10">
        <v>2</v>
      </c>
      <c r="F10">
        <v>0</v>
      </c>
      <c r="G10">
        <f>E10+F10</f>
        <v>2</v>
      </c>
      <c r="H10">
        <f>G10*D10</f>
        <v>1.98</v>
      </c>
    </row>
    <row r="11" spans="3:16">
      <c r="C11">
        <v>76000</v>
      </c>
      <c r="D11">
        <v>0.99</v>
      </c>
      <c r="E11">
        <v>3</v>
      </c>
      <c r="F11">
        <v>-2</v>
      </c>
      <c r="G11">
        <f t="shared" ref="G11:G13" si="3">E11+F11</f>
        <v>1</v>
      </c>
      <c r="H11">
        <f t="shared" ref="H11:H13" si="4">G11*D11</f>
        <v>0.99</v>
      </c>
    </row>
    <row r="12" spans="3:16">
      <c r="C12">
        <v>90000</v>
      </c>
      <c r="D12">
        <v>0.91</v>
      </c>
      <c r="E12">
        <v>5</v>
      </c>
      <c r="F12">
        <v>-5</v>
      </c>
      <c r="G12">
        <f t="shared" si="3"/>
        <v>0</v>
      </c>
      <c r="H12">
        <f t="shared" si="4"/>
        <v>0</v>
      </c>
    </row>
    <row r="13" spans="3:16">
      <c r="C13">
        <v>95000</v>
      </c>
      <c r="D13">
        <v>0.83</v>
      </c>
      <c r="E13">
        <v>5</v>
      </c>
      <c r="F13">
        <v>0</v>
      </c>
      <c r="G13">
        <f t="shared" si="3"/>
        <v>5</v>
      </c>
      <c r="H13">
        <f t="shared" si="4"/>
        <v>4.1499999999999995</v>
      </c>
    </row>
    <row r="15" spans="3:16">
      <c r="C15" t="s">
        <v>2</v>
      </c>
      <c r="D15" t="s">
        <v>118</v>
      </c>
      <c r="H15" s="421">
        <f>SUM(H16:H19)</f>
        <v>7.1199999999999992</v>
      </c>
    </row>
    <row r="16" spans="3:16">
      <c r="C16" s="340">
        <v>75500</v>
      </c>
      <c r="D16">
        <v>0.99</v>
      </c>
      <c r="E16">
        <v>2</v>
      </c>
      <c r="F16">
        <v>-2</v>
      </c>
      <c r="G16">
        <f>E16+F16</f>
        <v>0</v>
      </c>
      <c r="H16">
        <f>G16*D16</f>
        <v>0</v>
      </c>
    </row>
    <row r="17" spans="3:11">
      <c r="C17">
        <v>76000</v>
      </c>
      <c r="D17">
        <v>0.99</v>
      </c>
      <c r="E17">
        <v>3</v>
      </c>
      <c r="F17">
        <v>0</v>
      </c>
      <c r="G17">
        <f t="shared" ref="G17:G19" si="5">E17+F17</f>
        <v>3</v>
      </c>
      <c r="H17">
        <f t="shared" ref="H17:H19" si="6">G17*D17</f>
        <v>2.9699999999999998</v>
      </c>
    </row>
    <row r="18" spans="3:11">
      <c r="C18">
        <v>90000</v>
      </c>
      <c r="D18">
        <v>0.91</v>
      </c>
      <c r="E18">
        <v>5</v>
      </c>
      <c r="F18">
        <v>-5</v>
      </c>
      <c r="G18">
        <f t="shared" si="5"/>
        <v>0</v>
      </c>
      <c r="H18">
        <f t="shared" si="6"/>
        <v>0</v>
      </c>
    </row>
    <row r="19" spans="3:11">
      <c r="C19">
        <v>95000</v>
      </c>
      <c r="D19">
        <v>0.83</v>
      </c>
      <c r="E19">
        <v>5</v>
      </c>
      <c r="F19">
        <v>0</v>
      </c>
      <c r="G19">
        <f t="shared" si="5"/>
        <v>5</v>
      </c>
      <c r="H19">
        <f t="shared" si="6"/>
        <v>4.1499999999999995</v>
      </c>
    </row>
    <row r="21" spans="3:11">
      <c r="K21">
        <f>SUM(K22:K32)</f>
        <v>3600</v>
      </c>
    </row>
    <row r="22" spans="3:11">
      <c r="C22">
        <v>108500</v>
      </c>
      <c r="D22">
        <v>75500</v>
      </c>
      <c r="E22">
        <f>C22-D22</f>
        <v>33000</v>
      </c>
      <c r="F22">
        <v>1</v>
      </c>
      <c r="G22" s="421">
        <f>E22*F22</f>
        <v>33000</v>
      </c>
      <c r="H22">
        <v>33100</v>
      </c>
      <c r="I22">
        <v>1</v>
      </c>
      <c r="J22" s="421">
        <f>H22*I22</f>
        <v>33100</v>
      </c>
      <c r="K22">
        <f>J22-G22</f>
        <v>100</v>
      </c>
    </row>
    <row r="23" spans="3:11">
      <c r="C23">
        <v>108500</v>
      </c>
      <c r="D23">
        <v>75500</v>
      </c>
      <c r="E23">
        <f>C23-D23</f>
        <v>33000</v>
      </c>
      <c r="F23">
        <v>1</v>
      </c>
      <c r="G23" s="421">
        <f>E23*F23</f>
        <v>33000</v>
      </c>
      <c r="H23">
        <v>32000</v>
      </c>
      <c r="I23">
        <v>1</v>
      </c>
      <c r="J23" s="421">
        <f>H23*I23</f>
        <v>32000</v>
      </c>
      <c r="K23">
        <f>J23-G23</f>
        <v>-1000</v>
      </c>
    </row>
    <row r="24" spans="3:11">
      <c r="C24">
        <v>108500</v>
      </c>
      <c r="D24">
        <v>76000</v>
      </c>
      <c r="E24">
        <f>C24-D24</f>
        <v>32500</v>
      </c>
      <c r="F24">
        <v>3</v>
      </c>
      <c r="G24" s="421">
        <f>E24*F24</f>
        <v>97500</v>
      </c>
      <c r="H24">
        <v>34000</v>
      </c>
      <c r="I24">
        <v>3</v>
      </c>
      <c r="J24" s="421">
        <f>H24*I24</f>
        <v>102000</v>
      </c>
      <c r="K24">
        <f>J24-G24</f>
        <v>4500</v>
      </c>
    </row>
    <row r="25" spans="3:11">
      <c r="G25" s="421"/>
      <c r="J25" s="4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C3:V30"/>
  <sheetViews>
    <sheetView topLeftCell="F1" workbookViewId="0">
      <selection activeCell="K35" sqref="K35"/>
    </sheetView>
  </sheetViews>
  <sheetFormatPr defaultRowHeight="15"/>
  <cols>
    <col min="3" max="3" width="7.7109375" customWidth="1"/>
    <col min="4" max="4" width="9.7109375" customWidth="1"/>
    <col min="5" max="5" width="10.85546875" customWidth="1"/>
    <col min="6" max="6" width="9.28515625" customWidth="1"/>
    <col min="7" max="7" width="10.7109375" customWidth="1"/>
    <col min="8" max="8" width="8.28515625" customWidth="1"/>
    <col min="9" max="9" width="10.42578125" customWidth="1"/>
    <col min="10" max="10" width="14.140625" customWidth="1"/>
    <col min="13" max="15" width="10.5703125" customWidth="1"/>
    <col min="16" max="16" width="16.7109375" customWidth="1"/>
  </cols>
  <sheetData>
    <row r="3" spans="3:22">
      <c r="C3" t="s">
        <v>8</v>
      </c>
      <c r="D3" t="s">
        <v>9</v>
      </c>
      <c r="E3" t="s">
        <v>6</v>
      </c>
      <c r="F3" t="s">
        <v>24</v>
      </c>
      <c r="G3" t="s">
        <v>25</v>
      </c>
      <c r="H3" t="s">
        <v>8</v>
      </c>
      <c r="I3" t="s">
        <v>9</v>
      </c>
      <c r="J3" t="s">
        <v>10</v>
      </c>
      <c r="K3" t="s">
        <v>11</v>
      </c>
      <c r="M3" t="s">
        <v>8</v>
      </c>
      <c r="N3" t="s">
        <v>6</v>
      </c>
      <c r="O3" t="s">
        <v>23</v>
      </c>
      <c r="P3" t="s">
        <v>22</v>
      </c>
      <c r="S3" t="s">
        <v>6</v>
      </c>
      <c r="T3" t="s">
        <v>23</v>
      </c>
      <c r="U3" t="s">
        <v>26</v>
      </c>
      <c r="V3" t="s">
        <v>27</v>
      </c>
    </row>
    <row r="4" spans="3:22">
      <c r="C4" t="s">
        <v>1</v>
      </c>
      <c r="D4" t="s">
        <v>13</v>
      </c>
      <c r="E4" t="s">
        <v>7</v>
      </c>
      <c r="F4" t="s">
        <v>7</v>
      </c>
      <c r="G4" t="s">
        <v>7</v>
      </c>
      <c r="H4" t="s">
        <v>1</v>
      </c>
      <c r="I4" t="s">
        <v>13</v>
      </c>
      <c r="J4" t="s">
        <v>14</v>
      </c>
      <c r="K4" t="s">
        <v>15</v>
      </c>
      <c r="M4" t="s">
        <v>1</v>
      </c>
      <c r="N4" t="s">
        <v>7</v>
      </c>
      <c r="O4" t="s">
        <v>7</v>
      </c>
      <c r="P4" t="s">
        <v>7</v>
      </c>
      <c r="S4" t="s">
        <v>7</v>
      </c>
      <c r="T4" t="s">
        <v>7</v>
      </c>
      <c r="U4" t="s">
        <v>7</v>
      </c>
      <c r="V4" t="s">
        <v>12</v>
      </c>
    </row>
    <row r="5" spans="3:22">
      <c r="C5" t="s">
        <v>1</v>
      </c>
      <c r="D5" t="s">
        <v>12</v>
      </c>
      <c r="E5" t="s">
        <v>7</v>
      </c>
      <c r="F5" t="s">
        <v>7</v>
      </c>
      <c r="G5" t="s">
        <v>7</v>
      </c>
      <c r="H5" t="s">
        <v>1</v>
      </c>
      <c r="I5" t="s">
        <v>12</v>
      </c>
      <c r="J5" t="s">
        <v>16</v>
      </c>
      <c r="K5" t="s">
        <v>15</v>
      </c>
      <c r="M5" t="s">
        <v>1</v>
      </c>
      <c r="N5" t="s">
        <v>7</v>
      </c>
      <c r="O5" t="s">
        <v>20</v>
      </c>
      <c r="P5" t="s">
        <v>28</v>
      </c>
      <c r="S5" t="s">
        <v>7</v>
      </c>
      <c r="T5" t="s">
        <v>20</v>
      </c>
      <c r="U5" t="s">
        <v>12</v>
      </c>
      <c r="V5" t="s">
        <v>7</v>
      </c>
    </row>
    <row r="6" spans="3:22">
      <c r="C6" t="s">
        <v>1</v>
      </c>
      <c r="D6" t="s">
        <v>13</v>
      </c>
      <c r="E6" t="s">
        <v>20</v>
      </c>
      <c r="F6" t="s">
        <v>7</v>
      </c>
      <c r="G6" t="s">
        <v>12</v>
      </c>
      <c r="H6" t="s">
        <v>1</v>
      </c>
      <c r="I6" t="s">
        <v>13</v>
      </c>
      <c r="J6" t="s">
        <v>12</v>
      </c>
      <c r="K6" t="s">
        <v>12</v>
      </c>
      <c r="M6" t="s">
        <v>1</v>
      </c>
      <c r="N6" t="s">
        <v>20</v>
      </c>
      <c r="O6" t="s">
        <v>7</v>
      </c>
      <c r="P6" t="s">
        <v>29</v>
      </c>
      <c r="S6" t="s">
        <v>20</v>
      </c>
      <c r="T6" t="s">
        <v>7</v>
      </c>
      <c r="U6" t="s">
        <v>12</v>
      </c>
      <c r="V6" t="s">
        <v>20</v>
      </c>
    </row>
    <row r="7" spans="3:22">
      <c r="C7" t="s">
        <v>1</v>
      </c>
      <c r="D7" t="s">
        <v>12</v>
      </c>
      <c r="E7" t="s">
        <v>7</v>
      </c>
      <c r="F7" t="s">
        <v>20</v>
      </c>
      <c r="G7" t="s">
        <v>7</v>
      </c>
      <c r="H7" t="s">
        <v>1</v>
      </c>
      <c r="I7" t="s">
        <v>12</v>
      </c>
      <c r="J7" t="s">
        <v>16</v>
      </c>
      <c r="K7" t="s">
        <v>15</v>
      </c>
      <c r="M7" t="s">
        <v>1</v>
      </c>
      <c r="N7" t="s">
        <v>20</v>
      </c>
      <c r="O7" t="s">
        <v>20</v>
      </c>
      <c r="P7" t="s">
        <v>20</v>
      </c>
      <c r="S7" t="s">
        <v>20</v>
      </c>
      <c r="T7" t="s">
        <v>20</v>
      </c>
      <c r="U7" t="s">
        <v>20</v>
      </c>
      <c r="V7" t="s">
        <v>12</v>
      </c>
    </row>
    <row r="8" spans="3:22">
      <c r="C8" t="s">
        <v>3</v>
      </c>
      <c r="D8" t="s">
        <v>17</v>
      </c>
      <c r="E8" t="s">
        <v>20</v>
      </c>
      <c r="F8" t="s">
        <v>7</v>
      </c>
      <c r="G8" t="s">
        <v>20</v>
      </c>
      <c r="H8" t="s">
        <v>3</v>
      </c>
      <c r="I8" t="s">
        <v>17</v>
      </c>
      <c r="J8" t="s">
        <v>18</v>
      </c>
      <c r="K8" t="s">
        <v>19</v>
      </c>
    </row>
    <row r="9" spans="3:22">
      <c r="C9" t="s">
        <v>3</v>
      </c>
      <c r="D9" t="s">
        <v>12</v>
      </c>
      <c r="E9" t="s">
        <v>20</v>
      </c>
      <c r="F9" t="s">
        <v>7</v>
      </c>
      <c r="G9" t="s">
        <v>20</v>
      </c>
      <c r="H9" t="s">
        <v>3</v>
      </c>
      <c r="I9" t="s">
        <v>12</v>
      </c>
      <c r="J9" t="s">
        <v>21</v>
      </c>
      <c r="K9" t="s">
        <v>19</v>
      </c>
      <c r="M9" t="s">
        <v>3</v>
      </c>
      <c r="N9" t="s">
        <v>7</v>
      </c>
      <c r="O9" t="s">
        <v>7</v>
      </c>
      <c r="P9" t="s">
        <v>28</v>
      </c>
    </row>
    <row r="10" spans="3:22">
      <c r="M10" t="s">
        <v>3</v>
      </c>
      <c r="N10" t="s">
        <v>7</v>
      </c>
      <c r="O10" t="s">
        <v>20</v>
      </c>
      <c r="P10" t="s">
        <v>7</v>
      </c>
    </row>
    <row r="11" spans="3:22">
      <c r="M11" t="s">
        <v>3</v>
      </c>
      <c r="N11" t="s">
        <v>20</v>
      </c>
      <c r="O11" t="s">
        <v>7</v>
      </c>
      <c r="P11" t="s">
        <v>20</v>
      </c>
    </row>
    <row r="12" spans="3:22">
      <c r="M12" t="s">
        <v>3</v>
      </c>
      <c r="N12" t="s">
        <v>20</v>
      </c>
      <c r="O12" t="s">
        <v>20</v>
      </c>
      <c r="P12" t="s">
        <v>29</v>
      </c>
    </row>
    <row r="13" spans="3:22">
      <c r="C13" t="s">
        <v>1</v>
      </c>
      <c r="F13" t="s">
        <v>7</v>
      </c>
      <c r="G13" t="s">
        <v>7</v>
      </c>
      <c r="I13" t="s">
        <v>13</v>
      </c>
      <c r="J13" t="s">
        <v>14</v>
      </c>
      <c r="K13" t="s">
        <v>15</v>
      </c>
    </row>
    <row r="14" spans="3:22">
      <c r="C14" t="s">
        <v>1</v>
      </c>
      <c r="F14" t="s">
        <v>7</v>
      </c>
      <c r="G14" t="s">
        <v>7</v>
      </c>
      <c r="I14" t="s">
        <v>32</v>
      </c>
      <c r="J14" t="s">
        <v>16</v>
      </c>
      <c r="K14" t="s">
        <v>15</v>
      </c>
    </row>
    <row r="15" spans="3:22">
      <c r="C15" t="s">
        <v>1</v>
      </c>
      <c r="F15" t="s">
        <v>7</v>
      </c>
      <c r="G15" t="s">
        <v>7</v>
      </c>
      <c r="I15" t="s">
        <v>17</v>
      </c>
      <c r="J15" t="s">
        <v>31</v>
      </c>
    </row>
    <row r="16" spans="3:22">
      <c r="C16" t="s">
        <v>1</v>
      </c>
      <c r="F16" t="s">
        <v>20</v>
      </c>
      <c r="G16" t="s">
        <v>20</v>
      </c>
      <c r="I16" t="s">
        <v>13</v>
      </c>
      <c r="J16" t="s">
        <v>31</v>
      </c>
    </row>
    <row r="17" spans="3:11">
      <c r="C17" t="s">
        <v>1</v>
      </c>
      <c r="F17" t="s">
        <v>20</v>
      </c>
      <c r="G17" t="s">
        <v>20</v>
      </c>
      <c r="I17" t="s">
        <v>32</v>
      </c>
      <c r="J17" t="s">
        <v>21</v>
      </c>
      <c r="K17" t="s">
        <v>30</v>
      </c>
    </row>
    <row r="18" spans="3:11">
      <c r="C18" t="s">
        <v>1</v>
      </c>
      <c r="F18" t="s">
        <v>20</v>
      </c>
      <c r="G18" t="s">
        <v>20</v>
      </c>
      <c r="I18" t="s">
        <v>17</v>
      </c>
      <c r="J18" t="s">
        <v>18</v>
      </c>
      <c r="K18" t="s">
        <v>30</v>
      </c>
    </row>
    <row r="20" spans="3:11">
      <c r="C20" t="s">
        <v>3</v>
      </c>
      <c r="F20" t="s">
        <v>7</v>
      </c>
      <c r="G20" t="s">
        <v>20</v>
      </c>
      <c r="I20" t="s">
        <v>13</v>
      </c>
      <c r="J20" t="s">
        <v>31</v>
      </c>
      <c r="K20" t="s">
        <v>34</v>
      </c>
    </row>
    <row r="21" spans="3:11">
      <c r="C21" t="s">
        <v>3</v>
      </c>
      <c r="F21" t="s">
        <v>7</v>
      </c>
      <c r="G21" t="s">
        <v>20</v>
      </c>
      <c r="I21" t="s">
        <v>32</v>
      </c>
      <c r="J21" t="s">
        <v>21</v>
      </c>
      <c r="K21" t="s">
        <v>19</v>
      </c>
    </row>
    <row r="22" spans="3:11">
      <c r="C22" t="s">
        <v>3</v>
      </c>
      <c r="F22" t="s">
        <v>7</v>
      </c>
      <c r="G22" t="s">
        <v>20</v>
      </c>
      <c r="I22" t="s">
        <v>17</v>
      </c>
      <c r="J22" t="s">
        <v>18</v>
      </c>
      <c r="K22" t="s">
        <v>19</v>
      </c>
    </row>
    <row r="23" spans="3:11">
      <c r="C23" t="s">
        <v>3</v>
      </c>
      <c r="F23" t="s">
        <v>20</v>
      </c>
      <c r="G23" t="s">
        <v>7</v>
      </c>
      <c r="I23" t="s">
        <v>13</v>
      </c>
      <c r="J23" t="s">
        <v>14</v>
      </c>
      <c r="K23" t="s">
        <v>33</v>
      </c>
    </row>
    <row r="24" spans="3:11">
      <c r="C24" t="s">
        <v>3</v>
      </c>
      <c r="F24" t="s">
        <v>20</v>
      </c>
      <c r="G24" t="s">
        <v>7</v>
      </c>
      <c r="I24" t="s">
        <v>32</v>
      </c>
      <c r="J24" t="s">
        <v>16</v>
      </c>
      <c r="K24" t="s">
        <v>33</v>
      </c>
    </row>
    <row r="25" spans="3:11">
      <c r="C25" t="s">
        <v>3</v>
      </c>
      <c r="F25" t="s">
        <v>20</v>
      </c>
      <c r="G25" t="s">
        <v>7</v>
      </c>
      <c r="I25" t="s">
        <v>17</v>
      </c>
      <c r="J25" t="s">
        <v>31</v>
      </c>
      <c r="K25" t="s">
        <v>34</v>
      </c>
    </row>
    <row r="27" spans="3:11">
      <c r="C27" t="s">
        <v>1</v>
      </c>
      <c r="F27" t="s">
        <v>7</v>
      </c>
      <c r="K27" t="s">
        <v>15</v>
      </c>
    </row>
    <row r="28" spans="3:11">
      <c r="C28" t="s">
        <v>3</v>
      </c>
      <c r="F28" t="s">
        <v>7</v>
      </c>
      <c r="K28" t="s">
        <v>19</v>
      </c>
    </row>
    <row r="29" spans="3:11">
      <c r="C29" t="s">
        <v>1</v>
      </c>
      <c r="F29" t="s">
        <v>20</v>
      </c>
      <c r="K29" t="s">
        <v>30</v>
      </c>
    </row>
    <row r="30" spans="3:11">
      <c r="C30" t="s">
        <v>3</v>
      </c>
      <c r="F30" t="s">
        <v>20</v>
      </c>
      <c r="K30" t="s">
        <v>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C2:C12"/>
  <sheetViews>
    <sheetView workbookViewId="0">
      <selection activeCell="C2" sqref="C2"/>
    </sheetView>
  </sheetViews>
  <sheetFormatPr defaultRowHeight="15"/>
  <sheetData>
    <row r="2" spans="3:3">
      <c r="C2">
        <f>STDEV(C3:C12)</f>
        <v>3.0276503540974917</v>
      </c>
    </row>
    <row r="3" spans="3:3">
      <c r="C3">
        <v>101</v>
      </c>
    </row>
    <row r="4" spans="3:3">
      <c r="C4">
        <v>102</v>
      </c>
    </row>
    <row r="5" spans="3:3">
      <c r="C5">
        <v>103</v>
      </c>
    </row>
    <row r="6" spans="3:3">
      <c r="C6">
        <v>104</v>
      </c>
    </row>
    <row r="7" spans="3:3">
      <c r="C7">
        <v>105</v>
      </c>
    </row>
    <row r="8" spans="3:3">
      <c r="C8">
        <v>106</v>
      </c>
    </row>
    <row r="9" spans="3:3">
      <c r="C9">
        <v>107</v>
      </c>
    </row>
    <row r="10" spans="3:3">
      <c r="C10">
        <v>108</v>
      </c>
    </row>
    <row r="11" spans="3:3">
      <c r="C11">
        <v>109</v>
      </c>
    </row>
    <row r="12" spans="3:3">
      <c r="C12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C3:AZ96"/>
  <sheetViews>
    <sheetView topLeftCell="AH40" workbookViewId="0">
      <selection activeCell="AR74" sqref="AR74:AS75"/>
    </sheetView>
  </sheetViews>
  <sheetFormatPr defaultRowHeight="15"/>
  <cols>
    <col min="3" max="3" width="10.140625" bestFit="1" customWidth="1"/>
    <col min="6" max="6" width="7" customWidth="1"/>
    <col min="8" max="8" width="12.140625" style="2" customWidth="1"/>
    <col min="9" max="9" width="12.42578125" customWidth="1"/>
    <col min="10" max="10" width="11.7109375" customWidth="1"/>
    <col min="14" max="14" width="10.5703125" style="3" customWidth="1"/>
    <col min="36" max="36" width="11.42578125" customWidth="1"/>
    <col min="37" max="37" width="7.5703125" style="3" customWidth="1"/>
    <col min="41" max="41" width="11" customWidth="1"/>
    <col min="43" max="43" width="8" customWidth="1"/>
    <col min="44" max="44" width="8.140625" customWidth="1"/>
  </cols>
  <sheetData>
    <row r="3" spans="3:52">
      <c r="D3" t="s">
        <v>35</v>
      </c>
      <c r="E3" t="s">
        <v>36</v>
      </c>
      <c r="F3" t="s">
        <v>37</v>
      </c>
      <c r="G3" t="s">
        <v>38</v>
      </c>
      <c r="H3" s="2" t="s">
        <v>39</v>
      </c>
    </row>
    <row r="4" spans="3:52">
      <c r="D4">
        <v>6.04</v>
      </c>
      <c r="E4">
        <v>4.0569999999999998E-3</v>
      </c>
      <c r="F4">
        <v>307.55</v>
      </c>
      <c r="G4">
        <v>-457.48</v>
      </c>
      <c r="H4" s="2">
        <f>E4*1000/G4*(-1)</f>
        <v>8.8681472414094582E-3</v>
      </c>
    </row>
    <row r="5" spans="3:52">
      <c r="D5">
        <v>-3.96</v>
      </c>
      <c r="E5">
        <v>4.0569999999999998E-3</v>
      </c>
      <c r="F5">
        <v>307.55</v>
      </c>
      <c r="G5">
        <v>-457.48</v>
      </c>
      <c r="H5" s="2">
        <f t="shared" ref="H5:H14" si="0">E5*1000/G5*(-1)</f>
        <v>8.8681472414094582E-3</v>
      </c>
    </row>
    <row r="8" spans="3:52">
      <c r="C8" t="s">
        <v>40</v>
      </c>
      <c r="D8">
        <v>0.08</v>
      </c>
      <c r="E8">
        <v>8.1139999999999997E-3</v>
      </c>
      <c r="F8">
        <v>615.1</v>
      </c>
      <c r="G8">
        <v>-914.97</v>
      </c>
      <c r="H8" s="2">
        <f>E8*100000/G8*(-1)</f>
        <v>0.88680503185896797</v>
      </c>
    </row>
    <row r="9" spans="3:52">
      <c r="C9" t="s">
        <v>41</v>
      </c>
      <c r="D9">
        <v>0.02</v>
      </c>
      <c r="E9">
        <v>8.0429999999999998E-3</v>
      </c>
      <c r="F9">
        <v>615.58000000000004</v>
      </c>
      <c r="G9">
        <v>-924.53</v>
      </c>
      <c r="H9" s="2">
        <f t="shared" ref="H9:H11" si="1">E9*100000/G9*(-1)</f>
        <v>0.86995554497961125</v>
      </c>
    </row>
    <row r="10" spans="3:52">
      <c r="C10" t="s">
        <v>42</v>
      </c>
      <c r="D10">
        <v>0.01</v>
      </c>
      <c r="E10">
        <v>3.8070000000000001E-3</v>
      </c>
      <c r="F10">
        <v>294.42</v>
      </c>
      <c r="G10">
        <v>-446.81</v>
      </c>
      <c r="H10" s="2">
        <f t="shared" si="1"/>
        <v>0.85204001700946708</v>
      </c>
    </row>
    <row r="11" spans="3:52">
      <c r="C11" t="s">
        <v>43</v>
      </c>
      <c r="D11">
        <v>0.01</v>
      </c>
      <c r="E11">
        <v>3.8070000000000001E-3</v>
      </c>
      <c r="F11">
        <v>294.42</v>
      </c>
      <c r="G11">
        <v>-446.81</v>
      </c>
      <c r="H11" s="2">
        <f t="shared" si="1"/>
        <v>0.85204001700946708</v>
      </c>
    </row>
    <row r="12" spans="3:52">
      <c r="H12" s="2" t="e">
        <f t="shared" si="0"/>
        <v>#DIV/0!</v>
      </c>
      <c r="AO12" s="7">
        <f>-AO13-AO14</f>
        <v>119.85000000000582</v>
      </c>
    </row>
    <row r="13" spans="3:52">
      <c r="H13" s="2" t="e">
        <f t="shared" si="0"/>
        <v>#DIV/0!</v>
      </c>
      <c r="AG13" t="s">
        <v>17</v>
      </c>
      <c r="AH13">
        <f>SUMIF($AI$18:$AI$1000,"&lt;0")</f>
        <v>-2554531</v>
      </c>
      <c r="AI13">
        <f>COUNTIF($AI$18:$AI$1000,"&lt;0")</f>
        <v>32</v>
      </c>
      <c r="AJ13" s="7">
        <f>AH13/AI13</f>
        <v>-79829.09375</v>
      </c>
      <c r="AL13" t="s">
        <v>17</v>
      </c>
      <c r="AM13">
        <f>SUMIF($AN$18:$AN$1000,"&lt;0")</f>
        <v>-377403</v>
      </c>
      <c r="AN13">
        <f>COUNTIF($AN$18:$AN$1000,"&lt;0")</f>
        <v>5</v>
      </c>
      <c r="AO13" s="7">
        <f>AM13/AN13</f>
        <v>-75480.600000000006</v>
      </c>
    </row>
    <row r="14" spans="3:52">
      <c r="H14" s="2" t="e">
        <f t="shared" si="0"/>
        <v>#DIV/0!</v>
      </c>
      <c r="AG14" t="s">
        <v>13</v>
      </c>
      <c r="AH14">
        <f>SUMIF($AI$18:$AI$1000,"&gt;0")</f>
        <v>2714587</v>
      </c>
      <c r="AI14">
        <f>COUNTIF($AI$18:$AI$1000,"&gt;0")</f>
        <v>34</v>
      </c>
      <c r="AJ14" s="7">
        <f>AH14/AI14</f>
        <v>79840.794117647063</v>
      </c>
      <c r="AL14" t="s">
        <v>13</v>
      </c>
      <c r="AM14">
        <f>SUMIF($AN$18:$AN$1000,"&gt;0")</f>
        <v>301443</v>
      </c>
      <c r="AN14">
        <f>COUNTIF($AN$18:$AN$1000,"&gt;0")</f>
        <v>4</v>
      </c>
      <c r="AO14" s="7">
        <f>AM14/AN14</f>
        <v>75360.75</v>
      </c>
    </row>
    <row r="15" spans="3:52">
      <c r="AD15" s="3">
        <f>AD16+AU16</f>
        <v>-9682</v>
      </c>
      <c r="AE15" s="3"/>
      <c r="AI15" s="3">
        <f>AI16+AZ16</f>
        <v>-614</v>
      </c>
      <c r="AJ15" s="3"/>
      <c r="AN15" s="3">
        <f>AN16+BE16</f>
        <v>544</v>
      </c>
    </row>
    <row r="16" spans="3:52">
      <c r="R16">
        <f>SUM(R17:R96)</f>
        <v>0</v>
      </c>
      <c r="S16" t="s">
        <v>34</v>
      </c>
      <c r="T16" s="3">
        <f>SUM(T17:T109)*-1</f>
        <v>-1495</v>
      </c>
      <c r="W16">
        <f>SUM(W17:W96)</f>
        <v>0</v>
      </c>
      <c r="X16" t="s">
        <v>34</v>
      </c>
      <c r="Y16" s="3">
        <f>SUM(Y17:Y109)*-1</f>
        <v>1159</v>
      </c>
      <c r="AB16">
        <f>SUM(AB18:AB96)</f>
        <v>-1</v>
      </c>
      <c r="AC16">
        <v>79739</v>
      </c>
      <c r="AD16" s="3">
        <f>SUM(AD17:AD109)*-1</f>
        <v>-78</v>
      </c>
      <c r="AE16" s="3"/>
      <c r="AG16">
        <f>SUM(AG18:AG96)-AG17</f>
        <v>0</v>
      </c>
      <c r="AH16" t="s">
        <v>34</v>
      </c>
      <c r="AI16" s="3">
        <f>SUM(AI17:AI109)*-1</f>
        <v>-616</v>
      </c>
      <c r="AJ16" s="3"/>
      <c r="AL16">
        <f>SUM(AL18:AL96)-AL17</f>
        <v>0</v>
      </c>
      <c r="AM16" t="s">
        <v>34</v>
      </c>
      <c r="AN16" s="3">
        <f>SUM(AN17:AN109)*-1</f>
        <v>544</v>
      </c>
      <c r="AU16">
        <f>SUM(AU20:AU32)</f>
        <v>-9604</v>
      </c>
      <c r="AX16" t="s">
        <v>1</v>
      </c>
      <c r="AY16">
        <v>800</v>
      </c>
      <c r="AZ16">
        <v>2</v>
      </c>
    </row>
    <row r="17" spans="3:52">
      <c r="D17" t="s">
        <v>0</v>
      </c>
      <c r="E17" t="s">
        <v>47</v>
      </c>
      <c r="F17" t="s">
        <v>48</v>
      </c>
      <c r="G17" t="s">
        <v>49</v>
      </c>
      <c r="H17" s="2" t="s">
        <v>50</v>
      </c>
      <c r="I17" t="s">
        <v>51</v>
      </c>
      <c r="J17" t="s">
        <v>52</v>
      </c>
      <c r="L17">
        <f>SUM(L18:L112)</f>
        <v>0</v>
      </c>
      <c r="N17" s="3">
        <f>SUM(N18:N110)*-1</f>
        <v>2037</v>
      </c>
      <c r="O17">
        <v>77000</v>
      </c>
      <c r="P17">
        <f>N17/O17</f>
        <v>2.6454545454545456E-2</v>
      </c>
      <c r="R17" s="6">
        <f>SUM(R18:R104)*-1</f>
        <v>4</v>
      </c>
      <c r="S17" s="4">
        <v>77700</v>
      </c>
      <c r="T17" s="5">
        <f>R17*S17</f>
        <v>310800</v>
      </c>
      <c r="W17" s="6">
        <f>SUM(W18:W104)*-1</f>
        <v>0</v>
      </c>
      <c r="X17" s="4">
        <v>77730</v>
      </c>
      <c r="Y17" s="5">
        <f>W17*X17</f>
        <v>0</v>
      </c>
      <c r="AA17">
        <v>0</v>
      </c>
      <c r="AB17" s="6">
        <f>SUM(AB18:AB70)</f>
        <v>-1</v>
      </c>
      <c r="AC17" s="4">
        <v>79739</v>
      </c>
      <c r="AD17" s="5">
        <f>AB17*AC17*-1</f>
        <v>79739</v>
      </c>
      <c r="AE17" s="5"/>
      <c r="AF17">
        <f>COUNTIF(AF18:AF96,"&gt;0")</f>
        <v>66</v>
      </c>
      <c r="AG17" s="6">
        <f>SUM(AG18:AG85)</f>
        <v>2</v>
      </c>
      <c r="AH17" s="4">
        <v>79720</v>
      </c>
      <c r="AI17" s="5">
        <f>AG17*AH17*-1</f>
        <v>-159440</v>
      </c>
      <c r="AJ17" s="5"/>
      <c r="AK17" s="3">
        <v>0</v>
      </c>
      <c r="AL17" s="6">
        <f>SUM(AL18:AL85)</f>
        <v>-1</v>
      </c>
      <c r="AM17" s="4">
        <v>75416</v>
      </c>
      <c r="AN17" s="5">
        <f>AL17*AM17*-1</f>
        <v>75416</v>
      </c>
      <c r="AX17" t="s">
        <v>1</v>
      </c>
      <c r="AY17">
        <v>780</v>
      </c>
      <c r="AZ17">
        <v>9</v>
      </c>
    </row>
    <row r="18" spans="3:52">
      <c r="C18" s="1">
        <v>44095</v>
      </c>
      <c r="D18" t="s">
        <v>46</v>
      </c>
      <c r="E18" t="s">
        <v>44</v>
      </c>
      <c r="G18">
        <v>1</v>
      </c>
      <c r="H18" s="3">
        <v>304</v>
      </c>
      <c r="I18">
        <v>399</v>
      </c>
      <c r="J18" s="2">
        <f>(I18-H18)*G18</f>
        <v>95</v>
      </c>
      <c r="L18">
        <v>1</v>
      </c>
      <c r="M18">
        <v>76304</v>
      </c>
      <c r="N18" s="3">
        <f>L18*M18</f>
        <v>76304</v>
      </c>
      <c r="Q18">
        <v>1</v>
      </c>
      <c r="R18">
        <v>-1</v>
      </c>
      <c r="S18">
        <v>76944</v>
      </c>
      <c r="T18" s="3">
        <f>R18*S18</f>
        <v>-76944</v>
      </c>
      <c r="V18">
        <v>1</v>
      </c>
      <c r="W18">
        <v>-1</v>
      </c>
      <c r="X18">
        <v>77871</v>
      </c>
      <c r="Y18" s="3">
        <f>W18*X18</f>
        <v>-77871</v>
      </c>
      <c r="AA18">
        <v>1</v>
      </c>
      <c r="AB18">
        <v>1</v>
      </c>
      <c r="AC18">
        <v>78745</v>
      </c>
      <c r="AD18" s="3">
        <f>AB18*AC18</f>
        <v>78745</v>
      </c>
      <c r="AE18" s="3"/>
      <c r="AF18">
        <v>1</v>
      </c>
      <c r="AG18">
        <v>-1</v>
      </c>
      <c r="AH18">
        <v>79855</v>
      </c>
      <c r="AI18" s="3">
        <f>AG18*AH18</f>
        <v>-79855</v>
      </c>
      <c r="AJ18" s="3"/>
      <c r="AK18" s="3">
        <v>1</v>
      </c>
      <c r="AL18">
        <v>1</v>
      </c>
      <c r="AM18">
        <v>75197</v>
      </c>
      <c r="AN18" s="3">
        <f>AL18*AM18</f>
        <v>75197</v>
      </c>
      <c r="AX18" t="s">
        <v>1</v>
      </c>
      <c r="AY18">
        <v>775</v>
      </c>
      <c r="AZ18">
        <v>-7</v>
      </c>
    </row>
    <row r="19" spans="3:52">
      <c r="D19" t="s">
        <v>3</v>
      </c>
      <c r="E19">
        <v>76</v>
      </c>
      <c r="F19" t="s">
        <v>45</v>
      </c>
      <c r="G19">
        <v>2</v>
      </c>
      <c r="H19" s="3">
        <v>181</v>
      </c>
      <c r="J19" s="2">
        <v>0</v>
      </c>
      <c r="L19">
        <v>-1</v>
      </c>
      <c r="M19">
        <v>76399</v>
      </c>
      <c r="N19" s="3">
        <f t="shared" ref="N19:N90" si="2">L19*M19</f>
        <v>-76399</v>
      </c>
      <c r="Q19">
        <f>Q18+1</f>
        <v>2</v>
      </c>
      <c r="R19">
        <v>-1</v>
      </c>
      <c r="S19">
        <v>76989</v>
      </c>
      <c r="T19" s="3">
        <f t="shared" ref="T19:T90" si="3">R19*S19</f>
        <v>-76989</v>
      </c>
      <c r="V19">
        <f>V18+1</f>
        <v>2</v>
      </c>
      <c r="W19">
        <v>1</v>
      </c>
      <c r="X19">
        <v>77799</v>
      </c>
      <c r="Y19" s="3">
        <f t="shared" ref="Y19:Y51" si="4">W19*X19</f>
        <v>77799</v>
      </c>
      <c r="AA19">
        <f>AA18+1</f>
        <v>2</v>
      </c>
      <c r="AB19">
        <v>-1</v>
      </c>
      <c r="AC19">
        <v>78830</v>
      </c>
      <c r="AD19" s="3">
        <f t="shared" ref="AD19:AD68" si="5">AB19*AC19</f>
        <v>-78830</v>
      </c>
      <c r="AE19" s="3"/>
      <c r="AF19">
        <f>AF18+1</f>
        <v>2</v>
      </c>
      <c r="AG19">
        <v>-1</v>
      </c>
      <c r="AH19">
        <v>79989</v>
      </c>
      <c r="AI19" s="3">
        <f t="shared" ref="AI19:AI82" si="6">AG19*AH19</f>
        <v>-79989</v>
      </c>
      <c r="AJ19" s="3"/>
      <c r="AK19" s="3">
        <f>AK18+1</f>
        <v>2</v>
      </c>
      <c r="AL19">
        <v>-1</v>
      </c>
      <c r="AM19">
        <v>75320</v>
      </c>
      <c r="AN19" s="3">
        <f t="shared" ref="AN19:AN26" si="7">AL19*AM19</f>
        <v>-75320</v>
      </c>
      <c r="AX19" t="s">
        <v>3</v>
      </c>
      <c r="AY19">
        <v>790</v>
      </c>
      <c r="AZ19">
        <v>4</v>
      </c>
    </row>
    <row r="20" spans="3:52">
      <c r="E20" t="s">
        <v>44</v>
      </c>
      <c r="G20">
        <v>1</v>
      </c>
      <c r="H20" s="3">
        <v>577</v>
      </c>
      <c r="I20">
        <v>641</v>
      </c>
      <c r="J20" s="2">
        <f t="shared" ref="J20:J24" si="8">(I20-H20)*G20</f>
        <v>64</v>
      </c>
      <c r="L20">
        <v>1</v>
      </c>
      <c r="M20">
        <v>76577</v>
      </c>
      <c r="N20" s="3">
        <f t="shared" si="2"/>
        <v>76577</v>
      </c>
      <c r="Q20">
        <f t="shared" ref="Q20:Q83" si="9">Q19+1</f>
        <v>3</v>
      </c>
      <c r="R20">
        <v>-1</v>
      </c>
      <c r="S20">
        <v>77033</v>
      </c>
      <c r="T20" s="3">
        <f t="shared" si="3"/>
        <v>-77033</v>
      </c>
      <c r="V20">
        <f t="shared" ref="V20:V53" si="10">V19+1</f>
        <v>3</v>
      </c>
      <c r="W20">
        <v>1</v>
      </c>
      <c r="X20">
        <v>77742</v>
      </c>
      <c r="Y20" s="3">
        <f t="shared" si="4"/>
        <v>77742</v>
      </c>
      <c r="AA20">
        <f t="shared" ref="AA20:AA67" si="11">AA19+1</f>
        <v>3</v>
      </c>
      <c r="AB20">
        <v>1</v>
      </c>
      <c r="AC20">
        <v>79392</v>
      </c>
      <c r="AD20" s="3">
        <f t="shared" si="5"/>
        <v>79392</v>
      </c>
      <c r="AE20" s="3"/>
      <c r="AF20">
        <f t="shared" ref="AF20:AF83" si="12">AF19+1</f>
        <v>3</v>
      </c>
      <c r="AG20">
        <v>-1</v>
      </c>
      <c r="AH20">
        <v>80411</v>
      </c>
      <c r="AI20" s="3">
        <f t="shared" si="6"/>
        <v>-80411</v>
      </c>
      <c r="AJ20" s="3"/>
      <c r="AK20" s="3">
        <f t="shared" ref="AK20:AK83" si="13">AK19+1</f>
        <v>3</v>
      </c>
      <c r="AL20">
        <v>1</v>
      </c>
      <c r="AM20">
        <v>75427</v>
      </c>
      <c r="AN20" s="3">
        <f t="shared" si="7"/>
        <v>75427</v>
      </c>
      <c r="AP20" t="s">
        <v>3</v>
      </c>
      <c r="AQ20">
        <v>77</v>
      </c>
      <c r="AR20">
        <v>-1</v>
      </c>
      <c r="AS20">
        <v>275</v>
      </c>
      <c r="AT20">
        <v>242</v>
      </c>
      <c r="AU20">
        <f>AR20*(AT20-AS20)</f>
        <v>33</v>
      </c>
      <c r="AX20" t="s">
        <v>3</v>
      </c>
      <c r="AY20">
        <v>785</v>
      </c>
      <c r="AZ20">
        <v>3</v>
      </c>
    </row>
    <row r="21" spans="3:52">
      <c r="D21" t="s">
        <v>3</v>
      </c>
      <c r="E21">
        <v>76</v>
      </c>
      <c r="F21" t="s">
        <v>45</v>
      </c>
      <c r="G21">
        <v>2</v>
      </c>
      <c r="H21" s="3">
        <v>140</v>
      </c>
      <c r="J21" s="2">
        <v>0</v>
      </c>
      <c r="L21">
        <v>-1</v>
      </c>
      <c r="M21">
        <v>76641</v>
      </c>
      <c r="N21" s="3">
        <f t="shared" si="2"/>
        <v>-76641</v>
      </c>
      <c r="Q21">
        <f t="shared" si="9"/>
        <v>4</v>
      </c>
      <c r="R21">
        <v>1</v>
      </c>
      <c r="S21">
        <v>77005</v>
      </c>
      <c r="T21" s="3">
        <f t="shared" si="3"/>
        <v>77005</v>
      </c>
      <c r="V21">
        <f t="shared" si="10"/>
        <v>4</v>
      </c>
      <c r="W21">
        <v>1</v>
      </c>
      <c r="X21">
        <v>77620</v>
      </c>
      <c r="Y21" s="3">
        <f t="shared" si="4"/>
        <v>77620</v>
      </c>
      <c r="AA21">
        <f t="shared" si="11"/>
        <v>4</v>
      </c>
      <c r="AB21">
        <v>-1</v>
      </c>
      <c r="AC21">
        <v>79338</v>
      </c>
      <c r="AD21" s="3">
        <f t="shared" si="5"/>
        <v>-79338</v>
      </c>
      <c r="AE21" s="3"/>
      <c r="AF21">
        <f t="shared" si="12"/>
        <v>4</v>
      </c>
      <c r="AG21">
        <v>1</v>
      </c>
      <c r="AH21">
        <v>80333</v>
      </c>
      <c r="AI21" s="3">
        <f t="shared" si="6"/>
        <v>80333</v>
      </c>
      <c r="AJ21" s="3"/>
      <c r="AK21" s="3">
        <f t="shared" si="13"/>
        <v>4</v>
      </c>
      <c r="AL21">
        <v>-1</v>
      </c>
      <c r="AM21">
        <v>75518</v>
      </c>
      <c r="AN21" s="3">
        <f t="shared" si="7"/>
        <v>-75518</v>
      </c>
      <c r="AP21" t="s">
        <v>3</v>
      </c>
      <c r="AQ21">
        <v>775</v>
      </c>
      <c r="AR21">
        <v>-1</v>
      </c>
      <c r="AS21">
        <v>300</v>
      </c>
      <c r="AT21">
        <v>260</v>
      </c>
      <c r="AU21">
        <f t="shared" ref="AU21:AU32" si="14">AR21*(AT21-AS21)</f>
        <v>40</v>
      </c>
    </row>
    <row r="22" spans="3:52">
      <c r="D22" t="s">
        <v>1</v>
      </c>
      <c r="E22">
        <v>75.5</v>
      </c>
      <c r="G22">
        <v>2</v>
      </c>
      <c r="H22" s="3">
        <v>1202</v>
      </c>
      <c r="J22" s="2">
        <v>0</v>
      </c>
      <c r="L22">
        <v>1</v>
      </c>
      <c r="M22">
        <v>76756</v>
      </c>
      <c r="N22" s="3">
        <f t="shared" si="2"/>
        <v>76756</v>
      </c>
      <c r="Q22">
        <f t="shared" si="9"/>
        <v>5</v>
      </c>
      <c r="R22">
        <v>-1</v>
      </c>
      <c r="S22">
        <v>77031</v>
      </c>
      <c r="T22" s="3">
        <f t="shared" si="3"/>
        <v>-77031</v>
      </c>
      <c r="V22">
        <f t="shared" si="10"/>
        <v>5</v>
      </c>
      <c r="W22">
        <v>-1</v>
      </c>
      <c r="X22">
        <v>77700</v>
      </c>
      <c r="Y22" s="3">
        <f t="shared" si="4"/>
        <v>-77700</v>
      </c>
      <c r="AA22">
        <f t="shared" si="11"/>
        <v>5</v>
      </c>
      <c r="AB22">
        <v>1</v>
      </c>
      <c r="AC22">
        <v>79251</v>
      </c>
      <c r="AD22" s="3">
        <f t="shared" si="5"/>
        <v>79251</v>
      </c>
      <c r="AE22" s="3"/>
      <c r="AF22">
        <f t="shared" si="12"/>
        <v>5</v>
      </c>
      <c r="AG22">
        <v>1</v>
      </c>
      <c r="AH22">
        <v>80285</v>
      </c>
      <c r="AI22" s="3">
        <f t="shared" si="6"/>
        <v>80285</v>
      </c>
      <c r="AJ22" s="3"/>
      <c r="AK22" s="3">
        <f t="shared" si="13"/>
        <v>5</v>
      </c>
      <c r="AL22">
        <v>-1</v>
      </c>
      <c r="AM22">
        <v>75628</v>
      </c>
      <c r="AN22" s="3">
        <f t="shared" si="7"/>
        <v>-75628</v>
      </c>
      <c r="AP22" t="s">
        <v>3</v>
      </c>
      <c r="AQ22">
        <v>775</v>
      </c>
      <c r="AR22">
        <v>-1</v>
      </c>
      <c r="AS22">
        <v>383</v>
      </c>
      <c r="AT22">
        <v>140</v>
      </c>
      <c r="AU22">
        <f t="shared" si="14"/>
        <v>243</v>
      </c>
      <c r="AX22" t="s">
        <v>3</v>
      </c>
      <c r="AY22">
        <v>770</v>
      </c>
      <c r="AZ22">
        <v>12</v>
      </c>
    </row>
    <row r="23" spans="3:52">
      <c r="E23" t="s">
        <v>44</v>
      </c>
      <c r="G23">
        <v>1</v>
      </c>
      <c r="H23" s="3">
        <v>756</v>
      </c>
      <c r="I23">
        <v>972</v>
      </c>
      <c r="J23" s="2">
        <f t="shared" si="8"/>
        <v>216</v>
      </c>
      <c r="L23">
        <v>1</v>
      </c>
      <c r="M23">
        <v>76814</v>
      </c>
      <c r="N23" s="3">
        <f t="shared" si="2"/>
        <v>76814</v>
      </c>
      <c r="Q23">
        <f t="shared" si="9"/>
        <v>6</v>
      </c>
      <c r="R23">
        <v>1</v>
      </c>
      <c r="S23">
        <v>76993</v>
      </c>
      <c r="T23" s="3">
        <f t="shared" si="3"/>
        <v>76993</v>
      </c>
      <c r="V23">
        <f t="shared" si="10"/>
        <v>6</v>
      </c>
      <c r="W23">
        <v>-1</v>
      </c>
      <c r="X23">
        <v>77916</v>
      </c>
      <c r="Y23" s="3">
        <f t="shared" si="4"/>
        <v>-77916</v>
      </c>
      <c r="AA23">
        <f t="shared" si="11"/>
        <v>6</v>
      </c>
      <c r="AB23">
        <v>-1</v>
      </c>
      <c r="AC23">
        <v>79072</v>
      </c>
      <c r="AD23" s="3">
        <f t="shared" si="5"/>
        <v>-79072</v>
      </c>
      <c r="AE23" s="3"/>
      <c r="AF23">
        <f t="shared" si="12"/>
        <v>6</v>
      </c>
      <c r="AG23">
        <v>-1</v>
      </c>
      <c r="AH23">
        <v>80285</v>
      </c>
      <c r="AI23" s="3">
        <f t="shared" si="6"/>
        <v>-80285</v>
      </c>
      <c r="AJ23" s="3"/>
      <c r="AK23" s="3">
        <f t="shared" si="13"/>
        <v>6</v>
      </c>
      <c r="AL23">
        <v>1</v>
      </c>
      <c r="AM23">
        <v>75493</v>
      </c>
      <c r="AN23" s="3">
        <f t="shared" si="7"/>
        <v>75493</v>
      </c>
      <c r="AU23">
        <f t="shared" si="14"/>
        <v>0</v>
      </c>
    </row>
    <row r="24" spans="3:52">
      <c r="G24">
        <v>1</v>
      </c>
      <c r="H24" s="3">
        <v>814</v>
      </c>
      <c r="I24">
        <v>863</v>
      </c>
      <c r="J24" s="2">
        <f t="shared" si="8"/>
        <v>49</v>
      </c>
      <c r="L24">
        <v>-1</v>
      </c>
      <c r="M24">
        <v>76863</v>
      </c>
      <c r="N24" s="3">
        <f t="shared" si="2"/>
        <v>-76863</v>
      </c>
      <c r="Q24">
        <f t="shared" si="9"/>
        <v>7</v>
      </c>
      <c r="R24">
        <v>-1</v>
      </c>
      <c r="S24">
        <v>77055</v>
      </c>
      <c r="T24" s="3">
        <f t="shared" si="3"/>
        <v>-77055</v>
      </c>
      <c r="V24">
        <f t="shared" si="10"/>
        <v>7</v>
      </c>
      <c r="W24">
        <v>1</v>
      </c>
      <c r="X24">
        <v>77999</v>
      </c>
      <c r="Y24" s="3">
        <f t="shared" si="4"/>
        <v>77999</v>
      </c>
      <c r="AA24">
        <f t="shared" si="11"/>
        <v>7</v>
      </c>
      <c r="AB24">
        <v>-1</v>
      </c>
      <c r="AC24">
        <v>79364</v>
      </c>
      <c r="AD24" s="3">
        <f t="shared" si="5"/>
        <v>-79364</v>
      </c>
      <c r="AE24" s="3"/>
      <c r="AF24">
        <f t="shared" si="12"/>
        <v>7</v>
      </c>
      <c r="AG24">
        <v>1</v>
      </c>
      <c r="AH24">
        <v>80372</v>
      </c>
      <c r="AI24" s="3">
        <f t="shared" si="6"/>
        <v>80372</v>
      </c>
      <c r="AJ24" s="3"/>
      <c r="AK24" s="3">
        <f t="shared" si="13"/>
        <v>7</v>
      </c>
      <c r="AL24">
        <v>-1</v>
      </c>
      <c r="AM24">
        <v>75530</v>
      </c>
      <c r="AN24" s="3">
        <f t="shared" si="7"/>
        <v>-75530</v>
      </c>
      <c r="AP24" t="s">
        <v>1</v>
      </c>
      <c r="AQ24">
        <v>775</v>
      </c>
      <c r="AR24">
        <v>1</v>
      </c>
      <c r="AS24">
        <v>2100</v>
      </c>
      <c r="AU24">
        <f t="shared" si="14"/>
        <v>-2100</v>
      </c>
    </row>
    <row r="25" spans="3:52">
      <c r="D25" t="s">
        <v>1</v>
      </c>
      <c r="E25">
        <v>75.5</v>
      </c>
      <c r="G25">
        <v>2</v>
      </c>
      <c r="H25" s="3">
        <v>1400</v>
      </c>
      <c r="L25">
        <v>-1</v>
      </c>
      <c r="M25">
        <v>76972</v>
      </c>
      <c r="N25" s="3">
        <f t="shared" si="2"/>
        <v>-76972</v>
      </c>
      <c r="Q25">
        <f t="shared" si="9"/>
        <v>8</v>
      </c>
      <c r="R25">
        <v>1</v>
      </c>
      <c r="S25">
        <v>77007</v>
      </c>
      <c r="T25" s="3">
        <f t="shared" si="3"/>
        <v>77007</v>
      </c>
      <c r="V25">
        <f t="shared" si="10"/>
        <v>8</v>
      </c>
      <c r="W25">
        <v>-1</v>
      </c>
      <c r="X25">
        <v>78009</v>
      </c>
      <c r="Y25" s="3">
        <f t="shared" si="4"/>
        <v>-78009</v>
      </c>
      <c r="AA25">
        <f t="shared" si="11"/>
        <v>8</v>
      </c>
      <c r="AB25">
        <v>1</v>
      </c>
      <c r="AC25">
        <v>79576</v>
      </c>
      <c r="AD25" s="3">
        <f t="shared" si="5"/>
        <v>79576</v>
      </c>
      <c r="AE25" s="3"/>
      <c r="AF25">
        <f t="shared" si="12"/>
        <v>8</v>
      </c>
      <c r="AG25">
        <v>1</v>
      </c>
      <c r="AH25">
        <v>80240</v>
      </c>
      <c r="AI25" s="3">
        <f t="shared" si="6"/>
        <v>80240</v>
      </c>
      <c r="AJ25" s="3"/>
      <c r="AK25" s="3">
        <f t="shared" si="13"/>
        <v>8</v>
      </c>
      <c r="AL25">
        <v>1</v>
      </c>
      <c r="AM25">
        <v>75326</v>
      </c>
      <c r="AN25" s="3">
        <f t="shared" si="7"/>
        <v>75326</v>
      </c>
      <c r="AP25" t="s">
        <v>3</v>
      </c>
      <c r="AQ25">
        <v>78500</v>
      </c>
      <c r="AR25">
        <v>3</v>
      </c>
      <c r="AS25">
        <v>340</v>
      </c>
      <c r="AU25">
        <f t="shared" si="14"/>
        <v>-1020</v>
      </c>
    </row>
    <row r="26" spans="3:52">
      <c r="D26" t="s">
        <v>1</v>
      </c>
      <c r="E26">
        <v>75.5</v>
      </c>
      <c r="G26">
        <v>1</v>
      </c>
      <c r="H26" s="3">
        <v>1540</v>
      </c>
      <c r="L26">
        <v>-1</v>
      </c>
      <c r="M26">
        <v>77096</v>
      </c>
      <c r="N26" s="3">
        <f t="shared" si="2"/>
        <v>-77096</v>
      </c>
      <c r="Q26">
        <f t="shared" si="9"/>
        <v>9</v>
      </c>
      <c r="R26">
        <v>1</v>
      </c>
      <c r="S26">
        <v>76949</v>
      </c>
      <c r="T26" s="3">
        <f t="shared" si="3"/>
        <v>76949</v>
      </c>
      <c r="V26">
        <f t="shared" si="10"/>
        <v>9</v>
      </c>
      <c r="W26">
        <v>-1</v>
      </c>
      <c r="X26">
        <v>78010</v>
      </c>
      <c r="Y26" s="3">
        <f t="shared" si="4"/>
        <v>-78010</v>
      </c>
      <c r="AA26">
        <f t="shared" si="11"/>
        <v>9</v>
      </c>
      <c r="AB26">
        <v>1</v>
      </c>
      <c r="AC26">
        <v>79389</v>
      </c>
      <c r="AD26" s="3">
        <f t="shared" si="5"/>
        <v>79389</v>
      </c>
      <c r="AE26" s="3"/>
      <c r="AF26">
        <f t="shared" si="12"/>
        <v>9</v>
      </c>
      <c r="AG26">
        <v>-1</v>
      </c>
      <c r="AH26">
        <v>80304</v>
      </c>
      <c r="AI26" s="3">
        <f t="shared" si="6"/>
        <v>-80304</v>
      </c>
      <c r="AJ26" s="3"/>
      <c r="AK26" s="3">
        <f t="shared" si="13"/>
        <v>9</v>
      </c>
      <c r="AL26">
        <v>-1</v>
      </c>
      <c r="AM26">
        <v>75407</v>
      </c>
      <c r="AN26" s="3">
        <f t="shared" si="7"/>
        <v>-75407</v>
      </c>
      <c r="AP26" t="s">
        <v>1</v>
      </c>
      <c r="AQ26">
        <v>79500</v>
      </c>
      <c r="AR26">
        <v>2</v>
      </c>
      <c r="AS26">
        <v>580</v>
      </c>
      <c r="AU26">
        <f t="shared" si="14"/>
        <v>-1160</v>
      </c>
    </row>
    <row r="27" spans="3:52">
      <c r="D27" t="s">
        <v>1</v>
      </c>
      <c r="E27">
        <v>75.5</v>
      </c>
      <c r="G27">
        <v>1</v>
      </c>
      <c r="H27" s="3">
        <v>1600</v>
      </c>
      <c r="L27">
        <v>1</v>
      </c>
      <c r="M27">
        <v>77056</v>
      </c>
      <c r="N27" s="3">
        <f t="shared" si="2"/>
        <v>77056</v>
      </c>
      <c r="Q27">
        <f t="shared" si="9"/>
        <v>10</v>
      </c>
      <c r="R27">
        <v>1</v>
      </c>
      <c r="S27">
        <v>76868</v>
      </c>
      <c r="T27" s="3">
        <f t="shared" si="3"/>
        <v>76868</v>
      </c>
      <c r="V27">
        <f t="shared" si="10"/>
        <v>10</v>
      </c>
      <c r="W27">
        <v>-1</v>
      </c>
      <c r="X27">
        <v>77991</v>
      </c>
      <c r="Y27" s="3">
        <f t="shared" si="4"/>
        <v>-77991</v>
      </c>
      <c r="AA27">
        <f t="shared" si="11"/>
        <v>10</v>
      </c>
      <c r="AB27">
        <v>-1</v>
      </c>
      <c r="AC27">
        <v>79442</v>
      </c>
      <c r="AD27" s="3">
        <f t="shared" si="5"/>
        <v>-79442</v>
      </c>
      <c r="AE27" s="3"/>
      <c r="AF27">
        <f t="shared" si="12"/>
        <v>10</v>
      </c>
      <c r="AG27">
        <v>1</v>
      </c>
      <c r="AH27">
        <v>80267</v>
      </c>
      <c r="AI27" s="3">
        <f t="shared" si="6"/>
        <v>80267</v>
      </c>
      <c r="AJ27" s="3"/>
      <c r="AK27" s="3">
        <f t="shared" si="13"/>
        <v>10</v>
      </c>
      <c r="AN27" s="3"/>
      <c r="AP27" t="s">
        <v>1</v>
      </c>
      <c r="AQ27">
        <v>80</v>
      </c>
      <c r="AR27">
        <v>1</v>
      </c>
      <c r="AS27">
        <v>420</v>
      </c>
      <c r="AU27">
        <f t="shared" si="14"/>
        <v>-420</v>
      </c>
    </row>
    <row r="28" spans="3:52">
      <c r="E28" t="s">
        <v>44</v>
      </c>
      <c r="G28">
        <v>-1</v>
      </c>
      <c r="H28" s="3">
        <v>96</v>
      </c>
      <c r="I28">
        <v>56</v>
      </c>
      <c r="J28" s="2">
        <f t="shared" ref="J28:J43" si="15">(I28-H28)*G28</f>
        <v>40</v>
      </c>
      <c r="L28">
        <v>1</v>
      </c>
      <c r="M28">
        <v>76989</v>
      </c>
      <c r="N28" s="3">
        <f t="shared" si="2"/>
        <v>76989</v>
      </c>
      <c r="Q28">
        <f t="shared" si="9"/>
        <v>11</v>
      </c>
      <c r="R28">
        <v>-1</v>
      </c>
      <c r="S28">
        <v>76922</v>
      </c>
      <c r="T28" s="3">
        <f t="shared" si="3"/>
        <v>-76922</v>
      </c>
      <c r="V28">
        <f t="shared" si="10"/>
        <v>11</v>
      </c>
      <c r="W28">
        <v>1</v>
      </c>
      <c r="X28">
        <v>77944</v>
      </c>
      <c r="Y28" s="3">
        <f t="shared" si="4"/>
        <v>77944</v>
      </c>
      <c r="AA28">
        <f t="shared" si="11"/>
        <v>11</v>
      </c>
      <c r="AB28">
        <v>1</v>
      </c>
      <c r="AC28">
        <v>79482</v>
      </c>
      <c r="AD28" s="3">
        <f t="shared" si="5"/>
        <v>79482</v>
      </c>
      <c r="AE28" s="3"/>
      <c r="AF28">
        <f t="shared" si="12"/>
        <v>11</v>
      </c>
      <c r="AG28">
        <v>-1</v>
      </c>
      <c r="AH28">
        <v>80367</v>
      </c>
      <c r="AI28" s="3">
        <f t="shared" si="6"/>
        <v>-80367</v>
      </c>
      <c r="AJ28" s="3"/>
      <c r="AK28" s="3">
        <f t="shared" si="13"/>
        <v>11</v>
      </c>
      <c r="AN28" s="3">
        <f t="shared" ref="AN28:AN52" si="16">AL28*AM28</f>
        <v>0</v>
      </c>
      <c r="AP28" t="s">
        <v>1</v>
      </c>
      <c r="AQ28">
        <v>80</v>
      </c>
      <c r="AR28">
        <v>2</v>
      </c>
      <c r="AS28">
        <v>340</v>
      </c>
      <c r="AU28">
        <f t="shared" si="14"/>
        <v>-680</v>
      </c>
    </row>
    <row r="29" spans="3:52">
      <c r="G29">
        <v>-1</v>
      </c>
      <c r="H29" s="3">
        <v>972</v>
      </c>
      <c r="I29">
        <v>989</v>
      </c>
      <c r="J29" s="2">
        <f t="shared" si="15"/>
        <v>-17</v>
      </c>
      <c r="L29">
        <v>-1</v>
      </c>
      <c r="M29">
        <v>77046</v>
      </c>
      <c r="N29" s="3">
        <f t="shared" si="2"/>
        <v>-77046</v>
      </c>
      <c r="Q29">
        <f t="shared" si="9"/>
        <v>12</v>
      </c>
      <c r="R29">
        <v>-1</v>
      </c>
      <c r="S29">
        <v>77010</v>
      </c>
      <c r="T29" s="3">
        <f t="shared" si="3"/>
        <v>-77010</v>
      </c>
      <c r="V29">
        <f t="shared" si="10"/>
        <v>12</v>
      </c>
      <c r="W29">
        <v>1</v>
      </c>
      <c r="X29">
        <v>77898</v>
      </c>
      <c r="Y29" s="3">
        <f t="shared" si="4"/>
        <v>77898</v>
      </c>
      <c r="AA29">
        <f t="shared" si="11"/>
        <v>12</v>
      </c>
      <c r="AB29">
        <v>-1</v>
      </c>
      <c r="AC29">
        <v>79418</v>
      </c>
      <c r="AD29" s="3">
        <f t="shared" si="5"/>
        <v>-79418</v>
      </c>
      <c r="AE29" s="3"/>
      <c r="AF29">
        <f t="shared" si="12"/>
        <v>12</v>
      </c>
      <c r="AG29">
        <v>1</v>
      </c>
      <c r="AH29">
        <v>80319</v>
      </c>
      <c r="AI29" s="3">
        <f t="shared" si="6"/>
        <v>80319</v>
      </c>
      <c r="AJ29" s="3"/>
      <c r="AK29" s="3">
        <f t="shared" si="13"/>
        <v>12</v>
      </c>
      <c r="AN29" s="3">
        <f t="shared" si="16"/>
        <v>0</v>
      </c>
      <c r="AP29" t="s">
        <v>1</v>
      </c>
      <c r="AQ29">
        <v>775</v>
      </c>
      <c r="AR29">
        <v>1</v>
      </c>
      <c r="AS29">
        <v>1790</v>
      </c>
      <c r="AU29">
        <f t="shared" si="14"/>
        <v>-1790</v>
      </c>
    </row>
    <row r="30" spans="3:52">
      <c r="E30" t="s">
        <v>44</v>
      </c>
      <c r="G30">
        <v>-1</v>
      </c>
      <c r="H30" s="3">
        <v>77046</v>
      </c>
      <c r="I30">
        <v>77190</v>
      </c>
      <c r="J30" s="2">
        <f t="shared" si="15"/>
        <v>-144</v>
      </c>
      <c r="L30">
        <v>1</v>
      </c>
      <c r="M30">
        <v>77190</v>
      </c>
      <c r="N30" s="3">
        <f t="shared" si="2"/>
        <v>77190</v>
      </c>
      <c r="Q30">
        <f t="shared" si="9"/>
        <v>13</v>
      </c>
      <c r="R30">
        <v>-1</v>
      </c>
      <c r="S30">
        <v>77074</v>
      </c>
      <c r="T30" s="3">
        <f t="shared" si="3"/>
        <v>-77074</v>
      </c>
      <c r="V30">
        <f t="shared" si="10"/>
        <v>13</v>
      </c>
      <c r="W30">
        <v>-1</v>
      </c>
      <c r="X30">
        <v>77917</v>
      </c>
      <c r="Y30" s="3">
        <f t="shared" si="4"/>
        <v>-77917</v>
      </c>
      <c r="AA30">
        <f t="shared" si="11"/>
        <v>13</v>
      </c>
      <c r="AB30">
        <v>1</v>
      </c>
      <c r="AC30">
        <v>79392</v>
      </c>
      <c r="AD30" s="3">
        <f t="shared" si="5"/>
        <v>79392</v>
      </c>
      <c r="AE30" s="3"/>
      <c r="AF30">
        <f t="shared" si="12"/>
        <v>13</v>
      </c>
      <c r="AG30">
        <v>-1</v>
      </c>
      <c r="AH30">
        <v>80377</v>
      </c>
      <c r="AI30" s="3">
        <f t="shared" si="6"/>
        <v>-80377</v>
      </c>
      <c r="AJ30" s="3"/>
      <c r="AK30" s="3">
        <f t="shared" si="13"/>
        <v>13</v>
      </c>
      <c r="AN30" s="3">
        <f t="shared" si="16"/>
        <v>0</v>
      </c>
      <c r="AP30" t="s">
        <v>1</v>
      </c>
      <c r="AQ30">
        <v>795</v>
      </c>
      <c r="AR30">
        <v>2</v>
      </c>
      <c r="AS30">
        <v>580</v>
      </c>
      <c r="AU30">
        <f t="shared" si="14"/>
        <v>-1160</v>
      </c>
    </row>
    <row r="31" spans="3:52">
      <c r="E31" t="s">
        <v>44</v>
      </c>
      <c r="G31">
        <v>1</v>
      </c>
      <c r="H31" s="3">
        <v>77054</v>
      </c>
      <c r="I31">
        <v>77072</v>
      </c>
      <c r="J31" s="2">
        <f t="shared" si="15"/>
        <v>18</v>
      </c>
      <c r="L31">
        <v>1</v>
      </c>
      <c r="M31">
        <v>77054</v>
      </c>
      <c r="N31" s="3">
        <f t="shared" si="2"/>
        <v>77054</v>
      </c>
      <c r="Q31">
        <f t="shared" si="9"/>
        <v>14</v>
      </c>
      <c r="R31">
        <v>1</v>
      </c>
      <c r="S31">
        <v>77008</v>
      </c>
      <c r="T31" s="3">
        <f t="shared" si="3"/>
        <v>77008</v>
      </c>
      <c r="V31">
        <f t="shared" si="10"/>
        <v>14</v>
      </c>
      <c r="W31">
        <v>-1</v>
      </c>
      <c r="X31">
        <v>78005</v>
      </c>
      <c r="Y31" s="3">
        <f t="shared" si="4"/>
        <v>-78005</v>
      </c>
      <c r="AA31">
        <f t="shared" si="11"/>
        <v>14</v>
      </c>
      <c r="AB31">
        <v>-1</v>
      </c>
      <c r="AC31">
        <v>79392</v>
      </c>
      <c r="AD31" s="3">
        <f t="shared" si="5"/>
        <v>-79392</v>
      </c>
      <c r="AE31" s="3"/>
      <c r="AF31">
        <f t="shared" si="12"/>
        <v>14</v>
      </c>
      <c r="AG31">
        <v>-1</v>
      </c>
      <c r="AH31">
        <v>80467</v>
      </c>
      <c r="AI31" s="3">
        <f t="shared" si="6"/>
        <v>-80467</v>
      </c>
      <c r="AJ31" s="3"/>
      <c r="AK31" s="3">
        <f t="shared" si="13"/>
        <v>14</v>
      </c>
      <c r="AN31" s="3">
        <f t="shared" si="16"/>
        <v>0</v>
      </c>
      <c r="AP31" t="s">
        <v>3</v>
      </c>
      <c r="AQ31">
        <v>790</v>
      </c>
      <c r="AR31">
        <v>2</v>
      </c>
      <c r="AS31">
        <v>455</v>
      </c>
      <c r="AU31">
        <f t="shared" si="14"/>
        <v>-910</v>
      </c>
    </row>
    <row r="32" spans="3:52">
      <c r="G32">
        <v>1</v>
      </c>
      <c r="H32" s="3">
        <v>76975</v>
      </c>
      <c r="I32">
        <v>77031</v>
      </c>
      <c r="J32" s="2">
        <f t="shared" si="15"/>
        <v>56</v>
      </c>
      <c r="L32">
        <v>1</v>
      </c>
      <c r="M32">
        <v>76975</v>
      </c>
      <c r="N32" s="3">
        <f t="shared" si="2"/>
        <v>76975</v>
      </c>
      <c r="Q32">
        <f t="shared" si="9"/>
        <v>15</v>
      </c>
      <c r="R32">
        <v>1</v>
      </c>
      <c r="S32">
        <v>76987</v>
      </c>
      <c r="T32" s="3">
        <f t="shared" si="3"/>
        <v>76987</v>
      </c>
      <c r="V32">
        <f t="shared" si="10"/>
        <v>15</v>
      </c>
      <c r="W32">
        <v>1</v>
      </c>
      <c r="X32">
        <v>77951</v>
      </c>
      <c r="Y32" s="3">
        <f t="shared" si="4"/>
        <v>77951</v>
      </c>
      <c r="AA32">
        <f t="shared" si="11"/>
        <v>15</v>
      </c>
      <c r="AB32">
        <v>1</v>
      </c>
      <c r="AC32">
        <v>79422</v>
      </c>
      <c r="AD32" s="3">
        <f t="shared" si="5"/>
        <v>79422</v>
      </c>
      <c r="AE32" s="3"/>
      <c r="AF32">
        <f t="shared" si="12"/>
        <v>15</v>
      </c>
      <c r="AG32">
        <v>1</v>
      </c>
      <c r="AH32">
        <v>80425</v>
      </c>
      <c r="AI32" s="3">
        <f t="shared" si="6"/>
        <v>80425</v>
      </c>
      <c r="AJ32" s="3"/>
      <c r="AK32" s="3">
        <f t="shared" si="13"/>
        <v>15</v>
      </c>
      <c r="AN32" s="3">
        <f t="shared" si="16"/>
        <v>0</v>
      </c>
      <c r="AP32" t="s">
        <v>3</v>
      </c>
      <c r="AQ32">
        <v>790</v>
      </c>
      <c r="AR32">
        <v>2</v>
      </c>
      <c r="AS32">
        <v>340</v>
      </c>
      <c r="AU32">
        <f t="shared" si="14"/>
        <v>-680</v>
      </c>
    </row>
    <row r="33" spans="7:45">
      <c r="G33">
        <v>1</v>
      </c>
      <c r="H33" s="3">
        <v>76923</v>
      </c>
      <c r="I33">
        <v>77011</v>
      </c>
      <c r="J33" s="2">
        <f t="shared" si="15"/>
        <v>88</v>
      </c>
      <c r="L33">
        <v>-1</v>
      </c>
      <c r="M33">
        <v>77031</v>
      </c>
      <c r="N33" s="3">
        <f t="shared" si="2"/>
        <v>-77031</v>
      </c>
      <c r="Q33">
        <f t="shared" si="9"/>
        <v>16</v>
      </c>
      <c r="R33">
        <v>-1</v>
      </c>
      <c r="S33">
        <v>77037</v>
      </c>
      <c r="T33" s="3">
        <f t="shared" si="3"/>
        <v>-77037</v>
      </c>
      <c r="V33">
        <f t="shared" si="10"/>
        <v>16</v>
      </c>
      <c r="W33">
        <v>-1</v>
      </c>
      <c r="X33">
        <v>78014</v>
      </c>
      <c r="Y33" s="3">
        <f t="shared" si="4"/>
        <v>-78014</v>
      </c>
      <c r="AA33">
        <f t="shared" si="11"/>
        <v>16</v>
      </c>
      <c r="AB33">
        <v>1</v>
      </c>
      <c r="AC33">
        <v>79188</v>
      </c>
      <c r="AD33" s="3">
        <f t="shared" si="5"/>
        <v>79188</v>
      </c>
      <c r="AE33" s="3"/>
      <c r="AF33">
        <f t="shared" si="12"/>
        <v>16</v>
      </c>
      <c r="AG33">
        <v>1</v>
      </c>
      <c r="AH33">
        <v>80312</v>
      </c>
      <c r="AI33" s="3">
        <f t="shared" si="6"/>
        <v>80312</v>
      </c>
      <c r="AJ33" s="3"/>
      <c r="AK33" s="3">
        <f t="shared" si="13"/>
        <v>16</v>
      </c>
      <c r="AN33" s="3">
        <f t="shared" si="16"/>
        <v>0</v>
      </c>
    </row>
    <row r="34" spans="7:45">
      <c r="G34">
        <v>-1</v>
      </c>
      <c r="H34" s="3">
        <v>77096</v>
      </c>
      <c r="I34">
        <v>77064</v>
      </c>
      <c r="J34" s="2">
        <f t="shared" si="15"/>
        <v>32</v>
      </c>
      <c r="L34">
        <v>1</v>
      </c>
      <c r="M34">
        <v>76923</v>
      </c>
      <c r="N34" s="3">
        <f t="shared" si="2"/>
        <v>76923</v>
      </c>
      <c r="Q34">
        <f t="shared" si="9"/>
        <v>17</v>
      </c>
      <c r="R34">
        <v>-1</v>
      </c>
      <c r="S34">
        <v>77115</v>
      </c>
      <c r="T34" s="3">
        <f t="shared" si="3"/>
        <v>-77115</v>
      </c>
      <c r="V34">
        <f t="shared" si="10"/>
        <v>17</v>
      </c>
      <c r="W34">
        <v>-1</v>
      </c>
      <c r="X34">
        <v>78060</v>
      </c>
      <c r="Y34" s="3">
        <f t="shared" si="4"/>
        <v>-78060</v>
      </c>
      <c r="AA34">
        <f t="shared" si="11"/>
        <v>17</v>
      </c>
      <c r="AB34">
        <v>-1</v>
      </c>
      <c r="AC34">
        <v>79256</v>
      </c>
      <c r="AD34" s="3">
        <f t="shared" si="5"/>
        <v>-79256</v>
      </c>
      <c r="AE34" s="3"/>
      <c r="AF34">
        <f t="shared" si="12"/>
        <v>17</v>
      </c>
      <c r="AG34">
        <v>-1</v>
      </c>
      <c r="AH34">
        <v>80347</v>
      </c>
      <c r="AI34" s="3">
        <f t="shared" si="6"/>
        <v>-80347</v>
      </c>
      <c r="AJ34" s="3"/>
      <c r="AK34" s="3">
        <f t="shared" si="13"/>
        <v>17</v>
      </c>
      <c r="AN34" s="3">
        <f t="shared" si="16"/>
        <v>0</v>
      </c>
    </row>
    <row r="35" spans="7:45">
      <c r="G35">
        <v>1</v>
      </c>
      <c r="H35" s="3">
        <v>77190</v>
      </c>
      <c r="J35" s="2" t="s">
        <v>34</v>
      </c>
      <c r="L35">
        <v>-1</v>
      </c>
      <c r="M35">
        <v>77011</v>
      </c>
      <c r="N35" s="3">
        <f t="shared" si="2"/>
        <v>-77011</v>
      </c>
      <c r="Q35">
        <f t="shared" si="9"/>
        <v>18</v>
      </c>
      <c r="R35">
        <v>-1</v>
      </c>
      <c r="S35">
        <v>77184</v>
      </c>
      <c r="T35" s="3">
        <f t="shared" si="3"/>
        <v>-77184</v>
      </c>
      <c r="V35">
        <f t="shared" si="10"/>
        <v>18</v>
      </c>
      <c r="W35">
        <v>1</v>
      </c>
      <c r="X35">
        <v>77993</v>
      </c>
      <c r="Y35" s="3">
        <f t="shared" si="4"/>
        <v>77993</v>
      </c>
      <c r="AA35">
        <f t="shared" si="11"/>
        <v>18</v>
      </c>
      <c r="AB35">
        <v>-1</v>
      </c>
      <c r="AC35">
        <v>79311</v>
      </c>
      <c r="AD35" s="3">
        <f t="shared" si="5"/>
        <v>-79311</v>
      </c>
      <c r="AE35" s="3"/>
      <c r="AF35">
        <f t="shared" si="12"/>
        <v>18</v>
      </c>
      <c r="AG35">
        <v>1</v>
      </c>
      <c r="AH35">
        <v>80266</v>
      </c>
      <c r="AI35" s="3">
        <f t="shared" si="6"/>
        <v>80266</v>
      </c>
      <c r="AJ35" s="3"/>
      <c r="AK35" s="3">
        <f t="shared" si="13"/>
        <v>18</v>
      </c>
      <c r="AN35" s="3">
        <f t="shared" si="16"/>
        <v>0</v>
      </c>
      <c r="AP35" t="s">
        <v>1</v>
      </c>
      <c r="AQ35">
        <v>780</v>
      </c>
      <c r="AR35">
        <v>9</v>
      </c>
    </row>
    <row r="36" spans="7:45">
      <c r="G36">
        <v>1</v>
      </c>
      <c r="H36" s="3">
        <v>77016</v>
      </c>
      <c r="I36">
        <v>77044</v>
      </c>
      <c r="J36" s="2">
        <f t="shared" si="15"/>
        <v>28</v>
      </c>
      <c r="L36">
        <v>-1</v>
      </c>
      <c r="M36">
        <v>77072</v>
      </c>
      <c r="N36" s="3">
        <f t="shared" si="2"/>
        <v>-77072</v>
      </c>
      <c r="Q36">
        <f t="shared" si="9"/>
        <v>19</v>
      </c>
      <c r="R36">
        <v>-1</v>
      </c>
      <c r="S36">
        <v>77347</v>
      </c>
      <c r="T36" s="3">
        <f t="shared" si="3"/>
        <v>-77347</v>
      </c>
      <c r="V36">
        <f t="shared" si="10"/>
        <v>19</v>
      </c>
      <c r="W36">
        <v>1</v>
      </c>
      <c r="X36">
        <v>77938</v>
      </c>
      <c r="Y36" s="3">
        <f t="shared" si="4"/>
        <v>77938</v>
      </c>
      <c r="AA36">
        <f t="shared" si="11"/>
        <v>19</v>
      </c>
      <c r="AB36">
        <v>1</v>
      </c>
      <c r="AC36">
        <v>79334</v>
      </c>
      <c r="AD36" s="3">
        <f t="shared" si="5"/>
        <v>79334</v>
      </c>
      <c r="AE36" s="3"/>
      <c r="AF36">
        <f t="shared" si="12"/>
        <v>19</v>
      </c>
      <c r="AG36">
        <v>-1</v>
      </c>
      <c r="AH36">
        <v>80330</v>
      </c>
      <c r="AI36" s="3">
        <f t="shared" si="6"/>
        <v>-80330</v>
      </c>
      <c r="AJ36" s="3"/>
      <c r="AK36" s="3">
        <f t="shared" si="13"/>
        <v>19</v>
      </c>
      <c r="AN36" s="3">
        <f t="shared" si="16"/>
        <v>0</v>
      </c>
      <c r="AP36" t="s">
        <v>1</v>
      </c>
      <c r="AQ36">
        <v>800</v>
      </c>
      <c r="AR36">
        <v>2</v>
      </c>
    </row>
    <row r="37" spans="7:45">
      <c r="G37">
        <v>1</v>
      </c>
      <c r="H37" s="3">
        <v>76987</v>
      </c>
      <c r="I37">
        <v>76990</v>
      </c>
      <c r="J37" s="2">
        <f t="shared" si="15"/>
        <v>3</v>
      </c>
      <c r="L37">
        <v>-1</v>
      </c>
      <c r="M37">
        <v>77096</v>
      </c>
      <c r="N37" s="3">
        <f t="shared" si="2"/>
        <v>-77096</v>
      </c>
      <c r="Q37">
        <f t="shared" si="9"/>
        <v>20</v>
      </c>
      <c r="R37">
        <v>-1</v>
      </c>
      <c r="S37">
        <v>77547</v>
      </c>
      <c r="T37" s="3">
        <f t="shared" si="3"/>
        <v>-77547</v>
      </c>
      <c r="V37">
        <f t="shared" si="10"/>
        <v>20</v>
      </c>
      <c r="W37">
        <v>1</v>
      </c>
      <c r="X37">
        <v>77867</v>
      </c>
      <c r="Y37" s="3">
        <f t="shared" si="4"/>
        <v>77867</v>
      </c>
      <c r="AA37">
        <f t="shared" si="11"/>
        <v>20</v>
      </c>
      <c r="AB37">
        <v>-1</v>
      </c>
      <c r="AC37">
        <v>79379</v>
      </c>
      <c r="AD37" s="3">
        <f t="shared" si="5"/>
        <v>-79379</v>
      </c>
      <c r="AE37" s="3"/>
      <c r="AF37">
        <f t="shared" si="12"/>
        <v>20</v>
      </c>
      <c r="AG37">
        <v>1</v>
      </c>
      <c r="AH37">
        <v>80223</v>
      </c>
      <c r="AI37" s="3">
        <f t="shared" si="6"/>
        <v>80223</v>
      </c>
      <c r="AJ37" s="3"/>
      <c r="AK37" s="3">
        <f t="shared" si="13"/>
        <v>20</v>
      </c>
      <c r="AN37" s="3">
        <f t="shared" si="16"/>
        <v>0</v>
      </c>
      <c r="AP37" t="s">
        <v>1</v>
      </c>
      <c r="AQ37" s="10">
        <v>77500</v>
      </c>
      <c r="AR37">
        <v>-7</v>
      </c>
    </row>
    <row r="38" spans="7:45">
      <c r="G38">
        <v>1</v>
      </c>
      <c r="H38" s="3">
        <v>76940</v>
      </c>
      <c r="I38">
        <v>76968</v>
      </c>
      <c r="J38" s="2">
        <f t="shared" si="15"/>
        <v>28</v>
      </c>
      <c r="L38">
        <v>1</v>
      </c>
      <c r="M38">
        <v>77064</v>
      </c>
      <c r="N38" s="3">
        <f t="shared" si="2"/>
        <v>77064</v>
      </c>
      <c r="Q38">
        <f t="shared" si="9"/>
        <v>21</v>
      </c>
      <c r="R38">
        <v>1</v>
      </c>
      <c r="S38">
        <v>77485</v>
      </c>
      <c r="T38" s="3">
        <f t="shared" si="3"/>
        <v>77485</v>
      </c>
      <c r="V38">
        <f t="shared" si="10"/>
        <v>21</v>
      </c>
      <c r="W38">
        <v>1</v>
      </c>
      <c r="X38">
        <v>77788</v>
      </c>
      <c r="Y38" s="3">
        <f t="shared" si="4"/>
        <v>77788</v>
      </c>
      <c r="AA38">
        <f t="shared" si="11"/>
        <v>21</v>
      </c>
      <c r="AB38">
        <v>-1</v>
      </c>
      <c r="AC38">
        <v>79445</v>
      </c>
      <c r="AD38" s="3">
        <f t="shared" si="5"/>
        <v>-79445</v>
      </c>
      <c r="AE38" s="3"/>
      <c r="AF38">
        <f t="shared" si="12"/>
        <v>21</v>
      </c>
      <c r="AG38">
        <v>1</v>
      </c>
      <c r="AH38">
        <v>80146</v>
      </c>
      <c r="AI38" s="3">
        <f t="shared" si="6"/>
        <v>80146</v>
      </c>
      <c r="AJ38" s="3"/>
      <c r="AK38" s="3">
        <f t="shared" si="13"/>
        <v>21</v>
      </c>
      <c r="AN38" s="3">
        <f t="shared" si="16"/>
        <v>0</v>
      </c>
      <c r="AP38" t="s">
        <v>3</v>
      </c>
      <c r="AQ38">
        <v>770</v>
      </c>
      <c r="AR38">
        <v>12</v>
      </c>
    </row>
    <row r="39" spans="7:45">
      <c r="G39">
        <v>1</v>
      </c>
      <c r="H39" s="3">
        <v>76933</v>
      </c>
      <c r="I39">
        <v>76943</v>
      </c>
      <c r="J39" s="2">
        <f t="shared" si="15"/>
        <v>10</v>
      </c>
      <c r="L39">
        <v>1</v>
      </c>
      <c r="M39">
        <v>77013</v>
      </c>
      <c r="N39" s="3">
        <f t="shared" si="2"/>
        <v>77013</v>
      </c>
      <c r="Q39">
        <f t="shared" si="9"/>
        <v>22</v>
      </c>
      <c r="R39">
        <v>-1</v>
      </c>
      <c r="S39">
        <v>77495</v>
      </c>
      <c r="T39" s="3">
        <f t="shared" si="3"/>
        <v>-77495</v>
      </c>
      <c r="V39">
        <f t="shared" si="10"/>
        <v>22</v>
      </c>
      <c r="W39">
        <v>-1</v>
      </c>
      <c r="X39">
        <v>77776</v>
      </c>
      <c r="Y39" s="3">
        <f t="shared" si="4"/>
        <v>-77776</v>
      </c>
      <c r="AA39">
        <f t="shared" si="11"/>
        <v>22</v>
      </c>
      <c r="AB39">
        <v>1</v>
      </c>
      <c r="AC39">
        <v>79468</v>
      </c>
      <c r="AD39" s="3">
        <f t="shared" si="5"/>
        <v>79468</v>
      </c>
      <c r="AE39" s="3"/>
      <c r="AF39">
        <f t="shared" si="12"/>
        <v>22</v>
      </c>
      <c r="AG39">
        <v>1</v>
      </c>
      <c r="AH39">
        <v>80081</v>
      </c>
      <c r="AI39" s="3">
        <f t="shared" si="6"/>
        <v>80081</v>
      </c>
      <c r="AJ39" s="3"/>
      <c r="AK39" s="3">
        <f t="shared" si="13"/>
        <v>22</v>
      </c>
      <c r="AN39" s="3">
        <f t="shared" si="16"/>
        <v>0</v>
      </c>
      <c r="AP39" t="s">
        <v>3</v>
      </c>
      <c r="AQ39" s="8">
        <v>785</v>
      </c>
      <c r="AR39">
        <v>3</v>
      </c>
    </row>
    <row r="40" spans="7:45">
      <c r="G40">
        <v>1</v>
      </c>
      <c r="H40" s="3">
        <v>76846</v>
      </c>
      <c r="I40">
        <v>76897</v>
      </c>
      <c r="J40" s="2">
        <f t="shared" si="15"/>
        <v>51</v>
      </c>
      <c r="L40">
        <v>1</v>
      </c>
      <c r="M40">
        <v>76987</v>
      </c>
      <c r="N40" s="3">
        <f t="shared" si="2"/>
        <v>76987</v>
      </c>
      <c r="Q40">
        <f t="shared" si="9"/>
        <v>23</v>
      </c>
      <c r="R40">
        <v>-1</v>
      </c>
      <c r="S40">
        <v>77621</v>
      </c>
      <c r="T40" s="3">
        <f t="shared" si="3"/>
        <v>-77621</v>
      </c>
      <c r="V40">
        <f t="shared" si="10"/>
        <v>23</v>
      </c>
      <c r="W40">
        <v>-1</v>
      </c>
      <c r="X40">
        <v>77767</v>
      </c>
      <c r="Y40" s="3">
        <f t="shared" si="4"/>
        <v>-77767</v>
      </c>
      <c r="AA40">
        <f t="shared" si="11"/>
        <v>23</v>
      </c>
      <c r="AB40">
        <v>1</v>
      </c>
      <c r="AC40">
        <v>79682</v>
      </c>
      <c r="AD40" s="3">
        <f t="shared" si="5"/>
        <v>79682</v>
      </c>
      <c r="AE40" s="3"/>
      <c r="AF40">
        <f t="shared" si="12"/>
        <v>23</v>
      </c>
      <c r="AG40">
        <v>1</v>
      </c>
      <c r="AH40">
        <v>79938</v>
      </c>
      <c r="AI40" s="3">
        <f t="shared" si="6"/>
        <v>79938</v>
      </c>
      <c r="AJ40" s="3"/>
      <c r="AK40" s="3">
        <f t="shared" si="13"/>
        <v>23</v>
      </c>
      <c r="AN40" s="3">
        <f t="shared" si="16"/>
        <v>0</v>
      </c>
      <c r="AP40" t="s">
        <v>3</v>
      </c>
      <c r="AQ40" s="8">
        <v>790</v>
      </c>
      <c r="AR40">
        <v>4</v>
      </c>
    </row>
    <row r="41" spans="7:45">
      <c r="G41">
        <v>1</v>
      </c>
      <c r="H41" s="3">
        <v>77009</v>
      </c>
      <c r="I41">
        <v>77120</v>
      </c>
      <c r="J41" s="2">
        <f t="shared" si="15"/>
        <v>111</v>
      </c>
      <c r="L41">
        <v>1</v>
      </c>
      <c r="M41">
        <v>76940</v>
      </c>
      <c r="N41" s="3">
        <f t="shared" si="2"/>
        <v>76940</v>
      </c>
      <c r="Q41">
        <f t="shared" si="9"/>
        <v>24</v>
      </c>
      <c r="R41">
        <v>1</v>
      </c>
      <c r="S41">
        <v>77576</v>
      </c>
      <c r="T41" s="3">
        <f t="shared" si="3"/>
        <v>77576</v>
      </c>
      <c r="V41">
        <f t="shared" si="10"/>
        <v>24</v>
      </c>
      <c r="W41">
        <v>1</v>
      </c>
      <c r="X41">
        <v>77680</v>
      </c>
      <c r="Y41" s="3">
        <f t="shared" si="4"/>
        <v>77680</v>
      </c>
      <c r="AA41">
        <f t="shared" si="11"/>
        <v>24</v>
      </c>
      <c r="AB41">
        <v>-1</v>
      </c>
      <c r="AC41">
        <v>79780</v>
      </c>
      <c r="AD41" s="3">
        <f t="shared" si="5"/>
        <v>-79780</v>
      </c>
      <c r="AE41" s="3"/>
      <c r="AF41">
        <f t="shared" si="12"/>
        <v>24</v>
      </c>
      <c r="AG41">
        <v>-1</v>
      </c>
      <c r="AH41">
        <v>79836</v>
      </c>
      <c r="AI41" s="3">
        <f t="shared" si="6"/>
        <v>-79836</v>
      </c>
      <c r="AJ41" s="3"/>
      <c r="AK41" s="3">
        <f t="shared" si="13"/>
        <v>24</v>
      </c>
      <c r="AN41" s="3">
        <f t="shared" si="16"/>
        <v>0</v>
      </c>
      <c r="AP41" t="s">
        <v>3</v>
      </c>
      <c r="AQ41" s="10">
        <v>795</v>
      </c>
      <c r="AR41">
        <v>-2</v>
      </c>
    </row>
    <row r="42" spans="7:45">
      <c r="G42">
        <v>1</v>
      </c>
      <c r="H42" s="3">
        <v>76978</v>
      </c>
      <c r="I42">
        <v>77022</v>
      </c>
      <c r="J42" s="2">
        <f t="shared" si="15"/>
        <v>44</v>
      </c>
      <c r="L42">
        <v>-1</v>
      </c>
      <c r="M42">
        <v>76968</v>
      </c>
      <c r="N42" s="3">
        <f t="shared" si="2"/>
        <v>-76968</v>
      </c>
      <c r="Q42">
        <f t="shared" si="9"/>
        <v>25</v>
      </c>
      <c r="R42">
        <v>1</v>
      </c>
      <c r="S42">
        <v>77515</v>
      </c>
      <c r="T42" s="3">
        <f t="shared" si="3"/>
        <v>77515</v>
      </c>
      <c r="V42">
        <f t="shared" si="10"/>
        <v>25</v>
      </c>
      <c r="W42">
        <v>-1</v>
      </c>
      <c r="X42">
        <v>77749</v>
      </c>
      <c r="Y42" s="3">
        <f t="shared" si="4"/>
        <v>-77749</v>
      </c>
      <c r="AA42">
        <f t="shared" si="11"/>
        <v>25</v>
      </c>
      <c r="AB42">
        <v>1</v>
      </c>
      <c r="AC42">
        <v>79652</v>
      </c>
      <c r="AD42" s="3">
        <f t="shared" si="5"/>
        <v>79652</v>
      </c>
      <c r="AE42" s="3"/>
      <c r="AF42">
        <f t="shared" si="12"/>
        <v>25</v>
      </c>
      <c r="AG42">
        <v>1</v>
      </c>
      <c r="AH42">
        <v>79703</v>
      </c>
      <c r="AI42" s="3">
        <f t="shared" si="6"/>
        <v>79703</v>
      </c>
      <c r="AJ42" s="3"/>
      <c r="AK42" s="3">
        <f t="shared" si="13"/>
        <v>25</v>
      </c>
      <c r="AN42" s="3">
        <f t="shared" si="16"/>
        <v>0</v>
      </c>
      <c r="AP42" t="s">
        <v>53</v>
      </c>
      <c r="AQ42" t="s">
        <v>34</v>
      </c>
      <c r="AR42">
        <v>1</v>
      </c>
    </row>
    <row r="43" spans="7:45">
      <c r="G43">
        <v>1</v>
      </c>
      <c r="H43" s="3">
        <v>77146</v>
      </c>
      <c r="I43">
        <v>77129</v>
      </c>
      <c r="J43" s="2">
        <f t="shared" si="15"/>
        <v>-17</v>
      </c>
      <c r="L43">
        <v>1</v>
      </c>
      <c r="M43">
        <v>76933</v>
      </c>
      <c r="N43" s="3">
        <f t="shared" si="2"/>
        <v>76933</v>
      </c>
      <c r="Q43">
        <f t="shared" si="9"/>
        <v>26</v>
      </c>
      <c r="R43">
        <v>-1</v>
      </c>
      <c r="S43">
        <v>77607</v>
      </c>
      <c r="T43" s="3">
        <f t="shared" si="3"/>
        <v>-77607</v>
      </c>
      <c r="V43">
        <f t="shared" si="10"/>
        <v>26</v>
      </c>
      <c r="W43">
        <v>1</v>
      </c>
      <c r="X43">
        <v>77715</v>
      </c>
      <c r="Y43" s="3">
        <f t="shared" si="4"/>
        <v>77715</v>
      </c>
      <c r="AA43">
        <f t="shared" si="11"/>
        <v>26</v>
      </c>
      <c r="AB43">
        <v>-1</v>
      </c>
      <c r="AC43">
        <v>79744</v>
      </c>
      <c r="AD43" s="3">
        <f t="shared" si="5"/>
        <v>-79744</v>
      </c>
      <c r="AE43" s="3"/>
      <c r="AF43">
        <f t="shared" si="12"/>
        <v>26</v>
      </c>
      <c r="AG43">
        <v>1</v>
      </c>
      <c r="AH43">
        <v>79454</v>
      </c>
      <c r="AI43" s="3">
        <f t="shared" si="6"/>
        <v>79454</v>
      </c>
      <c r="AJ43" s="3"/>
      <c r="AK43" s="3">
        <f t="shared" si="13"/>
        <v>26</v>
      </c>
      <c r="AN43" s="3">
        <f t="shared" si="16"/>
        <v>0</v>
      </c>
      <c r="AP43" t="s">
        <v>1</v>
      </c>
      <c r="AQ43">
        <v>810</v>
      </c>
      <c r="AR43">
        <v>2</v>
      </c>
      <c r="AS43">
        <v>460</v>
      </c>
    </row>
    <row r="44" spans="7:45">
      <c r="G44">
        <v>1</v>
      </c>
      <c r="H44" s="3">
        <v>77079</v>
      </c>
      <c r="L44">
        <v>1</v>
      </c>
      <c r="M44">
        <v>76843</v>
      </c>
      <c r="N44" s="3">
        <f t="shared" si="2"/>
        <v>76843</v>
      </c>
      <c r="Q44">
        <f t="shared" si="9"/>
        <v>27</v>
      </c>
      <c r="R44">
        <v>1</v>
      </c>
      <c r="S44">
        <v>77470</v>
      </c>
      <c r="T44" s="3">
        <f t="shared" si="3"/>
        <v>77470</v>
      </c>
      <c r="V44">
        <f t="shared" si="10"/>
        <v>27</v>
      </c>
      <c r="W44">
        <v>-1</v>
      </c>
      <c r="X44">
        <v>77740</v>
      </c>
      <c r="Y44" s="3">
        <f t="shared" si="4"/>
        <v>-77740</v>
      </c>
      <c r="AA44">
        <f t="shared" si="11"/>
        <v>27</v>
      </c>
      <c r="AB44">
        <v>1</v>
      </c>
      <c r="AC44">
        <v>79795</v>
      </c>
      <c r="AD44" s="3">
        <f t="shared" si="5"/>
        <v>79795</v>
      </c>
      <c r="AE44" s="3"/>
      <c r="AF44">
        <f t="shared" si="12"/>
        <v>27</v>
      </c>
      <c r="AG44">
        <v>-1</v>
      </c>
      <c r="AH44">
        <v>79551</v>
      </c>
      <c r="AI44" s="3">
        <f t="shared" si="6"/>
        <v>-79551</v>
      </c>
      <c r="AJ44" s="3"/>
      <c r="AK44" s="3">
        <f t="shared" si="13"/>
        <v>27</v>
      </c>
      <c r="AN44" s="3">
        <f t="shared" si="16"/>
        <v>0</v>
      </c>
    </row>
    <row r="45" spans="7:45">
      <c r="G45">
        <v>1</v>
      </c>
      <c r="H45" s="3">
        <v>77987</v>
      </c>
      <c r="L45">
        <v>-1</v>
      </c>
      <c r="M45">
        <v>76897</v>
      </c>
      <c r="N45" s="3">
        <f t="shared" si="2"/>
        <v>-76897</v>
      </c>
      <c r="Q45">
        <f t="shared" si="9"/>
        <v>28</v>
      </c>
      <c r="R45">
        <v>1</v>
      </c>
      <c r="S45">
        <v>77376</v>
      </c>
      <c r="T45" s="3">
        <f t="shared" si="3"/>
        <v>77376</v>
      </c>
      <c r="V45">
        <f t="shared" si="10"/>
        <v>28</v>
      </c>
      <c r="W45">
        <v>1</v>
      </c>
      <c r="X45">
        <v>77600</v>
      </c>
      <c r="Y45" s="3">
        <f t="shared" si="4"/>
        <v>77600</v>
      </c>
      <c r="AA45">
        <f t="shared" si="11"/>
        <v>28</v>
      </c>
      <c r="AB45">
        <v>-1</v>
      </c>
      <c r="AC45">
        <v>79899</v>
      </c>
      <c r="AD45" s="3">
        <f t="shared" si="5"/>
        <v>-79899</v>
      </c>
      <c r="AE45" s="3"/>
      <c r="AF45">
        <f t="shared" si="12"/>
        <v>28</v>
      </c>
      <c r="AG45">
        <v>-1</v>
      </c>
      <c r="AH45">
        <v>79624</v>
      </c>
      <c r="AI45" s="3">
        <f t="shared" si="6"/>
        <v>-79624</v>
      </c>
      <c r="AJ45" s="3"/>
      <c r="AK45" s="3">
        <f t="shared" si="13"/>
        <v>28</v>
      </c>
      <c r="AN45" s="3">
        <f t="shared" si="16"/>
        <v>0</v>
      </c>
      <c r="AP45" s="8" t="s">
        <v>1</v>
      </c>
      <c r="AQ45" s="8">
        <v>790</v>
      </c>
      <c r="AR45" s="8">
        <v>3</v>
      </c>
      <c r="AS45" s="8">
        <v>460</v>
      </c>
    </row>
    <row r="46" spans="7:45">
      <c r="G46">
        <v>1</v>
      </c>
      <c r="H46" s="3">
        <v>77980</v>
      </c>
      <c r="L46">
        <v>-1</v>
      </c>
      <c r="M46">
        <v>76943</v>
      </c>
      <c r="N46" s="3">
        <f t="shared" si="2"/>
        <v>-76943</v>
      </c>
      <c r="Q46">
        <f t="shared" si="9"/>
        <v>29</v>
      </c>
      <c r="R46">
        <v>-1</v>
      </c>
      <c r="S46">
        <v>77470</v>
      </c>
      <c r="T46" s="3">
        <f t="shared" si="3"/>
        <v>-77470</v>
      </c>
      <c r="V46">
        <f t="shared" si="10"/>
        <v>29</v>
      </c>
      <c r="W46">
        <v>-1</v>
      </c>
      <c r="X46">
        <v>77850</v>
      </c>
      <c r="Y46" s="3">
        <f t="shared" si="4"/>
        <v>-77850</v>
      </c>
      <c r="AA46">
        <f t="shared" si="11"/>
        <v>29</v>
      </c>
      <c r="AB46">
        <v>1</v>
      </c>
      <c r="AC46">
        <v>79859</v>
      </c>
      <c r="AD46" s="3">
        <f t="shared" si="5"/>
        <v>79859</v>
      </c>
      <c r="AE46" s="3"/>
      <c r="AF46">
        <f t="shared" si="12"/>
        <v>29</v>
      </c>
      <c r="AG46">
        <v>1</v>
      </c>
      <c r="AH46">
        <v>79549</v>
      </c>
      <c r="AI46" s="3">
        <f t="shared" si="6"/>
        <v>79549</v>
      </c>
      <c r="AJ46" s="3"/>
      <c r="AK46" s="3">
        <f t="shared" si="13"/>
        <v>29</v>
      </c>
      <c r="AN46" s="3">
        <f t="shared" si="16"/>
        <v>0</v>
      </c>
      <c r="AP46" s="8" t="s">
        <v>3</v>
      </c>
      <c r="AQ46" s="8">
        <v>790</v>
      </c>
      <c r="AR46" s="8">
        <v>2</v>
      </c>
      <c r="AS46" s="8">
        <v>393</v>
      </c>
    </row>
    <row r="47" spans="7:45">
      <c r="G47">
        <v>1</v>
      </c>
      <c r="H47" s="3">
        <v>76876</v>
      </c>
      <c r="L47">
        <v>-1</v>
      </c>
      <c r="M47">
        <v>76990</v>
      </c>
      <c r="N47" s="3">
        <f t="shared" si="2"/>
        <v>-76990</v>
      </c>
      <c r="Q47">
        <f t="shared" si="9"/>
        <v>30</v>
      </c>
      <c r="R47">
        <v>-1</v>
      </c>
      <c r="S47">
        <v>77566</v>
      </c>
      <c r="T47" s="3">
        <f t="shared" si="3"/>
        <v>-77566</v>
      </c>
      <c r="V47">
        <f t="shared" si="10"/>
        <v>30</v>
      </c>
      <c r="W47">
        <v>1</v>
      </c>
      <c r="X47">
        <v>77803</v>
      </c>
      <c r="Y47" s="3">
        <f t="shared" si="4"/>
        <v>77803</v>
      </c>
      <c r="AA47">
        <f t="shared" si="11"/>
        <v>30</v>
      </c>
      <c r="AB47">
        <v>-1</v>
      </c>
      <c r="AC47">
        <v>79855</v>
      </c>
      <c r="AD47" s="3">
        <f t="shared" si="5"/>
        <v>-79855</v>
      </c>
      <c r="AE47" s="3"/>
      <c r="AF47">
        <f t="shared" si="12"/>
        <v>30</v>
      </c>
      <c r="AG47">
        <v>1</v>
      </c>
      <c r="AH47">
        <v>79470</v>
      </c>
      <c r="AI47" s="3">
        <f t="shared" si="6"/>
        <v>79470</v>
      </c>
      <c r="AJ47" s="3"/>
      <c r="AK47" s="3">
        <f t="shared" si="13"/>
        <v>30</v>
      </c>
      <c r="AN47" s="3">
        <f t="shared" si="16"/>
        <v>0</v>
      </c>
    </row>
    <row r="48" spans="7:45">
      <c r="H48" s="3"/>
      <c r="L48">
        <v>-1</v>
      </c>
      <c r="M48">
        <v>77044</v>
      </c>
      <c r="N48" s="3">
        <f t="shared" si="2"/>
        <v>-77044</v>
      </c>
      <c r="Q48">
        <f t="shared" si="9"/>
        <v>31</v>
      </c>
      <c r="R48">
        <v>1</v>
      </c>
      <c r="S48">
        <v>77535</v>
      </c>
      <c r="T48" s="3">
        <f t="shared" si="3"/>
        <v>77535</v>
      </c>
      <c r="V48">
        <f t="shared" si="10"/>
        <v>31</v>
      </c>
      <c r="W48">
        <v>-1</v>
      </c>
      <c r="X48">
        <v>77885</v>
      </c>
      <c r="Y48" s="3">
        <f t="shared" si="4"/>
        <v>-77885</v>
      </c>
      <c r="AA48">
        <f t="shared" si="11"/>
        <v>31</v>
      </c>
      <c r="AB48">
        <v>1</v>
      </c>
      <c r="AC48">
        <v>79889</v>
      </c>
      <c r="AD48" s="3">
        <f t="shared" si="5"/>
        <v>79889</v>
      </c>
      <c r="AE48" s="3"/>
      <c r="AF48">
        <f t="shared" si="12"/>
        <v>31</v>
      </c>
      <c r="AG48">
        <v>1</v>
      </c>
      <c r="AH48">
        <v>79332</v>
      </c>
      <c r="AI48" s="3">
        <f t="shared" si="6"/>
        <v>79332</v>
      </c>
      <c r="AJ48" s="3"/>
      <c r="AK48" s="3">
        <f t="shared" si="13"/>
        <v>31</v>
      </c>
      <c r="AN48" s="3">
        <f t="shared" si="16"/>
        <v>0</v>
      </c>
    </row>
    <row r="49" spans="8:45">
      <c r="H49" s="3"/>
      <c r="L49">
        <v>1</v>
      </c>
      <c r="M49">
        <v>77009</v>
      </c>
      <c r="N49" s="3">
        <f t="shared" si="2"/>
        <v>77009</v>
      </c>
      <c r="Q49">
        <f t="shared" si="9"/>
        <v>32</v>
      </c>
      <c r="R49">
        <v>-1</v>
      </c>
      <c r="S49">
        <v>77615</v>
      </c>
      <c r="T49" s="3">
        <f t="shared" si="3"/>
        <v>-77615</v>
      </c>
      <c r="V49">
        <f t="shared" si="10"/>
        <v>32</v>
      </c>
      <c r="W49">
        <v>1</v>
      </c>
      <c r="X49">
        <v>77849</v>
      </c>
      <c r="Y49" s="3">
        <f t="shared" si="4"/>
        <v>77849</v>
      </c>
      <c r="AA49">
        <f t="shared" si="11"/>
        <v>32</v>
      </c>
      <c r="AB49">
        <v>-1</v>
      </c>
      <c r="AC49">
        <v>79875</v>
      </c>
      <c r="AD49" s="3">
        <f t="shared" si="5"/>
        <v>-79875</v>
      </c>
      <c r="AE49" s="3"/>
      <c r="AF49">
        <f t="shared" si="12"/>
        <v>32</v>
      </c>
      <c r="AG49">
        <v>-1</v>
      </c>
      <c r="AH49">
        <v>79389</v>
      </c>
      <c r="AI49" s="3">
        <f t="shared" si="6"/>
        <v>-79389</v>
      </c>
      <c r="AJ49" s="3"/>
      <c r="AK49" s="3">
        <f t="shared" si="13"/>
        <v>32</v>
      </c>
      <c r="AN49" s="3">
        <f t="shared" si="16"/>
        <v>0</v>
      </c>
      <c r="AP49" s="11">
        <v>78000</v>
      </c>
    </row>
    <row r="50" spans="8:45">
      <c r="H50" s="3"/>
      <c r="L50">
        <v>1</v>
      </c>
      <c r="M50">
        <v>76978</v>
      </c>
      <c r="N50" s="3">
        <f t="shared" si="2"/>
        <v>76978</v>
      </c>
      <c r="Q50">
        <f t="shared" si="9"/>
        <v>33</v>
      </c>
      <c r="R50">
        <v>-1</v>
      </c>
      <c r="S50">
        <v>77689</v>
      </c>
      <c r="T50" s="3">
        <f t="shared" si="3"/>
        <v>-77689</v>
      </c>
      <c r="V50">
        <f t="shared" si="10"/>
        <v>33</v>
      </c>
      <c r="W50">
        <v>1</v>
      </c>
      <c r="X50">
        <v>77792</v>
      </c>
      <c r="Y50" s="3">
        <f t="shared" si="4"/>
        <v>77792</v>
      </c>
      <c r="AA50">
        <f t="shared" si="11"/>
        <v>33</v>
      </c>
      <c r="AB50">
        <v>1</v>
      </c>
      <c r="AC50">
        <v>79842</v>
      </c>
      <c r="AD50" s="3">
        <f t="shared" si="5"/>
        <v>79842</v>
      </c>
      <c r="AE50" s="3"/>
      <c r="AF50">
        <f t="shared" si="12"/>
        <v>33</v>
      </c>
      <c r="AG50">
        <v>-1</v>
      </c>
      <c r="AH50">
        <v>79481</v>
      </c>
      <c r="AI50" s="3">
        <f t="shared" si="6"/>
        <v>-79481</v>
      </c>
      <c r="AJ50" s="3"/>
      <c r="AK50" s="3">
        <f t="shared" si="13"/>
        <v>33</v>
      </c>
      <c r="AN50" s="3">
        <f t="shared" si="16"/>
        <v>0</v>
      </c>
    </row>
    <row r="51" spans="8:45">
      <c r="H51" s="3"/>
      <c r="L51">
        <v>-1</v>
      </c>
      <c r="M51">
        <v>77022</v>
      </c>
      <c r="N51" s="3">
        <f t="shared" si="2"/>
        <v>-77022</v>
      </c>
      <c r="Q51">
        <f t="shared" si="9"/>
        <v>34</v>
      </c>
      <c r="R51">
        <v>1</v>
      </c>
      <c r="S51">
        <v>77659</v>
      </c>
      <c r="T51" s="3">
        <f t="shared" si="3"/>
        <v>77659</v>
      </c>
      <c r="V51">
        <f t="shared" si="10"/>
        <v>34</v>
      </c>
      <c r="W51">
        <v>-1</v>
      </c>
      <c r="X51">
        <v>77877</v>
      </c>
      <c r="Y51" s="3">
        <f t="shared" si="4"/>
        <v>-77877</v>
      </c>
      <c r="AA51">
        <f t="shared" si="11"/>
        <v>34</v>
      </c>
      <c r="AB51">
        <v>1</v>
      </c>
      <c r="AC51">
        <v>79737</v>
      </c>
      <c r="AD51" s="3">
        <f t="shared" si="5"/>
        <v>79737</v>
      </c>
      <c r="AE51" s="3"/>
      <c r="AF51">
        <f t="shared" si="12"/>
        <v>34</v>
      </c>
      <c r="AG51">
        <v>-1</v>
      </c>
      <c r="AH51">
        <v>79619</v>
      </c>
      <c r="AI51" s="3">
        <f t="shared" si="6"/>
        <v>-79619</v>
      </c>
      <c r="AJ51" s="3"/>
      <c r="AK51" s="3">
        <f t="shared" si="13"/>
        <v>34</v>
      </c>
      <c r="AN51" s="3">
        <f t="shared" si="16"/>
        <v>0</v>
      </c>
      <c r="AP51" t="s">
        <v>1</v>
      </c>
      <c r="AQ51" s="9">
        <v>775</v>
      </c>
      <c r="AR51">
        <v>-7</v>
      </c>
      <c r="AS51">
        <v>-7</v>
      </c>
    </row>
    <row r="52" spans="8:45">
      <c r="H52" s="3"/>
      <c r="L52">
        <v>-1</v>
      </c>
      <c r="M52">
        <v>77120</v>
      </c>
      <c r="N52" s="3">
        <f t="shared" si="2"/>
        <v>-77120</v>
      </c>
      <c r="Q52">
        <f t="shared" si="9"/>
        <v>35</v>
      </c>
      <c r="R52">
        <v>1</v>
      </c>
      <c r="S52">
        <v>77572</v>
      </c>
      <c r="T52" s="3">
        <f t="shared" si="3"/>
        <v>77572</v>
      </c>
      <c r="V52">
        <f t="shared" si="10"/>
        <v>35</v>
      </c>
      <c r="AA52">
        <f t="shared" si="11"/>
        <v>35</v>
      </c>
      <c r="AB52">
        <v>-1</v>
      </c>
      <c r="AC52">
        <v>79746</v>
      </c>
      <c r="AD52" s="3">
        <f t="shared" si="5"/>
        <v>-79746</v>
      </c>
      <c r="AE52" s="3"/>
      <c r="AF52">
        <f t="shared" si="12"/>
        <v>35</v>
      </c>
      <c r="AG52">
        <v>1</v>
      </c>
      <c r="AH52">
        <v>79529</v>
      </c>
      <c r="AI52" s="3">
        <f t="shared" si="6"/>
        <v>79529</v>
      </c>
      <c r="AJ52" s="3"/>
      <c r="AK52" s="3">
        <f t="shared" si="13"/>
        <v>35</v>
      </c>
      <c r="AN52" s="3">
        <f t="shared" si="16"/>
        <v>0</v>
      </c>
      <c r="AP52" t="s">
        <v>1</v>
      </c>
      <c r="AQ52" s="9">
        <v>780</v>
      </c>
      <c r="AR52">
        <v>9</v>
      </c>
      <c r="AS52">
        <v>9</v>
      </c>
    </row>
    <row r="53" spans="8:45">
      <c r="H53" s="3"/>
      <c r="L53">
        <v>1</v>
      </c>
      <c r="M53">
        <v>77146</v>
      </c>
      <c r="N53" s="3">
        <f t="shared" si="2"/>
        <v>77146</v>
      </c>
      <c r="Q53">
        <f t="shared" si="9"/>
        <v>36</v>
      </c>
      <c r="R53">
        <v>1</v>
      </c>
      <c r="S53">
        <v>77437</v>
      </c>
      <c r="T53" s="3">
        <f t="shared" si="3"/>
        <v>77437</v>
      </c>
      <c r="V53">
        <f t="shared" si="10"/>
        <v>36</v>
      </c>
      <c r="AA53">
        <f t="shared" si="11"/>
        <v>36</v>
      </c>
      <c r="AB53">
        <v>1</v>
      </c>
      <c r="AC53">
        <v>79733</v>
      </c>
      <c r="AD53" s="3">
        <f t="shared" si="5"/>
        <v>79733</v>
      </c>
      <c r="AE53" s="3"/>
      <c r="AF53">
        <f t="shared" si="12"/>
        <v>36</v>
      </c>
      <c r="AG53">
        <v>-1</v>
      </c>
      <c r="AH53">
        <v>79613</v>
      </c>
      <c r="AI53" s="3">
        <f>AG53*AH53</f>
        <v>-79613</v>
      </c>
      <c r="AJ53" s="3"/>
      <c r="AK53" s="3">
        <f t="shared" si="13"/>
        <v>36</v>
      </c>
      <c r="AN53" s="3">
        <f>AL53*AM53</f>
        <v>0</v>
      </c>
      <c r="AP53" t="s">
        <v>1</v>
      </c>
      <c r="AQ53">
        <v>790</v>
      </c>
      <c r="AR53">
        <v>3</v>
      </c>
    </row>
    <row r="54" spans="8:45">
      <c r="H54" s="3"/>
      <c r="L54">
        <v>-1</v>
      </c>
      <c r="M54">
        <v>77129</v>
      </c>
      <c r="N54" s="3">
        <f t="shared" si="2"/>
        <v>-77129</v>
      </c>
      <c r="Q54">
        <f t="shared" si="9"/>
        <v>37</v>
      </c>
      <c r="R54">
        <v>1</v>
      </c>
      <c r="S54">
        <v>77376</v>
      </c>
      <c r="T54" s="3">
        <f t="shared" si="3"/>
        <v>77376</v>
      </c>
      <c r="AA54">
        <f t="shared" si="11"/>
        <v>37</v>
      </c>
      <c r="AB54">
        <v>-1</v>
      </c>
      <c r="AC54">
        <v>79750</v>
      </c>
      <c r="AD54" s="3">
        <f t="shared" si="5"/>
        <v>-79750</v>
      </c>
      <c r="AE54" s="3"/>
      <c r="AF54">
        <f t="shared" si="12"/>
        <v>37</v>
      </c>
      <c r="AG54">
        <v>-1</v>
      </c>
      <c r="AH54">
        <v>79710</v>
      </c>
      <c r="AI54" s="3">
        <f t="shared" si="6"/>
        <v>-79710</v>
      </c>
      <c r="AJ54" s="3"/>
      <c r="AK54" s="3">
        <f t="shared" si="13"/>
        <v>37</v>
      </c>
      <c r="AN54" s="3">
        <f t="shared" ref="AN54:AN83" si="17">AL54*AM54</f>
        <v>0</v>
      </c>
      <c r="AP54" t="s">
        <v>3</v>
      </c>
      <c r="AQ54" s="12">
        <v>790</v>
      </c>
      <c r="AR54">
        <v>16</v>
      </c>
      <c r="AS54">
        <v>-16</v>
      </c>
    </row>
    <row r="55" spans="8:45">
      <c r="H55" s="3"/>
      <c r="L55">
        <v>1</v>
      </c>
      <c r="M55">
        <v>77079</v>
      </c>
      <c r="N55" s="3">
        <f t="shared" si="2"/>
        <v>77079</v>
      </c>
      <c r="Q55">
        <f t="shared" si="9"/>
        <v>38</v>
      </c>
      <c r="R55">
        <v>-1</v>
      </c>
      <c r="S55">
        <v>77409</v>
      </c>
      <c r="T55" s="3">
        <f t="shared" si="3"/>
        <v>-77409</v>
      </c>
      <c r="AA55">
        <f t="shared" si="11"/>
        <v>38</v>
      </c>
      <c r="AB55">
        <v>1</v>
      </c>
      <c r="AC55">
        <v>79694</v>
      </c>
      <c r="AD55" s="3">
        <f t="shared" si="5"/>
        <v>79694</v>
      </c>
      <c r="AE55" s="3"/>
      <c r="AF55">
        <f t="shared" si="12"/>
        <v>38</v>
      </c>
      <c r="AG55">
        <v>1</v>
      </c>
      <c r="AH55">
        <v>79581</v>
      </c>
      <c r="AI55" s="3">
        <f t="shared" si="6"/>
        <v>79581</v>
      </c>
      <c r="AJ55" s="3"/>
      <c r="AK55" s="3">
        <f t="shared" si="13"/>
        <v>38</v>
      </c>
      <c r="AN55" s="3">
        <f t="shared" si="17"/>
        <v>0</v>
      </c>
      <c r="AP55" t="s">
        <v>3</v>
      </c>
      <c r="AQ55" s="9">
        <v>795</v>
      </c>
      <c r="AR55">
        <v>-4</v>
      </c>
      <c r="AS55">
        <v>4</v>
      </c>
    </row>
    <row r="56" spans="8:45">
      <c r="H56" s="3"/>
      <c r="L56">
        <v>1</v>
      </c>
      <c r="M56">
        <v>76987</v>
      </c>
      <c r="N56" s="3">
        <f t="shared" si="2"/>
        <v>76987</v>
      </c>
      <c r="Q56">
        <f t="shared" si="9"/>
        <v>39</v>
      </c>
      <c r="R56">
        <v>1</v>
      </c>
      <c r="S56">
        <v>77343</v>
      </c>
      <c r="T56" s="3">
        <f t="shared" si="3"/>
        <v>77343</v>
      </c>
      <c r="AA56">
        <f t="shared" si="11"/>
        <v>39</v>
      </c>
      <c r="AB56">
        <v>-1</v>
      </c>
      <c r="AC56">
        <v>79727</v>
      </c>
      <c r="AD56" s="3">
        <f t="shared" si="5"/>
        <v>-79727</v>
      </c>
      <c r="AE56" s="3"/>
      <c r="AF56">
        <f t="shared" si="12"/>
        <v>39</v>
      </c>
      <c r="AG56">
        <v>1</v>
      </c>
      <c r="AH56">
        <v>79472</v>
      </c>
      <c r="AI56" s="3">
        <f t="shared" si="6"/>
        <v>79472</v>
      </c>
      <c r="AJ56" s="3"/>
      <c r="AK56" s="3">
        <f t="shared" si="13"/>
        <v>39</v>
      </c>
      <c r="AN56" s="3">
        <f t="shared" si="17"/>
        <v>0</v>
      </c>
      <c r="AP56" t="s">
        <v>1</v>
      </c>
      <c r="AQ56">
        <v>800</v>
      </c>
      <c r="AR56">
        <v>2</v>
      </c>
    </row>
    <row r="57" spans="8:45">
      <c r="H57" s="3"/>
      <c r="L57">
        <v>1</v>
      </c>
      <c r="M57">
        <v>76980</v>
      </c>
      <c r="N57" s="3">
        <f t="shared" si="2"/>
        <v>76980</v>
      </c>
      <c r="Q57">
        <f t="shared" si="9"/>
        <v>40</v>
      </c>
      <c r="R57">
        <v>-1</v>
      </c>
      <c r="S57">
        <v>77390</v>
      </c>
      <c r="T57" s="3">
        <f t="shared" si="3"/>
        <v>-77390</v>
      </c>
      <c r="AA57">
        <f t="shared" si="11"/>
        <v>40</v>
      </c>
      <c r="AB57">
        <v>1</v>
      </c>
      <c r="AC57">
        <v>79731</v>
      </c>
      <c r="AD57" s="3">
        <f t="shared" si="5"/>
        <v>79731</v>
      </c>
      <c r="AE57" s="3"/>
      <c r="AF57">
        <f t="shared" si="12"/>
        <v>40</v>
      </c>
      <c r="AG57">
        <v>1</v>
      </c>
      <c r="AH57">
        <v>79420</v>
      </c>
      <c r="AI57" s="3">
        <f t="shared" si="6"/>
        <v>79420</v>
      </c>
      <c r="AJ57" s="3"/>
      <c r="AK57" s="3">
        <f t="shared" si="13"/>
        <v>40</v>
      </c>
      <c r="AN57" s="3">
        <f t="shared" si="17"/>
        <v>0</v>
      </c>
      <c r="AP57" t="s">
        <v>1</v>
      </c>
      <c r="AQ57">
        <v>810</v>
      </c>
      <c r="AR57">
        <v>2</v>
      </c>
    </row>
    <row r="58" spans="8:45">
      <c r="H58" s="3"/>
      <c r="L58">
        <v>1</v>
      </c>
      <c r="M58">
        <v>76876</v>
      </c>
      <c r="N58" s="3">
        <f t="shared" si="2"/>
        <v>76876</v>
      </c>
      <c r="Q58">
        <f t="shared" si="9"/>
        <v>41</v>
      </c>
      <c r="R58">
        <v>-1</v>
      </c>
      <c r="S58">
        <v>77451</v>
      </c>
      <c r="T58" s="3">
        <f t="shared" si="3"/>
        <v>-77451</v>
      </c>
      <c r="AA58">
        <f t="shared" si="11"/>
        <v>41</v>
      </c>
      <c r="AB58">
        <v>-1</v>
      </c>
      <c r="AC58">
        <v>79745</v>
      </c>
      <c r="AD58" s="3">
        <f t="shared" si="5"/>
        <v>-79745</v>
      </c>
      <c r="AE58" s="3"/>
      <c r="AF58">
        <f t="shared" si="12"/>
        <v>41</v>
      </c>
      <c r="AG58">
        <v>-1</v>
      </c>
      <c r="AH58">
        <v>79424</v>
      </c>
      <c r="AI58" s="3">
        <f t="shared" si="6"/>
        <v>-79424</v>
      </c>
      <c r="AJ58" s="3"/>
      <c r="AK58" s="3">
        <f t="shared" si="13"/>
        <v>41</v>
      </c>
      <c r="AN58" s="3">
        <f t="shared" si="17"/>
        <v>0</v>
      </c>
    </row>
    <row r="59" spans="8:45">
      <c r="H59" s="3"/>
      <c r="L59">
        <v>-1</v>
      </c>
      <c r="M59">
        <v>77031</v>
      </c>
      <c r="N59" s="3">
        <f t="shared" si="2"/>
        <v>-77031</v>
      </c>
      <c r="Q59">
        <f t="shared" si="9"/>
        <v>42</v>
      </c>
      <c r="R59">
        <v>1</v>
      </c>
      <c r="S59">
        <v>77430</v>
      </c>
      <c r="T59" s="3">
        <f t="shared" si="3"/>
        <v>77430</v>
      </c>
      <c r="AA59">
        <f t="shared" si="11"/>
        <v>42</v>
      </c>
      <c r="AB59">
        <v>-1</v>
      </c>
      <c r="AC59">
        <v>79792</v>
      </c>
      <c r="AD59" s="3">
        <f t="shared" si="5"/>
        <v>-79792</v>
      </c>
      <c r="AE59" s="3"/>
      <c r="AF59">
        <f t="shared" si="12"/>
        <v>42</v>
      </c>
      <c r="AG59">
        <v>-1</v>
      </c>
      <c r="AH59">
        <v>79566</v>
      </c>
      <c r="AI59" s="3">
        <f t="shared" si="6"/>
        <v>-79566</v>
      </c>
      <c r="AJ59" s="3"/>
      <c r="AK59" s="3">
        <f t="shared" si="13"/>
        <v>42</v>
      </c>
      <c r="AN59" s="3">
        <f t="shared" si="17"/>
        <v>0</v>
      </c>
      <c r="AP59" t="s">
        <v>3</v>
      </c>
      <c r="AQ59">
        <v>795</v>
      </c>
      <c r="AR59">
        <v>-4</v>
      </c>
      <c r="AS59">
        <v>4</v>
      </c>
    </row>
    <row r="60" spans="8:45">
      <c r="H60" s="3"/>
      <c r="L60">
        <v>1</v>
      </c>
      <c r="M60">
        <v>76942</v>
      </c>
      <c r="N60" s="3">
        <f t="shared" si="2"/>
        <v>76942</v>
      </c>
      <c r="Q60">
        <f t="shared" si="9"/>
        <v>43</v>
      </c>
      <c r="R60">
        <v>1</v>
      </c>
      <c r="S60">
        <v>77396</v>
      </c>
      <c r="T60" s="3">
        <f t="shared" si="3"/>
        <v>77396</v>
      </c>
      <c r="AA60">
        <f t="shared" si="11"/>
        <v>43</v>
      </c>
      <c r="AB60">
        <v>1</v>
      </c>
      <c r="AC60">
        <v>79751</v>
      </c>
      <c r="AD60" s="3">
        <f t="shared" si="5"/>
        <v>79751</v>
      </c>
      <c r="AE60" s="3"/>
      <c r="AF60">
        <f t="shared" si="12"/>
        <v>43</v>
      </c>
      <c r="AG60">
        <v>1</v>
      </c>
      <c r="AH60">
        <v>79488</v>
      </c>
      <c r="AI60" s="3">
        <f t="shared" si="6"/>
        <v>79488</v>
      </c>
      <c r="AJ60" s="3"/>
      <c r="AK60" s="3">
        <f t="shared" si="13"/>
        <v>43</v>
      </c>
      <c r="AN60" s="3">
        <f t="shared" si="17"/>
        <v>0</v>
      </c>
      <c r="AP60" t="s">
        <v>3</v>
      </c>
      <c r="AQ60">
        <v>790</v>
      </c>
      <c r="AR60">
        <v>16</v>
      </c>
      <c r="AS60">
        <v>-16</v>
      </c>
    </row>
    <row r="61" spans="8:45">
      <c r="H61" s="3"/>
      <c r="L61">
        <v>-1</v>
      </c>
      <c r="M61">
        <v>77029</v>
      </c>
      <c r="N61" s="3">
        <f t="shared" si="2"/>
        <v>-77029</v>
      </c>
      <c r="Q61">
        <f t="shared" si="9"/>
        <v>44</v>
      </c>
      <c r="R61">
        <v>-1</v>
      </c>
      <c r="S61">
        <v>77445</v>
      </c>
      <c r="T61" s="3">
        <f t="shared" si="3"/>
        <v>-77445</v>
      </c>
      <c r="AA61">
        <f t="shared" si="11"/>
        <v>44</v>
      </c>
      <c r="AB61">
        <v>1</v>
      </c>
      <c r="AC61">
        <v>79730</v>
      </c>
      <c r="AD61" s="3">
        <f t="shared" si="5"/>
        <v>79730</v>
      </c>
      <c r="AE61" s="3"/>
      <c r="AF61">
        <f t="shared" si="12"/>
        <v>44</v>
      </c>
      <c r="AG61">
        <v>1</v>
      </c>
      <c r="AH61">
        <v>79430</v>
      </c>
      <c r="AI61" s="3">
        <f t="shared" si="6"/>
        <v>79430</v>
      </c>
      <c r="AJ61" s="3"/>
      <c r="AK61" s="3">
        <f t="shared" si="13"/>
        <v>44</v>
      </c>
      <c r="AN61" s="3">
        <f t="shared" si="17"/>
        <v>0</v>
      </c>
      <c r="AP61" t="s">
        <v>1</v>
      </c>
      <c r="AQ61">
        <v>780</v>
      </c>
      <c r="AS61">
        <v>9</v>
      </c>
    </row>
    <row r="62" spans="8:45">
      <c r="L62">
        <v>-1</v>
      </c>
      <c r="M62">
        <v>77119</v>
      </c>
      <c r="N62" s="3">
        <f t="shared" si="2"/>
        <v>-77119</v>
      </c>
      <c r="Q62">
        <f t="shared" si="9"/>
        <v>45</v>
      </c>
      <c r="R62">
        <v>1</v>
      </c>
      <c r="S62">
        <v>77474</v>
      </c>
      <c r="T62" s="3">
        <f t="shared" si="3"/>
        <v>77474</v>
      </c>
      <c r="AA62">
        <f t="shared" si="11"/>
        <v>45</v>
      </c>
      <c r="AB62">
        <v>-1</v>
      </c>
      <c r="AC62">
        <v>79719</v>
      </c>
      <c r="AD62" s="3">
        <f t="shared" si="5"/>
        <v>-79719</v>
      </c>
      <c r="AE62" s="3"/>
      <c r="AF62">
        <f t="shared" si="12"/>
        <v>45</v>
      </c>
      <c r="AG62">
        <v>1</v>
      </c>
      <c r="AH62">
        <v>79263</v>
      </c>
      <c r="AI62" s="3">
        <f t="shared" si="6"/>
        <v>79263</v>
      </c>
      <c r="AJ62" s="3"/>
      <c r="AK62" s="3">
        <f t="shared" si="13"/>
        <v>45</v>
      </c>
      <c r="AN62" s="3">
        <f t="shared" si="17"/>
        <v>0</v>
      </c>
      <c r="AP62" t="s">
        <v>1</v>
      </c>
      <c r="AQ62">
        <v>775</v>
      </c>
      <c r="AS62">
        <v>0</v>
      </c>
    </row>
    <row r="63" spans="8:45">
      <c r="L63">
        <v>1</v>
      </c>
      <c r="M63">
        <v>77034</v>
      </c>
      <c r="N63" s="3">
        <f t="shared" si="2"/>
        <v>77034</v>
      </c>
      <c r="Q63">
        <f t="shared" si="9"/>
        <v>46</v>
      </c>
      <c r="R63">
        <v>-1</v>
      </c>
      <c r="S63">
        <v>77720</v>
      </c>
      <c r="T63" s="3">
        <f t="shared" si="3"/>
        <v>-77720</v>
      </c>
      <c r="AA63">
        <f t="shared" si="11"/>
        <v>46</v>
      </c>
      <c r="AB63">
        <v>1</v>
      </c>
      <c r="AC63">
        <v>79714</v>
      </c>
      <c r="AD63" s="3">
        <f t="shared" si="5"/>
        <v>79714</v>
      </c>
      <c r="AE63" s="3"/>
      <c r="AF63">
        <f t="shared" si="12"/>
        <v>46</v>
      </c>
      <c r="AG63">
        <v>-1</v>
      </c>
      <c r="AH63">
        <v>79386</v>
      </c>
      <c r="AI63" s="3">
        <f t="shared" si="6"/>
        <v>-79386</v>
      </c>
      <c r="AJ63" s="3"/>
      <c r="AK63" s="3">
        <f t="shared" si="13"/>
        <v>46</v>
      </c>
      <c r="AN63" s="3">
        <f t="shared" si="17"/>
        <v>0</v>
      </c>
    </row>
    <row r="64" spans="8:45">
      <c r="L64">
        <v>1</v>
      </c>
      <c r="M64">
        <v>77009</v>
      </c>
      <c r="N64" s="3">
        <f t="shared" si="2"/>
        <v>77009</v>
      </c>
      <c r="Q64">
        <f t="shared" si="9"/>
        <v>47</v>
      </c>
      <c r="T64" s="3">
        <f t="shared" si="3"/>
        <v>0</v>
      </c>
      <c r="AA64">
        <f t="shared" si="11"/>
        <v>47</v>
      </c>
      <c r="AB64">
        <v>-1</v>
      </c>
      <c r="AC64">
        <v>79730</v>
      </c>
      <c r="AD64" s="3">
        <f t="shared" si="5"/>
        <v>-79730</v>
      </c>
      <c r="AE64" s="3"/>
      <c r="AF64">
        <f t="shared" si="12"/>
        <v>47</v>
      </c>
      <c r="AG64">
        <v>-1</v>
      </c>
      <c r="AH64">
        <v>79519</v>
      </c>
      <c r="AI64" s="3">
        <f t="shared" si="6"/>
        <v>-79519</v>
      </c>
      <c r="AJ64" s="3"/>
      <c r="AK64" s="3">
        <f t="shared" si="13"/>
        <v>47</v>
      </c>
      <c r="AN64" s="3">
        <f t="shared" si="17"/>
        <v>0</v>
      </c>
    </row>
    <row r="65" spans="12:40">
      <c r="L65">
        <v>1</v>
      </c>
      <c r="M65">
        <v>76986</v>
      </c>
      <c r="N65" s="3">
        <f t="shared" si="2"/>
        <v>76986</v>
      </c>
      <c r="Q65">
        <f t="shared" si="9"/>
        <v>48</v>
      </c>
      <c r="T65" s="3">
        <f t="shared" si="3"/>
        <v>0</v>
      </c>
      <c r="AA65">
        <f t="shared" si="11"/>
        <v>48</v>
      </c>
      <c r="AB65">
        <v>-1</v>
      </c>
      <c r="AC65">
        <v>79750</v>
      </c>
      <c r="AD65" s="3">
        <f t="shared" si="5"/>
        <v>-79750</v>
      </c>
      <c r="AE65" s="3"/>
      <c r="AF65">
        <f t="shared" si="12"/>
        <v>48</v>
      </c>
      <c r="AG65">
        <v>-1</v>
      </c>
      <c r="AH65">
        <v>79650</v>
      </c>
      <c r="AI65" s="3">
        <f t="shared" si="6"/>
        <v>-79650</v>
      </c>
      <c r="AJ65" s="3"/>
      <c r="AK65" s="3">
        <f t="shared" si="13"/>
        <v>48</v>
      </c>
      <c r="AN65" s="3">
        <f t="shared" si="17"/>
        <v>0</v>
      </c>
    </row>
    <row r="66" spans="12:40">
      <c r="L66">
        <v>-1</v>
      </c>
      <c r="M66">
        <v>77035</v>
      </c>
      <c r="N66" s="3">
        <f t="shared" si="2"/>
        <v>-77035</v>
      </c>
      <c r="Q66">
        <f t="shared" si="9"/>
        <v>49</v>
      </c>
      <c r="T66" s="3">
        <f t="shared" si="3"/>
        <v>0</v>
      </c>
      <c r="AA66">
        <f t="shared" si="11"/>
        <v>49</v>
      </c>
      <c r="AB66">
        <v>-1</v>
      </c>
      <c r="AC66">
        <v>79750</v>
      </c>
      <c r="AD66" s="3">
        <f t="shared" si="5"/>
        <v>-79750</v>
      </c>
      <c r="AE66" s="3"/>
      <c r="AF66">
        <f t="shared" si="12"/>
        <v>49</v>
      </c>
      <c r="AG66">
        <v>1</v>
      </c>
      <c r="AH66">
        <v>79823</v>
      </c>
      <c r="AI66" s="3">
        <f t="shared" si="6"/>
        <v>79823</v>
      </c>
      <c r="AJ66" s="3"/>
      <c r="AK66" s="3">
        <f t="shared" si="13"/>
        <v>49</v>
      </c>
      <c r="AN66" s="3">
        <f t="shared" si="17"/>
        <v>0</v>
      </c>
    </row>
    <row r="67" spans="12:40">
      <c r="L67">
        <v>1</v>
      </c>
      <c r="M67">
        <v>76984</v>
      </c>
      <c r="N67" s="3">
        <f t="shared" si="2"/>
        <v>76984</v>
      </c>
      <c r="Q67">
        <f t="shared" si="9"/>
        <v>50</v>
      </c>
      <c r="T67" s="3">
        <f t="shared" si="3"/>
        <v>0</v>
      </c>
      <c r="AA67">
        <f t="shared" si="11"/>
        <v>50</v>
      </c>
      <c r="AD67" s="3">
        <f t="shared" si="5"/>
        <v>0</v>
      </c>
      <c r="AE67" s="3"/>
      <c r="AF67">
        <f t="shared" si="12"/>
        <v>50</v>
      </c>
      <c r="AG67">
        <v>-1</v>
      </c>
      <c r="AH67">
        <v>80017</v>
      </c>
      <c r="AI67" s="3">
        <f t="shared" si="6"/>
        <v>-80017</v>
      </c>
      <c r="AJ67" s="3"/>
      <c r="AK67" s="3">
        <f t="shared" si="13"/>
        <v>50</v>
      </c>
      <c r="AN67" s="3">
        <f t="shared" si="17"/>
        <v>0</v>
      </c>
    </row>
    <row r="68" spans="12:40">
      <c r="L68">
        <v>-1</v>
      </c>
      <c r="M68">
        <v>77055</v>
      </c>
      <c r="N68" s="3">
        <f t="shared" si="2"/>
        <v>-77055</v>
      </c>
      <c r="Q68">
        <f t="shared" si="9"/>
        <v>51</v>
      </c>
      <c r="T68" s="3">
        <f t="shared" si="3"/>
        <v>0</v>
      </c>
      <c r="AD68" s="3">
        <f t="shared" si="5"/>
        <v>0</v>
      </c>
      <c r="AE68" s="3"/>
      <c r="AF68">
        <f t="shared" si="12"/>
        <v>51</v>
      </c>
      <c r="AG68">
        <v>1</v>
      </c>
      <c r="AH68">
        <v>79913</v>
      </c>
      <c r="AI68" s="3">
        <f t="shared" si="6"/>
        <v>79913</v>
      </c>
      <c r="AJ68" s="3"/>
      <c r="AK68" s="3">
        <f t="shared" si="13"/>
        <v>51</v>
      </c>
      <c r="AN68" s="3">
        <f t="shared" si="17"/>
        <v>0</v>
      </c>
    </row>
    <row r="69" spans="12:40">
      <c r="L69">
        <v>1</v>
      </c>
      <c r="M69">
        <v>77047</v>
      </c>
      <c r="N69" s="3">
        <f t="shared" si="2"/>
        <v>77047</v>
      </c>
      <c r="Q69">
        <f t="shared" si="9"/>
        <v>52</v>
      </c>
      <c r="T69" s="3">
        <f t="shared" si="3"/>
        <v>0</v>
      </c>
      <c r="AF69">
        <f t="shared" si="12"/>
        <v>52</v>
      </c>
      <c r="AG69">
        <v>1</v>
      </c>
      <c r="AH69">
        <v>79847</v>
      </c>
      <c r="AI69" s="3">
        <f t="shared" si="6"/>
        <v>79847</v>
      </c>
      <c r="AJ69" s="3"/>
      <c r="AK69" s="3">
        <f t="shared" si="13"/>
        <v>52</v>
      </c>
      <c r="AN69" s="3">
        <f t="shared" si="17"/>
        <v>0</v>
      </c>
    </row>
    <row r="70" spans="12:40">
      <c r="L70">
        <v>-1</v>
      </c>
      <c r="M70">
        <v>77094</v>
      </c>
      <c r="N70" s="3">
        <f t="shared" si="2"/>
        <v>-77094</v>
      </c>
      <c r="Q70">
        <f t="shared" si="9"/>
        <v>53</v>
      </c>
      <c r="T70" s="3">
        <f t="shared" si="3"/>
        <v>0</v>
      </c>
      <c r="AF70">
        <f t="shared" si="12"/>
        <v>53</v>
      </c>
      <c r="AG70">
        <v>-1</v>
      </c>
      <c r="AH70">
        <v>79956</v>
      </c>
      <c r="AI70" s="3">
        <f t="shared" si="6"/>
        <v>-79956</v>
      </c>
      <c r="AJ70" s="3"/>
      <c r="AK70" s="3">
        <f t="shared" si="13"/>
        <v>53</v>
      </c>
      <c r="AN70" s="3">
        <f t="shared" si="17"/>
        <v>0</v>
      </c>
    </row>
    <row r="71" spans="12:40">
      <c r="L71">
        <v>-1</v>
      </c>
      <c r="M71">
        <v>77134</v>
      </c>
      <c r="N71" s="3">
        <f t="shared" si="2"/>
        <v>-77134</v>
      </c>
      <c r="Q71">
        <f t="shared" si="9"/>
        <v>54</v>
      </c>
      <c r="T71" s="3">
        <f t="shared" si="3"/>
        <v>0</v>
      </c>
      <c r="AF71">
        <f t="shared" si="12"/>
        <v>54</v>
      </c>
      <c r="AG71">
        <v>1</v>
      </c>
      <c r="AH71">
        <v>79946</v>
      </c>
      <c r="AI71" s="3">
        <f t="shared" si="6"/>
        <v>79946</v>
      </c>
      <c r="AJ71" s="3"/>
      <c r="AK71" s="3">
        <f t="shared" si="13"/>
        <v>54</v>
      </c>
      <c r="AN71" s="3">
        <f t="shared" si="17"/>
        <v>0</v>
      </c>
    </row>
    <row r="72" spans="12:40">
      <c r="L72">
        <v>1</v>
      </c>
      <c r="M72">
        <v>77153</v>
      </c>
      <c r="N72" s="3">
        <f t="shared" si="2"/>
        <v>77153</v>
      </c>
      <c r="Q72">
        <f t="shared" si="9"/>
        <v>55</v>
      </c>
      <c r="T72" s="3">
        <f t="shared" si="3"/>
        <v>0</v>
      </c>
      <c r="AF72">
        <f t="shared" si="12"/>
        <v>55</v>
      </c>
      <c r="AG72">
        <v>1</v>
      </c>
      <c r="AH72">
        <v>79718</v>
      </c>
      <c r="AI72" s="3">
        <f t="shared" si="6"/>
        <v>79718</v>
      </c>
      <c r="AJ72" s="3"/>
      <c r="AK72" s="3">
        <f t="shared" si="13"/>
        <v>55</v>
      </c>
      <c r="AN72" s="3">
        <f t="shared" si="17"/>
        <v>0</v>
      </c>
    </row>
    <row r="73" spans="12:40">
      <c r="L73">
        <v>1</v>
      </c>
      <c r="M73">
        <v>77112</v>
      </c>
      <c r="N73" s="3">
        <f t="shared" si="2"/>
        <v>77112</v>
      </c>
      <c r="Q73">
        <f t="shared" si="9"/>
        <v>56</v>
      </c>
      <c r="T73" s="3">
        <f t="shared" si="3"/>
        <v>0</v>
      </c>
      <c r="AF73">
        <f t="shared" si="12"/>
        <v>56</v>
      </c>
      <c r="AG73">
        <v>-1</v>
      </c>
      <c r="AH73">
        <v>79722</v>
      </c>
      <c r="AI73" s="3">
        <f t="shared" si="6"/>
        <v>-79722</v>
      </c>
      <c r="AJ73" s="3"/>
      <c r="AK73" s="3">
        <f t="shared" si="13"/>
        <v>56</v>
      </c>
      <c r="AN73" s="3">
        <f t="shared" si="17"/>
        <v>0</v>
      </c>
    </row>
    <row r="74" spans="12:40">
      <c r="L74">
        <v>1</v>
      </c>
      <c r="M74">
        <v>77077</v>
      </c>
      <c r="N74" s="3">
        <f t="shared" si="2"/>
        <v>77077</v>
      </c>
      <c r="Q74">
        <f t="shared" si="9"/>
        <v>57</v>
      </c>
      <c r="T74" s="3">
        <f t="shared" si="3"/>
        <v>0</v>
      </c>
      <c r="AF74">
        <f t="shared" si="12"/>
        <v>57</v>
      </c>
      <c r="AG74">
        <v>1</v>
      </c>
      <c r="AH74">
        <v>79639</v>
      </c>
      <c r="AI74" s="3">
        <f t="shared" si="6"/>
        <v>79639</v>
      </c>
      <c r="AJ74" s="3"/>
      <c r="AK74" s="3">
        <f t="shared" si="13"/>
        <v>57</v>
      </c>
      <c r="AN74" s="3">
        <f t="shared" si="17"/>
        <v>0</v>
      </c>
    </row>
    <row r="75" spans="12:40">
      <c r="L75">
        <v>-1</v>
      </c>
      <c r="M75">
        <v>77113</v>
      </c>
      <c r="N75" s="3">
        <f t="shared" si="2"/>
        <v>-77113</v>
      </c>
      <c r="Q75">
        <f t="shared" si="9"/>
        <v>58</v>
      </c>
      <c r="T75" s="3">
        <f t="shared" si="3"/>
        <v>0</v>
      </c>
      <c r="AF75">
        <f t="shared" si="12"/>
        <v>58</v>
      </c>
      <c r="AG75">
        <v>1</v>
      </c>
      <c r="AH75">
        <v>79550</v>
      </c>
      <c r="AI75" s="3">
        <f t="shared" si="6"/>
        <v>79550</v>
      </c>
      <c r="AJ75" s="3"/>
      <c r="AK75" s="3">
        <f t="shared" si="13"/>
        <v>58</v>
      </c>
      <c r="AN75" s="3">
        <f t="shared" si="17"/>
        <v>0</v>
      </c>
    </row>
    <row r="76" spans="12:40">
      <c r="L76">
        <v>1</v>
      </c>
      <c r="M76">
        <v>77048</v>
      </c>
      <c r="N76" s="3">
        <f t="shared" si="2"/>
        <v>77048</v>
      </c>
      <c r="Q76">
        <f t="shared" si="9"/>
        <v>59</v>
      </c>
      <c r="T76" s="3">
        <f t="shared" si="3"/>
        <v>0</v>
      </c>
      <c r="AF76">
        <f t="shared" si="12"/>
        <v>59</v>
      </c>
      <c r="AG76">
        <v>-1</v>
      </c>
      <c r="AH76">
        <v>79565</v>
      </c>
      <c r="AI76" s="3">
        <f t="shared" si="6"/>
        <v>-79565</v>
      </c>
      <c r="AJ76" s="3"/>
      <c r="AK76" s="3">
        <f t="shared" si="13"/>
        <v>59</v>
      </c>
      <c r="AN76" s="3">
        <f t="shared" si="17"/>
        <v>0</v>
      </c>
    </row>
    <row r="77" spans="12:40">
      <c r="L77">
        <v>-8</v>
      </c>
      <c r="M77">
        <v>77110</v>
      </c>
      <c r="N77" s="3">
        <f t="shared" si="2"/>
        <v>-616880</v>
      </c>
      <c r="Q77">
        <f t="shared" si="9"/>
        <v>60</v>
      </c>
      <c r="T77" s="3">
        <f t="shared" si="3"/>
        <v>0</v>
      </c>
      <c r="AF77">
        <f t="shared" si="12"/>
        <v>60</v>
      </c>
      <c r="AG77">
        <v>-1</v>
      </c>
      <c r="AH77">
        <v>79584</v>
      </c>
      <c r="AI77" s="3">
        <f t="shared" si="6"/>
        <v>-79584</v>
      </c>
      <c r="AJ77" s="3"/>
      <c r="AK77" s="3">
        <f t="shared" si="13"/>
        <v>60</v>
      </c>
      <c r="AN77" s="3">
        <f t="shared" si="17"/>
        <v>0</v>
      </c>
    </row>
    <row r="78" spans="12:40">
      <c r="L78">
        <v>-1</v>
      </c>
      <c r="M78">
        <v>77110</v>
      </c>
      <c r="N78" s="3">
        <f t="shared" si="2"/>
        <v>-77110</v>
      </c>
      <c r="Q78">
        <f t="shared" si="9"/>
        <v>61</v>
      </c>
      <c r="T78" s="3">
        <f t="shared" si="3"/>
        <v>0</v>
      </c>
      <c r="AF78">
        <f t="shared" si="12"/>
        <v>61</v>
      </c>
      <c r="AG78">
        <v>-1</v>
      </c>
      <c r="AH78">
        <v>79608</v>
      </c>
      <c r="AI78" s="3">
        <f t="shared" si="6"/>
        <v>-79608</v>
      </c>
      <c r="AJ78" s="3"/>
      <c r="AK78" s="3">
        <f t="shared" si="13"/>
        <v>61</v>
      </c>
      <c r="AN78" s="3">
        <f t="shared" si="17"/>
        <v>0</v>
      </c>
    </row>
    <row r="79" spans="12:40">
      <c r="L79">
        <v>1</v>
      </c>
      <c r="M79">
        <v>77093</v>
      </c>
      <c r="N79" s="3">
        <f t="shared" si="2"/>
        <v>77093</v>
      </c>
      <c r="Q79">
        <f t="shared" si="9"/>
        <v>62</v>
      </c>
      <c r="T79" s="3">
        <f t="shared" si="3"/>
        <v>0</v>
      </c>
      <c r="AF79">
        <f t="shared" si="12"/>
        <v>62</v>
      </c>
      <c r="AG79">
        <v>1</v>
      </c>
      <c r="AH79">
        <v>79570</v>
      </c>
      <c r="AI79" s="3">
        <f t="shared" si="6"/>
        <v>79570</v>
      </c>
      <c r="AJ79" s="3"/>
      <c r="AK79" s="3">
        <f t="shared" si="13"/>
        <v>62</v>
      </c>
      <c r="AN79" s="3">
        <f t="shared" si="17"/>
        <v>0</v>
      </c>
    </row>
    <row r="80" spans="12:40">
      <c r="L80">
        <v>-1</v>
      </c>
      <c r="M80">
        <v>77085</v>
      </c>
      <c r="N80" s="3">
        <f t="shared" si="2"/>
        <v>-77085</v>
      </c>
      <c r="Q80">
        <f t="shared" si="9"/>
        <v>63</v>
      </c>
      <c r="T80" s="3">
        <f t="shared" si="3"/>
        <v>0</v>
      </c>
      <c r="AF80">
        <f t="shared" si="12"/>
        <v>63</v>
      </c>
      <c r="AG80">
        <v>-1</v>
      </c>
      <c r="AH80">
        <v>79605</v>
      </c>
      <c r="AI80" s="3">
        <f t="shared" si="6"/>
        <v>-79605</v>
      </c>
      <c r="AJ80" s="3"/>
      <c r="AK80" s="3">
        <f t="shared" si="13"/>
        <v>63</v>
      </c>
      <c r="AN80" s="3">
        <f t="shared" si="17"/>
        <v>0</v>
      </c>
    </row>
    <row r="81" spans="12:40">
      <c r="L81">
        <v>-1</v>
      </c>
      <c r="M81">
        <v>77128</v>
      </c>
      <c r="N81" s="3">
        <f t="shared" si="2"/>
        <v>-77128</v>
      </c>
      <c r="Q81">
        <f t="shared" si="9"/>
        <v>64</v>
      </c>
      <c r="T81" s="3">
        <f t="shared" si="3"/>
        <v>0</v>
      </c>
      <c r="AF81">
        <f t="shared" si="12"/>
        <v>64</v>
      </c>
      <c r="AG81">
        <v>-1</v>
      </c>
      <c r="AH81">
        <v>79630</v>
      </c>
      <c r="AI81" s="3">
        <f t="shared" si="6"/>
        <v>-79630</v>
      </c>
      <c r="AJ81" s="3"/>
      <c r="AK81" s="3">
        <f t="shared" si="13"/>
        <v>64</v>
      </c>
      <c r="AN81" s="3">
        <f t="shared" si="17"/>
        <v>0</v>
      </c>
    </row>
    <row r="82" spans="12:40">
      <c r="L82">
        <v>-1</v>
      </c>
      <c r="M82">
        <v>77153</v>
      </c>
      <c r="N82" s="3">
        <f t="shared" si="2"/>
        <v>-77153</v>
      </c>
      <c r="Q82">
        <f t="shared" si="9"/>
        <v>65</v>
      </c>
      <c r="T82" s="3">
        <f t="shared" si="3"/>
        <v>0</v>
      </c>
      <c r="AF82">
        <f t="shared" si="12"/>
        <v>65</v>
      </c>
      <c r="AG82">
        <v>-1</v>
      </c>
      <c r="AH82">
        <v>79744</v>
      </c>
      <c r="AI82" s="3">
        <f t="shared" si="6"/>
        <v>-79744</v>
      </c>
      <c r="AJ82" s="3"/>
      <c r="AK82" s="3">
        <f t="shared" si="13"/>
        <v>65</v>
      </c>
      <c r="AN82" s="3">
        <f t="shared" si="17"/>
        <v>0</v>
      </c>
    </row>
    <row r="83" spans="12:40">
      <c r="L83">
        <v>1</v>
      </c>
      <c r="M83">
        <v>77131</v>
      </c>
      <c r="N83" s="3">
        <f t="shared" si="2"/>
        <v>77131</v>
      </c>
      <c r="Q83">
        <f t="shared" si="9"/>
        <v>66</v>
      </c>
      <c r="T83" s="3">
        <f t="shared" si="3"/>
        <v>0</v>
      </c>
      <c r="AF83">
        <f t="shared" si="12"/>
        <v>66</v>
      </c>
      <c r="AG83">
        <v>1</v>
      </c>
      <c r="AH83">
        <v>79683</v>
      </c>
      <c r="AI83" s="3">
        <f t="shared" ref="AI83" si="18">AG83*AH83</f>
        <v>79683</v>
      </c>
      <c r="AJ83" s="3"/>
      <c r="AK83" s="3">
        <f t="shared" si="13"/>
        <v>66</v>
      </c>
      <c r="AN83" s="3">
        <f t="shared" si="17"/>
        <v>0</v>
      </c>
    </row>
    <row r="84" spans="12:40">
      <c r="L84">
        <v>-1</v>
      </c>
      <c r="M84">
        <v>77209</v>
      </c>
      <c r="N84" s="3">
        <f t="shared" si="2"/>
        <v>-77209</v>
      </c>
      <c r="Q84">
        <f t="shared" ref="Q84:Q96" si="19">Q83+1</f>
        <v>67</v>
      </c>
      <c r="T84" s="3">
        <f t="shared" si="3"/>
        <v>0</v>
      </c>
      <c r="AK84" s="3">
        <f t="shared" ref="AK84" si="20">AK83+1</f>
        <v>67</v>
      </c>
    </row>
    <row r="85" spans="12:40">
      <c r="L85">
        <v>1</v>
      </c>
      <c r="M85">
        <v>77173</v>
      </c>
      <c r="N85" s="3">
        <f t="shared" si="2"/>
        <v>77173</v>
      </c>
      <c r="Q85">
        <f t="shared" si="19"/>
        <v>68</v>
      </c>
      <c r="T85" s="3">
        <f t="shared" si="3"/>
        <v>0</v>
      </c>
    </row>
    <row r="86" spans="12:40">
      <c r="L86">
        <v>1</v>
      </c>
      <c r="M86">
        <v>77117</v>
      </c>
      <c r="N86" s="3">
        <f t="shared" si="2"/>
        <v>77117</v>
      </c>
      <c r="Q86">
        <f t="shared" si="19"/>
        <v>69</v>
      </c>
      <c r="T86" s="3">
        <f t="shared" si="3"/>
        <v>0</v>
      </c>
    </row>
    <row r="87" spans="12:40">
      <c r="L87">
        <v>1</v>
      </c>
      <c r="M87">
        <v>77112</v>
      </c>
      <c r="N87" s="3">
        <f t="shared" si="2"/>
        <v>77112</v>
      </c>
      <c r="Q87">
        <f t="shared" si="19"/>
        <v>70</v>
      </c>
      <c r="T87" s="3">
        <f t="shared" si="3"/>
        <v>0</v>
      </c>
    </row>
    <row r="88" spans="12:40">
      <c r="L88">
        <v>1</v>
      </c>
      <c r="M88">
        <v>77048</v>
      </c>
      <c r="N88" s="3">
        <f t="shared" si="2"/>
        <v>77048</v>
      </c>
      <c r="Q88">
        <f t="shared" si="19"/>
        <v>71</v>
      </c>
      <c r="T88" s="3">
        <f t="shared" si="3"/>
        <v>0</v>
      </c>
    </row>
    <row r="89" spans="12:40">
      <c r="L89">
        <v>1</v>
      </c>
      <c r="M89">
        <v>76971</v>
      </c>
      <c r="N89" s="3">
        <f t="shared" si="2"/>
        <v>76971</v>
      </c>
      <c r="Q89">
        <f t="shared" si="19"/>
        <v>72</v>
      </c>
      <c r="T89" s="3">
        <f t="shared" si="3"/>
        <v>0</v>
      </c>
    </row>
    <row r="90" spans="12:40">
      <c r="L90">
        <v>-1</v>
      </c>
      <c r="M90">
        <v>77032</v>
      </c>
      <c r="N90" s="3">
        <f t="shared" si="2"/>
        <v>-77032</v>
      </c>
      <c r="Q90">
        <f t="shared" si="19"/>
        <v>73</v>
      </c>
      <c r="T90" s="3">
        <f t="shared" si="3"/>
        <v>0</v>
      </c>
    </row>
    <row r="91" spans="12:40">
      <c r="Q91">
        <f t="shared" si="19"/>
        <v>74</v>
      </c>
    </row>
    <row r="92" spans="12:40">
      <c r="Q92">
        <f t="shared" si="19"/>
        <v>75</v>
      </c>
    </row>
    <row r="93" spans="12:40">
      <c r="Q93">
        <f t="shared" si="19"/>
        <v>76</v>
      </c>
    </row>
    <row r="94" spans="12:40">
      <c r="Q94">
        <f t="shared" si="19"/>
        <v>77</v>
      </c>
    </row>
    <row r="95" spans="12:40">
      <c r="Q95">
        <f t="shared" si="19"/>
        <v>78</v>
      </c>
    </row>
    <row r="96" spans="12:40">
      <c r="Q96">
        <f t="shared" si="19"/>
        <v>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AX320"/>
  <sheetViews>
    <sheetView topLeftCell="M1" workbookViewId="0">
      <selection activeCell="R11" sqref="R11"/>
    </sheetView>
  </sheetViews>
  <sheetFormatPr defaultRowHeight="15"/>
  <cols>
    <col min="1" max="2" width="10.140625" bestFit="1" customWidth="1"/>
    <col min="4" max="4" width="8.42578125" customWidth="1"/>
    <col min="5" max="5" width="8" customWidth="1"/>
    <col min="6" max="6" width="9.85546875" customWidth="1"/>
    <col min="7" max="7" width="12.85546875" customWidth="1"/>
    <col min="14" max="14" width="11" customWidth="1"/>
    <col min="15" max="15" width="10.140625" bestFit="1" customWidth="1"/>
    <col min="16" max="16" width="9.140625" style="352"/>
    <col min="17" max="17" width="9.140625" customWidth="1"/>
    <col min="18" max="18" width="11.140625" customWidth="1"/>
    <col min="19" max="19" width="9.85546875" customWidth="1"/>
    <col min="21" max="21" width="8.85546875" customWidth="1"/>
    <col min="23" max="23" width="9.140625" customWidth="1"/>
    <col min="25" max="25" width="5.42578125" customWidth="1"/>
    <col min="26" max="26" width="7" customWidth="1"/>
    <col min="28" max="28" width="8.28515625" customWidth="1"/>
    <col min="29" max="29" width="8.140625" customWidth="1"/>
    <col min="30" max="30" width="10.28515625" customWidth="1"/>
    <col min="32" max="32" width="9.140625" style="20"/>
    <col min="33" max="33" width="9.140625" style="347"/>
    <col min="34" max="34" width="9.140625" style="100"/>
    <col min="35" max="35" width="10.85546875" style="22" customWidth="1"/>
    <col min="39" max="39" width="8.42578125" customWidth="1"/>
    <col min="40" max="40" width="8.28515625" customWidth="1"/>
    <col min="48" max="48" width="6.42578125" customWidth="1"/>
    <col min="49" max="49" width="5.7109375" customWidth="1"/>
    <col min="50" max="50" width="7.5703125" customWidth="1"/>
  </cols>
  <sheetData>
    <row r="1" spans="1:50">
      <c r="S1">
        <f>SUM(S2:S8)</f>
        <v>360</v>
      </c>
      <c r="V1" t="s">
        <v>1</v>
      </c>
      <c r="W1">
        <f>SUM(W2:W5)</f>
        <v>4</v>
      </c>
      <c r="X1">
        <f>AVERAGE(X2:X5)</f>
        <v>286.5</v>
      </c>
      <c r="Y1">
        <f>AVERAGE(Y2:Y5)</f>
        <v>286.5</v>
      </c>
      <c r="Z1">
        <f>SUM(Z2:Z17)</f>
        <v>71505</v>
      </c>
      <c r="AB1">
        <f>SUM(AB2:AB14)/Z1</f>
        <v>8.0525837354031182E-2</v>
      </c>
      <c r="AE1">
        <v>0</v>
      </c>
      <c r="AF1" s="20">
        <v>75100</v>
      </c>
      <c r="AI1" s="22">
        <f>SUM(AI2:AI51)</f>
        <v>0</v>
      </c>
      <c r="AM1" t="s">
        <v>3</v>
      </c>
      <c r="AN1" t="s">
        <v>1</v>
      </c>
      <c r="AP1" t="s">
        <v>3</v>
      </c>
      <c r="AQ1" t="s">
        <v>1</v>
      </c>
      <c r="AT1">
        <v>74126</v>
      </c>
      <c r="AU1">
        <v>75000</v>
      </c>
      <c r="AV1">
        <f>AT1-AU1</f>
        <v>-874</v>
      </c>
      <c r="AW1">
        <v>82</v>
      </c>
      <c r="AX1">
        <f>AW1</f>
        <v>82</v>
      </c>
    </row>
    <row r="2" spans="1:50">
      <c r="B2" s="13">
        <v>44407</v>
      </c>
      <c r="L2">
        <v>90</v>
      </c>
      <c r="M2">
        <v>95</v>
      </c>
      <c r="W2">
        <v>1</v>
      </c>
      <c r="X2">
        <v>340</v>
      </c>
      <c r="Y2">
        <f>X2/W2</f>
        <v>340</v>
      </c>
      <c r="Z2">
        <v>1</v>
      </c>
      <c r="AA2">
        <v>800</v>
      </c>
      <c r="AB2">
        <f>Z2*AA2</f>
        <v>800</v>
      </c>
      <c r="AE2" t="s">
        <v>68</v>
      </c>
      <c r="AH2" s="100">
        <v>0</v>
      </c>
      <c r="AI2" s="22">
        <f>AH2</f>
        <v>0</v>
      </c>
      <c r="AL2" s="52">
        <v>72000</v>
      </c>
      <c r="AM2" s="52"/>
      <c r="AN2" s="52"/>
      <c r="AO2" s="53">
        <v>72000</v>
      </c>
      <c r="AP2" s="53"/>
      <c r="AQ2" s="53"/>
      <c r="AT2">
        <v>74126</v>
      </c>
      <c r="AU2">
        <v>74500</v>
      </c>
      <c r="AV2">
        <f>AT2-AU2</f>
        <v>-374</v>
      </c>
      <c r="AW2">
        <v>179</v>
      </c>
      <c r="AX2">
        <f>AW2</f>
        <v>179</v>
      </c>
    </row>
    <row r="3" spans="1:50">
      <c r="F3">
        <f>SUM(F4:F8)</f>
        <v>1665</v>
      </c>
      <c r="L3">
        <f>SUM(L4:L7)</f>
        <v>2.7499999999999982</v>
      </c>
      <c r="M3">
        <f>SUM(M4:M7)</f>
        <v>-2.2500000000000009</v>
      </c>
      <c r="O3" s="1">
        <v>44407</v>
      </c>
      <c r="W3">
        <v>1</v>
      </c>
      <c r="X3">
        <v>286</v>
      </c>
      <c r="Y3">
        <f t="shared" ref="Y3:Y5" si="0">X3/W3</f>
        <v>286</v>
      </c>
      <c r="Z3">
        <v>1</v>
      </c>
      <c r="AA3">
        <v>692</v>
      </c>
      <c r="AB3">
        <f t="shared" ref="AB3:AB4" si="1">Z3*AA3</f>
        <v>692</v>
      </c>
      <c r="AL3" s="52">
        <v>72500</v>
      </c>
      <c r="AM3" s="52"/>
      <c r="AN3" s="52"/>
      <c r="AO3" s="53"/>
      <c r="AP3" s="53"/>
      <c r="AQ3" s="53"/>
      <c r="AT3">
        <v>74126</v>
      </c>
      <c r="AU3">
        <v>74000</v>
      </c>
      <c r="AV3">
        <f>AT3-AU3</f>
        <v>126</v>
      </c>
      <c r="AW3">
        <v>383</v>
      </c>
      <c r="AX3">
        <f>AW3-AV3</f>
        <v>257</v>
      </c>
    </row>
    <row r="4" spans="1:50">
      <c r="A4" s="1">
        <v>44119</v>
      </c>
      <c r="B4" t="s">
        <v>1</v>
      </c>
      <c r="D4">
        <v>5</v>
      </c>
      <c r="E4">
        <v>1203</v>
      </c>
      <c r="H4" t="s">
        <v>1</v>
      </c>
      <c r="I4">
        <v>90</v>
      </c>
      <c r="J4">
        <v>-1</v>
      </c>
      <c r="K4">
        <v>9.35</v>
      </c>
      <c r="L4">
        <f>J4*K4*-1</f>
        <v>9.35</v>
      </c>
      <c r="M4">
        <v>4.3499999999999996</v>
      </c>
      <c r="O4" t="s">
        <v>1</v>
      </c>
      <c r="P4" s="352">
        <v>32000</v>
      </c>
      <c r="Q4">
        <v>26</v>
      </c>
      <c r="R4">
        <v>5</v>
      </c>
      <c r="S4">
        <f>Q4*R4</f>
        <v>130</v>
      </c>
      <c r="W4">
        <v>1</v>
      </c>
      <c r="X4">
        <v>260</v>
      </c>
      <c r="Y4">
        <f t="shared" si="0"/>
        <v>260</v>
      </c>
      <c r="Z4">
        <v>3</v>
      </c>
      <c r="AA4">
        <v>680</v>
      </c>
      <c r="AB4">
        <f t="shared" si="1"/>
        <v>2040</v>
      </c>
      <c r="AL4" s="52">
        <v>73000</v>
      </c>
      <c r="AM4" s="52"/>
      <c r="AN4" s="52"/>
      <c r="AO4" s="53"/>
      <c r="AP4" s="53"/>
      <c r="AQ4" s="53"/>
      <c r="AT4">
        <v>74126</v>
      </c>
      <c r="AU4">
        <v>73500</v>
      </c>
      <c r="AV4">
        <f t="shared" ref="AV4:AV5" si="2">AT4-AU4</f>
        <v>626</v>
      </c>
      <c r="AW4">
        <v>719</v>
      </c>
      <c r="AX4">
        <f t="shared" ref="AX4:AX5" si="3">AW4-AV4</f>
        <v>93</v>
      </c>
    </row>
    <row r="5" spans="1:50">
      <c r="A5" s="1">
        <v>44119</v>
      </c>
      <c r="B5" t="s">
        <v>3</v>
      </c>
      <c r="C5">
        <v>73000</v>
      </c>
      <c r="D5">
        <v>10</v>
      </c>
      <c r="E5">
        <v>100</v>
      </c>
      <c r="F5">
        <f>D5*E5</f>
        <v>1000</v>
      </c>
      <c r="H5" t="s">
        <v>1</v>
      </c>
      <c r="I5">
        <v>100</v>
      </c>
      <c r="J5">
        <v>2</v>
      </c>
      <c r="K5">
        <v>2.7</v>
      </c>
      <c r="L5">
        <f t="shared" ref="L5:L7" si="4">J5*K5*-1</f>
        <v>-5.4</v>
      </c>
      <c r="M5">
        <v>-5.4</v>
      </c>
      <c r="O5" t="s">
        <v>3</v>
      </c>
      <c r="P5" s="352">
        <v>31500</v>
      </c>
      <c r="Q5">
        <v>46</v>
      </c>
      <c r="R5">
        <v>5</v>
      </c>
      <c r="S5">
        <f>Q5*R5</f>
        <v>230</v>
      </c>
      <c r="W5">
        <v>1</v>
      </c>
      <c r="X5">
        <v>260</v>
      </c>
      <c r="Y5">
        <f t="shared" si="0"/>
        <v>260</v>
      </c>
      <c r="AL5" s="52">
        <v>73500</v>
      </c>
      <c r="AM5" s="52">
        <v>10</v>
      </c>
      <c r="AN5" s="52"/>
      <c r="AO5" s="53"/>
      <c r="AP5" s="53"/>
      <c r="AQ5" s="53"/>
      <c r="AT5">
        <v>74126</v>
      </c>
      <c r="AU5">
        <v>73000</v>
      </c>
      <c r="AV5">
        <f t="shared" si="2"/>
        <v>1126</v>
      </c>
      <c r="AW5">
        <v>1155</v>
      </c>
      <c r="AX5">
        <f t="shared" si="3"/>
        <v>29</v>
      </c>
    </row>
    <row r="6" spans="1:50">
      <c r="A6" s="1">
        <v>44112</v>
      </c>
      <c r="B6" t="s">
        <v>1</v>
      </c>
      <c r="C6">
        <v>74500</v>
      </c>
      <c r="D6">
        <v>5</v>
      </c>
      <c r="E6">
        <v>133</v>
      </c>
      <c r="F6">
        <f>D6*E6</f>
        <v>665</v>
      </c>
      <c r="H6" t="s">
        <v>3</v>
      </c>
      <c r="I6">
        <v>95</v>
      </c>
      <c r="J6">
        <v>-4</v>
      </c>
      <c r="K6">
        <v>1.55</v>
      </c>
      <c r="L6">
        <f t="shared" si="4"/>
        <v>6.2</v>
      </c>
      <c r="M6">
        <v>6.2</v>
      </c>
      <c r="O6" t="s">
        <v>3</v>
      </c>
      <c r="P6" s="352">
        <v>790</v>
      </c>
      <c r="Q6">
        <v>-1</v>
      </c>
      <c r="AD6">
        <v>100</v>
      </c>
      <c r="AE6" t="s">
        <v>53</v>
      </c>
      <c r="AL6" s="52">
        <v>74000</v>
      </c>
      <c r="AM6" s="52"/>
      <c r="AN6" s="52"/>
      <c r="AO6" s="53"/>
      <c r="AP6" s="53"/>
      <c r="AQ6" s="53"/>
    </row>
    <row r="7" spans="1:50">
      <c r="A7" s="1">
        <v>44112</v>
      </c>
      <c r="B7" t="s">
        <v>3</v>
      </c>
      <c r="D7">
        <v>2</v>
      </c>
      <c r="F7" s="7"/>
      <c r="G7" s="7"/>
      <c r="H7" t="s">
        <v>3</v>
      </c>
      <c r="I7">
        <v>100</v>
      </c>
      <c r="J7">
        <v>2</v>
      </c>
      <c r="K7">
        <v>3.7</v>
      </c>
      <c r="L7">
        <f t="shared" si="4"/>
        <v>-7.4</v>
      </c>
      <c r="M7">
        <v>-7.4</v>
      </c>
      <c r="AE7" t="s">
        <v>1</v>
      </c>
      <c r="AF7" s="20">
        <v>71000</v>
      </c>
      <c r="AI7" s="23" t="str">
        <f>IF(AND(AF7&lt;$AF$1,AE34="Call",AG7&lt;&gt;0),AG7,"---")</f>
        <v>---</v>
      </c>
      <c r="AL7" s="52">
        <v>74500</v>
      </c>
      <c r="AM7" s="52"/>
      <c r="AN7" s="52">
        <v>-5</v>
      </c>
      <c r="AO7" s="53"/>
      <c r="AP7" s="53"/>
      <c r="AQ7" s="53"/>
    </row>
    <row r="8" spans="1:50">
      <c r="A8" s="1">
        <v>44112</v>
      </c>
      <c r="B8" t="s">
        <v>3</v>
      </c>
      <c r="D8">
        <v>-1</v>
      </c>
      <c r="F8" s="7"/>
      <c r="G8" s="7"/>
      <c r="AD8" s="21" t="str">
        <f>IF(AG8&lt;&gt;0,IF(AND(AF8&gt;$AF$1,AE8="Put"),"IN","Out"),"Empty")</f>
        <v>Empty</v>
      </c>
      <c r="AE8" t="s">
        <v>3</v>
      </c>
      <c r="AF8" s="20">
        <v>71000</v>
      </c>
      <c r="AI8" s="23" t="str">
        <f>IF(AND(AF8&gt;$AF$1,AE8="Put",AG8&lt;&gt;0),-AG8,"---")</f>
        <v>---</v>
      </c>
      <c r="AL8" s="52">
        <v>75000</v>
      </c>
      <c r="AM8" s="52"/>
      <c r="AN8" s="52">
        <v>2</v>
      </c>
      <c r="AO8" s="53"/>
      <c r="AP8" s="53"/>
      <c r="AQ8" s="53"/>
      <c r="AR8">
        <v>600</v>
      </c>
      <c r="AS8">
        <v>450</v>
      </c>
      <c r="AT8">
        <f>AR8/AS8</f>
        <v>1.3333333333333333</v>
      </c>
    </row>
    <row r="9" spans="1:50">
      <c r="F9" s="7"/>
      <c r="G9" s="7"/>
      <c r="AC9">
        <f>SUM(AC10:AC11)</f>
        <v>10473</v>
      </c>
      <c r="AD9" s="21" t="str">
        <f>IF(AND(AF9&lt;$AF$1,AE9="Call"),"IN","OUT")</f>
        <v>IN</v>
      </c>
      <c r="AE9" t="s">
        <v>1</v>
      </c>
      <c r="AF9" s="20">
        <v>71500</v>
      </c>
      <c r="AI9" s="23" t="str">
        <f>IF(AND(AF9&lt;$AF$1,AE9="Call",AG9&lt;&gt;0),AG9,"---")</f>
        <v>---</v>
      </c>
      <c r="AL9" s="52">
        <v>75500</v>
      </c>
      <c r="AM9" s="52"/>
      <c r="AN9" s="52"/>
      <c r="AO9" s="53"/>
      <c r="AP9" s="53"/>
      <c r="AQ9" s="53"/>
      <c r="AR9">
        <v>1280</v>
      </c>
      <c r="AS9">
        <v>960</v>
      </c>
      <c r="AT9">
        <f>AR9/AS9</f>
        <v>1.3333333333333333</v>
      </c>
    </row>
    <row r="10" spans="1:50">
      <c r="F10" s="7">
        <f>-F11-F12</f>
        <v>532.48214285714494</v>
      </c>
      <c r="L10" s="7">
        <f>-L11-L12</f>
        <v>-480.25</v>
      </c>
      <c r="Q10">
        <f>SUM(Q11:Q12)</f>
        <v>196</v>
      </c>
      <c r="R10" s="7">
        <f>-R11-R12</f>
        <v>308.53045473508246</v>
      </c>
      <c r="W10">
        <f>SUM(W11:W12)</f>
        <v>242</v>
      </c>
      <c r="X10" s="7">
        <f>-X11-X12</f>
        <v>11.664412106303644</v>
      </c>
      <c r="AA10">
        <v>10</v>
      </c>
      <c r="AB10">
        <v>447</v>
      </c>
      <c r="AC10">
        <f>AA10*AB10</f>
        <v>4470</v>
      </c>
      <c r="AD10" s="21" t="str">
        <f>IF(AG10&lt;&gt;0,IF(AND(AF10&gt;$AF$1,AE10="Put"),"IN","Out"),"Empty")</f>
        <v>Empty</v>
      </c>
      <c r="AE10" t="s">
        <v>3</v>
      </c>
      <c r="AF10" s="20">
        <v>71500</v>
      </c>
      <c r="AI10" s="23" t="str">
        <f>IF(AND(AF10&gt;$AF$1,AE10="Put",AG10&lt;&gt;0),-AG10,"---")</f>
        <v>---</v>
      </c>
      <c r="AL10" s="52">
        <v>76000</v>
      </c>
      <c r="AM10" s="52">
        <v>10</v>
      </c>
      <c r="AN10" s="52"/>
      <c r="AO10" s="53"/>
      <c r="AP10" s="53"/>
      <c r="AQ10" s="53"/>
    </row>
    <row r="11" spans="1:50">
      <c r="B11" s="3"/>
      <c r="C11" t="s">
        <v>17</v>
      </c>
      <c r="D11">
        <f>SUMIF(E15:E997,"&lt;0")</f>
        <v>-552740</v>
      </c>
      <c r="E11">
        <f>COUNTIF(E15:E997,"&lt;0")</f>
        <v>7</v>
      </c>
      <c r="F11" s="7">
        <f>D11/E11</f>
        <v>-78962.857142857145</v>
      </c>
      <c r="H11" s="3"/>
      <c r="I11" t="s">
        <v>17</v>
      </c>
      <c r="J11">
        <f>SUMIF(K15:K997,"&lt;0")</f>
        <v>-607</v>
      </c>
      <c r="K11">
        <f>COUNTIF(K15:K997,"&lt;0")</f>
        <v>4</v>
      </c>
      <c r="L11" s="7">
        <f>J11/K11</f>
        <v>-151.75</v>
      </c>
      <c r="N11" s="3"/>
      <c r="O11" s="39" t="s">
        <v>17</v>
      </c>
      <c r="P11" s="352">
        <f>SUMIF(Q15:Q997,"&lt;0")</f>
        <v>-7938139</v>
      </c>
      <c r="Q11" s="39">
        <f>SUMIF(O15:O997,"&lt;0")*-1</f>
        <v>102</v>
      </c>
      <c r="R11" s="124">
        <f>P11/Q11</f>
        <v>-77824.892156862741</v>
      </c>
      <c r="T11" s="3"/>
      <c r="U11" s="39" t="s">
        <v>17</v>
      </c>
      <c r="V11" s="39">
        <f>SUMIF(W15:W997,"&lt;0")</f>
        <v>-3133423</v>
      </c>
      <c r="W11" s="39">
        <f>SUMIF(U15:U997,"&lt;0")*-1</f>
        <v>123</v>
      </c>
      <c r="X11" s="124">
        <f>V11/W11</f>
        <v>-25474.983739837397</v>
      </c>
      <c r="AA11">
        <v>9</v>
      </c>
      <c r="AB11">
        <v>667</v>
      </c>
      <c r="AC11">
        <f t="shared" ref="AC11:AC14" si="5">AA11*AB11</f>
        <v>6003</v>
      </c>
      <c r="AD11" s="21" t="str">
        <f>IF(AND(AF11&lt;$AF$1,AE11="Call"),"IN","OUT")</f>
        <v>IN</v>
      </c>
      <c r="AE11" t="s">
        <v>1</v>
      </c>
      <c r="AF11" s="20">
        <v>72000</v>
      </c>
      <c r="AI11" s="23" t="str">
        <f>IF(AND(AF11&lt;$AF$1,AE11="Call",AG11&lt;&gt;0),AG11,"---")</f>
        <v>---</v>
      </c>
      <c r="AL11" s="52">
        <v>76500</v>
      </c>
      <c r="AM11" s="52"/>
      <c r="AN11" s="52">
        <v>10</v>
      </c>
      <c r="AO11" s="53"/>
      <c r="AP11" s="53"/>
      <c r="AQ11" s="53"/>
    </row>
    <row r="12" spans="1:50">
      <c r="B12" s="3"/>
      <c r="C12" t="s">
        <v>13</v>
      </c>
      <c r="D12">
        <f>SUMIF(E15:E997,"&gt;0")</f>
        <v>627443</v>
      </c>
      <c r="E12">
        <f>COUNTIF(E15:E997,"&gt;0")</f>
        <v>8</v>
      </c>
      <c r="F12" s="7">
        <f>D12/E12</f>
        <v>78430.375</v>
      </c>
      <c r="H12" s="3"/>
      <c r="I12" t="s">
        <v>13</v>
      </c>
      <c r="J12">
        <f>SUMIF(K15:K997,"&gt;0")</f>
        <v>1264</v>
      </c>
      <c r="K12">
        <f>COUNTIF(K15:K997,"&gt;0")</f>
        <v>2</v>
      </c>
      <c r="L12" s="7">
        <f>J12/K12</f>
        <v>632</v>
      </c>
      <c r="N12" s="3"/>
      <c r="O12" s="15" t="s">
        <v>13</v>
      </c>
      <c r="P12" s="352">
        <f>SUMIF(Q15:Q997,"&gt;0")</f>
        <v>7286538</v>
      </c>
      <c r="Q12" s="15">
        <f>SUMIF(O15:O997,"&gt;0")</f>
        <v>94</v>
      </c>
      <c r="R12" s="125">
        <f>P12/Q12</f>
        <v>77516.361702127659</v>
      </c>
      <c r="T12" s="3"/>
      <c r="U12" s="15" t="s">
        <v>13</v>
      </c>
      <c r="V12" s="15">
        <f>SUMIF(W15:W997,"&gt;0")</f>
        <v>3030135</v>
      </c>
      <c r="W12" s="15">
        <f>SUMIF(U15:U997,"&gt;0")</f>
        <v>119</v>
      </c>
      <c r="X12" s="125">
        <f>V12/W12</f>
        <v>25463.319327731093</v>
      </c>
      <c r="AC12">
        <f>SUM(AC13:AC14)</f>
        <v>10495</v>
      </c>
      <c r="AD12" s="21" t="str">
        <f>IF(AG12&lt;&gt;0,IF(AND(AF12&gt;$AF$1,AE12="Put"),"IN","Out"),"Empty")</f>
        <v>Empty</v>
      </c>
      <c r="AE12" t="s">
        <v>3</v>
      </c>
      <c r="AF12" s="20">
        <v>72000</v>
      </c>
      <c r="AI12" s="23" t="str">
        <f>IF(AND(AF12&gt;$AF$1,AE12="Put",AG12&lt;&gt;0),-AG12,"---")</f>
        <v>---</v>
      </c>
      <c r="AL12" s="52">
        <v>77000</v>
      </c>
      <c r="AM12" s="52"/>
      <c r="AN12" s="52"/>
      <c r="AO12" s="53"/>
      <c r="AP12" s="53"/>
      <c r="AQ12" s="53"/>
      <c r="AT12">
        <v>74000</v>
      </c>
      <c r="AU12">
        <v>383</v>
      </c>
      <c r="AV12">
        <v>2</v>
      </c>
      <c r="AW12">
        <f>AU12*AV12</f>
        <v>766</v>
      </c>
    </row>
    <row r="13" spans="1:50">
      <c r="B13" s="3"/>
      <c r="C13">
        <f>SUM(C15:C90)-C14</f>
        <v>0</v>
      </c>
      <c r="D13" t="s">
        <v>34</v>
      </c>
      <c r="E13" s="3">
        <f>SUM(E14:E103)*-1</f>
        <v>4133</v>
      </c>
      <c r="H13" s="3"/>
      <c r="I13">
        <f>SUM(I15:I90)-I14</f>
        <v>0</v>
      </c>
      <c r="J13" t="s">
        <v>34</v>
      </c>
      <c r="K13" s="3">
        <f>SUM(K14:K103)*-1</f>
        <v>-395222</v>
      </c>
      <c r="N13" s="3"/>
      <c r="O13">
        <f>SUM(O15:O500)-O14</f>
        <v>0</v>
      </c>
      <c r="P13" s="352" t="s">
        <v>34</v>
      </c>
      <c r="Q13" s="3">
        <f>SUM(Q14:Q500)*-1</f>
        <v>-31175</v>
      </c>
      <c r="T13" s="3"/>
      <c r="U13">
        <f>SUM(U15:U500)-U14</f>
        <v>0</v>
      </c>
      <c r="V13" t="s">
        <v>34</v>
      </c>
      <c r="W13" s="3">
        <f>SUM(W14:W500)*-1</f>
        <v>-7012</v>
      </c>
      <c r="AA13">
        <v>10</v>
      </c>
      <c r="AB13">
        <v>487</v>
      </c>
      <c r="AC13">
        <f t="shared" si="5"/>
        <v>4870</v>
      </c>
      <c r="AD13" s="21" t="str">
        <f>IF(AND(AF13&lt;$AF$1,AE13="Call"),"IN","OUT")</f>
        <v>IN</v>
      </c>
      <c r="AE13" t="s">
        <v>1</v>
      </c>
      <c r="AF13" s="20">
        <v>72500</v>
      </c>
      <c r="AI13" s="23" t="str">
        <f>IF(AND(AF13&lt;$AF$1,AE13="Call",AG13&lt;&gt;0),AG13,"---")</f>
        <v>---</v>
      </c>
      <c r="AL13" s="52">
        <v>77500</v>
      </c>
      <c r="AM13" s="52"/>
      <c r="AN13" s="52"/>
      <c r="AO13" s="53"/>
      <c r="AP13" s="53"/>
      <c r="AQ13" s="53"/>
      <c r="AT13">
        <v>74000</v>
      </c>
      <c r="AU13">
        <v>257</v>
      </c>
      <c r="AV13">
        <v>3</v>
      </c>
      <c r="AW13">
        <f>AU13*AV13</f>
        <v>771</v>
      </c>
    </row>
    <row r="14" spans="1:50" ht="15.75" thickBot="1">
      <c r="B14" s="3">
        <v>0</v>
      </c>
      <c r="C14" s="6">
        <f>SUM(C15:C79)</f>
        <v>1</v>
      </c>
      <c r="D14" s="4">
        <v>78836</v>
      </c>
      <c r="E14" s="5">
        <f>C14*D14*-1</f>
        <v>-78836</v>
      </c>
      <c r="H14" s="3">
        <v>0</v>
      </c>
      <c r="I14" s="6">
        <f>SUM(I15:I79)</f>
        <v>-5</v>
      </c>
      <c r="J14" s="4">
        <v>78913</v>
      </c>
      <c r="K14" s="5">
        <f>I14*J14*-1</f>
        <v>394565</v>
      </c>
      <c r="N14" s="3">
        <v>0</v>
      </c>
      <c r="O14" s="54">
        <f>SUM(O15:O500)</f>
        <v>-8</v>
      </c>
      <c r="P14" s="352">
        <v>85347</v>
      </c>
      <c r="Q14" s="55">
        <f>O14*P14*-1</f>
        <v>682776</v>
      </c>
      <c r="R14">
        <f>SUM(R15:R74)</f>
        <v>152285</v>
      </c>
      <c r="T14" s="3">
        <v>0</v>
      </c>
      <c r="U14" s="54">
        <f>SUM(U15:U500)</f>
        <v>-4</v>
      </c>
      <c r="V14" s="54">
        <v>27575</v>
      </c>
      <c r="W14" s="55">
        <f>U14*V14*-1</f>
        <v>110300</v>
      </c>
      <c r="AA14">
        <v>9</v>
      </c>
      <c r="AB14">
        <v>625</v>
      </c>
      <c r="AC14">
        <f t="shared" si="5"/>
        <v>5625</v>
      </c>
      <c r="AD14" s="21" t="str">
        <f>IF(AG14&lt;&gt;0,IF(AND(AF14&gt;$AF$1,AE14="Put"),"IN","Out"),"Empty")</f>
        <v>Empty</v>
      </c>
      <c r="AE14" t="s">
        <v>3</v>
      </c>
      <c r="AF14" s="20">
        <v>72500</v>
      </c>
      <c r="AI14" s="23" t="str">
        <f>IF(AND(AF14&gt;$AF$1,AE14="Put",AG14&lt;&gt;0),-AG14,"---")</f>
        <v>---</v>
      </c>
      <c r="AL14" s="52">
        <v>78000</v>
      </c>
      <c r="AM14" s="52"/>
      <c r="AN14" s="52"/>
      <c r="AO14" s="53"/>
      <c r="AP14" s="53"/>
      <c r="AQ14" s="53"/>
      <c r="AW14">
        <f>SUM(AW12:AW13)</f>
        <v>1537</v>
      </c>
    </row>
    <row r="15" spans="1:50">
      <c r="B15" s="3">
        <v>1</v>
      </c>
      <c r="C15">
        <v>-1</v>
      </c>
      <c r="D15">
        <v>78426</v>
      </c>
      <c r="E15" s="3">
        <f>C15*D15</f>
        <v>-78426</v>
      </c>
      <c r="H15" s="3">
        <v>1</v>
      </c>
      <c r="I15">
        <v>2</v>
      </c>
      <c r="J15">
        <v>242</v>
      </c>
      <c r="K15" s="3">
        <f>I15*J15</f>
        <v>484</v>
      </c>
      <c r="N15" s="3">
        <v>1</v>
      </c>
      <c r="O15">
        <v>-1</v>
      </c>
      <c r="P15" s="352">
        <v>75280</v>
      </c>
      <c r="Q15" s="3">
        <f>O15*P15</f>
        <v>-75280</v>
      </c>
      <c r="T15" s="3">
        <v>1</v>
      </c>
      <c r="U15">
        <v>-1</v>
      </c>
      <c r="V15" s="14">
        <v>28761</v>
      </c>
      <c r="W15" s="3">
        <f>U15*V15</f>
        <v>-28761</v>
      </c>
      <c r="AD15" s="21" t="str">
        <f>IF(AG15&lt;&gt;0,IF(AND(AF15&lt;$AF$1,AE15="Call"),"IN","OUT"),"Empty")</f>
        <v>Empty</v>
      </c>
      <c r="AE15" s="16" t="s">
        <v>1</v>
      </c>
      <c r="AF15" s="20">
        <v>73000</v>
      </c>
      <c r="AI15" s="23" t="str">
        <f>IF(AND(AF15&lt;$AF$1,AE15="Call",AG15&lt;&gt;0),AG15,"---")</f>
        <v>---</v>
      </c>
      <c r="AL15" s="52">
        <v>78500</v>
      </c>
      <c r="AM15" s="52"/>
      <c r="AN15" s="52"/>
      <c r="AO15" s="53"/>
      <c r="AP15" s="53"/>
      <c r="AQ15" s="53"/>
      <c r="AT15">
        <v>74500</v>
      </c>
      <c r="AU15">
        <v>179</v>
      </c>
      <c r="AV15">
        <v>3</v>
      </c>
      <c r="AW15">
        <f>AU15*AV15</f>
        <v>537</v>
      </c>
    </row>
    <row r="16" spans="1:50" ht="15.75" thickBot="1">
      <c r="B16" s="3">
        <f>B15+1</f>
        <v>2</v>
      </c>
      <c r="C16">
        <v>-1</v>
      </c>
      <c r="D16">
        <v>78672</v>
      </c>
      <c r="E16" s="3">
        <f t="shared" ref="E16:E32" si="6">C16*D16</f>
        <v>-78672</v>
      </c>
      <c r="H16" s="3">
        <f>H15+1</f>
        <v>2</v>
      </c>
      <c r="I16">
        <v>3</v>
      </c>
      <c r="J16">
        <v>260</v>
      </c>
      <c r="K16" s="3">
        <f t="shared" ref="K16:K30" si="7">I16*J16</f>
        <v>780</v>
      </c>
      <c r="N16" s="3">
        <f>N15+1</f>
        <v>2</v>
      </c>
      <c r="O16">
        <v>-1</v>
      </c>
      <c r="P16" s="352">
        <v>74985</v>
      </c>
      <c r="Q16" s="3">
        <f t="shared" ref="Q16:Q204" si="8">O16*P16</f>
        <v>-74985</v>
      </c>
      <c r="R16" s="3">
        <f>Q16-Q15</f>
        <v>295</v>
      </c>
      <c r="T16" s="3">
        <f>T15+1</f>
        <v>2</v>
      </c>
      <c r="U16">
        <v>-1</v>
      </c>
      <c r="V16">
        <v>29414</v>
      </c>
      <c r="W16" s="3">
        <f t="shared" ref="W16:W273" si="9">U16*V16</f>
        <v>-29414</v>
      </c>
      <c r="AD16" s="21" t="str">
        <f>IF(AG16&lt;&gt;0,IF(AND(AF16&gt;$AF$1,AE16="Put"),"IN","Out"),"Empty")</f>
        <v>Empty</v>
      </c>
      <c r="AE16" s="17" t="s">
        <v>3</v>
      </c>
      <c r="AF16" s="20">
        <v>73000</v>
      </c>
      <c r="AI16" s="23" t="str">
        <f>IF(AND(AF16&gt;$AF$1,AE16="Put",AG16&lt;&gt;0),-AG16,"---")</f>
        <v>---</v>
      </c>
      <c r="AT16">
        <v>73500</v>
      </c>
      <c r="AU16">
        <v>93</v>
      </c>
      <c r="AV16">
        <v>4</v>
      </c>
      <c r="AW16">
        <f>AU16*AV16</f>
        <v>372</v>
      </c>
    </row>
    <row r="17" spans="2:49">
      <c r="B17" s="3">
        <f t="shared" ref="B17:B32" si="10">B16+1</f>
        <v>3</v>
      </c>
      <c r="C17">
        <v>-1</v>
      </c>
      <c r="D17">
        <v>79084</v>
      </c>
      <c r="E17" s="3">
        <f t="shared" si="6"/>
        <v>-79084</v>
      </c>
      <c r="H17" s="3">
        <f t="shared" ref="H17:H30" si="11">H16+1</f>
        <v>3</v>
      </c>
      <c r="I17">
        <v>-3</v>
      </c>
      <c r="J17">
        <v>55</v>
      </c>
      <c r="K17" s="3">
        <f t="shared" si="7"/>
        <v>-165</v>
      </c>
      <c r="N17" s="3">
        <f t="shared" ref="N17:N80" si="12">N16+1</f>
        <v>3</v>
      </c>
      <c r="O17">
        <v>-1</v>
      </c>
      <c r="P17" s="352">
        <v>75018</v>
      </c>
      <c r="Q17" s="3">
        <f t="shared" si="8"/>
        <v>-75018</v>
      </c>
      <c r="R17" s="3">
        <f t="shared" ref="R17:R80" si="13">Q17-Q16</f>
        <v>-33</v>
      </c>
      <c r="T17" s="3">
        <f t="shared" ref="T17:T80" si="14">T16+1</f>
        <v>3</v>
      </c>
      <c r="U17">
        <v>-1</v>
      </c>
      <c r="V17">
        <v>30174</v>
      </c>
      <c r="W17" s="3">
        <f t="shared" si="9"/>
        <v>-30174</v>
      </c>
      <c r="X17">
        <f t="shared" ref="X17:X65" si="15">V17-V16</f>
        <v>760</v>
      </c>
      <c r="Z17">
        <v>71500</v>
      </c>
      <c r="AD17" s="21" t="str">
        <f>IF(AG17&lt;&gt;0,IF(AND(AF17&lt;$AF$1,AE17="Call"),"IN","OUT"),"Empty")</f>
        <v>Empty</v>
      </c>
      <c r="AE17" s="16" t="s">
        <v>1</v>
      </c>
      <c r="AF17" s="20">
        <v>73500</v>
      </c>
      <c r="AI17" s="23" t="str">
        <f>IF(AND(AF17&lt;$AF$1,AE17="Call",AG17&lt;&gt;0),AG17,"---")</f>
        <v>---</v>
      </c>
      <c r="AW17">
        <f>SUM(AW15:AW16)</f>
        <v>909</v>
      </c>
    </row>
    <row r="18" spans="2:49" ht="15.75" thickBot="1">
      <c r="B18" s="3">
        <f t="shared" si="10"/>
        <v>4</v>
      </c>
      <c r="C18">
        <v>1</v>
      </c>
      <c r="D18">
        <v>79041</v>
      </c>
      <c r="E18" s="3">
        <f t="shared" si="6"/>
        <v>79041</v>
      </c>
      <c r="H18" s="3">
        <f t="shared" si="11"/>
        <v>4</v>
      </c>
      <c r="I18">
        <v>-3</v>
      </c>
      <c r="J18">
        <v>60</v>
      </c>
      <c r="K18" s="3">
        <f t="shared" si="7"/>
        <v>-180</v>
      </c>
      <c r="N18" s="3">
        <f t="shared" si="12"/>
        <v>4</v>
      </c>
      <c r="O18">
        <v>-1</v>
      </c>
      <c r="P18" s="352">
        <v>74922</v>
      </c>
      <c r="Q18" s="3">
        <f t="shared" si="8"/>
        <v>-74922</v>
      </c>
      <c r="R18" s="3">
        <f t="shared" si="13"/>
        <v>96</v>
      </c>
      <c r="T18" s="3">
        <f t="shared" si="14"/>
        <v>4</v>
      </c>
      <c r="U18">
        <v>1</v>
      </c>
      <c r="V18">
        <v>29976</v>
      </c>
      <c r="W18" s="3">
        <f t="shared" si="9"/>
        <v>29976</v>
      </c>
      <c r="X18">
        <f t="shared" si="15"/>
        <v>-198</v>
      </c>
      <c r="Z18">
        <f>(Z19+Z17)/2</f>
        <v>74500</v>
      </c>
      <c r="AD18" s="21" t="str">
        <f>IF(AG18&lt;&gt;0,IF(AND(AF18&gt;$AF$1,AE18="Put"),"IN","Out"),"Empty")</f>
        <v>Empty</v>
      </c>
      <c r="AE18" s="17" t="s">
        <v>3</v>
      </c>
      <c r="AF18" s="20">
        <v>73500</v>
      </c>
      <c r="AI18" s="23" t="str">
        <f>IF(AND(AF18&gt;$AF$1,AE18="Put",AG18&lt;&gt;0),-AG18,"---")</f>
        <v>---</v>
      </c>
      <c r="AT18">
        <v>75000</v>
      </c>
      <c r="AU18">
        <v>82</v>
      </c>
      <c r="AV18">
        <v>4</v>
      </c>
      <c r="AW18">
        <f>AU18*AV18</f>
        <v>328</v>
      </c>
    </row>
    <row r="19" spans="2:49">
      <c r="B19" s="3">
        <f t="shared" si="10"/>
        <v>5</v>
      </c>
      <c r="C19">
        <v>1</v>
      </c>
      <c r="D19">
        <v>78955</v>
      </c>
      <c r="E19" s="3">
        <f t="shared" si="6"/>
        <v>78955</v>
      </c>
      <c r="H19" s="3">
        <f t="shared" si="11"/>
        <v>5</v>
      </c>
      <c r="I19">
        <v>-2</v>
      </c>
      <c r="J19">
        <v>65</v>
      </c>
      <c r="K19" s="3">
        <f t="shared" si="7"/>
        <v>-130</v>
      </c>
      <c r="N19" s="3">
        <f t="shared" si="12"/>
        <v>5</v>
      </c>
      <c r="O19">
        <v>-1</v>
      </c>
      <c r="P19" s="352">
        <v>75041</v>
      </c>
      <c r="Q19" s="3">
        <f t="shared" si="8"/>
        <v>-75041</v>
      </c>
      <c r="R19" s="3">
        <f t="shared" si="13"/>
        <v>-119</v>
      </c>
      <c r="T19" s="3">
        <f t="shared" si="14"/>
        <v>5</v>
      </c>
      <c r="U19">
        <v>-1</v>
      </c>
      <c r="V19">
        <v>30046</v>
      </c>
      <c r="W19" s="3">
        <f t="shared" si="9"/>
        <v>-30046</v>
      </c>
      <c r="X19">
        <f t="shared" si="15"/>
        <v>70</v>
      </c>
      <c r="Z19">
        <v>77500</v>
      </c>
      <c r="AA19" s="14"/>
      <c r="AD19" s="21" t="str">
        <f>IF(AG19&lt;&gt;0,IF(AND(AF19&lt;$AF$1,AE19="Call"),"IN","OUT"),"Empty")</f>
        <v>Empty</v>
      </c>
      <c r="AE19" s="16" t="s">
        <v>1</v>
      </c>
      <c r="AF19" s="20">
        <v>74000</v>
      </c>
      <c r="AI19" s="23" t="str">
        <f>IF(AND(AF19&lt;$AF$1,AE19="Call",AG19&lt;&gt;0),AG19,"---")</f>
        <v>---</v>
      </c>
      <c r="AT19">
        <v>73000</v>
      </c>
      <c r="AU19">
        <v>29</v>
      </c>
      <c r="AV19">
        <v>6</v>
      </c>
      <c r="AW19">
        <f>AU19*AV19</f>
        <v>174</v>
      </c>
    </row>
    <row r="20" spans="2:49" ht="15.75" thickBot="1">
      <c r="B20" s="3">
        <f t="shared" si="10"/>
        <v>6</v>
      </c>
      <c r="C20">
        <v>-1</v>
      </c>
      <c r="D20">
        <v>79039</v>
      </c>
      <c r="E20" s="3">
        <f t="shared" si="6"/>
        <v>-79039</v>
      </c>
      <c r="H20" s="3">
        <f t="shared" si="11"/>
        <v>6</v>
      </c>
      <c r="I20">
        <v>-2</v>
      </c>
      <c r="J20">
        <v>66</v>
      </c>
      <c r="K20" s="3">
        <f t="shared" si="7"/>
        <v>-132</v>
      </c>
      <c r="N20" s="3">
        <f t="shared" si="12"/>
        <v>6</v>
      </c>
      <c r="O20">
        <v>1</v>
      </c>
      <c r="P20" s="352">
        <v>75182</v>
      </c>
      <c r="Q20" s="3">
        <f t="shared" si="8"/>
        <v>75182</v>
      </c>
      <c r="R20" s="3">
        <f t="shared" si="13"/>
        <v>150223</v>
      </c>
      <c r="S20">
        <v>34300</v>
      </c>
      <c r="T20" s="3">
        <f t="shared" si="14"/>
        <v>6</v>
      </c>
      <c r="U20">
        <v>-1</v>
      </c>
      <c r="V20">
        <v>30792</v>
      </c>
      <c r="W20" s="3">
        <f t="shared" si="9"/>
        <v>-30792</v>
      </c>
      <c r="X20">
        <f t="shared" si="15"/>
        <v>746</v>
      </c>
      <c r="AD20" s="21" t="str">
        <f>IF(AG20&lt;&gt;0,IF(AND(AF20&gt;$AF$1,AE20="Put"),"IN","Out"),"Empty")</f>
        <v>Empty</v>
      </c>
      <c r="AE20" s="17" t="s">
        <v>3</v>
      </c>
      <c r="AF20" s="20">
        <v>74000</v>
      </c>
      <c r="AI20" s="23" t="str">
        <f>IF(AND(AF20&gt;$AF$1,AE20="Put",AG20&lt;&gt;0),-AG20,"---")</f>
        <v>---</v>
      </c>
      <c r="AW20">
        <f>SUM(AW18:AW19)</f>
        <v>502</v>
      </c>
    </row>
    <row r="21" spans="2:49">
      <c r="B21" s="3">
        <f t="shared" si="10"/>
        <v>7</v>
      </c>
      <c r="C21">
        <v>-1</v>
      </c>
      <c r="D21">
        <v>79114</v>
      </c>
      <c r="E21" s="3">
        <f t="shared" si="6"/>
        <v>-79114</v>
      </c>
      <c r="H21" s="3">
        <f t="shared" si="11"/>
        <v>7</v>
      </c>
      <c r="K21" s="3">
        <f t="shared" si="7"/>
        <v>0</v>
      </c>
      <c r="N21" s="3">
        <f t="shared" si="12"/>
        <v>7</v>
      </c>
      <c r="O21">
        <v>-1</v>
      </c>
      <c r="P21" s="352">
        <v>75567</v>
      </c>
      <c r="Q21" s="3">
        <f t="shared" si="8"/>
        <v>-75567</v>
      </c>
      <c r="R21" s="3">
        <f t="shared" si="13"/>
        <v>-150749</v>
      </c>
      <c r="T21" s="3">
        <f t="shared" si="14"/>
        <v>7</v>
      </c>
      <c r="U21">
        <v>-1</v>
      </c>
      <c r="V21">
        <v>30986</v>
      </c>
      <c r="W21" s="3">
        <f>U21*V21</f>
        <v>-30986</v>
      </c>
      <c r="X21">
        <f t="shared" si="15"/>
        <v>194</v>
      </c>
      <c r="AD21" s="21" t="str">
        <f>IF(AG21&lt;&gt;0,IF(AND(AF21&lt;$AF$1,AE21="Call"),"IN","OUT"),"Empty")</f>
        <v>IN</v>
      </c>
      <c r="AE21" s="16" t="s">
        <v>1</v>
      </c>
      <c r="AF21" s="20">
        <v>74500</v>
      </c>
      <c r="AG21" s="347" t="s">
        <v>34</v>
      </c>
      <c r="AI21" s="23" t="str">
        <f>IF(AND(AF21&lt;$AF$1,AE21="Call",AG21&lt;&gt;0),AG21,"---")</f>
        <v xml:space="preserve"> </v>
      </c>
      <c r="AJ21" s="8"/>
    </row>
    <row r="22" spans="2:49" ht="15.75" thickBot="1">
      <c r="B22" s="3">
        <f t="shared" si="10"/>
        <v>8</v>
      </c>
      <c r="C22">
        <v>-1</v>
      </c>
      <c r="D22">
        <v>79213</v>
      </c>
      <c r="E22" s="3">
        <f t="shared" si="6"/>
        <v>-79213</v>
      </c>
      <c r="H22" s="3">
        <f t="shared" si="11"/>
        <v>8</v>
      </c>
      <c r="K22" s="3">
        <f t="shared" si="7"/>
        <v>0</v>
      </c>
      <c r="N22" s="3">
        <f t="shared" si="12"/>
        <v>8</v>
      </c>
      <c r="O22">
        <v>1</v>
      </c>
      <c r="P22" s="352">
        <v>75415</v>
      </c>
      <c r="Q22" s="3">
        <f t="shared" si="8"/>
        <v>75415</v>
      </c>
      <c r="R22" s="3">
        <f t="shared" si="13"/>
        <v>150982</v>
      </c>
      <c r="T22" s="3">
        <f t="shared" si="14"/>
        <v>8</v>
      </c>
      <c r="U22">
        <v>1</v>
      </c>
      <c r="V22">
        <v>30550</v>
      </c>
      <c r="W22" s="3">
        <f t="shared" si="9"/>
        <v>30550</v>
      </c>
      <c r="X22">
        <f t="shared" si="15"/>
        <v>-436</v>
      </c>
      <c r="AD22" s="21" t="str">
        <f>IF(AG22&lt;&gt;0,IF(AND(AF22&gt;$AF$1,AE22="Put"),"IN","Out"),"Empty")</f>
        <v>Empty</v>
      </c>
      <c r="AE22" s="17" t="s">
        <v>3</v>
      </c>
      <c r="AF22" s="20">
        <v>74500</v>
      </c>
      <c r="AI22" s="23" t="str">
        <f>IF(AND(AF22&gt;$AF$1,AE22="Put",AG22&lt;&gt;0),-AG22,"---")</f>
        <v>---</v>
      </c>
      <c r="AJ22" s="39"/>
      <c r="AT22">
        <v>75500</v>
      </c>
      <c r="AU22">
        <v>41</v>
      </c>
      <c r="AV22">
        <v>7</v>
      </c>
      <c r="AW22">
        <f>AU22*AV22</f>
        <v>287</v>
      </c>
    </row>
    <row r="23" spans="2:49">
      <c r="B23" s="3">
        <f t="shared" si="10"/>
        <v>9</v>
      </c>
      <c r="C23">
        <v>1</v>
      </c>
      <c r="D23">
        <v>79150</v>
      </c>
      <c r="E23" s="3">
        <f t="shared" si="6"/>
        <v>79150</v>
      </c>
      <c r="H23" s="3">
        <f t="shared" si="11"/>
        <v>9</v>
      </c>
      <c r="K23" s="3">
        <f t="shared" si="7"/>
        <v>0</v>
      </c>
      <c r="N23" s="3">
        <f t="shared" si="12"/>
        <v>9</v>
      </c>
      <c r="O23">
        <v>1</v>
      </c>
      <c r="P23" s="352">
        <v>75127</v>
      </c>
      <c r="Q23" s="3">
        <f t="shared" si="8"/>
        <v>75127</v>
      </c>
      <c r="R23" s="3">
        <f t="shared" si="13"/>
        <v>-288</v>
      </c>
      <c r="T23" s="3">
        <f t="shared" si="14"/>
        <v>9</v>
      </c>
      <c r="U23">
        <v>1</v>
      </c>
      <c r="V23">
        <v>30385</v>
      </c>
      <c r="W23" s="3">
        <f t="shared" si="9"/>
        <v>30385</v>
      </c>
      <c r="X23">
        <f t="shared" si="15"/>
        <v>-165</v>
      </c>
      <c r="AD23" s="21" t="str">
        <f>IF(AG23&lt;&gt;0,IF(AND(AF23&lt;$AF$1,AE23="Call"),"IN","OUT"),"Empty")</f>
        <v>IN</v>
      </c>
      <c r="AE23" s="16" t="s">
        <v>1</v>
      </c>
      <c r="AF23" s="20">
        <v>75000</v>
      </c>
      <c r="AG23" s="347" t="s">
        <v>34</v>
      </c>
      <c r="AI23" s="23" t="str">
        <f>IF(AND(AF23&lt;$AF$1,AE23="Call",AG23&lt;&gt;0),AG23,"---")</f>
        <v xml:space="preserve"> </v>
      </c>
      <c r="AT23">
        <v>72500</v>
      </c>
      <c r="AU23">
        <v>9</v>
      </c>
      <c r="AV23">
        <v>10</v>
      </c>
      <c r="AW23">
        <f>AU23*AV23</f>
        <v>90</v>
      </c>
    </row>
    <row r="24" spans="2:49" ht="15.75" thickBot="1">
      <c r="B24" s="3">
        <f t="shared" si="10"/>
        <v>10</v>
      </c>
      <c r="C24">
        <v>1</v>
      </c>
      <c r="D24">
        <v>79114</v>
      </c>
      <c r="E24" s="3">
        <f t="shared" si="6"/>
        <v>79114</v>
      </c>
      <c r="H24" s="3">
        <f t="shared" si="11"/>
        <v>10</v>
      </c>
      <c r="K24" s="3">
        <f t="shared" si="7"/>
        <v>0</v>
      </c>
      <c r="N24" s="3">
        <f t="shared" si="12"/>
        <v>10</v>
      </c>
      <c r="O24">
        <v>-1</v>
      </c>
      <c r="P24" s="352">
        <v>75274</v>
      </c>
      <c r="Q24" s="3">
        <f t="shared" si="8"/>
        <v>-75274</v>
      </c>
      <c r="R24" s="3">
        <f t="shared" si="13"/>
        <v>-150401</v>
      </c>
      <c r="T24" s="3">
        <f t="shared" si="14"/>
        <v>10</v>
      </c>
      <c r="U24">
        <v>1</v>
      </c>
      <c r="V24">
        <v>29461</v>
      </c>
      <c r="W24" s="3">
        <f>U24*V24</f>
        <v>29461</v>
      </c>
      <c r="X24">
        <f t="shared" si="15"/>
        <v>-924</v>
      </c>
      <c r="AD24" s="21" t="str">
        <f>IF(AG24&lt;&gt;0,IF(AND(AF24&gt;$AF$1,AE24="Put"),"IN","Out"),"Empty")</f>
        <v>Out</v>
      </c>
      <c r="AE24" s="17" t="s">
        <v>3</v>
      </c>
      <c r="AF24" s="20">
        <v>75000</v>
      </c>
      <c r="AG24" s="347">
        <v>13</v>
      </c>
      <c r="AH24" s="20"/>
      <c r="AI24" s="23" t="str">
        <f>IF(AND(AF24&gt;$AF$1,AE24="Put",AG24&lt;&gt;0),-AG24,"---")</f>
        <v>---</v>
      </c>
      <c r="AJ24" s="14"/>
      <c r="AW24">
        <f>SUM(AW22:AW23)</f>
        <v>377</v>
      </c>
    </row>
    <row r="25" spans="2:49">
      <c r="B25" s="3">
        <f t="shared" si="10"/>
        <v>11</v>
      </c>
      <c r="C25">
        <v>1</v>
      </c>
      <c r="D25">
        <v>79011</v>
      </c>
      <c r="E25" s="3">
        <f t="shared" si="6"/>
        <v>79011</v>
      </c>
      <c r="H25" s="3">
        <f t="shared" si="11"/>
        <v>11</v>
      </c>
      <c r="K25" s="3">
        <f t="shared" si="7"/>
        <v>0</v>
      </c>
      <c r="N25" s="3">
        <f t="shared" si="12"/>
        <v>11</v>
      </c>
      <c r="O25">
        <v>1</v>
      </c>
      <c r="P25" s="352">
        <v>74754</v>
      </c>
      <c r="Q25" s="3">
        <f t="shared" si="8"/>
        <v>74754</v>
      </c>
      <c r="R25" s="3">
        <f t="shared" si="13"/>
        <v>150028</v>
      </c>
      <c r="T25" s="3">
        <f t="shared" si="14"/>
        <v>11</v>
      </c>
      <c r="U25">
        <v>-1</v>
      </c>
      <c r="V25">
        <v>29207</v>
      </c>
      <c r="W25" s="3">
        <f>U25*V25</f>
        <v>-29207</v>
      </c>
      <c r="X25">
        <f t="shared" si="15"/>
        <v>-254</v>
      </c>
      <c r="AD25" s="21" t="str">
        <f>IF(AG25&lt;&gt;0,IF(AND(AF25&lt;$AF$1,AE25="Call"),"IN","OUT"),"Empty")</f>
        <v>OUT</v>
      </c>
      <c r="AE25" s="16" t="s">
        <v>1</v>
      </c>
      <c r="AF25" s="20">
        <v>75500</v>
      </c>
      <c r="AG25" s="347" t="s">
        <v>34</v>
      </c>
      <c r="AI25" s="23" t="str">
        <f>IF(AND(AF25&lt;$AF$1,AE25="Call",AG25&lt;&gt;0),AG25,"---")</f>
        <v>---</v>
      </c>
      <c r="AT25">
        <v>77000</v>
      </c>
      <c r="AU25">
        <v>117</v>
      </c>
      <c r="AV25">
        <v>4</v>
      </c>
      <c r="AW25">
        <f>AU25*AV25</f>
        <v>468</v>
      </c>
    </row>
    <row r="26" spans="2:49" ht="15.75" thickBot="1">
      <c r="B26" s="3">
        <f t="shared" si="10"/>
        <v>12</v>
      </c>
      <c r="C26">
        <v>-1</v>
      </c>
      <c r="D26">
        <v>79192</v>
      </c>
      <c r="E26" s="3">
        <f t="shared" si="6"/>
        <v>-79192</v>
      </c>
      <c r="H26" s="3">
        <f t="shared" si="11"/>
        <v>12</v>
      </c>
      <c r="K26" s="3">
        <f t="shared" si="7"/>
        <v>0</v>
      </c>
      <c r="N26" s="3">
        <f t="shared" si="12"/>
        <v>12</v>
      </c>
      <c r="O26">
        <v>-1</v>
      </c>
      <c r="P26" s="352">
        <v>74978</v>
      </c>
      <c r="Q26" s="3">
        <f t="shared" si="8"/>
        <v>-74978</v>
      </c>
      <c r="R26" s="3">
        <f t="shared" si="13"/>
        <v>-149732</v>
      </c>
      <c r="T26" s="3">
        <f t="shared" si="14"/>
        <v>12</v>
      </c>
      <c r="U26">
        <v>-1</v>
      </c>
      <c r="V26">
        <v>29222</v>
      </c>
      <c r="W26" s="3">
        <f t="shared" si="9"/>
        <v>-29222</v>
      </c>
      <c r="X26">
        <f t="shared" si="15"/>
        <v>15</v>
      </c>
      <c r="AD26" s="21" t="str">
        <f>IF(AG26&lt;&gt;0,IF(AND(AF26&gt;$AF$1,AE26="Put"),"IN","Out"),"Empty")</f>
        <v>Empty</v>
      </c>
      <c r="AE26" s="17" t="s">
        <v>3</v>
      </c>
      <c r="AF26" s="20">
        <v>75500</v>
      </c>
      <c r="AI26" s="23" t="str">
        <f>IF(AND(AF26&gt;$AF$1,AE26="Put",AG26&lt;&gt;0),-AG26,"---")</f>
        <v>---</v>
      </c>
      <c r="AT26">
        <v>77000</v>
      </c>
      <c r="AU26">
        <v>150</v>
      </c>
      <c r="AV26">
        <v>3</v>
      </c>
      <c r="AW26">
        <f>AU26*AV26</f>
        <v>450</v>
      </c>
    </row>
    <row r="27" spans="2:49">
      <c r="B27" s="3">
        <f t="shared" si="10"/>
        <v>13</v>
      </c>
      <c r="C27">
        <v>1</v>
      </c>
      <c r="D27">
        <v>79223</v>
      </c>
      <c r="E27" s="3">
        <f t="shared" si="6"/>
        <v>79223</v>
      </c>
      <c r="H27" s="3">
        <f t="shared" si="11"/>
        <v>13</v>
      </c>
      <c r="K27" s="3">
        <f t="shared" si="7"/>
        <v>0</v>
      </c>
      <c r="N27" s="3">
        <f t="shared" si="12"/>
        <v>13</v>
      </c>
      <c r="O27">
        <v>1</v>
      </c>
      <c r="P27" s="352">
        <v>74578</v>
      </c>
      <c r="Q27" s="3">
        <f t="shared" si="8"/>
        <v>74578</v>
      </c>
      <c r="R27" s="3">
        <f t="shared" si="13"/>
        <v>149556</v>
      </c>
      <c r="T27" s="3">
        <f t="shared" si="14"/>
        <v>13</v>
      </c>
      <c r="U27">
        <v>-1</v>
      </c>
      <c r="V27">
        <v>29729</v>
      </c>
      <c r="W27" s="3">
        <f t="shared" si="9"/>
        <v>-29729</v>
      </c>
      <c r="X27">
        <f t="shared" si="15"/>
        <v>507</v>
      </c>
      <c r="AD27" s="21" t="str">
        <f>IF(AG27&lt;&gt;0,IF(AND(AF27&lt;$AF$1,AE27="Call"),"IN","OUT"),"Empty")</f>
        <v>Empty</v>
      </c>
      <c r="AE27" s="16" t="s">
        <v>1</v>
      </c>
      <c r="AF27" s="20">
        <v>76000</v>
      </c>
      <c r="AI27" s="23" t="str">
        <f>IF(AND(AF27&lt;$AF$1,AE27="Call",AG27&lt;&gt;0),AG27,"---")</f>
        <v>---</v>
      </c>
      <c r="AT27">
        <v>76500</v>
      </c>
      <c r="AU27">
        <v>251</v>
      </c>
      <c r="AV27">
        <v>2</v>
      </c>
      <c r="AW27">
        <f>AU27*AV27</f>
        <v>502</v>
      </c>
    </row>
    <row r="28" spans="2:49" ht="15.75" thickBot="1">
      <c r="B28" s="3">
        <f t="shared" si="10"/>
        <v>14</v>
      </c>
      <c r="C28">
        <v>1</v>
      </c>
      <c r="D28">
        <v>78872</v>
      </c>
      <c r="E28" s="3">
        <f t="shared" si="6"/>
        <v>78872</v>
      </c>
      <c r="H28" s="3">
        <f t="shared" si="11"/>
        <v>14</v>
      </c>
      <c r="K28" s="3">
        <f t="shared" si="7"/>
        <v>0</v>
      </c>
      <c r="N28" s="3">
        <f t="shared" si="12"/>
        <v>14</v>
      </c>
      <c r="O28">
        <v>-1</v>
      </c>
      <c r="P28" s="352">
        <v>74744</v>
      </c>
      <c r="Q28" s="3">
        <f t="shared" si="8"/>
        <v>-74744</v>
      </c>
      <c r="R28" s="3">
        <f t="shared" si="13"/>
        <v>-149322</v>
      </c>
      <c r="T28" s="3">
        <f t="shared" si="14"/>
        <v>14</v>
      </c>
      <c r="U28">
        <v>-1</v>
      </c>
      <c r="V28">
        <v>29840</v>
      </c>
      <c r="W28" s="3">
        <f t="shared" si="9"/>
        <v>-29840</v>
      </c>
      <c r="X28">
        <f t="shared" si="15"/>
        <v>111</v>
      </c>
      <c r="Z28">
        <v>750</v>
      </c>
      <c r="AD28" s="21" t="str">
        <f>IF(AG28&lt;&gt;0,IF(AND(AF28&gt;$AF$1,AE28="Put"),"IN","Out"),"Empty")</f>
        <v>Empty</v>
      </c>
      <c r="AE28" s="17" t="s">
        <v>3</v>
      </c>
      <c r="AF28" s="20">
        <v>76000</v>
      </c>
      <c r="AH28" s="83"/>
      <c r="AI28" s="23" t="str">
        <f>IF(AND(AF28&gt;$AF$1,AE28="Put",AG28&lt;&gt;0),-AG28,"---")</f>
        <v>---</v>
      </c>
    </row>
    <row r="29" spans="2:49">
      <c r="B29" s="3">
        <f t="shared" si="10"/>
        <v>15</v>
      </c>
      <c r="C29">
        <v>1</v>
      </c>
      <c r="D29">
        <v>74077</v>
      </c>
      <c r="E29" s="3">
        <f t="shared" si="6"/>
        <v>74077</v>
      </c>
      <c r="H29" s="3">
        <f t="shared" si="11"/>
        <v>15</v>
      </c>
      <c r="K29" s="3">
        <f t="shared" si="7"/>
        <v>0</v>
      </c>
      <c r="N29" s="3">
        <f t="shared" si="12"/>
        <v>15</v>
      </c>
      <c r="O29">
        <v>1</v>
      </c>
      <c r="P29" s="352">
        <v>74690</v>
      </c>
      <c r="Q29" s="3">
        <f t="shared" si="8"/>
        <v>74690</v>
      </c>
      <c r="R29" s="3">
        <f t="shared" si="13"/>
        <v>149434</v>
      </c>
      <c r="T29" s="3">
        <f t="shared" si="14"/>
        <v>15</v>
      </c>
      <c r="U29">
        <v>1</v>
      </c>
      <c r="V29">
        <v>29540</v>
      </c>
      <c r="W29" s="3">
        <f t="shared" si="9"/>
        <v>29540</v>
      </c>
      <c r="X29">
        <f t="shared" si="15"/>
        <v>-300</v>
      </c>
      <c r="AD29" s="21" t="str">
        <f>IF(AG29&lt;&gt;0,IF(AND(AF29&lt;$AF$1,AE29="Call"),"IN","OUT"),"Empty")</f>
        <v>Empty</v>
      </c>
      <c r="AE29" s="16" t="s">
        <v>1</v>
      </c>
      <c r="AF29" s="20">
        <v>76500</v>
      </c>
      <c r="AI29" s="23" t="str">
        <f>IF(AND(AF29&lt;$AF$1,AE29="Call",AG29&lt;&gt;0),AG29,"---")</f>
        <v>---</v>
      </c>
    </row>
    <row r="30" spans="2:49" ht="15.75" thickBot="1">
      <c r="B30" s="3">
        <f t="shared" si="10"/>
        <v>16</v>
      </c>
      <c r="E30" s="3">
        <f t="shared" si="6"/>
        <v>0</v>
      </c>
      <c r="H30" s="3">
        <f t="shared" si="11"/>
        <v>16</v>
      </c>
      <c r="K30" s="3">
        <f t="shared" si="7"/>
        <v>0</v>
      </c>
      <c r="N30" s="3">
        <f t="shared" si="12"/>
        <v>16</v>
      </c>
      <c r="O30">
        <v>-1</v>
      </c>
      <c r="P30" s="352">
        <v>74772</v>
      </c>
      <c r="Q30" s="3">
        <f t="shared" si="8"/>
        <v>-74772</v>
      </c>
      <c r="R30" s="3">
        <f t="shared" si="13"/>
        <v>-149462</v>
      </c>
      <c r="T30" s="3">
        <f t="shared" si="14"/>
        <v>16</v>
      </c>
      <c r="U30">
        <v>1</v>
      </c>
      <c r="V30">
        <v>29241</v>
      </c>
      <c r="W30" s="3">
        <f t="shared" si="9"/>
        <v>29241</v>
      </c>
      <c r="X30">
        <f t="shared" si="15"/>
        <v>-299</v>
      </c>
      <c r="AD30" s="21" t="str">
        <f>IF(AG30&lt;&gt;0,IF(AND(AF30&gt;$AF$1,AE30="Put"),"IN","Out"),"Empty")</f>
        <v>Empty</v>
      </c>
      <c r="AE30" s="18" t="s">
        <v>3</v>
      </c>
      <c r="AF30" s="20">
        <v>76500</v>
      </c>
      <c r="AI30" s="23" t="str">
        <f>IF(AND(AF30&gt;$AF$1,AE30="Put",AG30&lt;&gt;0),-AG30,"---")</f>
        <v>---</v>
      </c>
    </row>
    <row r="31" spans="2:49">
      <c r="B31" s="3">
        <f t="shared" si="10"/>
        <v>17</v>
      </c>
      <c r="E31" s="3">
        <f t="shared" si="6"/>
        <v>0</v>
      </c>
      <c r="N31" s="3">
        <f t="shared" si="12"/>
        <v>17</v>
      </c>
      <c r="O31">
        <v>-1</v>
      </c>
      <c r="P31" s="352">
        <v>75953</v>
      </c>
      <c r="Q31" s="3">
        <f t="shared" si="8"/>
        <v>-75953</v>
      </c>
      <c r="R31" s="3">
        <f t="shared" si="13"/>
        <v>-1181</v>
      </c>
      <c r="T31" s="3">
        <f t="shared" si="14"/>
        <v>17</v>
      </c>
      <c r="U31">
        <v>-1</v>
      </c>
      <c r="V31">
        <v>29421</v>
      </c>
      <c r="W31" s="3">
        <f t="shared" si="9"/>
        <v>-29421</v>
      </c>
      <c r="X31">
        <f t="shared" si="15"/>
        <v>180</v>
      </c>
      <c r="AD31" s="21" t="str">
        <f>IF(AG31&lt;&gt;0,IF(AND(AF31&lt;$AF$1,AE31="Call"),"IN","OUT"),"Empty")</f>
        <v>Empty</v>
      </c>
      <c r="AE31" s="16" t="s">
        <v>1</v>
      </c>
      <c r="AF31" s="341">
        <v>77000</v>
      </c>
      <c r="AI31" s="23" t="str">
        <f>IF(AND(AF31&lt;$AF$1,AE31="Call",AG31&lt;&gt;0),AG31,"---")</f>
        <v>---</v>
      </c>
    </row>
    <row r="32" spans="2:49" ht="15.75" thickBot="1">
      <c r="B32" s="3">
        <f t="shared" si="10"/>
        <v>18</v>
      </c>
      <c r="E32" s="3">
        <f t="shared" si="6"/>
        <v>0</v>
      </c>
      <c r="N32" s="3">
        <f t="shared" si="12"/>
        <v>18</v>
      </c>
      <c r="O32">
        <v>1</v>
      </c>
      <c r="P32" s="352">
        <v>75655</v>
      </c>
      <c r="Q32" s="3">
        <f t="shared" si="8"/>
        <v>75655</v>
      </c>
      <c r="R32" s="3">
        <f t="shared" si="13"/>
        <v>151608</v>
      </c>
      <c r="T32" s="3">
        <f t="shared" si="14"/>
        <v>18</v>
      </c>
      <c r="U32">
        <v>-1</v>
      </c>
      <c r="V32">
        <v>29686</v>
      </c>
      <c r="W32" s="3">
        <f t="shared" si="9"/>
        <v>-29686</v>
      </c>
      <c r="X32">
        <f t="shared" si="15"/>
        <v>265</v>
      </c>
      <c r="AD32" s="21" t="str">
        <f>IF(AG32&lt;&gt;0,IF(AND(AF32&gt;$AF$1,AE32="Put"),"IN","Out"),"Empty")</f>
        <v>Empty</v>
      </c>
      <c r="AE32" s="19" t="s">
        <v>3</v>
      </c>
      <c r="AF32" s="20">
        <v>77000</v>
      </c>
      <c r="AI32" s="23" t="str">
        <f>IF(AND(AF32&gt;$AF$1,AE32="Put",AG32&lt;&gt;0),-AG32,"---")</f>
        <v>---</v>
      </c>
    </row>
    <row r="33" spans="14:40">
      <c r="N33" s="3">
        <f t="shared" si="12"/>
        <v>19</v>
      </c>
      <c r="O33">
        <v>-1</v>
      </c>
      <c r="P33" s="352">
        <v>76005</v>
      </c>
      <c r="Q33" s="3">
        <f t="shared" si="8"/>
        <v>-76005</v>
      </c>
      <c r="R33" s="3">
        <f t="shared" si="13"/>
        <v>-151660</v>
      </c>
      <c r="T33" s="3">
        <f t="shared" si="14"/>
        <v>19</v>
      </c>
      <c r="U33">
        <v>1</v>
      </c>
      <c r="V33">
        <v>29629</v>
      </c>
      <c r="W33" s="3">
        <f t="shared" si="9"/>
        <v>29629</v>
      </c>
      <c r="X33">
        <f t="shared" si="15"/>
        <v>-57</v>
      </c>
      <c r="AD33" s="21" t="str">
        <f>IF(AG33&lt;&gt;0,IF(AND(AF33&lt;$AF$1,AE33="Call"),"IN","OUT"),"Empty")</f>
        <v>Empty</v>
      </c>
      <c r="AE33" s="16" t="s">
        <v>1</v>
      </c>
      <c r="AF33" s="20">
        <v>77500</v>
      </c>
      <c r="AI33" s="23" t="str">
        <f>IF(AND(AF33&lt;$AF$1,AE33="Call",AG33&lt;&gt;0),AG33,"---")</f>
        <v>---</v>
      </c>
    </row>
    <row r="34" spans="14:40">
      <c r="N34" s="3">
        <f t="shared" si="12"/>
        <v>20</v>
      </c>
      <c r="O34">
        <v>-1</v>
      </c>
      <c r="P34" s="352">
        <v>76228</v>
      </c>
      <c r="Q34" s="3">
        <f t="shared" si="8"/>
        <v>-76228</v>
      </c>
      <c r="R34" s="3">
        <f t="shared" si="13"/>
        <v>-223</v>
      </c>
      <c r="T34" s="3">
        <f t="shared" si="14"/>
        <v>20</v>
      </c>
      <c r="U34">
        <v>1</v>
      </c>
      <c r="V34">
        <v>29486</v>
      </c>
      <c r="W34" s="3">
        <f t="shared" si="9"/>
        <v>29486</v>
      </c>
      <c r="X34">
        <f t="shared" si="15"/>
        <v>-143</v>
      </c>
      <c r="AD34" s="21" t="str">
        <f>IF(AG34&lt;&gt;0,IF(AND(AF34&gt;$AF$1,AE34="Put"),"IN","Out"),"Empty")</f>
        <v>Empty</v>
      </c>
      <c r="AE34" t="s">
        <v>3</v>
      </c>
      <c r="AF34" s="20">
        <v>77500</v>
      </c>
      <c r="AI34" s="23" t="str">
        <f>IF(AND(AF34&gt;$AF$1,AE34="Put",AG34&lt;&gt;0),-AG34,"---")</f>
        <v>---</v>
      </c>
    </row>
    <row r="35" spans="14:40">
      <c r="N35" s="3">
        <f t="shared" si="12"/>
        <v>21</v>
      </c>
      <c r="O35">
        <v>1</v>
      </c>
      <c r="P35" s="352">
        <v>75617</v>
      </c>
      <c r="Q35" s="3">
        <f t="shared" si="8"/>
        <v>75617</v>
      </c>
      <c r="R35" s="3">
        <f t="shared" si="13"/>
        <v>151845</v>
      </c>
      <c r="T35" s="3">
        <f t="shared" si="14"/>
        <v>21</v>
      </c>
      <c r="U35">
        <v>-1</v>
      </c>
      <c r="V35">
        <v>29695</v>
      </c>
      <c r="W35" s="3">
        <f t="shared" si="9"/>
        <v>-29695</v>
      </c>
      <c r="X35">
        <f t="shared" si="15"/>
        <v>209</v>
      </c>
      <c r="AD35" s="21" t="str">
        <f>IF(AG35&lt;&gt;0,IF(AND(AF35&lt;$AF$1,AE35="Call"),"IN","OUT"),"Empty")</f>
        <v>Empty</v>
      </c>
      <c r="AE35" t="s">
        <v>1</v>
      </c>
      <c r="AF35" s="20">
        <v>78000</v>
      </c>
      <c r="AG35" s="348"/>
      <c r="AI35" s="23" t="str">
        <f>IF(AND(AF35&lt;$AF$1,AE35="Call",AG35&lt;&gt;0),AG35,"---")</f>
        <v>---</v>
      </c>
    </row>
    <row r="36" spans="14:40">
      <c r="N36" s="3">
        <f t="shared" si="12"/>
        <v>22</v>
      </c>
      <c r="O36">
        <v>-1</v>
      </c>
      <c r="P36" s="352">
        <v>76454</v>
      </c>
      <c r="Q36" s="3">
        <f t="shared" si="8"/>
        <v>-76454</v>
      </c>
      <c r="R36" s="3">
        <f t="shared" si="13"/>
        <v>-152071</v>
      </c>
      <c r="T36" s="3">
        <f t="shared" si="14"/>
        <v>22</v>
      </c>
      <c r="U36">
        <v>1</v>
      </c>
      <c r="V36">
        <v>29434</v>
      </c>
      <c r="W36" s="3">
        <f t="shared" si="9"/>
        <v>29434</v>
      </c>
      <c r="X36">
        <f t="shared" si="15"/>
        <v>-261</v>
      </c>
      <c r="AD36" s="21" t="str">
        <f>IF(AG36&lt;&gt;0,IF(AND(AF36&gt;$AF$1,AE36="Put"),"IN","Out"),"Empty")</f>
        <v>Empty</v>
      </c>
      <c r="AE36" t="s">
        <v>3</v>
      </c>
      <c r="AF36" s="20">
        <v>78000</v>
      </c>
      <c r="AI36" s="23" t="str">
        <f>IF(AND(AF36&gt;$AF$1,AE36="Put",AG36&lt;&gt;0),-AG36,"---")</f>
        <v>---</v>
      </c>
    </row>
    <row r="37" spans="14:40">
      <c r="N37" s="3">
        <f t="shared" si="12"/>
        <v>23</v>
      </c>
      <c r="O37">
        <v>-1</v>
      </c>
      <c r="P37" s="352">
        <v>76671</v>
      </c>
      <c r="Q37" s="3">
        <f t="shared" si="8"/>
        <v>-76671</v>
      </c>
      <c r="R37" s="3">
        <f t="shared" si="13"/>
        <v>-217</v>
      </c>
      <c r="T37" s="3">
        <f t="shared" si="14"/>
        <v>23</v>
      </c>
      <c r="U37">
        <v>1</v>
      </c>
      <c r="V37">
        <v>29045</v>
      </c>
      <c r="W37" s="3">
        <f t="shared" si="9"/>
        <v>29045</v>
      </c>
      <c r="X37">
        <f t="shared" si="15"/>
        <v>-389</v>
      </c>
      <c r="AB37">
        <v>22.84</v>
      </c>
      <c r="AC37">
        <v>130.21</v>
      </c>
      <c r="AD37" s="21" t="str">
        <f>IF(AG37&lt;&gt;0,IF(AND(AF37&lt;$AF$1,AE37="Call"),"IN","OUT"),"Empty")</f>
        <v>Empty</v>
      </c>
      <c r="AE37" t="s">
        <v>1</v>
      </c>
      <c r="AF37" s="20">
        <v>78500</v>
      </c>
      <c r="AI37" s="23" t="str">
        <f>IF(AND(AF37&lt;$AF$1,AE37="Call",AG37&lt;&gt;0),AG37,"---")</f>
        <v>---</v>
      </c>
    </row>
    <row r="38" spans="14:40">
      <c r="N38" s="3">
        <f t="shared" si="12"/>
        <v>24</v>
      </c>
      <c r="O38">
        <v>1</v>
      </c>
      <c r="P38" s="352">
        <v>76514</v>
      </c>
      <c r="Q38" s="3">
        <f t="shared" si="8"/>
        <v>76514</v>
      </c>
      <c r="R38" s="3">
        <f t="shared" si="13"/>
        <v>153185</v>
      </c>
      <c r="T38" s="3">
        <f t="shared" si="14"/>
        <v>24</v>
      </c>
      <c r="U38">
        <v>-1</v>
      </c>
      <c r="V38">
        <v>29304</v>
      </c>
      <c r="W38" s="3">
        <f t="shared" si="9"/>
        <v>-29304</v>
      </c>
      <c r="X38">
        <f t="shared" si="15"/>
        <v>259</v>
      </c>
      <c r="AD38" s="21" t="str">
        <f>IF(AG38&lt;&gt;0,IF(AND(AF38&gt;$AF$1,AE38="Put"),"IN","Out"),"Empty")</f>
        <v>Empty</v>
      </c>
      <c r="AE38" t="s">
        <v>3</v>
      </c>
      <c r="AF38" s="20">
        <v>78500</v>
      </c>
      <c r="AI38" s="23" t="str">
        <f>IF(AND(AF38&gt;$AF$1,AE38="Put",AG38&lt;&gt;0),-AG38,"---")</f>
        <v>---</v>
      </c>
    </row>
    <row r="39" spans="14:40">
      <c r="N39" s="3">
        <f t="shared" si="12"/>
        <v>25</v>
      </c>
      <c r="O39">
        <v>1</v>
      </c>
      <c r="P39" s="352">
        <v>76360</v>
      </c>
      <c r="Q39" s="3">
        <f t="shared" si="8"/>
        <v>76360</v>
      </c>
      <c r="R39" s="3">
        <f t="shared" si="13"/>
        <v>-154</v>
      </c>
      <c r="T39" s="3">
        <f t="shared" si="14"/>
        <v>25</v>
      </c>
      <c r="U39">
        <v>1</v>
      </c>
      <c r="V39">
        <v>28955</v>
      </c>
      <c r="W39" s="3">
        <f t="shared" si="9"/>
        <v>28955</v>
      </c>
      <c r="X39">
        <f t="shared" si="15"/>
        <v>-349</v>
      </c>
      <c r="AD39" s="21" t="str">
        <f>IF(AG39&lt;&gt;0,IF(AND(AF39&lt;$AF$1,AE39="Call"),"IN","OUT"),"Empty")</f>
        <v>Empty</v>
      </c>
      <c r="AE39" t="s">
        <v>1</v>
      </c>
      <c r="AF39" s="20">
        <v>79000</v>
      </c>
      <c r="AI39" s="23" t="str">
        <f>IF(AND(AF39&lt;$AF$1,AE39="Call",AG39&lt;&gt;0),AG39,"---")</f>
        <v>---</v>
      </c>
    </row>
    <row r="40" spans="14:40">
      <c r="N40" s="3">
        <f t="shared" si="12"/>
        <v>26</v>
      </c>
      <c r="O40">
        <v>-1</v>
      </c>
      <c r="P40" s="352">
        <v>76712</v>
      </c>
      <c r="Q40" s="3">
        <f t="shared" si="8"/>
        <v>-76712</v>
      </c>
      <c r="R40" s="3">
        <f t="shared" si="13"/>
        <v>-153072</v>
      </c>
      <c r="T40" s="3">
        <f t="shared" si="14"/>
        <v>26</v>
      </c>
      <c r="U40">
        <v>1</v>
      </c>
      <c r="V40">
        <v>28822</v>
      </c>
      <c r="W40" s="3">
        <f t="shared" si="9"/>
        <v>28822</v>
      </c>
      <c r="X40">
        <f t="shared" si="15"/>
        <v>-133</v>
      </c>
      <c r="AD40" s="21" t="str">
        <f>IF(AG40&lt;&gt;0,IF(AND(AF40&gt;$AF$1,AE40="Put"),"IN","Out"),"Empty")</f>
        <v>Empty</v>
      </c>
      <c r="AE40" t="s">
        <v>3</v>
      </c>
      <c r="AF40" s="20">
        <v>79000</v>
      </c>
      <c r="AI40" s="23" t="str">
        <f>IF(AND(AF40&gt;$AF$1,AE40="Put",AG40&lt;&gt;0),-AG40,"---")</f>
        <v>---</v>
      </c>
      <c r="AL40" t="s">
        <v>116</v>
      </c>
      <c r="AM40" t="s">
        <v>117</v>
      </c>
    </row>
    <row r="41" spans="14:40">
      <c r="N41" s="3">
        <f t="shared" si="12"/>
        <v>27</v>
      </c>
      <c r="O41">
        <v>-1</v>
      </c>
      <c r="P41" s="352">
        <v>77198</v>
      </c>
      <c r="Q41" s="3">
        <f t="shared" si="8"/>
        <v>-77198</v>
      </c>
      <c r="R41" s="3">
        <f t="shared" si="13"/>
        <v>-486</v>
      </c>
      <c r="T41" s="3">
        <f t="shared" si="14"/>
        <v>27</v>
      </c>
      <c r="U41">
        <v>1</v>
      </c>
      <c r="V41">
        <v>28508</v>
      </c>
      <c r="W41" s="3">
        <f t="shared" si="9"/>
        <v>28508</v>
      </c>
      <c r="X41">
        <f t="shared" si="15"/>
        <v>-314</v>
      </c>
      <c r="AD41" s="21" t="str">
        <f>IF(AG41&lt;&gt;0,IF(AND(AF41&lt;$AF$1,AE41="Call"),"IN","OUT"),"Empty")</f>
        <v>Empty</v>
      </c>
      <c r="AE41" t="s">
        <v>1</v>
      </c>
      <c r="AF41" s="20">
        <v>79500</v>
      </c>
      <c r="AI41" s="23" t="str">
        <f>IF(AND(AF41&lt;$AF$1,AE41="Call",AG41&lt;&gt;0),AG41,"---")</f>
        <v>---</v>
      </c>
      <c r="AL41">
        <v>5.5071000000000002E-2</v>
      </c>
      <c r="AM41">
        <v>72.17</v>
      </c>
      <c r="AN41" s="51">
        <f>AL41/AM41</f>
        <v>7.6307329915477351E-4</v>
      </c>
    </row>
    <row r="42" spans="14:40">
      <c r="N42" s="3">
        <f t="shared" si="12"/>
        <v>28</v>
      </c>
      <c r="O42">
        <v>-1</v>
      </c>
      <c r="P42" s="352">
        <v>77539</v>
      </c>
      <c r="Q42" s="3">
        <f t="shared" si="8"/>
        <v>-77539</v>
      </c>
      <c r="R42" s="3">
        <f t="shared" si="13"/>
        <v>-341</v>
      </c>
      <c r="T42" s="3">
        <f t="shared" si="14"/>
        <v>28</v>
      </c>
      <c r="U42">
        <v>1</v>
      </c>
      <c r="V42">
        <v>27602</v>
      </c>
      <c r="W42" s="3">
        <f t="shared" si="9"/>
        <v>27602</v>
      </c>
      <c r="X42">
        <f t="shared" si="15"/>
        <v>-906</v>
      </c>
      <c r="AD42" s="21" t="str">
        <f>IF(AG42&lt;&gt;0,IF(AND(AF42&gt;$AF$1,AE42="Put"),"IN","Out"),"Empty")</f>
        <v>Empty</v>
      </c>
      <c r="AE42" t="s">
        <v>3</v>
      </c>
      <c r="AF42" s="20">
        <v>79500</v>
      </c>
      <c r="AL42">
        <v>4.2221000000000002E-2</v>
      </c>
      <c r="AM42">
        <v>55.89</v>
      </c>
      <c r="AN42" s="51">
        <f>AL42/AM42</f>
        <v>7.554303095365898E-4</v>
      </c>
    </row>
    <row r="43" spans="14:40">
      <c r="N43" s="3">
        <f t="shared" si="12"/>
        <v>29</v>
      </c>
      <c r="O43">
        <v>-2</v>
      </c>
      <c r="P43" s="352">
        <v>77970</v>
      </c>
      <c r="Q43" s="3">
        <f t="shared" si="8"/>
        <v>-155940</v>
      </c>
      <c r="R43" s="3">
        <f t="shared" si="13"/>
        <v>-78401</v>
      </c>
      <c r="T43" s="3">
        <f t="shared" si="14"/>
        <v>29</v>
      </c>
      <c r="U43">
        <v>-1</v>
      </c>
      <c r="V43">
        <v>27774</v>
      </c>
      <c r="W43" s="3">
        <f t="shared" si="9"/>
        <v>-27774</v>
      </c>
      <c r="X43">
        <f t="shared" si="15"/>
        <v>172</v>
      </c>
      <c r="AE43" t="s">
        <v>54</v>
      </c>
      <c r="AF43" s="20">
        <v>80000</v>
      </c>
      <c r="AI43" s="23" t="str">
        <f>IF(AND(AF43&lt;$AF$1,AE43="Call",AG43&lt;&gt;0),AG43,"---")</f>
        <v>---</v>
      </c>
      <c r="AN43" s="51"/>
    </row>
    <row r="44" spans="14:40">
      <c r="N44" s="3">
        <f t="shared" si="12"/>
        <v>30</v>
      </c>
      <c r="O44">
        <v>1</v>
      </c>
      <c r="P44" s="352">
        <v>77849</v>
      </c>
      <c r="Q44" s="3">
        <f t="shared" si="8"/>
        <v>77849</v>
      </c>
      <c r="R44" s="3">
        <f t="shared" si="13"/>
        <v>233789</v>
      </c>
      <c r="T44" s="3">
        <f t="shared" si="14"/>
        <v>30</v>
      </c>
      <c r="U44">
        <v>1</v>
      </c>
      <c r="V44">
        <v>27616</v>
      </c>
      <c r="W44" s="3">
        <f t="shared" si="9"/>
        <v>27616</v>
      </c>
      <c r="X44">
        <f t="shared" si="15"/>
        <v>-158</v>
      </c>
      <c r="AE44" t="s">
        <v>3</v>
      </c>
      <c r="AF44" s="20">
        <v>80000</v>
      </c>
      <c r="AN44" s="51"/>
    </row>
    <row r="45" spans="14:40">
      <c r="N45" s="3">
        <f t="shared" si="12"/>
        <v>31</v>
      </c>
      <c r="O45">
        <v>1</v>
      </c>
      <c r="P45" s="352">
        <v>77928</v>
      </c>
      <c r="Q45" s="3">
        <f t="shared" si="8"/>
        <v>77928</v>
      </c>
      <c r="R45" s="3">
        <f t="shared" si="13"/>
        <v>79</v>
      </c>
      <c r="T45" s="3">
        <f t="shared" si="14"/>
        <v>31</v>
      </c>
      <c r="U45">
        <v>-1</v>
      </c>
      <c r="V45">
        <v>27729</v>
      </c>
      <c r="W45" s="3">
        <f t="shared" si="9"/>
        <v>-27729</v>
      </c>
      <c r="X45">
        <f t="shared" si="15"/>
        <v>113</v>
      </c>
      <c r="AE45" t="s">
        <v>54</v>
      </c>
      <c r="AF45" s="20">
        <v>80500</v>
      </c>
      <c r="AN45" s="51"/>
    </row>
    <row r="46" spans="14:40">
      <c r="N46" s="3">
        <f t="shared" si="12"/>
        <v>32</v>
      </c>
      <c r="O46">
        <v>1</v>
      </c>
      <c r="P46" s="352">
        <v>77849</v>
      </c>
      <c r="Q46" s="3">
        <f t="shared" si="8"/>
        <v>77849</v>
      </c>
      <c r="R46" s="3">
        <f t="shared" si="13"/>
        <v>-79</v>
      </c>
      <c r="T46" s="3">
        <f t="shared" si="14"/>
        <v>32</v>
      </c>
      <c r="U46">
        <v>1</v>
      </c>
      <c r="V46">
        <v>27547</v>
      </c>
      <c r="W46" s="3">
        <f t="shared" si="9"/>
        <v>27547</v>
      </c>
      <c r="X46">
        <f t="shared" si="15"/>
        <v>-182</v>
      </c>
      <c r="AE46" t="s">
        <v>3</v>
      </c>
      <c r="AF46" s="20">
        <v>80500</v>
      </c>
      <c r="AN46" s="51"/>
    </row>
    <row r="47" spans="14:40">
      <c r="N47" s="3">
        <f t="shared" si="12"/>
        <v>33</v>
      </c>
      <c r="O47">
        <v>-1</v>
      </c>
      <c r="P47" s="352">
        <v>77888</v>
      </c>
      <c r="Q47" s="3">
        <f t="shared" si="8"/>
        <v>-77888</v>
      </c>
      <c r="R47" s="3">
        <f t="shared" si="13"/>
        <v>-155737</v>
      </c>
      <c r="T47" s="3">
        <f t="shared" si="14"/>
        <v>33</v>
      </c>
      <c r="U47">
        <v>-1</v>
      </c>
      <c r="V47">
        <v>27711</v>
      </c>
      <c r="W47" s="3">
        <f t="shared" si="9"/>
        <v>-27711</v>
      </c>
      <c r="X47">
        <f t="shared" si="15"/>
        <v>164</v>
      </c>
      <c r="AE47" t="s">
        <v>54</v>
      </c>
      <c r="AF47" s="20">
        <v>81000</v>
      </c>
      <c r="AN47" s="51"/>
    </row>
    <row r="48" spans="14:40">
      <c r="N48" s="3">
        <f t="shared" si="12"/>
        <v>34</v>
      </c>
      <c r="O48">
        <v>1</v>
      </c>
      <c r="P48" s="352">
        <v>77970</v>
      </c>
      <c r="Q48" s="3">
        <f t="shared" si="8"/>
        <v>77970</v>
      </c>
      <c r="R48" s="3">
        <f t="shared" si="13"/>
        <v>155858</v>
      </c>
      <c r="T48" s="3">
        <f t="shared" si="14"/>
        <v>34</v>
      </c>
      <c r="U48">
        <v>-1</v>
      </c>
      <c r="V48">
        <v>27863</v>
      </c>
      <c r="W48" s="3">
        <f t="shared" si="9"/>
        <v>-27863</v>
      </c>
      <c r="X48">
        <f t="shared" si="15"/>
        <v>152</v>
      </c>
      <c r="AE48" t="s">
        <v>3</v>
      </c>
      <c r="AF48" s="20">
        <v>81000</v>
      </c>
    </row>
    <row r="49" spans="14:32">
      <c r="N49" s="3">
        <f t="shared" si="12"/>
        <v>35</v>
      </c>
      <c r="O49">
        <v>1</v>
      </c>
      <c r="P49" s="352">
        <v>77778</v>
      </c>
      <c r="Q49" s="3">
        <f t="shared" si="8"/>
        <v>77778</v>
      </c>
      <c r="R49" s="3">
        <f t="shared" si="13"/>
        <v>-192</v>
      </c>
      <c r="T49" s="3">
        <f t="shared" si="14"/>
        <v>35</v>
      </c>
      <c r="U49">
        <v>1</v>
      </c>
      <c r="V49">
        <v>27661</v>
      </c>
      <c r="W49" s="3">
        <f t="shared" si="9"/>
        <v>27661</v>
      </c>
      <c r="X49">
        <f t="shared" si="15"/>
        <v>-202</v>
      </c>
      <c r="AE49" t="s">
        <v>54</v>
      </c>
      <c r="AF49" s="20">
        <v>81500</v>
      </c>
    </row>
    <row r="50" spans="14:32">
      <c r="N50" s="3">
        <f t="shared" si="12"/>
        <v>36</v>
      </c>
      <c r="O50">
        <v>-1</v>
      </c>
      <c r="P50" s="352">
        <v>78185</v>
      </c>
      <c r="Q50" s="3">
        <f t="shared" si="8"/>
        <v>-78185</v>
      </c>
      <c r="R50" s="3">
        <f t="shared" si="13"/>
        <v>-155963</v>
      </c>
      <c r="T50" s="3">
        <f t="shared" si="14"/>
        <v>36</v>
      </c>
      <c r="U50">
        <v>-1</v>
      </c>
      <c r="V50">
        <v>27958</v>
      </c>
      <c r="W50" s="3">
        <f t="shared" si="9"/>
        <v>-27958</v>
      </c>
      <c r="X50">
        <f t="shared" si="15"/>
        <v>297</v>
      </c>
      <c r="AE50" t="s">
        <v>3</v>
      </c>
      <c r="AF50" s="20">
        <v>81500</v>
      </c>
    </row>
    <row r="51" spans="14:32">
      <c r="N51" s="3">
        <f t="shared" si="12"/>
        <v>37</v>
      </c>
      <c r="O51">
        <v>1</v>
      </c>
      <c r="P51" s="352">
        <v>77848</v>
      </c>
      <c r="Q51" s="3">
        <f t="shared" si="8"/>
        <v>77848</v>
      </c>
      <c r="R51" s="3">
        <f t="shared" si="13"/>
        <v>156033</v>
      </c>
      <c r="T51" s="3">
        <f t="shared" si="14"/>
        <v>37</v>
      </c>
      <c r="U51">
        <v>1</v>
      </c>
      <c r="V51">
        <v>27729</v>
      </c>
      <c r="W51" s="3">
        <f t="shared" si="9"/>
        <v>27729</v>
      </c>
      <c r="X51">
        <f t="shared" si="15"/>
        <v>-229</v>
      </c>
      <c r="AE51" t="s">
        <v>54</v>
      </c>
      <c r="AF51" s="20">
        <v>82000</v>
      </c>
    </row>
    <row r="52" spans="14:32">
      <c r="N52" s="3">
        <f t="shared" si="12"/>
        <v>38</v>
      </c>
      <c r="O52">
        <v>1</v>
      </c>
      <c r="P52" s="352">
        <v>77253</v>
      </c>
      <c r="Q52" s="3">
        <f t="shared" si="8"/>
        <v>77253</v>
      </c>
      <c r="R52" s="3">
        <f t="shared" si="13"/>
        <v>-595</v>
      </c>
      <c r="T52" s="3">
        <f t="shared" si="14"/>
        <v>38</v>
      </c>
      <c r="U52">
        <v>1</v>
      </c>
      <c r="V52">
        <v>27359</v>
      </c>
      <c r="W52" s="3">
        <f t="shared" si="9"/>
        <v>27359</v>
      </c>
      <c r="X52">
        <f t="shared" si="15"/>
        <v>-370</v>
      </c>
      <c r="AE52" t="s">
        <v>3</v>
      </c>
      <c r="AF52" s="20">
        <v>82000</v>
      </c>
    </row>
    <row r="53" spans="14:32">
      <c r="N53" s="3">
        <f t="shared" si="12"/>
        <v>39</v>
      </c>
      <c r="O53">
        <v>-1</v>
      </c>
      <c r="P53" s="352">
        <v>77479</v>
      </c>
      <c r="Q53" s="3">
        <f t="shared" si="8"/>
        <v>-77479</v>
      </c>
      <c r="R53" s="3">
        <f t="shared" si="13"/>
        <v>-154732</v>
      </c>
      <c r="T53" s="3">
        <f t="shared" si="14"/>
        <v>39</v>
      </c>
      <c r="U53">
        <v>-1</v>
      </c>
      <c r="V53">
        <v>27520</v>
      </c>
      <c r="W53" s="3">
        <f t="shared" si="9"/>
        <v>-27520</v>
      </c>
      <c r="X53">
        <f t="shared" si="15"/>
        <v>161</v>
      </c>
    </row>
    <row r="54" spans="14:32">
      <c r="N54" s="3">
        <f t="shared" si="12"/>
        <v>40</v>
      </c>
      <c r="O54">
        <v>-1</v>
      </c>
      <c r="P54" s="352">
        <v>77856</v>
      </c>
      <c r="Q54" s="3">
        <f t="shared" si="8"/>
        <v>-77856</v>
      </c>
      <c r="R54" s="3">
        <f t="shared" si="13"/>
        <v>-377</v>
      </c>
      <c r="T54" s="3">
        <f t="shared" si="14"/>
        <v>40</v>
      </c>
      <c r="U54">
        <v>1</v>
      </c>
      <c r="V54">
        <v>27231</v>
      </c>
      <c r="W54" s="3">
        <f t="shared" si="9"/>
        <v>27231</v>
      </c>
      <c r="X54">
        <f t="shared" si="15"/>
        <v>-289</v>
      </c>
    </row>
    <row r="55" spans="14:32">
      <c r="N55" s="3">
        <f t="shared" si="12"/>
        <v>41</v>
      </c>
      <c r="O55">
        <v>1</v>
      </c>
      <c r="P55" s="352">
        <v>77700</v>
      </c>
      <c r="Q55" s="3">
        <f t="shared" si="8"/>
        <v>77700</v>
      </c>
      <c r="R55" s="3">
        <f t="shared" si="13"/>
        <v>155556</v>
      </c>
      <c r="T55" s="3">
        <f t="shared" si="14"/>
        <v>41</v>
      </c>
      <c r="U55">
        <v>1</v>
      </c>
      <c r="V55">
        <v>26610</v>
      </c>
      <c r="W55" s="3">
        <f t="shared" si="9"/>
        <v>26610</v>
      </c>
      <c r="X55">
        <f t="shared" si="15"/>
        <v>-621</v>
      </c>
    </row>
    <row r="56" spans="14:32">
      <c r="N56" s="3">
        <f t="shared" si="12"/>
        <v>42</v>
      </c>
      <c r="O56">
        <v>1</v>
      </c>
      <c r="P56" s="352">
        <v>76902</v>
      </c>
      <c r="Q56" s="3">
        <f t="shared" si="8"/>
        <v>76902</v>
      </c>
      <c r="R56" s="3">
        <f t="shared" si="13"/>
        <v>-798</v>
      </c>
      <c r="T56" s="3">
        <f t="shared" si="14"/>
        <v>42</v>
      </c>
      <c r="U56">
        <v>-1</v>
      </c>
      <c r="V56">
        <v>26715</v>
      </c>
      <c r="W56" s="3">
        <f t="shared" si="9"/>
        <v>-26715</v>
      </c>
      <c r="X56">
        <f t="shared" si="15"/>
        <v>105</v>
      </c>
    </row>
    <row r="57" spans="14:32">
      <c r="N57" s="3">
        <f t="shared" si="12"/>
        <v>43</v>
      </c>
      <c r="O57">
        <v>1</v>
      </c>
      <c r="P57" s="352">
        <v>76295</v>
      </c>
      <c r="Q57" s="3">
        <f t="shared" si="8"/>
        <v>76295</v>
      </c>
      <c r="R57" s="3">
        <f t="shared" si="13"/>
        <v>-607</v>
      </c>
      <c r="T57" s="3">
        <f t="shared" si="14"/>
        <v>43</v>
      </c>
      <c r="U57">
        <v>1</v>
      </c>
      <c r="V57">
        <v>26421</v>
      </c>
      <c r="W57" s="3">
        <f t="shared" si="9"/>
        <v>26421</v>
      </c>
      <c r="X57">
        <f t="shared" si="15"/>
        <v>-294</v>
      </c>
    </row>
    <row r="58" spans="14:32">
      <c r="N58" s="3">
        <f t="shared" si="12"/>
        <v>44</v>
      </c>
      <c r="O58">
        <v>-1</v>
      </c>
      <c r="P58" s="352">
        <v>76670</v>
      </c>
      <c r="Q58" s="3">
        <f t="shared" si="8"/>
        <v>-76670</v>
      </c>
      <c r="R58" s="3">
        <f t="shared" si="13"/>
        <v>-152965</v>
      </c>
      <c r="T58" s="3">
        <f t="shared" si="14"/>
        <v>44</v>
      </c>
      <c r="U58">
        <v>-1</v>
      </c>
      <c r="V58">
        <v>26524</v>
      </c>
      <c r="W58" s="3">
        <f t="shared" si="9"/>
        <v>-26524</v>
      </c>
      <c r="X58">
        <f t="shared" si="15"/>
        <v>103</v>
      </c>
    </row>
    <row r="59" spans="14:32">
      <c r="N59" s="3">
        <f t="shared" si="12"/>
        <v>45</v>
      </c>
      <c r="O59">
        <v>1</v>
      </c>
      <c r="P59" s="352">
        <v>76315</v>
      </c>
      <c r="Q59" s="3">
        <f t="shared" si="8"/>
        <v>76315</v>
      </c>
      <c r="R59" s="3">
        <f t="shared" si="13"/>
        <v>152985</v>
      </c>
      <c r="T59" s="3">
        <f t="shared" si="14"/>
        <v>45</v>
      </c>
      <c r="U59">
        <v>1</v>
      </c>
      <c r="V59">
        <v>26055</v>
      </c>
      <c r="W59" s="3">
        <f t="shared" si="9"/>
        <v>26055</v>
      </c>
      <c r="X59">
        <f t="shared" si="15"/>
        <v>-469</v>
      </c>
    </row>
    <row r="60" spans="14:32">
      <c r="N60" s="3">
        <f t="shared" si="12"/>
        <v>46</v>
      </c>
      <c r="O60">
        <v>1</v>
      </c>
      <c r="P60" s="352">
        <v>75804</v>
      </c>
      <c r="Q60" s="3">
        <f t="shared" si="8"/>
        <v>75804</v>
      </c>
      <c r="R60" s="3">
        <f t="shared" si="13"/>
        <v>-511</v>
      </c>
      <c r="T60" s="3">
        <f t="shared" si="14"/>
        <v>46</v>
      </c>
      <c r="U60">
        <v>-1</v>
      </c>
      <c r="V60">
        <v>25743</v>
      </c>
      <c r="W60" s="3">
        <f t="shared" si="9"/>
        <v>-25743</v>
      </c>
      <c r="X60">
        <f t="shared" si="15"/>
        <v>-312</v>
      </c>
    </row>
    <row r="61" spans="14:32">
      <c r="N61" s="3">
        <f t="shared" si="12"/>
        <v>47</v>
      </c>
      <c r="O61">
        <v>1</v>
      </c>
      <c r="P61" s="352">
        <v>75542</v>
      </c>
      <c r="Q61" s="3">
        <f t="shared" si="8"/>
        <v>75542</v>
      </c>
      <c r="R61" s="3">
        <f t="shared" si="13"/>
        <v>-262</v>
      </c>
      <c r="T61" s="3">
        <f t="shared" si="14"/>
        <v>47</v>
      </c>
      <c r="U61">
        <v>-1</v>
      </c>
      <c r="V61">
        <v>26235</v>
      </c>
      <c r="W61" s="3">
        <f t="shared" si="9"/>
        <v>-26235</v>
      </c>
      <c r="X61">
        <f t="shared" si="15"/>
        <v>492</v>
      </c>
    </row>
    <row r="62" spans="14:32">
      <c r="N62" s="3">
        <f t="shared" si="12"/>
        <v>48</v>
      </c>
      <c r="O62">
        <v>-1</v>
      </c>
      <c r="P62" s="352">
        <v>75632</v>
      </c>
      <c r="Q62" s="3">
        <f t="shared" si="8"/>
        <v>-75632</v>
      </c>
      <c r="R62" s="3">
        <f t="shared" si="13"/>
        <v>-151174</v>
      </c>
      <c r="T62" s="3">
        <f t="shared" si="14"/>
        <v>48</v>
      </c>
      <c r="U62">
        <v>1</v>
      </c>
      <c r="V62">
        <v>25820</v>
      </c>
      <c r="W62" s="3">
        <f t="shared" si="9"/>
        <v>25820</v>
      </c>
      <c r="X62">
        <f t="shared" si="15"/>
        <v>-415</v>
      </c>
    </row>
    <row r="63" spans="14:32">
      <c r="N63" s="3">
        <f t="shared" si="12"/>
        <v>49</v>
      </c>
      <c r="O63">
        <v>-1</v>
      </c>
      <c r="P63" s="352">
        <v>75783</v>
      </c>
      <c r="Q63" s="3">
        <f t="shared" si="8"/>
        <v>-75783</v>
      </c>
      <c r="R63" s="3">
        <f t="shared" si="13"/>
        <v>-151</v>
      </c>
      <c r="T63" s="3">
        <f t="shared" si="14"/>
        <v>49</v>
      </c>
      <c r="U63">
        <v>-1</v>
      </c>
      <c r="V63">
        <v>26042</v>
      </c>
      <c r="W63" s="3">
        <f t="shared" si="9"/>
        <v>-26042</v>
      </c>
      <c r="X63">
        <f t="shared" si="15"/>
        <v>222</v>
      </c>
    </row>
    <row r="64" spans="14:32">
      <c r="N64" s="3">
        <f t="shared" si="12"/>
        <v>50</v>
      </c>
      <c r="O64">
        <v>-1</v>
      </c>
      <c r="P64" s="352">
        <v>75957</v>
      </c>
      <c r="Q64" s="3">
        <f t="shared" si="8"/>
        <v>-75957</v>
      </c>
      <c r="R64" s="3">
        <f t="shared" si="13"/>
        <v>-174</v>
      </c>
      <c r="T64" s="3">
        <f t="shared" si="14"/>
        <v>50</v>
      </c>
      <c r="U64">
        <v>-1</v>
      </c>
      <c r="V64">
        <v>26299</v>
      </c>
      <c r="W64" s="3">
        <f t="shared" si="9"/>
        <v>-26299</v>
      </c>
      <c r="X64">
        <f t="shared" si="15"/>
        <v>257</v>
      </c>
    </row>
    <row r="65" spans="14:24">
      <c r="N65" s="3">
        <f t="shared" si="12"/>
        <v>51</v>
      </c>
      <c r="O65">
        <v>1</v>
      </c>
      <c r="P65" s="352">
        <v>75873</v>
      </c>
      <c r="Q65" s="3">
        <f t="shared" si="8"/>
        <v>75873</v>
      </c>
      <c r="R65" s="3">
        <f t="shared" si="13"/>
        <v>151830</v>
      </c>
      <c r="T65" s="3">
        <f t="shared" si="14"/>
        <v>51</v>
      </c>
      <c r="U65">
        <v>1</v>
      </c>
      <c r="V65">
        <v>26168</v>
      </c>
      <c r="W65" s="3">
        <f t="shared" si="9"/>
        <v>26168</v>
      </c>
      <c r="X65">
        <f t="shared" si="15"/>
        <v>-131</v>
      </c>
    </row>
    <row r="66" spans="14:24">
      <c r="N66" s="3">
        <f t="shared" si="12"/>
        <v>52</v>
      </c>
      <c r="O66">
        <v>-1</v>
      </c>
      <c r="P66" s="352">
        <v>76056</v>
      </c>
      <c r="Q66" s="3">
        <f t="shared" si="8"/>
        <v>-76056</v>
      </c>
      <c r="R66" s="3">
        <f t="shared" si="13"/>
        <v>-151929</v>
      </c>
      <c r="T66" s="3">
        <f t="shared" si="14"/>
        <v>52</v>
      </c>
      <c r="U66">
        <v>-1</v>
      </c>
      <c r="V66">
        <v>26285</v>
      </c>
      <c r="W66" s="3">
        <f t="shared" si="9"/>
        <v>-26285</v>
      </c>
    </row>
    <row r="67" spans="14:24">
      <c r="N67" s="3">
        <f t="shared" si="12"/>
        <v>53</v>
      </c>
      <c r="O67">
        <v>-1</v>
      </c>
      <c r="P67" s="352">
        <v>76539</v>
      </c>
      <c r="Q67" s="3">
        <f t="shared" si="8"/>
        <v>-76539</v>
      </c>
      <c r="R67" s="3">
        <f t="shared" si="13"/>
        <v>-483</v>
      </c>
      <c r="T67" s="3">
        <f t="shared" si="14"/>
        <v>53</v>
      </c>
      <c r="U67">
        <v>1</v>
      </c>
      <c r="V67">
        <v>26217</v>
      </c>
      <c r="W67" s="3">
        <f t="shared" si="9"/>
        <v>26217</v>
      </c>
    </row>
    <row r="68" spans="14:24">
      <c r="N68" s="3">
        <f t="shared" si="12"/>
        <v>54</v>
      </c>
      <c r="O68">
        <v>1</v>
      </c>
      <c r="P68" s="352">
        <v>76462</v>
      </c>
      <c r="Q68" s="3">
        <f t="shared" si="8"/>
        <v>76462</v>
      </c>
      <c r="R68" s="3">
        <f t="shared" si="13"/>
        <v>153001</v>
      </c>
      <c r="T68" s="3">
        <f t="shared" si="14"/>
        <v>54</v>
      </c>
      <c r="U68">
        <v>-1</v>
      </c>
      <c r="V68">
        <v>26372</v>
      </c>
      <c r="W68" s="3">
        <f t="shared" si="9"/>
        <v>-26372</v>
      </c>
    </row>
    <row r="69" spans="14:24">
      <c r="N69" s="3">
        <f t="shared" si="12"/>
        <v>55</v>
      </c>
      <c r="O69">
        <v>-1</v>
      </c>
      <c r="P69" s="352">
        <v>76646</v>
      </c>
      <c r="Q69" s="3">
        <f t="shared" si="8"/>
        <v>-76646</v>
      </c>
      <c r="R69" s="3">
        <f t="shared" si="13"/>
        <v>-153108</v>
      </c>
      <c r="T69" s="3">
        <f t="shared" si="14"/>
        <v>55</v>
      </c>
      <c r="U69">
        <v>1</v>
      </c>
      <c r="V69">
        <v>26042</v>
      </c>
      <c r="W69" s="3">
        <f t="shared" si="9"/>
        <v>26042</v>
      </c>
    </row>
    <row r="70" spans="14:24">
      <c r="N70" s="3">
        <f t="shared" si="12"/>
        <v>56</v>
      </c>
      <c r="O70">
        <v>1</v>
      </c>
      <c r="P70" s="352">
        <v>76515</v>
      </c>
      <c r="Q70" s="3">
        <f t="shared" si="8"/>
        <v>76515</v>
      </c>
      <c r="R70" s="3">
        <f t="shared" si="13"/>
        <v>153161</v>
      </c>
      <c r="T70" s="3">
        <f t="shared" si="14"/>
        <v>56</v>
      </c>
      <c r="U70">
        <v>1</v>
      </c>
      <c r="V70">
        <v>25535</v>
      </c>
      <c r="W70" s="3">
        <f t="shared" si="9"/>
        <v>25535</v>
      </c>
    </row>
    <row r="71" spans="14:24">
      <c r="N71" s="3">
        <f t="shared" si="12"/>
        <v>57</v>
      </c>
      <c r="O71">
        <v>-1</v>
      </c>
      <c r="P71" s="352">
        <v>76776</v>
      </c>
      <c r="Q71" s="3">
        <f t="shared" si="8"/>
        <v>-76776</v>
      </c>
      <c r="R71" s="3">
        <f t="shared" si="13"/>
        <v>-153291</v>
      </c>
      <c r="T71" s="3">
        <f t="shared" si="14"/>
        <v>57</v>
      </c>
      <c r="U71">
        <v>-1</v>
      </c>
      <c r="V71">
        <v>25994</v>
      </c>
      <c r="W71" s="3">
        <f t="shared" si="9"/>
        <v>-25994</v>
      </c>
    </row>
    <row r="72" spans="14:24">
      <c r="N72" s="3">
        <f t="shared" si="12"/>
        <v>58</v>
      </c>
      <c r="O72">
        <v>1</v>
      </c>
      <c r="P72" s="352">
        <v>76636</v>
      </c>
      <c r="Q72" s="3">
        <f t="shared" si="8"/>
        <v>76636</v>
      </c>
      <c r="R72" s="3">
        <f t="shared" si="13"/>
        <v>153412</v>
      </c>
      <c r="T72" s="3">
        <f t="shared" si="14"/>
        <v>58</v>
      </c>
      <c r="U72">
        <v>1</v>
      </c>
      <c r="V72">
        <v>25507</v>
      </c>
      <c r="W72" s="3">
        <f t="shared" si="9"/>
        <v>25507</v>
      </c>
    </row>
    <row r="73" spans="14:24">
      <c r="N73" s="3">
        <f t="shared" si="12"/>
        <v>59</v>
      </c>
      <c r="O73">
        <v>-1</v>
      </c>
      <c r="P73" s="352">
        <v>76896</v>
      </c>
      <c r="Q73" s="3">
        <f t="shared" si="8"/>
        <v>-76896</v>
      </c>
      <c r="R73" s="3">
        <f t="shared" si="13"/>
        <v>-153532</v>
      </c>
      <c r="T73" s="3">
        <f t="shared" si="14"/>
        <v>59</v>
      </c>
      <c r="U73">
        <v>-1</v>
      </c>
      <c r="V73">
        <v>25959</v>
      </c>
      <c r="W73" s="3">
        <f t="shared" si="9"/>
        <v>-25959</v>
      </c>
    </row>
    <row r="74" spans="14:24">
      <c r="N74" s="3">
        <f t="shared" si="12"/>
        <v>60</v>
      </c>
      <c r="O74">
        <v>1</v>
      </c>
      <c r="P74" s="352">
        <v>77005</v>
      </c>
      <c r="Q74" s="3">
        <f t="shared" si="8"/>
        <v>77005</v>
      </c>
      <c r="R74" s="3">
        <f t="shared" si="13"/>
        <v>153901</v>
      </c>
      <c r="T74" s="3">
        <f t="shared" si="14"/>
        <v>60</v>
      </c>
      <c r="U74">
        <v>-1</v>
      </c>
      <c r="V74">
        <v>26280</v>
      </c>
      <c r="W74" s="3">
        <f t="shared" si="9"/>
        <v>-26280</v>
      </c>
    </row>
    <row r="75" spans="14:24">
      <c r="N75" s="3">
        <f t="shared" si="12"/>
        <v>61</v>
      </c>
      <c r="O75">
        <v>-1</v>
      </c>
      <c r="P75" s="352">
        <v>77030</v>
      </c>
      <c r="Q75" s="3">
        <f t="shared" si="8"/>
        <v>-77030</v>
      </c>
      <c r="R75" s="3">
        <f t="shared" si="13"/>
        <v>-154035</v>
      </c>
      <c r="T75" s="3">
        <f t="shared" si="14"/>
        <v>61</v>
      </c>
      <c r="U75">
        <v>1</v>
      </c>
      <c r="V75">
        <v>26161</v>
      </c>
      <c r="W75" s="3">
        <f t="shared" si="9"/>
        <v>26161</v>
      </c>
    </row>
    <row r="76" spans="14:24">
      <c r="N76" s="3">
        <f t="shared" si="12"/>
        <v>62</v>
      </c>
      <c r="O76">
        <v>-1</v>
      </c>
      <c r="P76" s="352">
        <v>77421</v>
      </c>
      <c r="Q76" s="3">
        <f t="shared" si="8"/>
        <v>-77421</v>
      </c>
      <c r="R76" s="3">
        <f t="shared" si="13"/>
        <v>-391</v>
      </c>
      <c r="T76" s="3">
        <f t="shared" si="14"/>
        <v>62</v>
      </c>
      <c r="U76">
        <v>1</v>
      </c>
      <c r="V76">
        <v>25502</v>
      </c>
      <c r="W76" s="3">
        <f t="shared" si="9"/>
        <v>25502</v>
      </c>
    </row>
    <row r="77" spans="14:24">
      <c r="N77" s="3">
        <f t="shared" si="12"/>
        <v>63</v>
      </c>
      <c r="O77">
        <v>1</v>
      </c>
      <c r="P77" s="352">
        <v>77369</v>
      </c>
      <c r="Q77" s="3">
        <f t="shared" si="8"/>
        <v>77369</v>
      </c>
      <c r="R77" s="3">
        <f t="shared" si="13"/>
        <v>154790</v>
      </c>
      <c r="T77" s="3">
        <f t="shared" si="14"/>
        <v>63</v>
      </c>
      <c r="U77">
        <v>-1</v>
      </c>
      <c r="V77">
        <v>25826</v>
      </c>
      <c r="W77" s="3">
        <f t="shared" si="9"/>
        <v>-25826</v>
      </c>
    </row>
    <row r="78" spans="14:24">
      <c r="N78" s="3">
        <f t="shared" si="12"/>
        <v>64</v>
      </c>
      <c r="O78">
        <v>1</v>
      </c>
      <c r="P78" s="352">
        <v>76829</v>
      </c>
      <c r="Q78" s="3">
        <f t="shared" si="8"/>
        <v>76829</v>
      </c>
      <c r="R78" s="3">
        <f t="shared" si="13"/>
        <v>-540</v>
      </c>
      <c r="T78" s="3">
        <f t="shared" si="14"/>
        <v>64</v>
      </c>
      <c r="U78">
        <v>1</v>
      </c>
      <c r="V78">
        <v>25471</v>
      </c>
      <c r="W78" s="3">
        <f t="shared" si="9"/>
        <v>25471</v>
      </c>
    </row>
    <row r="79" spans="14:24">
      <c r="N79" s="3">
        <f t="shared" si="12"/>
        <v>65</v>
      </c>
      <c r="O79">
        <v>-1</v>
      </c>
      <c r="P79" s="352">
        <v>76949</v>
      </c>
      <c r="Q79" s="3">
        <f t="shared" si="8"/>
        <v>-76949</v>
      </c>
      <c r="R79" s="3">
        <f t="shared" si="13"/>
        <v>-153778</v>
      </c>
      <c r="T79" s="3">
        <f t="shared" si="14"/>
        <v>65</v>
      </c>
      <c r="U79">
        <v>1</v>
      </c>
      <c r="V79">
        <v>25196</v>
      </c>
      <c r="W79" s="3">
        <f t="shared" si="9"/>
        <v>25196</v>
      </c>
    </row>
    <row r="80" spans="14:24">
      <c r="N80" s="3">
        <f t="shared" si="12"/>
        <v>66</v>
      </c>
      <c r="O80">
        <v>-1</v>
      </c>
      <c r="P80" s="352">
        <v>77130</v>
      </c>
      <c r="Q80" s="3">
        <f t="shared" si="8"/>
        <v>-77130</v>
      </c>
      <c r="R80" s="3">
        <f t="shared" si="13"/>
        <v>-181</v>
      </c>
      <c r="T80" s="3">
        <f t="shared" si="14"/>
        <v>66</v>
      </c>
      <c r="U80">
        <v>-1</v>
      </c>
      <c r="V80">
        <v>25044</v>
      </c>
      <c r="W80" s="3">
        <f t="shared" si="9"/>
        <v>-25044</v>
      </c>
    </row>
    <row r="81" spans="14:23">
      <c r="N81" s="3">
        <f t="shared" ref="N81:N118" si="16">N80+1</f>
        <v>67</v>
      </c>
      <c r="O81">
        <v>1</v>
      </c>
      <c r="P81" s="352">
        <v>77123</v>
      </c>
      <c r="Q81" s="3">
        <f t="shared" si="8"/>
        <v>77123</v>
      </c>
      <c r="R81" s="3">
        <f t="shared" ref="R81:R82" si="17">Q81-Q80</f>
        <v>154253</v>
      </c>
      <c r="T81" s="3">
        <f t="shared" ref="T81:T114" si="18">T80+1</f>
        <v>67</v>
      </c>
      <c r="U81">
        <v>-1</v>
      </c>
      <c r="V81">
        <v>24289</v>
      </c>
      <c r="W81" s="3">
        <f t="shared" si="9"/>
        <v>-24289</v>
      </c>
    </row>
    <row r="82" spans="14:23">
      <c r="N82" s="3">
        <f t="shared" si="16"/>
        <v>68</v>
      </c>
      <c r="O82">
        <v>-1</v>
      </c>
      <c r="P82" s="352">
        <v>77669</v>
      </c>
      <c r="Q82" s="3">
        <f t="shared" si="8"/>
        <v>-77669</v>
      </c>
      <c r="R82" s="3">
        <f t="shared" si="17"/>
        <v>-154792</v>
      </c>
      <c r="T82" s="3">
        <f t="shared" si="18"/>
        <v>68</v>
      </c>
      <c r="U82">
        <v>-1</v>
      </c>
      <c r="V82">
        <v>24667</v>
      </c>
      <c r="W82" s="3">
        <f t="shared" si="9"/>
        <v>-24667</v>
      </c>
    </row>
    <row r="83" spans="14:23">
      <c r="N83" s="3">
        <f t="shared" si="16"/>
        <v>69</v>
      </c>
      <c r="O83">
        <v>1</v>
      </c>
      <c r="P83" s="352">
        <v>77576</v>
      </c>
      <c r="Q83" s="3">
        <f t="shared" si="8"/>
        <v>77576</v>
      </c>
      <c r="R83" s="3">
        <f>Q83+Q82</f>
        <v>-93</v>
      </c>
      <c r="T83" s="3">
        <f t="shared" si="18"/>
        <v>69</v>
      </c>
      <c r="U83">
        <v>1</v>
      </c>
      <c r="V83">
        <v>24339</v>
      </c>
      <c r="W83" s="3">
        <f t="shared" si="9"/>
        <v>24339</v>
      </c>
    </row>
    <row r="84" spans="14:23">
      <c r="N84" s="3">
        <f t="shared" si="16"/>
        <v>70</v>
      </c>
      <c r="O84">
        <v>-1</v>
      </c>
      <c r="P84" s="352">
        <v>77841</v>
      </c>
      <c r="Q84" s="3">
        <f t="shared" si="8"/>
        <v>-77841</v>
      </c>
      <c r="R84" s="3">
        <f t="shared" ref="R84:R92" si="19">Q84-QP83</f>
        <v>-77841</v>
      </c>
      <c r="T84" s="3">
        <f t="shared" si="18"/>
        <v>70</v>
      </c>
      <c r="U84">
        <v>-1</v>
      </c>
      <c r="V84">
        <v>24872</v>
      </c>
      <c r="W84" s="3">
        <f t="shared" si="9"/>
        <v>-24872</v>
      </c>
    </row>
    <row r="85" spans="14:23">
      <c r="N85" s="3">
        <f t="shared" si="16"/>
        <v>71</v>
      </c>
      <c r="O85">
        <v>1</v>
      </c>
      <c r="P85" s="352">
        <v>77859</v>
      </c>
      <c r="Q85" s="3">
        <f t="shared" si="8"/>
        <v>77859</v>
      </c>
      <c r="R85" s="3">
        <f t="shared" si="19"/>
        <v>77859</v>
      </c>
      <c r="T85" s="3">
        <f t="shared" si="18"/>
        <v>71</v>
      </c>
      <c r="U85">
        <v>1</v>
      </c>
      <c r="V85">
        <v>24504</v>
      </c>
      <c r="W85" s="3">
        <f t="shared" si="9"/>
        <v>24504</v>
      </c>
    </row>
    <row r="86" spans="14:23">
      <c r="N86" s="3">
        <f t="shared" si="16"/>
        <v>72</v>
      </c>
      <c r="O86">
        <v>1</v>
      </c>
      <c r="P86" s="352">
        <v>77221</v>
      </c>
      <c r="Q86" s="3">
        <f t="shared" si="8"/>
        <v>77221</v>
      </c>
      <c r="R86" s="3">
        <f t="shared" si="19"/>
        <v>77221</v>
      </c>
      <c r="T86" s="3">
        <f t="shared" si="18"/>
        <v>72</v>
      </c>
      <c r="U86">
        <v>-1</v>
      </c>
      <c r="V86">
        <v>24869</v>
      </c>
      <c r="W86" s="3">
        <f t="shared" si="9"/>
        <v>-24869</v>
      </c>
    </row>
    <row r="87" spans="14:23">
      <c r="N87" s="3">
        <f t="shared" si="16"/>
        <v>73</v>
      </c>
      <c r="O87">
        <v>-1</v>
      </c>
      <c r="P87" s="352">
        <v>77399</v>
      </c>
      <c r="Q87" s="3">
        <f t="shared" si="8"/>
        <v>-77399</v>
      </c>
      <c r="R87" s="3">
        <f t="shared" si="19"/>
        <v>-77399</v>
      </c>
      <c r="T87" s="3">
        <f t="shared" si="18"/>
        <v>73</v>
      </c>
      <c r="U87">
        <v>1</v>
      </c>
      <c r="V87">
        <v>24573</v>
      </c>
      <c r="W87" s="3">
        <f t="shared" si="9"/>
        <v>24573</v>
      </c>
    </row>
    <row r="88" spans="14:23">
      <c r="N88" s="3">
        <f t="shared" si="16"/>
        <v>74</v>
      </c>
      <c r="O88">
        <v>1</v>
      </c>
      <c r="P88" s="352">
        <v>76897</v>
      </c>
      <c r="Q88" s="3">
        <f t="shared" si="8"/>
        <v>76897</v>
      </c>
      <c r="R88" s="3">
        <f t="shared" si="19"/>
        <v>76897</v>
      </c>
      <c r="T88" s="3">
        <f t="shared" si="18"/>
        <v>74</v>
      </c>
      <c r="U88">
        <v>-1</v>
      </c>
      <c r="V88">
        <v>24840</v>
      </c>
      <c r="W88" s="3">
        <f t="shared" si="9"/>
        <v>-24840</v>
      </c>
    </row>
    <row r="89" spans="14:23">
      <c r="N89" s="3">
        <f t="shared" si="16"/>
        <v>75</v>
      </c>
      <c r="O89">
        <v>-1</v>
      </c>
      <c r="P89" s="352">
        <v>77157</v>
      </c>
      <c r="Q89" s="3">
        <f t="shared" si="8"/>
        <v>-77157</v>
      </c>
      <c r="R89" s="3">
        <f t="shared" si="19"/>
        <v>-77157</v>
      </c>
      <c r="T89" s="3">
        <f t="shared" si="18"/>
        <v>75</v>
      </c>
      <c r="U89">
        <v>1</v>
      </c>
      <c r="V89">
        <v>24690</v>
      </c>
      <c r="W89" s="3">
        <f t="shared" si="9"/>
        <v>24690</v>
      </c>
    </row>
    <row r="90" spans="14:23">
      <c r="N90" s="3">
        <f t="shared" si="16"/>
        <v>76</v>
      </c>
      <c r="O90">
        <v>-1</v>
      </c>
      <c r="P90" s="352">
        <v>77632</v>
      </c>
      <c r="Q90" s="3">
        <f t="shared" si="8"/>
        <v>-77632</v>
      </c>
      <c r="R90" s="3">
        <f t="shared" si="19"/>
        <v>-77632</v>
      </c>
      <c r="T90" s="3">
        <f t="shared" si="18"/>
        <v>76</v>
      </c>
      <c r="U90">
        <v>-1</v>
      </c>
      <c r="V90">
        <v>25494</v>
      </c>
      <c r="W90" s="3">
        <f t="shared" si="9"/>
        <v>-25494</v>
      </c>
    </row>
    <row r="91" spans="14:23">
      <c r="N91" s="3">
        <f t="shared" si="16"/>
        <v>77</v>
      </c>
      <c r="O91">
        <v>1</v>
      </c>
      <c r="P91" s="352">
        <v>77527</v>
      </c>
      <c r="Q91" s="3">
        <f t="shared" si="8"/>
        <v>77527</v>
      </c>
      <c r="R91" s="3">
        <f t="shared" si="19"/>
        <v>77527</v>
      </c>
      <c r="T91" s="3">
        <f t="shared" si="18"/>
        <v>77</v>
      </c>
      <c r="U91">
        <v>1</v>
      </c>
      <c r="V91">
        <v>24540</v>
      </c>
      <c r="W91" s="3">
        <f t="shared" si="9"/>
        <v>24540</v>
      </c>
    </row>
    <row r="92" spans="14:23">
      <c r="N92" s="3">
        <f t="shared" si="16"/>
        <v>78</v>
      </c>
      <c r="O92">
        <v>1</v>
      </c>
      <c r="P92" s="352">
        <v>77555</v>
      </c>
      <c r="Q92" s="3">
        <f t="shared" si="8"/>
        <v>77555</v>
      </c>
      <c r="R92" s="3">
        <f t="shared" si="19"/>
        <v>77555</v>
      </c>
      <c r="T92" s="3">
        <f t="shared" si="18"/>
        <v>78</v>
      </c>
      <c r="U92">
        <v>-1</v>
      </c>
      <c r="V92">
        <v>25163</v>
      </c>
      <c r="W92" s="3">
        <f t="shared" si="9"/>
        <v>-25163</v>
      </c>
    </row>
    <row r="93" spans="14:23">
      <c r="N93" s="3">
        <f t="shared" si="16"/>
        <v>79</v>
      </c>
      <c r="O93">
        <v>1</v>
      </c>
      <c r="P93" s="352">
        <v>77314</v>
      </c>
      <c r="Q93" s="3">
        <f t="shared" si="8"/>
        <v>77314</v>
      </c>
      <c r="T93" s="3">
        <f t="shared" si="18"/>
        <v>79</v>
      </c>
      <c r="U93">
        <v>1</v>
      </c>
      <c r="V93">
        <v>24944</v>
      </c>
      <c r="W93" s="3">
        <f t="shared" si="9"/>
        <v>24944</v>
      </c>
    </row>
    <row r="94" spans="14:23">
      <c r="N94" s="3">
        <f t="shared" si="16"/>
        <v>80</v>
      </c>
      <c r="O94">
        <v>1</v>
      </c>
      <c r="P94" s="352">
        <v>77016</v>
      </c>
      <c r="Q94" s="3">
        <f t="shared" si="8"/>
        <v>77016</v>
      </c>
      <c r="T94" s="3">
        <f t="shared" si="18"/>
        <v>80</v>
      </c>
      <c r="U94">
        <v>-1</v>
      </c>
      <c r="V94">
        <v>25116</v>
      </c>
      <c r="W94" s="3">
        <f t="shared" si="9"/>
        <v>-25116</v>
      </c>
    </row>
    <row r="95" spans="14:23">
      <c r="N95" s="3">
        <f t="shared" si="16"/>
        <v>81</v>
      </c>
      <c r="O95">
        <v>-1</v>
      </c>
      <c r="P95" s="352">
        <v>76915</v>
      </c>
      <c r="Q95" s="3">
        <f t="shared" si="8"/>
        <v>-76915</v>
      </c>
      <c r="T95" s="3">
        <f t="shared" si="18"/>
        <v>81</v>
      </c>
      <c r="U95">
        <v>1</v>
      </c>
      <c r="V95">
        <v>24780</v>
      </c>
      <c r="W95" s="3">
        <f t="shared" ref="W95:W100" si="20">U95*V95</f>
        <v>24780</v>
      </c>
    </row>
    <row r="96" spans="14:23">
      <c r="N96" s="3">
        <f t="shared" si="16"/>
        <v>82</v>
      </c>
      <c r="O96">
        <v>-1</v>
      </c>
      <c r="P96" s="352">
        <v>77362</v>
      </c>
      <c r="Q96" s="3">
        <f t="shared" si="8"/>
        <v>-77362</v>
      </c>
      <c r="T96" s="3">
        <f t="shared" si="18"/>
        <v>82</v>
      </c>
      <c r="U96">
        <v>-1</v>
      </c>
      <c r="V96">
        <v>25022</v>
      </c>
      <c r="W96" s="3">
        <f t="shared" si="20"/>
        <v>-25022</v>
      </c>
    </row>
    <row r="97" spans="14:23">
      <c r="N97" s="3">
        <f t="shared" si="16"/>
        <v>83</v>
      </c>
      <c r="O97">
        <v>-1</v>
      </c>
      <c r="P97" s="352">
        <v>77564</v>
      </c>
      <c r="Q97" s="3">
        <f t="shared" si="8"/>
        <v>-77564</v>
      </c>
      <c r="T97" s="3">
        <f t="shared" si="18"/>
        <v>83</v>
      </c>
      <c r="U97">
        <v>-1</v>
      </c>
      <c r="V97">
        <v>25325</v>
      </c>
      <c r="W97" s="3">
        <f t="shared" si="20"/>
        <v>-25325</v>
      </c>
    </row>
    <row r="98" spans="14:23">
      <c r="N98" s="3">
        <f t="shared" si="16"/>
        <v>84</v>
      </c>
      <c r="O98">
        <v>1</v>
      </c>
      <c r="P98" s="352">
        <v>77459</v>
      </c>
      <c r="Q98" s="3">
        <f t="shared" si="8"/>
        <v>77459</v>
      </c>
      <c r="T98" s="3">
        <f t="shared" si="18"/>
        <v>84</v>
      </c>
      <c r="U98">
        <v>-1</v>
      </c>
      <c r="V98">
        <v>26335</v>
      </c>
      <c r="W98" s="3">
        <f t="shared" si="20"/>
        <v>-26335</v>
      </c>
    </row>
    <row r="99" spans="14:23">
      <c r="N99" s="3">
        <f t="shared" si="16"/>
        <v>85</v>
      </c>
      <c r="O99">
        <v>-1</v>
      </c>
      <c r="P99" s="352">
        <v>77700</v>
      </c>
      <c r="Q99" s="3">
        <f t="shared" si="8"/>
        <v>-77700</v>
      </c>
      <c r="T99" s="3">
        <f t="shared" si="18"/>
        <v>85</v>
      </c>
      <c r="U99">
        <v>1</v>
      </c>
      <c r="V99">
        <v>26079</v>
      </c>
      <c r="W99" s="3">
        <f t="shared" si="20"/>
        <v>26079</v>
      </c>
    </row>
    <row r="100" spans="14:23">
      <c r="N100" s="3">
        <f t="shared" si="16"/>
        <v>86</v>
      </c>
      <c r="O100">
        <v>1</v>
      </c>
      <c r="P100" s="352">
        <v>77370</v>
      </c>
      <c r="Q100" s="3">
        <f t="shared" si="8"/>
        <v>77370</v>
      </c>
      <c r="T100" s="3">
        <f t="shared" si="18"/>
        <v>86</v>
      </c>
      <c r="U100">
        <v>1</v>
      </c>
      <c r="V100">
        <v>25322</v>
      </c>
      <c r="W100" s="3">
        <f t="shared" si="20"/>
        <v>25322</v>
      </c>
    </row>
    <row r="101" spans="14:23">
      <c r="N101" s="3">
        <f t="shared" si="16"/>
        <v>87</v>
      </c>
      <c r="O101">
        <v>-1</v>
      </c>
      <c r="P101" s="352">
        <v>77404</v>
      </c>
      <c r="Q101" s="3">
        <f t="shared" si="8"/>
        <v>-77404</v>
      </c>
      <c r="T101" s="3">
        <f t="shared" si="18"/>
        <v>87</v>
      </c>
      <c r="U101">
        <v>1</v>
      </c>
      <c r="V101">
        <v>25026</v>
      </c>
      <c r="W101" s="3">
        <f t="shared" si="9"/>
        <v>25026</v>
      </c>
    </row>
    <row r="102" spans="14:23">
      <c r="N102" s="3">
        <f t="shared" si="16"/>
        <v>88</v>
      </c>
      <c r="O102">
        <v>1</v>
      </c>
      <c r="P102" s="352">
        <v>77421</v>
      </c>
      <c r="Q102" s="3">
        <f t="shared" si="8"/>
        <v>77421</v>
      </c>
      <c r="T102" s="3">
        <f t="shared" si="18"/>
        <v>88</v>
      </c>
      <c r="U102">
        <v>-1</v>
      </c>
      <c r="V102">
        <v>25439</v>
      </c>
      <c r="W102" s="3">
        <f t="shared" si="9"/>
        <v>-25439</v>
      </c>
    </row>
    <row r="103" spans="14:23">
      <c r="N103" s="3">
        <f t="shared" si="16"/>
        <v>89</v>
      </c>
      <c r="O103">
        <v>-1</v>
      </c>
      <c r="P103" s="352">
        <v>77505</v>
      </c>
      <c r="Q103" s="3">
        <f t="shared" si="8"/>
        <v>-77505</v>
      </c>
      <c r="T103" s="3">
        <f t="shared" si="18"/>
        <v>89</v>
      </c>
      <c r="U103">
        <v>-1</v>
      </c>
      <c r="V103">
        <v>25788</v>
      </c>
      <c r="W103" s="3">
        <f t="shared" si="9"/>
        <v>-25788</v>
      </c>
    </row>
    <row r="104" spans="14:23">
      <c r="N104" s="3">
        <f t="shared" si="16"/>
        <v>90</v>
      </c>
      <c r="O104">
        <v>-1</v>
      </c>
      <c r="P104" s="352">
        <v>77658</v>
      </c>
      <c r="Q104" s="3">
        <f t="shared" si="8"/>
        <v>-77658</v>
      </c>
      <c r="T104" s="3">
        <f t="shared" si="18"/>
        <v>90</v>
      </c>
      <c r="U104">
        <v>1</v>
      </c>
      <c r="V104">
        <v>25218</v>
      </c>
      <c r="W104" s="3">
        <f t="shared" si="9"/>
        <v>25218</v>
      </c>
    </row>
    <row r="105" spans="14:23">
      <c r="N105" s="3">
        <f t="shared" si="16"/>
        <v>91</v>
      </c>
      <c r="O105">
        <v>1</v>
      </c>
      <c r="P105" s="352">
        <v>77406</v>
      </c>
      <c r="Q105" s="3">
        <f t="shared" si="8"/>
        <v>77406</v>
      </c>
      <c r="T105" s="3">
        <f t="shared" si="18"/>
        <v>91</v>
      </c>
      <c r="U105">
        <v>-1</v>
      </c>
      <c r="V105">
        <v>25012</v>
      </c>
      <c r="W105" s="3">
        <f t="shared" si="9"/>
        <v>-25012</v>
      </c>
    </row>
    <row r="106" spans="14:23">
      <c r="N106" s="3">
        <f t="shared" si="16"/>
        <v>92</v>
      </c>
      <c r="O106">
        <v>-1</v>
      </c>
      <c r="P106" s="352">
        <v>77611</v>
      </c>
      <c r="Q106" s="3">
        <f t="shared" si="8"/>
        <v>-77611</v>
      </c>
      <c r="T106" s="3">
        <f t="shared" si="18"/>
        <v>92</v>
      </c>
      <c r="U106">
        <v>1</v>
      </c>
      <c r="V106">
        <v>24730</v>
      </c>
      <c r="W106" s="3">
        <f t="shared" si="9"/>
        <v>24730</v>
      </c>
    </row>
    <row r="107" spans="14:23">
      <c r="N107" s="3">
        <f t="shared" si="16"/>
        <v>93</v>
      </c>
      <c r="O107">
        <v>-1</v>
      </c>
      <c r="P107" s="352">
        <v>77963</v>
      </c>
      <c r="Q107" s="3">
        <f t="shared" si="8"/>
        <v>-77963</v>
      </c>
      <c r="T107" s="3">
        <f t="shared" si="18"/>
        <v>93</v>
      </c>
      <c r="U107">
        <v>1</v>
      </c>
      <c r="V107">
        <v>23823</v>
      </c>
      <c r="W107" s="3">
        <f t="shared" si="9"/>
        <v>23823</v>
      </c>
    </row>
    <row r="108" spans="14:23">
      <c r="N108" s="3">
        <f t="shared" si="16"/>
        <v>94</v>
      </c>
      <c r="O108">
        <v>1</v>
      </c>
      <c r="P108" s="352">
        <v>78369</v>
      </c>
      <c r="Q108" s="3">
        <f t="shared" si="8"/>
        <v>78369</v>
      </c>
      <c r="T108" s="3">
        <f t="shared" si="18"/>
        <v>94</v>
      </c>
      <c r="U108">
        <v>-1</v>
      </c>
      <c r="V108">
        <v>23514</v>
      </c>
      <c r="W108" s="3">
        <f t="shared" si="9"/>
        <v>-23514</v>
      </c>
    </row>
    <row r="109" spans="14:23">
      <c r="N109" s="3">
        <f t="shared" si="16"/>
        <v>95</v>
      </c>
      <c r="O109">
        <v>2</v>
      </c>
      <c r="P109" s="352">
        <v>78369</v>
      </c>
      <c r="Q109" s="3">
        <f>O109*P109</f>
        <v>156738</v>
      </c>
      <c r="T109" s="3">
        <f t="shared" si="18"/>
        <v>95</v>
      </c>
      <c r="U109">
        <v>1</v>
      </c>
      <c r="V109">
        <v>23212</v>
      </c>
      <c r="W109" s="3">
        <f t="shared" si="9"/>
        <v>23212</v>
      </c>
    </row>
    <row r="110" spans="14:23">
      <c r="N110" s="3">
        <f t="shared" si="16"/>
        <v>96</v>
      </c>
      <c r="O110">
        <v>-1</v>
      </c>
      <c r="P110" s="352">
        <v>78674</v>
      </c>
      <c r="Q110" s="3">
        <f>O110*P110</f>
        <v>-78674</v>
      </c>
      <c r="T110" s="3">
        <f t="shared" si="18"/>
        <v>96</v>
      </c>
      <c r="U110">
        <v>-1</v>
      </c>
      <c r="V110">
        <v>23510</v>
      </c>
      <c r="W110" s="3">
        <f t="shared" si="9"/>
        <v>-23510</v>
      </c>
    </row>
    <row r="111" spans="14:23">
      <c r="N111" s="3">
        <f t="shared" si="16"/>
        <v>97</v>
      </c>
      <c r="O111">
        <v>1</v>
      </c>
      <c r="P111" s="352">
        <v>80584</v>
      </c>
      <c r="Q111" s="3">
        <f t="shared" si="8"/>
        <v>80584</v>
      </c>
      <c r="T111" s="3">
        <f t="shared" si="18"/>
        <v>97</v>
      </c>
      <c r="U111">
        <v>1</v>
      </c>
      <c r="V111">
        <v>23784</v>
      </c>
      <c r="W111" s="3">
        <f t="shared" si="9"/>
        <v>23784</v>
      </c>
    </row>
    <row r="112" spans="14:23">
      <c r="N112" s="3">
        <f t="shared" si="16"/>
        <v>98</v>
      </c>
      <c r="O112">
        <v>1</v>
      </c>
      <c r="P112" s="352">
        <v>80247</v>
      </c>
      <c r="Q112" s="3">
        <f t="shared" si="8"/>
        <v>80247</v>
      </c>
      <c r="T112" s="3">
        <f t="shared" si="18"/>
        <v>98</v>
      </c>
      <c r="U112">
        <v>-1</v>
      </c>
      <c r="V112">
        <v>23933</v>
      </c>
      <c r="W112" s="3">
        <f t="shared" si="9"/>
        <v>-23933</v>
      </c>
    </row>
    <row r="113" spans="14:23">
      <c r="N113" s="3">
        <f t="shared" si="16"/>
        <v>99</v>
      </c>
      <c r="O113">
        <v>-1</v>
      </c>
      <c r="P113" s="352">
        <v>80193</v>
      </c>
      <c r="Q113" s="3">
        <f t="shared" si="8"/>
        <v>-80193</v>
      </c>
      <c r="T113" s="3">
        <f t="shared" si="18"/>
        <v>99</v>
      </c>
      <c r="U113">
        <v>1</v>
      </c>
      <c r="V113">
        <v>23877</v>
      </c>
      <c r="W113" s="3">
        <f t="shared" si="9"/>
        <v>23877</v>
      </c>
    </row>
    <row r="114" spans="14:23">
      <c r="N114" s="3">
        <f t="shared" si="16"/>
        <v>100</v>
      </c>
      <c r="O114">
        <v>-1</v>
      </c>
      <c r="P114" s="352">
        <v>80567</v>
      </c>
      <c r="Q114" s="3">
        <f t="shared" si="8"/>
        <v>-80567</v>
      </c>
      <c r="T114" s="3">
        <f t="shared" si="18"/>
        <v>100</v>
      </c>
      <c r="U114">
        <v>-1</v>
      </c>
      <c r="V114">
        <v>24259</v>
      </c>
      <c r="W114" s="3">
        <f t="shared" si="9"/>
        <v>-24259</v>
      </c>
    </row>
    <row r="115" spans="14:23">
      <c r="N115" s="3">
        <f t="shared" si="16"/>
        <v>101</v>
      </c>
      <c r="O115">
        <v>1</v>
      </c>
      <c r="P115" s="352">
        <v>79474</v>
      </c>
      <c r="Q115" s="3">
        <f t="shared" si="8"/>
        <v>79474</v>
      </c>
      <c r="U115">
        <v>-1</v>
      </c>
      <c r="V115">
        <v>24433</v>
      </c>
      <c r="W115" s="3">
        <f t="shared" si="9"/>
        <v>-24433</v>
      </c>
    </row>
    <row r="116" spans="14:23">
      <c r="N116" s="3">
        <f t="shared" si="16"/>
        <v>102</v>
      </c>
      <c r="O116">
        <v>-1</v>
      </c>
      <c r="P116" s="352">
        <v>79781</v>
      </c>
      <c r="Q116" s="3">
        <f t="shared" si="8"/>
        <v>-79781</v>
      </c>
      <c r="U116">
        <v>-1</v>
      </c>
      <c r="V116">
        <v>24657</v>
      </c>
      <c r="W116" s="3">
        <f t="shared" si="9"/>
        <v>-24657</v>
      </c>
    </row>
    <row r="117" spans="14:23">
      <c r="N117" s="3">
        <f t="shared" si="16"/>
        <v>103</v>
      </c>
      <c r="O117">
        <v>1</v>
      </c>
      <c r="P117" s="352">
        <v>79140</v>
      </c>
      <c r="Q117" s="3">
        <f t="shared" si="8"/>
        <v>79140</v>
      </c>
      <c r="U117">
        <v>1</v>
      </c>
      <c r="V117">
        <v>24558</v>
      </c>
      <c r="W117" s="3">
        <f t="shared" si="9"/>
        <v>24558</v>
      </c>
    </row>
    <row r="118" spans="14:23">
      <c r="N118" s="3">
        <f t="shared" si="16"/>
        <v>104</v>
      </c>
      <c r="O118">
        <v>-1</v>
      </c>
      <c r="P118" s="352">
        <v>79012</v>
      </c>
      <c r="Q118" s="3">
        <f t="shared" si="8"/>
        <v>-79012</v>
      </c>
      <c r="U118">
        <v>1</v>
      </c>
      <c r="V118">
        <v>24314</v>
      </c>
      <c r="W118" s="3">
        <f t="shared" si="9"/>
        <v>24314</v>
      </c>
    </row>
    <row r="119" spans="14:23">
      <c r="O119">
        <v>1</v>
      </c>
      <c r="P119" s="352">
        <v>78529</v>
      </c>
      <c r="Q119" s="3">
        <f t="shared" si="8"/>
        <v>78529</v>
      </c>
      <c r="U119">
        <v>1</v>
      </c>
      <c r="V119">
        <v>24063</v>
      </c>
      <c r="W119" s="3">
        <f t="shared" si="9"/>
        <v>24063</v>
      </c>
    </row>
    <row r="120" spans="14:23">
      <c r="O120">
        <v>-1</v>
      </c>
      <c r="P120" s="352">
        <v>78767</v>
      </c>
      <c r="Q120" s="3">
        <f t="shared" si="8"/>
        <v>-78767</v>
      </c>
      <c r="U120">
        <v>-1</v>
      </c>
      <c r="V120">
        <v>24295</v>
      </c>
      <c r="W120" s="3">
        <f t="shared" si="9"/>
        <v>-24295</v>
      </c>
    </row>
    <row r="121" spans="14:23">
      <c r="O121">
        <v>1</v>
      </c>
      <c r="P121" s="352">
        <v>78574</v>
      </c>
      <c r="Q121" s="3">
        <f t="shared" si="8"/>
        <v>78574</v>
      </c>
      <c r="U121">
        <v>1</v>
      </c>
      <c r="V121">
        <v>23907</v>
      </c>
      <c r="W121" s="3">
        <f t="shared" si="9"/>
        <v>23907</v>
      </c>
    </row>
    <row r="122" spans="14:23">
      <c r="O122">
        <v>-1</v>
      </c>
      <c r="P122" s="352">
        <v>78581</v>
      </c>
      <c r="Q122" s="3">
        <f t="shared" si="8"/>
        <v>-78581</v>
      </c>
      <c r="U122">
        <v>-1</v>
      </c>
      <c r="V122">
        <v>24990</v>
      </c>
      <c r="W122" s="3">
        <f t="shared" si="9"/>
        <v>-24990</v>
      </c>
    </row>
    <row r="123" spans="14:23">
      <c r="O123">
        <v>1</v>
      </c>
      <c r="P123" s="352">
        <v>78023</v>
      </c>
      <c r="Q123" s="3">
        <f t="shared" si="8"/>
        <v>78023</v>
      </c>
      <c r="U123">
        <v>-1</v>
      </c>
      <c r="V123">
        <v>25143</v>
      </c>
      <c r="W123" s="3">
        <f t="shared" si="9"/>
        <v>-25143</v>
      </c>
    </row>
    <row r="124" spans="14:23">
      <c r="O124">
        <v>1</v>
      </c>
      <c r="P124" s="352">
        <v>77164</v>
      </c>
      <c r="Q124" s="3">
        <f t="shared" si="8"/>
        <v>77164</v>
      </c>
      <c r="U124">
        <v>-1</v>
      </c>
      <c r="V124">
        <v>25588</v>
      </c>
      <c r="W124" s="3">
        <f t="shared" si="9"/>
        <v>-25588</v>
      </c>
    </row>
    <row r="125" spans="14:23">
      <c r="O125">
        <v>1</v>
      </c>
      <c r="P125" s="352">
        <v>76729</v>
      </c>
      <c r="Q125" s="3">
        <f t="shared" si="8"/>
        <v>76729</v>
      </c>
      <c r="U125">
        <v>-1</v>
      </c>
      <c r="V125">
        <v>26075</v>
      </c>
      <c r="W125" s="3">
        <f t="shared" si="9"/>
        <v>-26075</v>
      </c>
    </row>
    <row r="126" spans="14:23">
      <c r="O126">
        <v>-1</v>
      </c>
      <c r="P126" s="352">
        <v>76889</v>
      </c>
      <c r="Q126" s="3">
        <f t="shared" si="8"/>
        <v>-76889</v>
      </c>
      <c r="U126">
        <v>1</v>
      </c>
      <c r="V126">
        <v>25854</v>
      </c>
      <c r="W126" s="3">
        <f t="shared" si="9"/>
        <v>25854</v>
      </c>
    </row>
    <row r="127" spans="14:23">
      <c r="O127">
        <v>-1</v>
      </c>
      <c r="P127" s="352">
        <v>77097</v>
      </c>
      <c r="Q127" s="3">
        <f t="shared" si="8"/>
        <v>-77097</v>
      </c>
      <c r="U127">
        <v>1</v>
      </c>
      <c r="V127">
        <v>25738</v>
      </c>
      <c r="W127" s="3">
        <f t="shared" si="9"/>
        <v>25738</v>
      </c>
    </row>
    <row r="128" spans="14:23">
      <c r="O128">
        <v>1</v>
      </c>
      <c r="P128" s="352">
        <v>76476</v>
      </c>
      <c r="Q128" s="3">
        <f t="shared" si="8"/>
        <v>76476</v>
      </c>
      <c r="U128">
        <v>-1</v>
      </c>
      <c r="V128">
        <v>25920</v>
      </c>
      <c r="W128" s="3">
        <f t="shared" si="9"/>
        <v>-25920</v>
      </c>
    </row>
    <row r="129" spans="15:23">
      <c r="O129">
        <v>-1</v>
      </c>
      <c r="P129" s="352">
        <v>76650</v>
      </c>
      <c r="Q129" s="3">
        <f t="shared" si="8"/>
        <v>-76650</v>
      </c>
      <c r="U129">
        <v>1</v>
      </c>
      <c r="V129">
        <v>25694</v>
      </c>
      <c r="W129" s="3">
        <f t="shared" si="9"/>
        <v>25694</v>
      </c>
    </row>
    <row r="130" spans="15:23">
      <c r="O130">
        <v>1</v>
      </c>
      <c r="P130" s="352">
        <v>75888</v>
      </c>
      <c r="Q130" s="3">
        <f t="shared" si="8"/>
        <v>75888</v>
      </c>
      <c r="U130">
        <v>1</v>
      </c>
      <c r="V130">
        <v>25395</v>
      </c>
      <c r="W130" s="3">
        <f t="shared" si="9"/>
        <v>25395</v>
      </c>
    </row>
    <row r="131" spans="15:23">
      <c r="O131">
        <v>1</v>
      </c>
      <c r="P131" s="352">
        <v>75258</v>
      </c>
      <c r="Q131" s="3">
        <f t="shared" si="8"/>
        <v>75258</v>
      </c>
      <c r="U131">
        <v>-1</v>
      </c>
      <c r="V131">
        <v>25619</v>
      </c>
      <c r="W131" s="3">
        <f t="shared" si="9"/>
        <v>-25619</v>
      </c>
    </row>
    <row r="132" spans="15:23">
      <c r="O132">
        <v>-1</v>
      </c>
      <c r="P132" s="352">
        <v>75401</v>
      </c>
      <c r="Q132" s="3">
        <f t="shared" si="8"/>
        <v>-75401</v>
      </c>
      <c r="U132">
        <v>-1</v>
      </c>
      <c r="V132">
        <v>25752</v>
      </c>
      <c r="W132" s="3">
        <f t="shared" si="9"/>
        <v>-25752</v>
      </c>
    </row>
    <row r="133" spans="15:23">
      <c r="O133">
        <v>1</v>
      </c>
      <c r="P133" s="352">
        <v>75111</v>
      </c>
      <c r="Q133" s="3">
        <f t="shared" si="8"/>
        <v>75111</v>
      </c>
      <c r="U133">
        <v>1</v>
      </c>
      <c r="V133">
        <v>25550</v>
      </c>
      <c r="W133" s="3">
        <f t="shared" si="9"/>
        <v>25550</v>
      </c>
    </row>
    <row r="134" spans="15:23">
      <c r="O134">
        <v>-1</v>
      </c>
      <c r="P134" s="352">
        <v>75461</v>
      </c>
      <c r="Q134" s="3">
        <f t="shared" si="8"/>
        <v>-75461</v>
      </c>
      <c r="U134">
        <v>-1</v>
      </c>
      <c r="V134">
        <v>26000</v>
      </c>
      <c r="W134" s="3">
        <f t="shared" si="9"/>
        <v>-26000</v>
      </c>
    </row>
    <row r="135" spans="15:23">
      <c r="O135">
        <v>1</v>
      </c>
      <c r="P135" s="352">
        <v>75293</v>
      </c>
      <c r="Q135" s="3">
        <f t="shared" si="8"/>
        <v>75293</v>
      </c>
      <c r="U135">
        <v>-1</v>
      </c>
      <c r="V135">
        <v>26628</v>
      </c>
      <c r="W135" s="3">
        <f t="shared" si="9"/>
        <v>-26628</v>
      </c>
    </row>
    <row r="136" spans="15:23">
      <c r="O136">
        <v>-1</v>
      </c>
      <c r="P136" s="352">
        <v>75503</v>
      </c>
      <c r="Q136" s="3">
        <f t="shared" si="8"/>
        <v>-75503</v>
      </c>
      <c r="U136">
        <v>1</v>
      </c>
      <c r="V136">
        <v>27130</v>
      </c>
      <c r="W136" s="3">
        <f t="shared" si="9"/>
        <v>27130</v>
      </c>
    </row>
    <row r="137" spans="15:23">
      <c r="O137">
        <v>-1</v>
      </c>
      <c r="P137" s="352">
        <v>75916</v>
      </c>
      <c r="Q137" s="3">
        <f t="shared" si="8"/>
        <v>-75916</v>
      </c>
      <c r="U137">
        <v>-1</v>
      </c>
      <c r="V137">
        <v>27323</v>
      </c>
      <c r="W137" s="3">
        <f t="shared" si="9"/>
        <v>-27323</v>
      </c>
    </row>
    <row r="138" spans="15:23">
      <c r="O138">
        <v>1</v>
      </c>
      <c r="P138" s="352">
        <v>75812</v>
      </c>
      <c r="Q138" s="3">
        <f t="shared" si="8"/>
        <v>75812</v>
      </c>
      <c r="U138">
        <v>1</v>
      </c>
      <c r="V138">
        <v>27090</v>
      </c>
      <c r="W138" s="3">
        <f t="shared" si="9"/>
        <v>27090</v>
      </c>
    </row>
    <row r="139" spans="15:23">
      <c r="O139">
        <v>1</v>
      </c>
      <c r="P139" s="352">
        <v>75692</v>
      </c>
      <c r="Q139" s="3">
        <f t="shared" si="8"/>
        <v>75692</v>
      </c>
      <c r="U139">
        <v>-1</v>
      </c>
      <c r="V139">
        <v>26725</v>
      </c>
      <c r="W139" s="3">
        <f t="shared" si="9"/>
        <v>-26725</v>
      </c>
    </row>
    <row r="140" spans="15:23">
      <c r="O140">
        <v>1</v>
      </c>
      <c r="P140" s="352">
        <v>75433</v>
      </c>
      <c r="Q140" s="3">
        <f t="shared" si="8"/>
        <v>75433</v>
      </c>
      <c r="U140">
        <v>1</v>
      </c>
      <c r="V140">
        <v>26474</v>
      </c>
      <c r="W140" s="3">
        <f t="shared" si="9"/>
        <v>26474</v>
      </c>
    </row>
    <row r="141" spans="15:23">
      <c r="O141">
        <v>-1</v>
      </c>
      <c r="P141" s="352">
        <v>75592</v>
      </c>
      <c r="Q141" s="3">
        <f t="shared" si="8"/>
        <v>-75592</v>
      </c>
      <c r="U141">
        <v>1</v>
      </c>
      <c r="V141">
        <v>26201</v>
      </c>
      <c r="W141" s="3">
        <f t="shared" si="9"/>
        <v>26201</v>
      </c>
    </row>
    <row r="142" spans="15:23">
      <c r="O142">
        <v>-1</v>
      </c>
      <c r="P142" s="352">
        <v>75760</v>
      </c>
      <c r="Q142" s="3">
        <f t="shared" si="8"/>
        <v>-75760</v>
      </c>
      <c r="U142">
        <v>-1</v>
      </c>
      <c r="V142">
        <v>26508</v>
      </c>
      <c r="W142" s="3">
        <f t="shared" si="9"/>
        <v>-26508</v>
      </c>
    </row>
    <row r="143" spans="15:23">
      <c r="O143">
        <v>-1</v>
      </c>
      <c r="P143" s="352">
        <v>75808</v>
      </c>
      <c r="Q143" s="3">
        <f t="shared" si="8"/>
        <v>-75808</v>
      </c>
      <c r="U143">
        <v>-1</v>
      </c>
      <c r="V143">
        <v>26644</v>
      </c>
      <c r="W143" s="3">
        <f t="shared" si="9"/>
        <v>-26644</v>
      </c>
    </row>
    <row r="144" spans="15:23">
      <c r="O144">
        <v>1</v>
      </c>
      <c r="P144" s="352">
        <v>75718</v>
      </c>
      <c r="Q144" s="3">
        <f t="shared" si="8"/>
        <v>75718</v>
      </c>
      <c r="U144">
        <v>1</v>
      </c>
      <c r="V144">
        <v>26314</v>
      </c>
      <c r="W144" s="3">
        <f t="shared" si="9"/>
        <v>26314</v>
      </c>
    </row>
    <row r="145" spans="15:23">
      <c r="O145">
        <v>-1</v>
      </c>
      <c r="P145" s="352">
        <v>75959</v>
      </c>
      <c r="Q145" s="3">
        <f t="shared" si="8"/>
        <v>-75959</v>
      </c>
      <c r="U145">
        <v>1</v>
      </c>
      <c r="V145">
        <v>25409</v>
      </c>
      <c r="W145" s="3">
        <f t="shared" si="9"/>
        <v>25409</v>
      </c>
    </row>
    <row r="146" spans="15:23">
      <c r="O146">
        <v>-1</v>
      </c>
      <c r="P146" s="352">
        <v>76465</v>
      </c>
      <c r="Q146" s="3">
        <f t="shared" si="8"/>
        <v>-76465</v>
      </c>
      <c r="U146">
        <v>-1</v>
      </c>
      <c r="V146">
        <v>25727</v>
      </c>
      <c r="W146" s="3">
        <f t="shared" si="9"/>
        <v>-25727</v>
      </c>
    </row>
    <row r="147" spans="15:23">
      <c r="O147">
        <v>1</v>
      </c>
      <c r="P147" s="352">
        <v>76342</v>
      </c>
      <c r="Q147" s="3">
        <f t="shared" si="8"/>
        <v>76342</v>
      </c>
      <c r="U147">
        <v>1</v>
      </c>
      <c r="V147">
        <v>25564</v>
      </c>
      <c r="W147" s="3">
        <f t="shared" si="9"/>
        <v>25564</v>
      </c>
    </row>
    <row r="148" spans="15:23">
      <c r="O148">
        <v>-1</v>
      </c>
      <c r="P148" s="352">
        <v>77000</v>
      </c>
      <c r="Q148" s="3">
        <f t="shared" si="8"/>
        <v>-77000</v>
      </c>
      <c r="U148">
        <v>-1</v>
      </c>
      <c r="V148">
        <v>25899</v>
      </c>
      <c r="W148" s="3">
        <f t="shared" si="9"/>
        <v>-25899</v>
      </c>
    </row>
    <row r="149" spans="15:23">
      <c r="O149">
        <v>-1</v>
      </c>
      <c r="P149" s="352">
        <v>77890</v>
      </c>
      <c r="Q149" s="3">
        <f t="shared" si="8"/>
        <v>-77890</v>
      </c>
      <c r="U149">
        <v>-1</v>
      </c>
      <c r="V149">
        <v>26156</v>
      </c>
      <c r="W149" s="3">
        <f t="shared" si="9"/>
        <v>-26156</v>
      </c>
    </row>
    <row r="150" spans="15:23">
      <c r="O150">
        <v>1</v>
      </c>
      <c r="P150" s="352">
        <v>77772</v>
      </c>
      <c r="Q150" s="3">
        <f t="shared" si="8"/>
        <v>77772</v>
      </c>
      <c r="U150">
        <v>1</v>
      </c>
      <c r="V150">
        <v>25901</v>
      </c>
      <c r="W150" s="3">
        <f t="shared" si="9"/>
        <v>25901</v>
      </c>
    </row>
    <row r="151" spans="15:23">
      <c r="O151">
        <v>1</v>
      </c>
      <c r="P151" s="352">
        <v>77031</v>
      </c>
      <c r="Q151" s="3">
        <f t="shared" si="8"/>
        <v>77031</v>
      </c>
      <c r="U151">
        <v>1</v>
      </c>
      <c r="V151">
        <v>25534</v>
      </c>
      <c r="W151" s="3">
        <f t="shared" si="9"/>
        <v>25534</v>
      </c>
    </row>
    <row r="152" spans="15:23">
      <c r="O152">
        <v>-1</v>
      </c>
      <c r="P152" s="352">
        <v>77618</v>
      </c>
      <c r="Q152" s="3">
        <f t="shared" si="8"/>
        <v>-77618</v>
      </c>
      <c r="U152">
        <v>-1</v>
      </c>
      <c r="V152">
        <v>25721</v>
      </c>
      <c r="W152" s="3">
        <f t="shared" si="9"/>
        <v>-25721</v>
      </c>
    </row>
    <row r="153" spans="15:23">
      <c r="O153">
        <v>1</v>
      </c>
      <c r="P153" s="352">
        <v>77183</v>
      </c>
      <c r="Q153" s="3">
        <f t="shared" si="8"/>
        <v>77183</v>
      </c>
      <c r="U153">
        <v>-1</v>
      </c>
      <c r="V153">
        <v>25778</v>
      </c>
      <c r="W153" s="3">
        <f t="shared" si="9"/>
        <v>-25778</v>
      </c>
    </row>
    <row r="154" spans="15:23">
      <c r="O154">
        <v>1</v>
      </c>
      <c r="P154" s="352">
        <v>77028</v>
      </c>
      <c r="Q154" s="3">
        <f t="shared" si="8"/>
        <v>77028</v>
      </c>
      <c r="U154">
        <v>-1</v>
      </c>
      <c r="V154">
        <v>26148</v>
      </c>
      <c r="W154" s="3">
        <f t="shared" si="9"/>
        <v>-26148</v>
      </c>
    </row>
    <row r="155" spans="15:23">
      <c r="O155">
        <v>-1</v>
      </c>
      <c r="P155" s="352">
        <v>76961</v>
      </c>
      <c r="Q155" s="3">
        <f t="shared" si="8"/>
        <v>-76961</v>
      </c>
      <c r="U155">
        <v>1</v>
      </c>
      <c r="V155">
        <v>25920</v>
      </c>
      <c r="W155" s="3">
        <f t="shared" si="9"/>
        <v>25920</v>
      </c>
    </row>
    <row r="156" spans="15:23">
      <c r="O156">
        <v>-1</v>
      </c>
      <c r="P156" s="352">
        <v>77161</v>
      </c>
      <c r="Q156" s="3">
        <f t="shared" si="8"/>
        <v>-77161</v>
      </c>
      <c r="U156">
        <v>1</v>
      </c>
      <c r="V156">
        <v>25630</v>
      </c>
      <c r="W156" s="3">
        <f t="shared" si="9"/>
        <v>25630</v>
      </c>
    </row>
    <row r="157" spans="15:23">
      <c r="O157">
        <v>-1</v>
      </c>
      <c r="P157" s="352">
        <v>77348</v>
      </c>
      <c r="Q157" s="3">
        <f t="shared" si="8"/>
        <v>-77348</v>
      </c>
      <c r="U157">
        <v>-1</v>
      </c>
      <c r="V157">
        <v>26000</v>
      </c>
      <c r="W157" s="3">
        <f t="shared" si="9"/>
        <v>-26000</v>
      </c>
    </row>
    <row r="158" spans="15:23">
      <c r="O158">
        <v>1</v>
      </c>
      <c r="P158" s="352">
        <v>77179</v>
      </c>
      <c r="Q158" s="3">
        <f t="shared" si="8"/>
        <v>77179</v>
      </c>
      <c r="U158">
        <v>1</v>
      </c>
      <c r="V158">
        <v>25949</v>
      </c>
      <c r="W158" s="3">
        <f t="shared" si="9"/>
        <v>25949</v>
      </c>
    </row>
    <row r="159" spans="15:23">
      <c r="O159">
        <v>1</v>
      </c>
      <c r="P159" s="352">
        <v>76876</v>
      </c>
      <c r="Q159" s="3">
        <f t="shared" si="8"/>
        <v>76876</v>
      </c>
      <c r="U159">
        <v>-1</v>
      </c>
      <c r="V159">
        <v>26044</v>
      </c>
      <c r="W159" s="3">
        <f t="shared" si="9"/>
        <v>-26044</v>
      </c>
    </row>
    <row r="160" spans="15:23">
      <c r="O160">
        <v>1</v>
      </c>
      <c r="P160" s="352">
        <v>76391</v>
      </c>
      <c r="Q160" s="3">
        <f t="shared" si="8"/>
        <v>76391</v>
      </c>
      <c r="U160">
        <v>-1</v>
      </c>
      <c r="V160">
        <v>26510</v>
      </c>
      <c r="W160" s="3">
        <f t="shared" si="9"/>
        <v>-26510</v>
      </c>
    </row>
    <row r="161" spans="15:23">
      <c r="O161">
        <v>-1</v>
      </c>
      <c r="P161" s="352">
        <v>76393</v>
      </c>
      <c r="Q161" s="3">
        <f t="shared" si="8"/>
        <v>-76393</v>
      </c>
      <c r="U161">
        <v>1</v>
      </c>
      <c r="V161">
        <v>26863</v>
      </c>
      <c r="W161" s="3">
        <f t="shared" si="9"/>
        <v>26863</v>
      </c>
    </row>
    <row r="162" spans="15:23">
      <c r="O162">
        <v>1</v>
      </c>
      <c r="P162" s="352">
        <v>76177</v>
      </c>
      <c r="Q162" s="3">
        <f t="shared" si="8"/>
        <v>76177</v>
      </c>
      <c r="U162">
        <v>-1</v>
      </c>
      <c r="V162">
        <v>27150</v>
      </c>
      <c r="W162" s="3">
        <f t="shared" si="9"/>
        <v>-27150</v>
      </c>
    </row>
    <row r="163" spans="15:23">
      <c r="O163">
        <v>1</v>
      </c>
      <c r="P163" s="352">
        <v>75786</v>
      </c>
      <c r="Q163" s="3">
        <f t="shared" si="8"/>
        <v>75786</v>
      </c>
      <c r="U163">
        <v>-1</v>
      </c>
      <c r="V163">
        <v>27325</v>
      </c>
      <c r="W163" s="3">
        <f t="shared" si="9"/>
        <v>-27325</v>
      </c>
    </row>
    <row r="164" spans="15:23">
      <c r="O164">
        <v>-1</v>
      </c>
      <c r="P164" s="352">
        <v>76002</v>
      </c>
      <c r="Q164" s="3">
        <f t="shared" si="8"/>
        <v>-76002</v>
      </c>
      <c r="U164">
        <v>-1</v>
      </c>
      <c r="V164">
        <v>27837</v>
      </c>
      <c r="W164" s="3">
        <f t="shared" si="9"/>
        <v>-27837</v>
      </c>
    </row>
    <row r="165" spans="15:23">
      <c r="O165">
        <v>-1</v>
      </c>
      <c r="P165" s="352">
        <v>76450</v>
      </c>
      <c r="Q165" s="3">
        <f t="shared" si="8"/>
        <v>-76450</v>
      </c>
      <c r="U165">
        <v>1</v>
      </c>
      <c r="V165">
        <v>27700</v>
      </c>
      <c r="W165" s="3">
        <f t="shared" si="9"/>
        <v>27700</v>
      </c>
    </row>
    <row r="166" spans="15:23">
      <c r="O166">
        <v>1</v>
      </c>
      <c r="P166" s="352">
        <v>76127</v>
      </c>
      <c r="Q166" s="3">
        <f t="shared" si="8"/>
        <v>76127</v>
      </c>
      <c r="U166">
        <v>-1</v>
      </c>
      <c r="V166">
        <v>28160</v>
      </c>
      <c r="W166" s="3">
        <f t="shared" si="9"/>
        <v>-28160</v>
      </c>
    </row>
    <row r="167" spans="15:23">
      <c r="O167">
        <v>1</v>
      </c>
      <c r="P167" s="352">
        <v>75534</v>
      </c>
      <c r="Q167" s="3">
        <f t="shared" si="8"/>
        <v>75534</v>
      </c>
      <c r="U167">
        <v>1</v>
      </c>
      <c r="V167">
        <v>27998</v>
      </c>
      <c r="W167" s="3">
        <f t="shared" si="9"/>
        <v>27998</v>
      </c>
    </row>
    <row r="168" spans="15:23">
      <c r="O168">
        <v>-1</v>
      </c>
      <c r="P168" s="352">
        <v>75799</v>
      </c>
      <c r="Q168" s="3">
        <f t="shared" si="8"/>
        <v>-75799</v>
      </c>
      <c r="U168">
        <v>1</v>
      </c>
      <c r="V168">
        <v>27814</v>
      </c>
      <c r="W168" s="3">
        <f t="shared" si="9"/>
        <v>27814</v>
      </c>
    </row>
    <row r="169" spans="15:23">
      <c r="O169">
        <v>1</v>
      </c>
      <c r="P169" s="352">
        <v>75544</v>
      </c>
      <c r="Q169" s="3">
        <f t="shared" si="8"/>
        <v>75544</v>
      </c>
      <c r="U169">
        <v>-1</v>
      </c>
      <c r="V169">
        <v>28147</v>
      </c>
      <c r="W169" s="3">
        <f t="shared" si="9"/>
        <v>-28147</v>
      </c>
    </row>
    <row r="170" spans="15:23">
      <c r="O170">
        <v>-1</v>
      </c>
      <c r="P170" s="352">
        <v>75807</v>
      </c>
      <c r="Q170" s="3">
        <f t="shared" si="8"/>
        <v>-75807</v>
      </c>
      <c r="U170">
        <v>-1</v>
      </c>
      <c r="V170">
        <v>28419</v>
      </c>
      <c r="W170" s="3">
        <f t="shared" si="9"/>
        <v>-28419</v>
      </c>
    </row>
    <row r="171" spans="15:23">
      <c r="O171">
        <v>-1</v>
      </c>
      <c r="P171" s="352">
        <v>76176</v>
      </c>
      <c r="Q171" s="3">
        <f t="shared" si="8"/>
        <v>-76176</v>
      </c>
      <c r="U171">
        <v>1</v>
      </c>
      <c r="V171">
        <v>27997</v>
      </c>
      <c r="W171" s="3">
        <f t="shared" si="9"/>
        <v>27997</v>
      </c>
    </row>
    <row r="172" spans="15:23">
      <c r="O172">
        <v>2</v>
      </c>
      <c r="P172" s="352">
        <v>75500</v>
      </c>
      <c r="Q172" s="3">
        <f t="shared" si="8"/>
        <v>151000</v>
      </c>
      <c r="U172">
        <v>1</v>
      </c>
      <c r="V172">
        <v>27931</v>
      </c>
      <c r="W172" s="3">
        <f t="shared" si="9"/>
        <v>27931</v>
      </c>
    </row>
    <row r="173" spans="15:23">
      <c r="O173">
        <v>1</v>
      </c>
      <c r="P173" s="352">
        <v>76424</v>
      </c>
      <c r="Q173" s="3">
        <f t="shared" si="8"/>
        <v>76424</v>
      </c>
      <c r="U173">
        <v>1</v>
      </c>
      <c r="V173">
        <v>27582</v>
      </c>
      <c r="W173" s="3">
        <f t="shared" si="9"/>
        <v>27582</v>
      </c>
    </row>
    <row r="174" spans="15:23">
      <c r="O174">
        <v>-1</v>
      </c>
      <c r="P174" s="352">
        <v>76784</v>
      </c>
      <c r="Q174" s="3">
        <f t="shared" si="8"/>
        <v>-76784</v>
      </c>
      <c r="U174">
        <v>1</v>
      </c>
      <c r="V174">
        <v>27460</v>
      </c>
      <c r="W174" s="3">
        <f t="shared" si="9"/>
        <v>27460</v>
      </c>
    </row>
    <row r="175" spans="15:23">
      <c r="O175">
        <v>-1</v>
      </c>
      <c r="P175" s="352">
        <v>77807</v>
      </c>
      <c r="Q175" s="3">
        <f t="shared" si="8"/>
        <v>-77807</v>
      </c>
      <c r="U175">
        <v>-1</v>
      </c>
      <c r="V175">
        <v>27525</v>
      </c>
      <c r="W175" s="3">
        <f t="shared" si="9"/>
        <v>-27525</v>
      </c>
    </row>
    <row r="176" spans="15:23">
      <c r="O176">
        <v>1</v>
      </c>
      <c r="P176" s="352">
        <v>77362</v>
      </c>
      <c r="Q176" s="3">
        <f t="shared" si="8"/>
        <v>77362</v>
      </c>
      <c r="U176">
        <v>1</v>
      </c>
      <c r="V176">
        <v>27300</v>
      </c>
      <c r="W176" s="3">
        <f t="shared" si="9"/>
        <v>27300</v>
      </c>
    </row>
    <row r="177" spans="15:23">
      <c r="O177">
        <v>1</v>
      </c>
      <c r="P177" s="352">
        <v>76830</v>
      </c>
      <c r="Q177" s="3">
        <f t="shared" si="8"/>
        <v>76830</v>
      </c>
      <c r="U177">
        <v>-1</v>
      </c>
      <c r="V177">
        <v>27419</v>
      </c>
      <c r="W177" s="3">
        <f t="shared" si="9"/>
        <v>-27419</v>
      </c>
    </row>
    <row r="178" spans="15:23">
      <c r="O178">
        <v>-1</v>
      </c>
      <c r="P178" s="352">
        <v>77042</v>
      </c>
      <c r="Q178" s="3">
        <f t="shared" si="8"/>
        <v>-77042</v>
      </c>
      <c r="U178">
        <v>1</v>
      </c>
      <c r="V178">
        <v>27211</v>
      </c>
      <c r="W178" s="3">
        <f t="shared" si="9"/>
        <v>27211</v>
      </c>
    </row>
    <row r="179" spans="15:23">
      <c r="O179">
        <v>-1</v>
      </c>
      <c r="P179" s="352">
        <v>78214</v>
      </c>
      <c r="Q179" s="3">
        <f t="shared" si="8"/>
        <v>-78214</v>
      </c>
      <c r="U179">
        <v>1</v>
      </c>
      <c r="V179">
        <v>26934</v>
      </c>
      <c r="W179" s="3">
        <f t="shared" si="9"/>
        <v>26934</v>
      </c>
    </row>
    <row r="180" spans="15:23">
      <c r="O180">
        <v>-1</v>
      </c>
      <c r="P180" s="352">
        <v>80739</v>
      </c>
      <c r="Q180" s="3">
        <f t="shared" si="8"/>
        <v>-80739</v>
      </c>
      <c r="U180">
        <v>-1</v>
      </c>
      <c r="V180">
        <v>27069</v>
      </c>
      <c r="W180" s="3">
        <f t="shared" si="9"/>
        <v>-27069</v>
      </c>
    </row>
    <row r="181" spans="15:23">
      <c r="O181">
        <v>1</v>
      </c>
      <c r="P181" s="352">
        <v>80271</v>
      </c>
      <c r="Q181" s="3">
        <f t="shared" si="8"/>
        <v>80271</v>
      </c>
      <c r="U181">
        <v>1</v>
      </c>
      <c r="V181">
        <v>26806</v>
      </c>
      <c r="W181" s="3">
        <f t="shared" si="9"/>
        <v>26806</v>
      </c>
    </row>
    <row r="182" spans="15:23">
      <c r="O182">
        <v>-1</v>
      </c>
      <c r="P182" s="352">
        <v>80473</v>
      </c>
      <c r="Q182" s="3">
        <f t="shared" si="8"/>
        <v>-80473</v>
      </c>
      <c r="U182">
        <v>-1</v>
      </c>
      <c r="V182">
        <v>26912</v>
      </c>
      <c r="W182" s="3">
        <f t="shared" si="9"/>
        <v>-26912</v>
      </c>
    </row>
    <row r="183" spans="15:23">
      <c r="O183">
        <v>1</v>
      </c>
      <c r="P183" s="352">
        <v>79874</v>
      </c>
      <c r="Q183" s="3">
        <f t="shared" si="8"/>
        <v>79874</v>
      </c>
      <c r="U183">
        <v>-1</v>
      </c>
      <c r="V183">
        <v>27060</v>
      </c>
      <c r="W183" s="3">
        <f t="shared" si="9"/>
        <v>-27060</v>
      </c>
    </row>
    <row r="184" spans="15:23">
      <c r="O184">
        <v>-1</v>
      </c>
      <c r="P184" s="352">
        <v>80334</v>
      </c>
      <c r="Q184" s="3">
        <f t="shared" si="8"/>
        <v>-80334</v>
      </c>
      <c r="U184">
        <v>1</v>
      </c>
      <c r="V184">
        <v>26955</v>
      </c>
      <c r="W184" s="3">
        <f t="shared" si="9"/>
        <v>26955</v>
      </c>
    </row>
    <row r="185" spans="15:23">
      <c r="O185">
        <v>1</v>
      </c>
      <c r="P185" s="352">
        <v>79775</v>
      </c>
      <c r="Q185" s="3">
        <f t="shared" si="8"/>
        <v>79775</v>
      </c>
      <c r="U185">
        <v>-1</v>
      </c>
      <c r="V185">
        <v>27150</v>
      </c>
      <c r="W185" s="3">
        <f t="shared" si="9"/>
        <v>-27150</v>
      </c>
    </row>
    <row r="186" spans="15:23">
      <c r="O186">
        <v>-1</v>
      </c>
      <c r="P186" s="352">
        <v>79706</v>
      </c>
      <c r="Q186" s="3">
        <f t="shared" si="8"/>
        <v>-79706</v>
      </c>
      <c r="U186">
        <v>1</v>
      </c>
      <c r="V186">
        <v>26830</v>
      </c>
      <c r="W186" s="3">
        <f t="shared" si="9"/>
        <v>26830</v>
      </c>
    </row>
    <row r="187" spans="15:23">
      <c r="O187">
        <v>1</v>
      </c>
      <c r="P187" s="352">
        <v>79335</v>
      </c>
      <c r="Q187" s="3">
        <f t="shared" si="8"/>
        <v>79335</v>
      </c>
      <c r="U187">
        <v>-1</v>
      </c>
      <c r="V187">
        <v>26934</v>
      </c>
      <c r="W187" s="3">
        <f t="shared" si="9"/>
        <v>-26934</v>
      </c>
    </row>
    <row r="188" spans="15:23">
      <c r="O188">
        <v>-1</v>
      </c>
      <c r="P188" s="352">
        <v>79641</v>
      </c>
      <c r="Q188" s="3">
        <f t="shared" si="8"/>
        <v>-79641</v>
      </c>
      <c r="U188">
        <v>1</v>
      </c>
      <c r="V188">
        <v>26798</v>
      </c>
      <c r="W188" s="3">
        <f t="shared" si="9"/>
        <v>26798</v>
      </c>
    </row>
    <row r="189" spans="15:23">
      <c r="O189">
        <v>-1</v>
      </c>
      <c r="P189" s="352">
        <v>80702</v>
      </c>
      <c r="Q189" s="3">
        <f t="shared" si="8"/>
        <v>-80702</v>
      </c>
      <c r="U189">
        <v>-1</v>
      </c>
      <c r="V189">
        <v>26903</v>
      </c>
      <c r="W189" s="3">
        <f t="shared" si="9"/>
        <v>-26903</v>
      </c>
    </row>
    <row r="190" spans="15:23">
      <c r="O190">
        <v>1</v>
      </c>
      <c r="P190" s="352">
        <v>80317</v>
      </c>
      <c r="Q190" s="3">
        <f t="shared" si="8"/>
        <v>80317</v>
      </c>
      <c r="U190">
        <v>-1</v>
      </c>
      <c r="V190">
        <v>27119</v>
      </c>
      <c r="W190" s="3">
        <f t="shared" si="9"/>
        <v>-27119</v>
      </c>
    </row>
    <row r="191" spans="15:23">
      <c r="O191">
        <v>-1</v>
      </c>
      <c r="P191" s="352">
        <v>81121</v>
      </c>
      <c r="Q191" s="3">
        <f t="shared" si="8"/>
        <v>-81121</v>
      </c>
      <c r="U191">
        <v>1</v>
      </c>
      <c r="V191">
        <v>26909</v>
      </c>
      <c r="W191" s="3">
        <f t="shared" si="9"/>
        <v>26909</v>
      </c>
    </row>
    <row r="192" spans="15:23">
      <c r="O192">
        <v>-1</v>
      </c>
      <c r="P192" s="352">
        <v>84658</v>
      </c>
      <c r="Q192" s="3">
        <f t="shared" si="8"/>
        <v>-84658</v>
      </c>
      <c r="U192">
        <v>-1</v>
      </c>
      <c r="V192">
        <v>26317</v>
      </c>
      <c r="W192" s="3">
        <f t="shared" si="9"/>
        <v>-26317</v>
      </c>
    </row>
    <row r="193" spans="15:23">
      <c r="O193">
        <v>1</v>
      </c>
      <c r="P193" s="352">
        <v>81464</v>
      </c>
      <c r="Q193" s="3">
        <f t="shared" si="8"/>
        <v>81464</v>
      </c>
      <c r="U193">
        <v>1</v>
      </c>
      <c r="V193">
        <v>25480</v>
      </c>
      <c r="W193" s="3">
        <f t="shared" si="9"/>
        <v>25480</v>
      </c>
    </row>
    <row r="194" spans="15:23">
      <c r="O194">
        <v>-1</v>
      </c>
      <c r="P194" s="352">
        <v>84658</v>
      </c>
      <c r="Q194" s="3">
        <f t="shared" si="8"/>
        <v>-84658</v>
      </c>
      <c r="U194">
        <v>1</v>
      </c>
      <c r="V194">
        <v>24939</v>
      </c>
      <c r="W194" s="3">
        <f t="shared" si="9"/>
        <v>24939</v>
      </c>
    </row>
    <row r="195" spans="15:23">
      <c r="O195">
        <v>-1</v>
      </c>
      <c r="P195" s="352">
        <v>89061</v>
      </c>
      <c r="Q195" s="3">
        <f t="shared" si="8"/>
        <v>-89061</v>
      </c>
      <c r="U195">
        <v>-1</v>
      </c>
      <c r="V195">
        <v>25352</v>
      </c>
      <c r="W195" s="3">
        <f t="shared" si="9"/>
        <v>-25352</v>
      </c>
    </row>
    <row r="196" spans="15:23">
      <c r="O196">
        <v>1</v>
      </c>
      <c r="P196" s="352">
        <v>84954</v>
      </c>
      <c r="Q196" s="3">
        <f t="shared" si="8"/>
        <v>84954</v>
      </c>
      <c r="U196">
        <v>-1</v>
      </c>
      <c r="V196">
        <v>25959</v>
      </c>
      <c r="W196" s="3">
        <f t="shared" si="9"/>
        <v>-25959</v>
      </c>
    </row>
    <row r="197" spans="15:23">
      <c r="O197">
        <v>-1</v>
      </c>
      <c r="P197" s="352">
        <v>86442</v>
      </c>
      <c r="Q197" s="3">
        <f t="shared" si="8"/>
        <v>-86442</v>
      </c>
      <c r="U197">
        <v>1</v>
      </c>
      <c r="V197">
        <v>25599</v>
      </c>
      <c r="W197" s="3">
        <f t="shared" si="9"/>
        <v>25599</v>
      </c>
    </row>
    <row r="198" spans="15:23">
      <c r="O198">
        <v>1</v>
      </c>
      <c r="P198" s="352">
        <v>85374</v>
      </c>
      <c r="Q198" s="3">
        <f t="shared" si="8"/>
        <v>85374</v>
      </c>
      <c r="U198">
        <v>1</v>
      </c>
      <c r="V198">
        <v>25073</v>
      </c>
      <c r="W198" s="3">
        <f t="shared" si="9"/>
        <v>25073</v>
      </c>
    </row>
    <row r="199" spans="15:23">
      <c r="O199">
        <v>-1</v>
      </c>
      <c r="P199" s="352">
        <v>85593</v>
      </c>
      <c r="Q199" s="3">
        <f t="shared" si="8"/>
        <v>-85593</v>
      </c>
      <c r="U199">
        <v>-1</v>
      </c>
      <c r="V199">
        <v>25412</v>
      </c>
      <c r="W199" s="3">
        <f t="shared" si="9"/>
        <v>-25412</v>
      </c>
    </row>
    <row r="200" spans="15:23">
      <c r="O200">
        <v>1</v>
      </c>
      <c r="P200" s="352">
        <v>85085</v>
      </c>
      <c r="Q200" s="3">
        <f t="shared" si="8"/>
        <v>85085</v>
      </c>
      <c r="U200">
        <v>-1</v>
      </c>
      <c r="V200">
        <v>26970</v>
      </c>
      <c r="W200" s="3">
        <f t="shared" si="9"/>
        <v>-26970</v>
      </c>
    </row>
    <row r="201" spans="15:23">
      <c r="O201">
        <v>1</v>
      </c>
      <c r="P201" s="352">
        <v>83238</v>
      </c>
      <c r="Q201" s="3">
        <f t="shared" si="8"/>
        <v>83238</v>
      </c>
      <c r="U201">
        <v>1</v>
      </c>
      <c r="V201">
        <v>25606</v>
      </c>
      <c r="W201" s="3">
        <f t="shared" si="9"/>
        <v>25606</v>
      </c>
    </row>
    <row r="202" spans="15:23">
      <c r="O202">
        <v>-1</v>
      </c>
      <c r="P202" s="352">
        <v>83604</v>
      </c>
      <c r="Q202" s="3">
        <f t="shared" si="8"/>
        <v>-83604</v>
      </c>
      <c r="U202">
        <v>-1</v>
      </c>
      <c r="V202">
        <v>25992</v>
      </c>
      <c r="W202" s="3">
        <f t="shared" si="9"/>
        <v>-25992</v>
      </c>
    </row>
    <row r="203" spans="15:23">
      <c r="O203">
        <v>-1</v>
      </c>
      <c r="P203" s="352">
        <v>84386</v>
      </c>
      <c r="Q203" s="3">
        <f t="shared" si="8"/>
        <v>-84386</v>
      </c>
      <c r="U203">
        <v>1</v>
      </c>
      <c r="V203">
        <v>26201</v>
      </c>
      <c r="W203" s="3">
        <f t="shared" si="9"/>
        <v>26201</v>
      </c>
    </row>
    <row r="204" spans="15:23">
      <c r="O204">
        <v>1</v>
      </c>
      <c r="P204" s="352">
        <v>83837</v>
      </c>
      <c r="Q204" s="3">
        <f t="shared" si="8"/>
        <v>83837</v>
      </c>
      <c r="U204">
        <v>-1</v>
      </c>
      <c r="V204">
        <v>26517</v>
      </c>
      <c r="W204" s="3">
        <f t="shared" si="9"/>
        <v>-26517</v>
      </c>
    </row>
    <row r="205" spans="15:23">
      <c r="O205">
        <v>1</v>
      </c>
      <c r="P205" s="352">
        <v>82818</v>
      </c>
      <c r="Q205" s="3">
        <f t="shared" ref="Q205:Q252" si="21">O205*P205</f>
        <v>82818</v>
      </c>
      <c r="U205">
        <v>-1</v>
      </c>
      <c r="V205">
        <v>27575</v>
      </c>
      <c r="W205" s="3">
        <f t="shared" si="9"/>
        <v>-27575</v>
      </c>
    </row>
    <row r="206" spans="15:23">
      <c r="O206">
        <v>-1</v>
      </c>
      <c r="P206" s="352">
        <v>83322</v>
      </c>
      <c r="Q206" s="3">
        <f t="shared" si="21"/>
        <v>-83322</v>
      </c>
      <c r="U206">
        <v>-1</v>
      </c>
      <c r="V206">
        <v>28095</v>
      </c>
      <c r="W206" s="3">
        <f t="shared" si="9"/>
        <v>-28095</v>
      </c>
    </row>
    <row r="207" spans="15:23">
      <c r="O207">
        <v>-1</v>
      </c>
      <c r="P207" s="352">
        <v>83617</v>
      </c>
      <c r="Q207" s="3">
        <f t="shared" si="21"/>
        <v>-83617</v>
      </c>
      <c r="U207">
        <v>1</v>
      </c>
      <c r="V207">
        <v>27954</v>
      </c>
      <c r="W207" s="3">
        <f t="shared" si="9"/>
        <v>27954</v>
      </c>
    </row>
    <row r="208" spans="15:23">
      <c r="Q208" s="3">
        <f t="shared" si="21"/>
        <v>0</v>
      </c>
      <c r="U208">
        <v>1</v>
      </c>
      <c r="V208">
        <v>27845</v>
      </c>
      <c r="W208" s="3">
        <f t="shared" si="9"/>
        <v>27845</v>
      </c>
    </row>
    <row r="209" spans="17:36">
      <c r="Q209" s="3">
        <f t="shared" si="21"/>
        <v>0</v>
      </c>
      <c r="U209">
        <v>1</v>
      </c>
      <c r="V209">
        <v>27687</v>
      </c>
      <c r="W209" s="3">
        <f t="shared" si="9"/>
        <v>27687</v>
      </c>
    </row>
    <row r="210" spans="17:36">
      <c r="Q210" s="3">
        <f t="shared" si="21"/>
        <v>0</v>
      </c>
      <c r="U210">
        <v>1</v>
      </c>
      <c r="V210">
        <v>27481</v>
      </c>
      <c r="W210" s="3">
        <f t="shared" si="9"/>
        <v>27481</v>
      </c>
    </row>
    <row r="211" spans="17:36">
      <c r="Q211" s="3">
        <f t="shared" si="21"/>
        <v>0</v>
      </c>
      <c r="U211">
        <v>1</v>
      </c>
      <c r="V211">
        <v>27109</v>
      </c>
      <c r="W211" s="3">
        <f t="shared" si="9"/>
        <v>27109</v>
      </c>
    </row>
    <row r="212" spans="17:36">
      <c r="Q212" s="3">
        <f t="shared" si="21"/>
        <v>0</v>
      </c>
      <c r="U212">
        <v>-1</v>
      </c>
      <c r="V212">
        <v>27338</v>
      </c>
      <c r="W212" s="3">
        <f t="shared" si="9"/>
        <v>-27338</v>
      </c>
    </row>
    <row r="213" spans="17:36">
      <c r="Q213" s="3">
        <f t="shared" si="21"/>
        <v>0</v>
      </c>
      <c r="U213">
        <v>1</v>
      </c>
      <c r="V213">
        <v>26952</v>
      </c>
      <c r="W213" s="3">
        <f t="shared" si="9"/>
        <v>26952</v>
      </c>
    </row>
    <row r="214" spans="17:36">
      <c r="Q214" s="3">
        <f t="shared" si="21"/>
        <v>0</v>
      </c>
      <c r="U214">
        <v>-1</v>
      </c>
      <c r="V214">
        <v>27036</v>
      </c>
      <c r="W214" s="3">
        <f t="shared" si="9"/>
        <v>-27036</v>
      </c>
    </row>
    <row r="215" spans="17:36">
      <c r="Q215" s="3">
        <f t="shared" si="21"/>
        <v>0</v>
      </c>
      <c r="U215">
        <v>1</v>
      </c>
      <c r="V215">
        <v>27047</v>
      </c>
      <c r="W215" s="3">
        <f t="shared" si="9"/>
        <v>27047</v>
      </c>
    </row>
    <row r="216" spans="17:36">
      <c r="Q216" s="3">
        <f t="shared" si="21"/>
        <v>0</v>
      </c>
      <c r="U216">
        <v>1</v>
      </c>
      <c r="V216">
        <v>26663</v>
      </c>
      <c r="W216" s="3">
        <f t="shared" si="9"/>
        <v>26663</v>
      </c>
    </row>
    <row r="217" spans="17:36">
      <c r="Q217" s="3">
        <f t="shared" si="21"/>
        <v>0</v>
      </c>
      <c r="U217">
        <v>-1</v>
      </c>
      <c r="V217">
        <v>26874</v>
      </c>
      <c r="W217" s="3">
        <f t="shared" si="9"/>
        <v>-26874</v>
      </c>
    </row>
    <row r="218" spans="17:36">
      <c r="Q218" s="3">
        <f t="shared" si="21"/>
        <v>0</v>
      </c>
      <c r="U218">
        <v>1</v>
      </c>
      <c r="V218">
        <v>26746</v>
      </c>
      <c r="W218" s="3">
        <f t="shared" si="9"/>
        <v>26746</v>
      </c>
    </row>
    <row r="219" spans="17:36">
      <c r="Q219" s="3">
        <f t="shared" si="21"/>
        <v>0</v>
      </c>
      <c r="U219">
        <v>-1</v>
      </c>
      <c r="V219">
        <v>26440</v>
      </c>
      <c r="W219" s="3">
        <f t="shared" si="9"/>
        <v>-26440</v>
      </c>
      <c r="AF219" s="342"/>
      <c r="AG219" s="349"/>
      <c r="AH219" s="343"/>
      <c r="AI219" s="344"/>
    </row>
    <row r="220" spans="17:36">
      <c r="Q220" s="3">
        <f t="shared" si="21"/>
        <v>0</v>
      </c>
      <c r="U220">
        <v>-1</v>
      </c>
      <c r="V220">
        <v>26619</v>
      </c>
      <c r="W220" s="3">
        <f t="shared" si="9"/>
        <v>-26619</v>
      </c>
      <c r="AE220" s="100"/>
      <c r="AJ220" s="100"/>
    </row>
    <row r="221" spans="17:36">
      <c r="Q221" s="3">
        <f t="shared" si="21"/>
        <v>0</v>
      </c>
      <c r="U221">
        <v>1</v>
      </c>
      <c r="V221">
        <v>26056</v>
      </c>
      <c r="W221" s="3">
        <f t="shared" si="9"/>
        <v>26056</v>
      </c>
      <c r="AE221" s="100"/>
      <c r="AJ221" s="100"/>
    </row>
    <row r="222" spans="17:36">
      <c r="Q222" s="3">
        <f t="shared" si="21"/>
        <v>0</v>
      </c>
      <c r="U222">
        <v>1</v>
      </c>
      <c r="V222">
        <v>25415</v>
      </c>
      <c r="W222" s="3">
        <f t="shared" si="9"/>
        <v>25415</v>
      </c>
      <c r="AE222" s="100"/>
      <c r="AJ222" s="100"/>
    </row>
    <row r="223" spans="17:36">
      <c r="Q223" s="3">
        <f t="shared" si="21"/>
        <v>0</v>
      </c>
      <c r="U223">
        <v>-1</v>
      </c>
      <c r="V223">
        <v>25137</v>
      </c>
      <c r="W223" s="3">
        <f t="shared" si="9"/>
        <v>-25137</v>
      </c>
      <c r="AE223" s="100"/>
      <c r="AG223" s="347">
        <v>1</v>
      </c>
      <c r="AJ223" s="100"/>
    </row>
    <row r="224" spans="17:36">
      <c r="Q224" s="3">
        <f t="shared" si="21"/>
        <v>0</v>
      </c>
      <c r="U224">
        <v>-1</v>
      </c>
      <c r="V224">
        <v>25627</v>
      </c>
      <c r="W224" s="3">
        <f t="shared" si="9"/>
        <v>-25627</v>
      </c>
      <c r="AC224">
        <v>2020</v>
      </c>
      <c r="AD224" t="s">
        <v>349</v>
      </c>
      <c r="AE224" s="100">
        <v>2.23</v>
      </c>
      <c r="AF224" s="100">
        <f>1 + AE224/100</f>
        <v>1.0223</v>
      </c>
      <c r="AG224" s="350">
        <f>AG223*AF224</f>
        <v>1.0223</v>
      </c>
      <c r="AJ224" s="100"/>
    </row>
    <row r="225" spans="17:36">
      <c r="Q225" s="3">
        <f t="shared" si="21"/>
        <v>0</v>
      </c>
      <c r="U225">
        <v>1</v>
      </c>
      <c r="V225">
        <v>25191</v>
      </c>
      <c r="W225" s="3">
        <f t="shared" si="9"/>
        <v>25191</v>
      </c>
      <c r="AD225" t="s">
        <v>53</v>
      </c>
      <c r="AE225" s="100">
        <v>3.39</v>
      </c>
      <c r="AF225" s="100">
        <f t="shared" ref="AF225:AF235" si="22">1 + AE225/100</f>
        <v>1.0339</v>
      </c>
      <c r="AG225" s="350">
        <f t="shared" ref="AG225:AG247" si="23">AG224*AF225</f>
        <v>1.05695597</v>
      </c>
      <c r="AJ225" s="100"/>
    </row>
    <row r="226" spans="17:36">
      <c r="Q226" s="3">
        <f t="shared" si="21"/>
        <v>0</v>
      </c>
      <c r="U226">
        <v>1</v>
      </c>
      <c r="V226">
        <v>24241</v>
      </c>
      <c r="W226" s="3">
        <f t="shared" si="9"/>
        <v>24241</v>
      </c>
      <c r="AD226" t="s">
        <v>348</v>
      </c>
      <c r="AE226" s="100">
        <v>2.96</v>
      </c>
      <c r="AF226" s="100">
        <f t="shared" si="22"/>
        <v>1.0296000000000001</v>
      </c>
      <c r="AG226" s="350">
        <f t="shared" si="23"/>
        <v>1.088241866712</v>
      </c>
      <c r="AJ226" s="100"/>
    </row>
    <row r="227" spans="17:36">
      <c r="Q227" s="3">
        <f t="shared" si="21"/>
        <v>0</v>
      </c>
      <c r="U227">
        <v>1</v>
      </c>
      <c r="V227">
        <v>21591</v>
      </c>
      <c r="W227" s="3">
        <f t="shared" si="9"/>
        <v>21591</v>
      </c>
      <c r="AD227" t="s">
        <v>350</v>
      </c>
      <c r="AE227" s="100">
        <v>-1.76</v>
      </c>
      <c r="AF227" s="100">
        <f t="shared" si="22"/>
        <v>0.98240000000000005</v>
      </c>
      <c r="AG227" s="350">
        <f t="shared" si="23"/>
        <v>1.0690888098578688</v>
      </c>
      <c r="AJ227" s="100"/>
    </row>
    <row r="228" spans="17:36">
      <c r="Q228" s="3">
        <f t="shared" si="21"/>
        <v>0</v>
      </c>
      <c r="U228">
        <v>-1</v>
      </c>
      <c r="V228">
        <v>21911</v>
      </c>
      <c r="W228" s="3">
        <f t="shared" si="9"/>
        <v>-21911</v>
      </c>
      <c r="AD228" t="s">
        <v>348</v>
      </c>
      <c r="AE228" s="100">
        <v>0.13</v>
      </c>
      <c r="AF228" s="100">
        <f t="shared" si="22"/>
        <v>1.0013000000000001</v>
      </c>
      <c r="AG228" s="350">
        <f t="shared" si="23"/>
        <v>1.0704786253106842</v>
      </c>
      <c r="AJ228" s="100"/>
    </row>
    <row r="229" spans="17:36">
      <c r="Q229" s="3">
        <f t="shared" si="21"/>
        <v>0</v>
      </c>
      <c r="U229">
        <v>1</v>
      </c>
      <c r="V229">
        <v>20164</v>
      </c>
      <c r="W229" s="3">
        <f t="shared" si="9"/>
        <v>20164</v>
      </c>
      <c r="AA229">
        <f>AG235 * AB247</f>
        <v>1.4202655447001176</v>
      </c>
      <c r="AD229" t="s">
        <v>349</v>
      </c>
      <c r="AE229" s="100">
        <v>1.93</v>
      </c>
      <c r="AF229" s="100">
        <f t="shared" si="22"/>
        <v>1.0193000000000001</v>
      </c>
      <c r="AG229" s="350">
        <f t="shared" si="23"/>
        <v>1.0911388627791805</v>
      </c>
      <c r="AJ229" s="100"/>
    </row>
    <row r="230" spans="17:36">
      <c r="Q230" s="3">
        <f t="shared" si="21"/>
        <v>0</v>
      </c>
      <c r="U230">
        <v>-1</v>
      </c>
      <c r="V230">
        <v>19823</v>
      </c>
      <c r="W230" s="3">
        <f t="shared" si="9"/>
        <v>-19823</v>
      </c>
      <c r="AD230" t="s">
        <v>349</v>
      </c>
      <c r="AE230" s="100">
        <v>1.61</v>
      </c>
      <c r="AF230" s="100">
        <f t="shared" si="22"/>
        <v>1.0161</v>
      </c>
      <c r="AG230" s="350">
        <f t="shared" si="23"/>
        <v>1.1087061984699254</v>
      </c>
      <c r="AJ230" s="100"/>
    </row>
    <row r="231" spans="17:36">
      <c r="Q231" s="3">
        <f t="shared" si="21"/>
        <v>0</v>
      </c>
      <c r="U231">
        <v>1</v>
      </c>
      <c r="V231">
        <v>19973</v>
      </c>
      <c r="W231" s="3">
        <f t="shared" si="9"/>
        <v>19973</v>
      </c>
      <c r="AD231" t="s">
        <v>350</v>
      </c>
      <c r="AE231" s="100">
        <v>0.12</v>
      </c>
      <c r="AF231" s="100">
        <f t="shared" si="22"/>
        <v>1.0012000000000001</v>
      </c>
      <c r="AG231" s="350">
        <f t="shared" si="23"/>
        <v>1.1100366459080893</v>
      </c>
      <c r="AJ231" s="100"/>
    </row>
    <row r="232" spans="17:36">
      <c r="Q232" s="3">
        <f t="shared" si="21"/>
        <v>0</v>
      </c>
      <c r="U232">
        <v>-1</v>
      </c>
      <c r="V232">
        <v>20503</v>
      </c>
      <c r="W232" s="3">
        <f t="shared" si="9"/>
        <v>-20503</v>
      </c>
      <c r="AD232" t="s">
        <v>121</v>
      </c>
      <c r="AE232" s="100">
        <v>0.66</v>
      </c>
      <c r="AF232" s="100">
        <f t="shared" si="22"/>
        <v>1.0065999999999999</v>
      </c>
      <c r="AG232" s="350">
        <f t="shared" si="23"/>
        <v>1.1173628877710826</v>
      </c>
      <c r="AJ232" s="100"/>
    </row>
    <row r="233" spans="17:36">
      <c r="Q233" s="3">
        <f t="shared" si="21"/>
        <v>0</v>
      </c>
      <c r="U233">
        <v>1</v>
      </c>
      <c r="V233">
        <v>19000</v>
      </c>
      <c r="W233" s="3">
        <f t="shared" si="9"/>
        <v>19000</v>
      </c>
      <c r="AD233" t="s">
        <v>351</v>
      </c>
      <c r="AE233" s="100">
        <v>0.6</v>
      </c>
      <c r="AF233" s="100">
        <f t="shared" si="22"/>
        <v>1.006</v>
      </c>
      <c r="AG233" s="350">
        <f t="shared" si="23"/>
        <v>1.1240670650977092</v>
      </c>
      <c r="AJ233" s="100"/>
    </row>
    <row r="234" spans="17:36">
      <c r="Q234" s="3">
        <f t="shared" si="21"/>
        <v>0</v>
      </c>
      <c r="U234">
        <v>-1</v>
      </c>
      <c r="V234">
        <v>19450</v>
      </c>
      <c r="W234" s="3">
        <f t="shared" si="9"/>
        <v>-19450</v>
      </c>
      <c r="AD234" t="s">
        <v>208</v>
      </c>
      <c r="AE234" s="100">
        <v>-1.1499999999999999</v>
      </c>
      <c r="AF234" s="100">
        <f t="shared" si="22"/>
        <v>0.98850000000000005</v>
      </c>
      <c r="AG234" s="350">
        <f t="shared" si="23"/>
        <v>1.1111402938490855</v>
      </c>
      <c r="AJ234" s="100"/>
    </row>
    <row r="235" spans="17:36">
      <c r="Q235" s="3">
        <f t="shared" si="21"/>
        <v>0</v>
      </c>
      <c r="U235">
        <v>-1</v>
      </c>
      <c r="V235">
        <v>20447</v>
      </c>
      <c r="W235" s="3">
        <f t="shared" si="9"/>
        <v>-20447</v>
      </c>
      <c r="AA235">
        <v>1</v>
      </c>
      <c r="AB235">
        <v>1</v>
      </c>
      <c r="AD235" t="s">
        <v>35</v>
      </c>
      <c r="AE235" s="100">
        <v>0.12</v>
      </c>
      <c r="AF235" s="100">
        <f t="shared" si="22"/>
        <v>1.0012000000000001</v>
      </c>
      <c r="AG235" s="350">
        <f t="shared" si="23"/>
        <v>1.1124736622017046</v>
      </c>
      <c r="AJ235" s="100"/>
    </row>
    <row r="236" spans="17:36">
      <c r="Q236" s="3">
        <f t="shared" si="21"/>
        <v>0</v>
      </c>
      <c r="U236">
        <v>1</v>
      </c>
      <c r="V236">
        <v>18777</v>
      </c>
      <c r="W236" s="3">
        <f t="shared" si="9"/>
        <v>18777</v>
      </c>
      <c r="Y236" t="s">
        <v>349</v>
      </c>
      <c r="Z236">
        <v>2.88</v>
      </c>
      <c r="AA236">
        <f>1 + Z236/100</f>
        <v>1.0287999999999999</v>
      </c>
      <c r="AB236">
        <f>AB235*AA236</f>
        <v>1.0287999999999999</v>
      </c>
      <c r="AC236">
        <v>2021</v>
      </c>
      <c r="AD236" t="s">
        <v>349</v>
      </c>
      <c r="AE236" s="100">
        <v>2.88</v>
      </c>
      <c r="AF236" s="100">
        <f>1 + AE236/100</f>
        <v>1.0287999999999999</v>
      </c>
      <c r="AG236" s="350">
        <f t="shared" si="23"/>
        <v>1.1445129036731136</v>
      </c>
      <c r="AJ236" s="100"/>
    </row>
    <row r="237" spans="17:36">
      <c r="Q237" s="3">
        <f t="shared" si="21"/>
        <v>0</v>
      </c>
      <c r="U237">
        <v>-1</v>
      </c>
      <c r="V237">
        <v>18752</v>
      </c>
      <c r="W237" s="3">
        <f t="shared" si="9"/>
        <v>-18752</v>
      </c>
      <c r="Y237" t="s">
        <v>53</v>
      </c>
      <c r="Z237">
        <v>0.44</v>
      </c>
      <c r="AA237">
        <f t="shared" ref="AA237:AA247" si="24">1 + Z237/100</f>
        <v>1.0044</v>
      </c>
      <c r="AB237">
        <f t="shared" ref="AB237:AB247" si="25">AB236*AA237</f>
        <v>1.0333267199999998</v>
      </c>
      <c r="AD237" t="s">
        <v>53</v>
      </c>
      <c r="AE237" s="100">
        <v>0.44</v>
      </c>
      <c r="AF237" s="100">
        <f t="shared" ref="AF237:AF247" si="26">1 + AE237/100</f>
        <v>1.0044</v>
      </c>
      <c r="AG237" s="350">
        <f t="shared" si="23"/>
        <v>1.1495487604492753</v>
      </c>
      <c r="AJ237" s="100"/>
    </row>
    <row r="238" spans="17:36">
      <c r="Q238" s="3">
        <f t="shared" si="21"/>
        <v>0</v>
      </c>
      <c r="U238">
        <v>-1</v>
      </c>
      <c r="V238">
        <v>20324</v>
      </c>
      <c r="W238" s="3">
        <f t="shared" si="9"/>
        <v>-20324</v>
      </c>
      <c r="Y238" t="s">
        <v>348</v>
      </c>
      <c r="Z238">
        <v>0.13</v>
      </c>
      <c r="AA238">
        <f t="shared" si="24"/>
        <v>1.0013000000000001</v>
      </c>
      <c r="AB238">
        <f t="shared" si="25"/>
        <v>1.034670044736</v>
      </c>
      <c r="AD238" t="s">
        <v>348</v>
      </c>
      <c r="AE238" s="100">
        <v>0.13</v>
      </c>
      <c r="AF238" s="100">
        <f t="shared" si="26"/>
        <v>1.0013000000000001</v>
      </c>
      <c r="AG238" s="350">
        <f t="shared" si="23"/>
        <v>1.1510431738378595</v>
      </c>
      <c r="AJ238" s="100"/>
    </row>
    <row r="239" spans="17:36">
      <c r="Q239" s="3">
        <f t="shared" si="21"/>
        <v>0</v>
      </c>
      <c r="U239">
        <v>1</v>
      </c>
      <c r="V239">
        <v>20454</v>
      </c>
      <c r="W239" s="3">
        <f t="shared" si="9"/>
        <v>20454</v>
      </c>
      <c r="Y239" t="s">
        <v>350</v>
      </c>
      <c r="Z239">
        <v>0</v>
      </c>
      <c r="AA239">
        <f t="shared" si="24"/>
        <v>1</v>
      </c>
      <c r="AB239">
        <f t="shared" si="25"/>
        <v>1.034670044736</v>
      </c>
      <c r="AD239" t="s">
        <v>350</v>
      </c>
      <c r="AE239" s="100">
        <v>0</v>
      </c>
      <c r="AF239" s="100">
        <f t="shared" si="26"/>
        <v>1</v>
      </c>
      <c r="AG239" s="350">
        <f t="shared" si="23"/>
        <v>1.1510431738378595</v>
      </c>
      <c r="AJ239" s="100"/>
    </row>
    <row r="240" spans="17:36">
      <c r="Q240" s="3">
        <f t="shared" si="21"/>
        <v>0</v>
      </c>
      <c r="U240">
        <v>-1</v>
      </c>
      <c r="V240">
        <v>21566</v>
      </c>
      <c r="W240" s="3">
        <f t="shared" si="9"/>
        <v>-21566</v>
      </c>
      <c r="Y240" t="s">
        <v>348</v>
      </c>
      <c r="Z240">
        <v>0</v>
      </c>
      <c r="AA240">
        <f t="shared" si="24"/>
        <v>1</v>
      </c>
      <c r="AB240">
        <f t="shared" si="25"/>
        <v>1.034670044736</v>
      </c>
      <c r="AD240" t="s">
        <v>348</v>
      </c>
      <c r="AE240" s="100">
        <v>0</v>
      </c>
      <c r="AF240" s="100">
        <f t="shared" si="26"/>
        <v>1</v>
      </c>
      <c r="AG240" s="350">
        <f t="shared" si="23"/>
        <v>1.1510431738378595</v>
      </c>
      <c r="AJ240" s="100"/>
    </row>
    <row r="241" spans="17:36">
      <c r="Q241" s="3">
        <f t="shared" si="21"/>
        <v>0</v>
      </c>
      <c r="U241">
        <v>1</v>
      </c>
      <c r="V241">
        <v>21122</v>
      </c>
      <c r="W241" s="3">
        <f t="shared" si="9"/>
        <v>21122</v>
      </c>
      <c r="Y241" t="s">
        <v>349</v>
      </c>
      <c r="Z241">
        <v>1.72</v>
      </c>
      <c r="AA241">
        <f t="shared" si="24"/>
        <v>1.0172000000000001</v>
      </c>
      <c r="AB241">
        <f t="shared" si="25"/>
        <v>1.0524663695054592</v>
      </c>
      <c r="AD241" t="s">
        <v>349</v>
      </c>
      <c r="AE241" s="100">
        <v>1.72</v>
      </c>
      <c r="AF241" s="100">
        <f t="shared" si="26"/>
        <v>1.0172000000000001</v>
      </c>
      <c r="AG241" s="350">
        <f t="shared" si="23"/>
        <v>1.1708411164278707</v>
      </c>
      <c r="AJ241" s="100"/>
    </row>
    <row r="242" spans="17:36">
      <c r="Q242" s="3">
        <f t="shared" si="21"/>
        <v>0</v>
      </c>
      <c r="U242">
        <v>1</v>
      </c>
      <c r="V242">
        <v>20497</v>
      </c>
      <c r="W242" s="3">
        <f t="shared" si="9"/>
        <v>20497</v>
      </c>
      <c r="Y242" t="s">
        <v>349</v>
      </c>
      <c r="Z242">
        <v>3.82</v>
      </c>
      <c r="AA242">
        <f t="shared" si="24"/>
        <v>1.0382</v>
      </c>
      <c r="AB242">
        <f t="shared" si="25"/>
        <v>1.0926705848205678</v>
      </c>
      <c r="AD242" t="s">
        <v>349</v>
      </c>
      <c r="AE242" s="100">
        <v>3.82</v>
      </c>
      <c r="AF242" s="100">
        <f t="shared" si="26"/>
        <v>1.0382</v>
      </c>
      <c r="AG242" s="350">
        <f t="shared" si="23"/>
        <v>1.2155672470754153</v>
      </c>
      <c r="AJ242" s="100"/>
    </row>
    <row r="243" spans="17:36">
      <c r="Q243" s="3">
        <f t="shared" si="21"/>
        <v>0</v>
      </c>
      <c r="U243">
        <v>-1</v>
      </c>
      <c r="V243">
        <v>20602</v>
      </c>
      <c r="W243" s="3">
        <f t="shared" si="9"/>
        <v>-20602</v>
      </c>
      <c r="Y243" t="s">
        <v>350</v>
      </c>
      <c r="Z243">
        <v>0.71</v>
      </c>
      <c r="AA243">
        <f t="shared" si="24"/>
        <v>1.0071000000000001</v>
      </c>
      <c r="AB243">
        <f>AB242*AA243</f>
        <v>1.1004285459727938</v>
      </c>
      <c r="AD243" t="s">
        <v>350</v>
      </c>
      <c r="AE243" s="100">
        <v>0.71</v>
      </c>
      <c r="AF243" s="100">
        <f t="shared" si="26"/>
        <v>1.0071000000000001</v>
      </c>
      <c r="AG243" s="350">
        <f t="shared" si="23"/>
        <v>1.2241977745296508</v>
      </c>
      <c r="AJ243" s="100"/>
    </row>
    <row r="244" spans="17:36">
      <c r="Q244" s="3">
        <f t="shared" si="21"/>
        <v>0</v>
      </c>
      <c r="U244">
        <v>-1</v>
      </c>
      <c r="V244">
        <v>21467</v>
      </c>
      <c r="W244" s="3">
        <f t="shared" si="9"/>
        <v>-21467</v>
      </c>
      <c r="Y244" t="s">
        <v>121</v>
      </c>
      <c r="Z244">
        <v>4.88</v>
      </c>
      <c r="AA244">
        <f t="shared" si="24"/>
        <v>1.0488</v>
      </c>
      <c r="AB244">
        <f t="shared" si="25"/>
        <v>1.1541294590162661</v>
      </c>
      <c r="AD244" t="s">
        <v>121</v>
      </c>
      <c r="AE244" s="100">
        <v>4.88</v>
      </c>
      <c r="AF244" s="100">
        <f t="shared" si="26"/>
        <v>1.0488</v>
      </c>
      <c r="AG244" s="350">
        <f t="shared" si="23"/>
        <v>1.2839386259266978</v>
      </c>
      <c r="AJ244" s="100"/>
    </row>
    <row r="245" spans="17:36">
      <c r="Q245" s="3">
        <f t="shared" si="21"/>
        <v>0</v>
      </c>
      <c r="U245">
        <v>1</v>
      </c>
      <c r="V245">
        <v>20994</v>
      </c>
      <c r="W245" s="3">
        <f t="shared" si="9"/>
        <v>20994</v>
      </c>
      <c r="Y245" t="s">
        <v>351</v>
      </c>
      <c r="Z245">
        <v>2.82</v>
      </c>
      <c r="AA245">
        <f t="shared" si="24"/>
        <v>1.0282</v>
      </c>
      <c r="AB245">
        <f t="shared" si="25"/>
        <v>1.1866759097605248</v>
      </c>
      <c r="AD245" t="s">
        <v>351</v>
      </c>
      <c r="AE245" s="100">
        <v>2.82</v>
      </c>
      <c r="AF245" s="100">
        <f t="shared" si="26"/>
        <v>1.0282</v>
      </c>
      <c r="AG245" s="350">
        <f t="shared" si="23"/>
        <v>1.3201456951778308</v>
      </c>
      <c r="AJ245" s="100"/>
    </row>
    <row r="246" spans="17:36">
      <c r="Q246" s="3">
        <f t="shared" si="21"/>
        <v>0</v>
      </c>
      <c r="U246">
        <v>1</v>
      </c>
      <c r="V246">
        <v>20345</v>
      </c>
      <c r="W246" s="3">
        <f t="shared" si="9"/>
        <v>20345</v>
      </c>
      <c r="Y246" t="s">
        <v>208</v>
      </c>
      <c r="Z246">
        <v>2.5</v>
      </c>
      <c r="AA246">
        <f t="shared" si="24"/>
        <v>1.0249999999999999</v>
      </c>
      <c r="AB246">
        <f t="shared" si="25"/>
        <v>1.2163428075045379</v>
      </c>
      <c r="AD246" t="s">
        <v>208</v>
      </c>
      <c r="AE246" s="100">
        <v>2.5</v>
      </c>
      <c r="AF246" s="100">
        <f t="shared" si="26"/>
        <v>1.0249999999999999</v>
      </c>
      <c r="AG246" s="350">
        <f t="shared" si="23"/>
        <v>1.3531493375572765</v>
      </c>
      <c r="AJ246" s="100"/>
    </row>
    <row r="247" spans="17:36">
      <c r="Q247" s="3">
        <f t="shared" si="21"/>
        <v>0</v>
      </c>
      <c r="U247">
        <v>-1</v>
      </c>
      <c r="V247">
        <v>18181</v>
      </c>
      <c r="W247" s="3">
        <f t="shared" si="9"/>
        <v>-18181</v>
      </c>
      <c r="Y247" t="s">
        <v>35</v>
      </c>
      <c r="Z247">
        <v>4.96</v>
      </c>
      <c r="AA247">
        <f t="shared" si="24"/>
        <v>1.0496000000000001</v>
      </c>
      <c r="AB247">
        <f t="shared" si="25"/>
        <v>1.2766734107567632</v>
      </c>
      <c r="AD247" t="s">
        <v>35</v>
      </c>
      <c r="AE247" s="100">
        <v>4.96</v>
      </c>
      <c r="AF247" s="100">
        <f t="shared" si="26"/>
        <v>1.0496000000000001</v>
      </c>
      <c r="AG247" s="350">
        <f t="shared" si="23"/>
        <v>1.4202655447001176</v>
      </c>
      <c r="AJ247" s="100"/>
    </row>
    <row r="248" spans="17:36">
      <c r="Q248" s="3">
        <f t="shared" si="21"/>
        <v>0</v>
      </c>
      <c r="U248">
        <v>-1</v>
      </c>
      <c r="V248">
        <v>11240</v>
      </c>
      <c r="W248" s="3">
        <f t="shared" si="9"/>
        <v>-11240</v>
      </c>
      <c r="AE248" s="100"/>
      <c r="AJ248" s="100"/>
    </row>
    <row r="249" spans="17:36">
      <c r="Q249" s="3">
        <f t="shared" si="21"/>
        <v>0</v>
      </c>
      <c r="U249">
        <v>1</v>
      </c>
      <c r="V249">
        <v>9518</v>
      </c>
      <c r="W249" s="3">
        <f t="shared" si="9"/>
        <v>9518</v>
      </c>
      <c r="AE249" s="100"/>
      <c r="AJ249" s="100"/>
    </row>
    <row r="250" spans="17:36">
      <c r="Q250" s="3">
        <f t="shared" si="21"/>
        <v>0</v>
      </c>
      <c r="U250">
        <v>-1</v>
      </c>
      <c r="V250">
        <v>10770</v>
      </c>
      <c r="W250" s="3">
        <f t="shared" si="9"/>
        <v>-10770</v>
      </c>
      <c r="AE250" s="100"/>
      <c r="AJ250" s="100"/>
    </row>
    <row r="251" spans="17:36">
      <c r="Q251" s="3">
        <f t="shared" si="21"/>
        <v>0</v>
      </c>
      <c r="U251">
        <v>-1</v>
      </c>
      <c r="V251">
        <v>12726</v>
      </c>
      <c r="W251" s="3">
        <f t="shared" si="9"/>
        <v>-12726</v>
      </c>
      <c r="AF251" s="345"/>
      <c r="AG251" s="351"/>
      <c r="AH251" s="102"/>
      <c r="AI251" s="346"/>
    </row>
    <row r="252" spans="17:36">
      <c r="Q252" s="3">
        <f t="shared" si="21"/>
        <v>0</v>
      </c>
      <c r="U252">
        <v>1</v>
      </c>
      <c r="V252">
        <v>11724</v>
      </c>
      <c r="W252" s="3">
        <f t="shared" si="9"/>
        <v>11724</v>
      </c>
    </row>
    <row r="253" spans="17:36">
      <c r="U253">
        <v>-1</v>
      </c>
      <c r="V253">
        <v>12273</v>
      </c>
      <c r="W253" s="3">
        <f t="shared" si="9"/>
        <v>-12273</v>
      </c>
    </row>
    <row r="254" spans="17:36">
      <c r="U254">
        <v>1</v>
      </c>
      <c r="V254">
        <v>12401</v>
      </c>
      <c r="W254" s="3">
        <f t="shared" si="9"/>
        <v>12401</v>
      </c>
    </row>
    <row r="255" spans="17:36">
      <c r="U255">
        <v>-1</v>
      </c>
      <c r="V255">
        <v>13119</v>
      </c>
      <c r="W255" s="3">
        <f t="shared" si="9"/>
        <v>-13119</v>
      </c>
    </row>
    <row r="256" spans="17:36">
      <c r="U256">
        <v>1</v>
      </c>
      <c r="V256">
        <v>13090</v>
      </c>
      <c r="W256" s="3">
        <f t="shared" si="9"/>
        <v>13090</v>
      </c>
    </row>
    <row r="257" spans="23:23">
      <c r="W257" s="3">
        <f t="shared" si="9"/>
        <v>0</v>
      </c>
    </row>
    <row r="258" spans="23:23">
      <c r="W258" s="3">
        <f t="shared" si="9"/>
        <v>0</v>
      </c>
    </row>
    <row r="259" spans="23:23">
      <c r="W259" s="3">
        <f t="shared" si="9"/>
        <v>0</v>
      </c>
    </row>
    <row r="260" spans="23:23">
      <c r="W260" s="3">
        <f t="shared" si="9"/>
        <v>0</v>
      </c>
    </row>
    <row r="261" spans="23:23">
      <c r="W261" s="3">
        <f t="shared" si="9"/>
        <v>0</v>
      </c>
    </row>
    <row r="262" spans="23:23">
      <c r="W262" s="3">
        <f t="shared" si="9"/>
        <v>0</v>
      </c>
    </row>
    <row r="263" spans="23:23">
      <c r="W263" s="3">
        <f t="shared" si="9"/>
        <v>0</v>
      </c>
    </row>
    <row r="264" spans="23:23">
      <c r="W264" s="3">
        <f t="shared" si="9"/>
        <v>0</v>
      </c>
    </row>
    <row r="265" spans="23:23">
      <c r="W265" s="3">
        <f t="shared" si="9"/>
        <v>0</v>
      </c>
    </row>
    <row r="266" spans="23:23">
      <c r="W266" s="3">
        <f t="shared" si="9"/>
        <v>0</v>
      </c>
    </row>
    <row r="267" spans="23:23">
      <c r="W267" s="3">
        <f t="shared" si="9"/>
        <v>0</v>
      </c>
    </row>
    <row r="268" spans="23:23">
      <c r="W268" s="3">
        <f t="shared" si="9"/>
        <v>0</v>
      </c>
    </row>
    <row r="269" spans="23:23">
      <c r="W269" s="3">
        <f t="shared" si="9"/>
        <v>0</v>
      </c>
    </row>
    <row r="270" spans="23:23">
      <c r="W270" s="3">
        <f t="shared" si="9"/>
        <v>0</v>
      </c>
    </row>
    <row r="271" spans="23:23">
      <c r="W271" s="3">
        <f t="shared" si="9"/>
        <v>0</v>
      </c>
    </row>
    <row r="272" spans="23:23">
      <c r="W272" s="3">
        <f t="shared" si="9"/>
        <v>0</v>
      </c>
    </row>
    <row r="273" spans="23:23">
      <c r="W273" s="3">
        <f t="shared" si="9"/>
        <v>0</v>
      </c>
    </row>
    <row r="274" spans="23:23">
      <c r="W274" s="3">
        <f t="shared" ref="W274:W320" si="27">U274*V274</f>
        <v>0</v>
      </c>
    </row>
    <row r="275" spans="23:23">
      <c r="W275" s="3">
        <f t="shared" si="27"/>
        <v>0</v>
      </c>
    </row>
    <row r="276" spans="23:23">
      <c r="W276" s="3">
        <f t="shared" si="27"/>
        <v>0</v>
      </c>
    </row>
    <row r="277" spans="23:23">
      <c r="W277" s="3">
        <f t="shared" si="27"/>
        <v>0</v>
      </c>
    </row>
    <row r="278" spans="23:23">
      <c r="W278" s="3">
        <f t="shared" si="27"/>
        <v>0</v>
      </c>
    </row>
    <row r="279" spans="23:23">
      <c r="W279" s="3">
        <f t="shared" si="27"/>
        <v>0</v>
      </c>
    </row>
    <row r="280" spans="23:23">
      <c r="W280" s="3">
        <f t="shared" si="27"/>
        <v>0</v>
      </c>
    </row>
    <row r="281" spans="23:23">
      <c r="W281" s="3">
        <f t="shared" si="27"/>
        <v>0</v>
      </c>
    </row>
    <row r="282" spans="23:23">
      <c r="W282" s="3">
        <f t="shared" si="27"/>
        <v>0</v>
      </c>
    </row>
    <row r="283" spans="23:23">
      <c r="W283" s="3">
        <f t="shared" si="27"/>
        <v>0</v>
      </c>
    </row>
    <row r="284" spans="23:23">
      <c r="W284" s="3">
        <f t="shared" si="27"/>
        <v>0</v>
      </c>
    </row>
    <row r="285" spans="23:23">
      <c r="W285" s="3">
        <f t="shared" si="27"/>
        <v>0</v>
      </c>
    </row>
    <row r="286" spans="23:23">
      <c r="W286" s="3">
        <f t="shared" si="27"/>
        <v>0</v>
      </c>
    </row>
    <row r="287" spans="23:23">
      <c r="W287" s="3">
        <f t="shared" si="27"/>
        <v>0</v>
      </c>
    </row>
    <row r="288" spans="23:23">
      <c r="W288" s="3">
        <f t="shared" si="27"/>
        <v>0</v>
      </c>
    </row>
    <row r="289" spans="23:23">
      <c r="W289" s="3">
        <f t="shared" si="27"/>
        <v>0</v>
      </c>
    </row>
    <row r="290" spans="23:23">
      <c r="W290" s="3">
        <f t="shared" si="27"/>
        <v>0</v>
      </c>
    </row>
    <row r="291" spans="23:23">
      <c r="W291" s="3">
        <f t="shared" si="27"/>
        <v>0</v>
      </c>
    </row>
    <row r="292" spans="23:23">
      <c r="W292" s="3">
        <f t="shared" si="27"/>
        <v>0</v>
      </c>
    </row>
    <row r="293" spans="23:23">
      <c r="W293" s="3">
        <f t="shared" si="27"/>
        <v>0</v>
      </c>
    </row>
    <row r="294" spans="23:23">
      <c r="W294" s="3">
        <f t="shared" si="27"/>
        <v>0</v>
      </c>
    </row>
    <row r="295" spans="23:23">
      <c r="W295" s="3">
        <f t="shared" si="27"/>
        <v>0</v>
      </c>
    </row>
    <row r="296" spans="23:23">
      <c r="W296" s="3">
        <f t="shared" si="27"/>
        <v>0</v>
      </c>
    </row>
    <row r="297" spans="23:23">
      <c r="W297" s="3">
        <f t="shared" si="27"/>
        <v>0</v>
      </c>
    </row>
    <row r="298" spans="23:23">
      <c r="W298" s="3">
        <f t="shared" si="27"/>
        <v>0</v>
      </c>
    </row>
    <row r="299" spans="23:23">
      <c r="W299" s="3">
        <f t="shared" si="27"/>
        <v>0</v>
      </c>
    </row>
    <row r="300" spans="23:23">
      <c r="W300" s="3">
        <f t="shared" si="27"/>
        <v>0</v>
      </c>
    </row>
    <row r="301" spans="23:23">
      <c r="W301" s="3">
        <f t="shared" si="27"/>
        <v>0</v>
      </c>
    </row>
    <row r="302" spans="23:23">
      <c r="W302" s="3">
        <f t="shared" si="27"/>
        <v>0</v>
      </c>
    </row>
    <row r="303" spans="23:23">
      <c r="W303" s="3">
        <f t="shared" si="27"/>
        <v>0</v>
      </c>
    </row>
    <row r="304" spans="23:23">
      <c r="W304" s="3">
        <f t="shared" si="27"/>
        <v>0</v>
      </c>
    </row>
    <row r="305" spans="23:23">
      <c r="W305" s="3">
        <f t="shared" si="27"/>
        <v>0</v>
      </c>
    </row>
    <row r="306" spans="23:23">
      <c r="W306" s="3">
        <f t="shared" si="27"/>
        <v>0</v>
      </c>
    </row>
    <row r="307" spans="23:23">
      <c r="W307" s="3">
        <f t="shared" si="27"/>
        <v>0</v>
      </c>
    </row>
    <row r="308" spans="23:23">
      <c r="W308" s="3">
        <f t="shared" si="27"/>
        <v>0</v>
      </c>
    </row>
    <row r="309" spans="23:23">
      <c r="W309" s="3">
        <f t="shared" si="27"/>
        <v>0</v>
      </c>
    </row>
    <row r="310" spans="23:23">
      <c r="W310" s="3">
        <f t="shared" si="27"/>
        <v>0</v>
      </c>
    </row>
    <row r="311" spans="23:23">
      <c r="W311" s="3">
        <f t="shared" si="27"/>
        <v>0</v>
      </c>
    </row>
    <row r="312" spans="23:23">
      <c r="W312" s="3">
        <f t="shared" si="27"/>
        <v>0</v>
      </c>
    </row>
    <row r="313" spans="23:23">
      <c r="W313" s="3">
        <f t="shared" si="27"/>
        <v>0</v>
      </c>
    </row>
    <row r="314" spans="23:23">
      <c r="W314" s="3">
        <f t="shared" si="27"/>
        <v>0</v>
      </c>
    </row>
    <row r="315" spans="23:23">
      <c r="W315" s="3">
        <f t="shared" si="27"/>
        <v>0</v>
      </c>
    </row>
    <row r="316" spans="23:23">
      <c r="W316" s="3">
        <f t="shared" si="27"/>
        <v>0</v>
      </c>
    </row>
    <row r="317" spans="23:23">
      <c r="W317" s="3">
        <f t="shared" si="27"/>
        <v>0</v>
      </c>
    </row>
    <row r="318" spans="23:23">
      <c r="W318" s="3">
        <f t="shared" si="27"/>
        <v>0</v>
      </c>
    </row>
    <row r="319" spans="23:23">
      <c r="W319" s="3">
        <f t="shared" si="27"/>
        <v>0</v>
      </c>
    </row>
    <row r="320" spans="23:23">
      <c r="W320" s="3">
        <f t="shared" si="27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D1:O48"/>
  <sheetViews>
    <sheetView topLeftCell="A41" workbookViewId="0">
      <selection activeCell="R64" sqref="R64"/>
    </sheetView>
  </sheetViews>
  <sheetFormatPr defaultRowHeight="15"/>
  <cols>
    <col min="5" max="5" width="9.140625" customWidth="1"/>
  </cols>
  <sheetData>
    <row r="1" spans="4:15" ht="15.75" thickBot="1"/>
    <row r="2" spans="4:15" ht="15.75" thickBot="1">
      <c r="G2" s="424" t="s">
        <v>79</v>
      </c>
      <c r="H2" s="425"/>
    </row>
    <row r="3" spans="4:15" ht="15.75" thickBot="1">
      <c r="D3" s="27"/>
      <c r="E3" s="26" t="s">
        <v>74</v>
      </c>
      <c r="F3" s="28"/>
      <c r="I3" s="31"/>
      <c r="J3" s="32" t="s">
        <v>75</v>
      </c>
      <c r="K3" s="33"/>
    </row>
    <row r="4" spans="4:15" ht="15.75" thickBot="1">
      <c r="D4" s="29" t="s">
        <v>80</v>
      </c>
      <c r="E4" s="25" t="s">
        <v>69</v>
      </c>
      <c r="F4" s="30" t="s">
        <v>73</v>
      </c>
      <c r="I4" s="34" t="s">
        <v>73</v>
      </c>
      <c r="J4" s="25" t="s">
        <v>69</v>
      </c>
      <c r="K4" s="35" t="s">
        <v>70</v>
      </c>
    </row>
    <row r="7" spans="4:15">
      <c r="E7" s="24" t="s">
        <v>69</v>
      </c>
      <c r="J7" s="24" t="s">
        <v>69</v>
      </c>
    </row>
    <row r="8" spans="4:15">
      <c r="H8" t="s">
        <v>73</v>
      </c>
    </row>
    <row r="9" spans="4:15">
      <c r="F9" t="s">
        <v>73</v>
      </c>
    </row>
    <row r="11" spans="4:15">
      <c r="D11" t="s">
        <v>71</v>
      </c>
      <c r="K11" t="s">
        <v>72</v>
      </c>
    </row>
    <row r="16" spans="4:15">
      <c r="O16" t="s">
        <v>73</v>
      </c>
    </row>
    <row r="17" spans="4:11" ht="15.75" thickBot="1"/>
    <row r="18" spans="4:11" ht="15.75" thickBot="1">
      <c r="G18" s="422" t="s">
        <v>78</v>
      </c>
      <c r="H18" s="423"/>
    </row>
    <row r="19" spans="4:11" ht="15.75" thickBot="1">
      <c r="D19" s="31"/>
      <c r="E19" s="32" t="s">
        <v>75</v>
      </c>
      <c r="F19" s="33"/>
      <c r="I19" s="426" t="s">
        <v>74</v>
      </c>
      <c r="J19" s="427"/>
      <c r="K19" s="428"/>
    </row>
    <row r="20" spans="4:11" ht="15.75" thickBot="1">
      <c r="D20" s="34" t="s">
        <v>77</v>
      </c>
      <c r="E20" s="25" t="s">
        <v>76</v>
      </c>
      <c r="F20" s="35" t="s">
        <v>80</v>
      </c>
      <c r="I20" s="36" t="s">
        <v>70</v>
      </c>
      <c r="J20" s="37" t="s">
        <v>76</v>
      </c>
      <c r="K20" s="38" t="s">
        <v>77</v>
      </c>
    </row>
    <row r="23" spans="4:11">
      <c r="E23" s="24" t="s">
        <v>76</v>
      </c>
      <c r="J23" s="24" t="s">
        <v>76</v>
      </c>
    </row>
    <row r="25" spans="4:11">
      <c r="E25" t="s">
        <v>77</v>
      </c>
      <c r="J25" t="s">
        <v>77</v>
      </c>
    </row>
    <row r="29" spans="4:11">
      <c r="D29" t="s">
        <v>71</v>
      </c>
      <c r="K29" t="s">
        <v>72</v>
      </c>
    </row>
    <row r="38" spans="4:11">
      <c r="F38" s="429" t="s">
        <v>81</v>
      </c>
      <c r="G38" s="429"/>
      <c r="H38" s="429"/>
      <c r="I38" s="429"/>
    </row>
    <row r="41" spans="4:11">
      <c r="H41" t="s">
        <v>73</v>
      </c>
    </row>
    <row r="42" spans="4:11">
      <c r="E42" t="s">
        <v>73</v>
      </c>
    </row>
    <row r="43" spans="4:11">
      <c r="K43" t="s">
        <v>77</v>
      </c>
    </row>
    <row r="44" spans="4:11">
      <c r="E44" t="s">
        <v>77</v>
      </c>
    </row>
    <row r="48" spans="4:11">
      <c r="D48" t="s">
        <v>71</v>
      </c>
      <c r="K48" t="s">
        <v>72</v>
      </c>
    </row>
  </sheetData>
  <mergeCells count="4">
    <mergeCell ref="G18:H18"/>
    <mergeCell ref="G2:H2"/>
    <mergeCell ref="I19:K19"/>
    <mergeCell ref="F38:I38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/>
  <dimension ref="A1:L40"/>
  <sheetViews>
    <sheetView topLeftCell="A19" workbookViewId="0">
      <selection activeCell="J25" sqref="J25"/>
    </sheetView>
  </sheetViews>
  <sheetFormatPr defaultRowHeight="15"/>
  <cols>
    <col min="1" max="1" width="13" customWidth="1"/>
    <col min="2" max="2" width="11.7109375" customWidth="1"/>
    <col min="3" max="3" width="11.5703125" style="7" customWidth="1"/>
    <col min="5" max="5" width="12.140625" customWidth="1"/>
    <col min="6" max="6" width="15.28515625" customWidth="1"/>
    <col min="7" max="7" width="11.7109375" style="7" customWidth="1"/>
    <col min="8" max="8" width="11.85546875" style="7" customWidth="1"/>
    <col min="9" max="9" width="14.85546875" customWidth="1"/>
    <col min="10" max="10" width="14.140625" style="7" customWidth="1"/>
    <col min="11" max="11" width="15.5703125" customWidth="1"/>
    <col min="12" max="12" width="15.42578125" customWidth="1"/>
  </cols>
  <sheetData>
    <row r="1" spans="1:12">
      <c r="A1" t="s">
        <v>82</v>
      </c>
      <c r="D1">
        <v>365</v>
      </c>
    </row>
    <row r="2" spans="1:12">
      <c r="G2" s="7" t="s">
        <v>111</v>
      </c>
      <c r="H2" s="7" t="s">
        <v>112</v>
      </c>
    </row>
    <row r="3" spans="1:12">
      <c r="A3" t="s">
        <v>83</v>
      </c>
      <c r="B3">
        <v>74081</v>
      </c>
      <c r="C3">
        <v>65.239999999999995</v>
      </c>
      <c r="G3" s="7" t="s">
        <v>113</v>
      </c>
      <c r="H3" s="7" t="s">
        <v>114</v>
      </c>
    </row>
    <row r="4" spans="1:12">
      <c r="A4" t="s">
        <v>2</v>
      </c>
      <c r="B4">
        <v>74000</v>
      </c>
      <c r="C4">
        <v>65</v>
      </c>
    </row>
    <row r="5" spans="1:12">
      <c r="A5" t="s">
        <v>84</v>
      </c>
      <c r="B5">
        <v>12.73</v>
      </c>
      <c r="C5">
        <v>39.549999999999997</v>
      </c>
      <c r="G5" s="7">
        <f>5/252</f>
        <v>1.984126984126984E-2</v>
      </c>
    </row>
    <row r="6" spans="1:12">
      <c r="A6" t="s">
        <v>88</v>
      </c>
      <c r="B6">
        <v>0</v>
      </c>
      <c r="C6">
        <v>1</v>
      </c>
    </row>
    <row r="7" spans="1:12">
      <c r="A7" t="s">
        <v>86</v>
      </c>
      <c r="B7">
        <v>0</v>
      </c>
      <c r="C7">
        <v>0</v>
      </c>
    </row>
    <row r="8" spans="1:12">
      <c r="A8" t="s">
        <v>87</v>
      </c>
      <c r="B8">
        <v>16</v>
      </c>
      <c r="C8">
        <v>16</v>
      </c>
    </row>
    <row r="14" spans="1:12">
      <c r="A14" t="s">
        <v>89</v>
      </c>
      <c r="B14" t="s">
        <v>2</v>
      </c>
      <c r="C14" s="7" t="s">
        <v>6</v>
      </c>
      <c r="D14" t="s">
        <v>85</v>
      </c>
      <c r="E14" t="s">
        <v>90</v>
      </c>
      <c r="F14" t="s">
        <v>87</v>
      </c>
      <c r="G14" s="7" t="s">
        <v>91</v>
      </c>
      <c r="H14" s="7" t="s">
        <v>99</v>
      </c>
      <c r="I14" t="s">
        <v>92</v>
      </c>
      <c r="J14" s="7" t="s">
        <v>93</v>
      </c>
      <c r="K14" t="s">
        <v>94</v>
      </c>
      <c r="L14" t="s">
        <v>95</v>
      </c>
    </row>
    <row r="15" spans="1:12">
      <c r="A15">
        <v>74081</v>
      </c>
      <c r="B15">
        <v>74000</v>
      </c>
      <c r="C15" s="7">
        <v>0.1273</v>
      </c>
      <c r="D15">
        <v>1</v>
      </c>
      <c r="E15">
        <v>0</v>
      </c>
      <c r="F15">
        <v>6</v>
      </c>
      <c r="G15" s="7">
        <f>F15/$D$1</f>
        <v>1.643835616438356E-2</v>
      </c>
      <c r="H15" s="7">
        <f>SQRT(G15)</f>
        <v>0.12821215295120647</v>
      </c>
      <c r="I15">
        <f>LN(A15/B15)</f>
        <v>1.0939959627309867E-3</v>
      </c>
      <c r="J15" s="7">
        <f>C15*H15</f>
        <v>1.6321407070688583E-2</v>
      </c>
      <c r="K15">
        <f>C15*C15/2</f>
        <v>8.1026450000000003E-3</v>
      </c>
      <c r="L15">
        <f>K15*G15</f>
        <v>1.3319416438356164E-4</v>
      </c>
    </row>
    <row r="17" spans="1:10">
      <c r="A17" t="s">
        <v>97</v>
      </c>
      <c r="B17" t="s">
        <v>98</v>
      </c>
      <c r="C17" s="7" t="s">
        <v>96</v>
      </c>
      <c r="D17" t="s">
        <v>100</v>
      </c>
      <c r="E17" t="s">
        <v>101</v>
      </c>
      <c r="F17" t="s">
        <v>102</v>
      </c>
      <c r="G17" s="7" t="s">
        <v>103</v>
      </c>
      <c r="H17" s="7" t="s">
        <v>104</v>
      </c>
      <c r="I17" t="s">
        <v>1</v>
      </c>
      <c r="J17" s="7" t="s">
        <v>3</v>
      </c>
    </row>
    <row r="18" spans="1:10">
      <c r="A18">
        <f>I15+L15</f>
        <v>1.2271901271145482E-3</v>
      </c>
      <c r="B18">
        <f>C15*H15</f>
        <v>1.6321407070688583E-2</v>
      </c>
      <c r="C18" s="7">
        <f>A18/B18</f>
        <v>7.5188990863321092E-2</v>
      </c>
      <c r="D18" s="7">
        <f>C18-J15</f>
        <v>5.8867583792632509E-2</v>
      </c>
      <c r="E18">
        <f>NORMDIST(C18,0,1,TRUE)</f>
        <v>0.52996782821100741</v>
      </c>
      <c r="F18">
        <f>A15*E18</f>
        <v>39260.546681699641</v>
      </c>
      <c r="G18" s="7">
        <f>NORMDIST(D18,0,1,TRUE)</f>
        <v>0.52347121117815187</v>
      </c>
      <c r="H18" s="7">
        <f>B15*G18</f>
        <v>38736.869627183238</v>
      </c>
      <c r="I18" s="7">
        <f>F18-H18</f>
        <v>523.67705451640359</v>
      </c>
      <c r="J18" s="7">
        <f>B15*G20-A15*E20</f>
        <v>442.67705451640359</v>
      </c>
    </row>
    <row r="19" spans="1:10">
      <c r="E19" t="s">
        <v>106</v>
      </c>
      <c r="G19" s="7" t="s">
        <v>105</v>
      </c>
      <c r="I19" t="s">
        <v>3</v>
      </c>
    </row>
    <row r="20" spans="1:10">
      <c r="E20">
        <f>NORMDIST(-C18,0,1,TRUE)</f>
        <v>0.47003217178899259</v>
      </c>
      <c r="G20" s="7">
        <f>NORMDIST(-D18,0,1,TRUE)</f>
        <v>0.47652878882184813</v>
      </c>
    </row>
    <row r="23" spans="1:10">
      <c r="G23" s="40"/>
      <c r="H23" s="40"/>
    </row>
    <row r="24" spans="1:10">
      <c r="G24" s="40"/>
      <c r="H24" s="40"/>
    </row>
    <row r="25" spans="1:10">
      <c r="G25" s="40"/>
      <c r="H25" s="40"/>
    </row>
    <row r="26" spans="1:10">
      <c r="B26" t="s">
        <v>107</v>
      </c>
      <c r="C26" s="7" t="s">
        <v>108</v>
      </c>
      <c r="D26" t="s">
        <v>109</v>
      </c>
      <c r="E26" t="s">
        <v>110</v>
      </c>
      <c r="G26" s="40"/>
      <c r="H26" s="40">
        <f>5/365</f>
        <v>1.3698630136986301E-2</v>
      </c>
    </row>
    <row r="27" spans="1:10">
      <c r="B27">
        <v>365</v>
      </c>
      <c r="C27" s="7">
        <v>24</v>
      </c>
      <c r="D27">
        <v>60</v>
      </c>
      <c r="E27">
        <v>60</v>
      </c>
      <c r="F27">
        <f>B27*86400</f>
        <v>31536000</v>
      </c>
      <c r="G27" s="40"/>
      <c r="H27" s="40"/>
    </row>
    <row r="28" spans="1:10">
      <c r="B28">
        <v>5</v>
      </c>
      <c r="C28" s="7">
        <v>12</v>
      </c>
      <c r="D28">
        <v>52</v>
      </c>
      <c r="E28">
        <v>30</v>
      </c>
      <c r="F28">
        <f t="shared" ref="F28" si="0">B28*86400+C28*3600+D28*60 + E28</f>
        <v>478350</v>
      </c>
      <c r="G28" s="40">
        <f>F28/$F$27</f>
        <v>1.5168378995433791E-2</v>
      </c>
      <c r="H28" s="40">
        <f>SQRT(G28)</f>
        <v>0.12315997318704559</v>
      </c>
    </row>
    <row r="29" spans="1:10">
      <c r="B29">
        <v>15</v>
      </c>
      <c r="C29" s="7">
        <v>6</v>
      </c>
      <c r="D29">
        <v>12</v>
      </c>
      <c r="E29">
        <v>30</v>
      </c>
      <c r="F29">
        <f>B29*86400+C29*3600+D29*60 + E29</f>
        <v>1318350</v>
      </c>
      <c r="G29" s="40">
        <f>F29/$F$27</f>
        <v>4.1804604261796045E-2</v>
      </c>
      <c r="H29" s="40">
        <f>SQRT(G29)</f>
        <v>0.20446174278283957</v>
      </c>
    </row>
    <row r="30" spans="1:10">
      <c r="B30">
        <v>3</v>
      </c>
      <c r="C30" s="7">
        <v>1</v>
      </c>
      <c r="D30">
        <v>15</v>
      </c>
      <c r="E30">
        <v>0</v>
      </c>
      <c r="F30">
        <f>B30*86400+C30*3600+D30*60 + E30</f>
        <v>263700</v>
      </c>
      <c r="G30" s="40">
        <f>F30/$F$27</f>
        <v>8.3618721461187207E-3</v>
      </c>
      <c r="H30" s="40">
        <f>SQRT(G30)</f>
        <v>9.1443272831404715E-2</v>
      </c>
    </row>
    <row r="31" spans="1:10">
      <c r="F31">
        <f t="shared" ref="F31:F35" si="1">B31*C31*D31*E31</f>
        <v>0</v>
      </c>
      <c r="G31" s="40"/>
      <c r="H31" s="40"/>
    </row>
    <row r="32" spans="1:10">
      <c r="B32">
        <f>3600*24</f>
        <v>86400</v>
      </c>
      <c r="C32" s="7">
        <v>3600</v>
      </c>
      <c r="D32">
        <v>60</v>
      </c>
      <c r="E32">
        <v>1</v>
      </c>
      <c r="G32" s="40"/>
      <c r="H32" s="40"/>
    </row>
    <row r="33" spans="2:8">
      <c r="F33">
        <f t="shared" si="1"/>
        <v>0</v>
      </c>
      <c r="G33" s="40"/>
      <c r="H33" s="40"/>
    </row>
    <row r="34" spans="2:8">
      <c r="F34">
        <f t="shared" si="1"/>
        <v>0</v>
      </c>
      <c r="G34" s="40"/>
      <c r="H34" s="40"/>
    </row>
    <row r="35" spans="2:8">
      <c r="F35">
        <f t="shared" si="1"/>
        <v>0</v>
      </c>
      <c r="G35" s="40"/>
      <c r="H35" s="40"/>
    </row>
    <row r="36" spans="2:8">
      <c r="G36" s="40"/>
      <c r="H36" s="40"/>
    </row>
    <row r="37" spans="2:8">
      <c r="B37">
        <f>EXP(-0.01*G28)</f>
        <v>0.99984832771345011</v>
      </c>
      <c r="G37" s="40"/>
      <c r="H37" s="40"/>
    </row>
    <row r="38" spans="2:8">
      <c r="B38">
        <f>EXP(-0.1*G28)</f>
        <v>0.99848431191762776</v>
      </c>
      <c r="G38" s="40"/>
      <c r="H38" s="40"/>
    </row>
    <row r="39" spans="2:8">
      <c r="G39" s="40"/>
      <c r="H39" s="40"/>
    </row>
    <row r="40" spans="2:8">
      <c r="H40" s="4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/>
  <dimension ref="A1:P29"/>
  <sheetViews>
    <sheetView workbookViewId="0">
      <selection activeCell="H29" sqref="H29"/>
    </sheetView>
  </sheetViews>
  <sheetFormatPr defaultRowHeight="15"/>
  <cols>
    <col min="1" max="1" width="6.28515625" customWidth="1"/>
  </cols>
  <sheetData>
    <row r="1" spans="1:16" ht="15.75" thickBot="1">
      <c r="A1" s="44" t="s">
        <v>115</v>
      </c>
      <c r="B1" s="42">
        <v>0</v>
      </c>
      <c r="C1" s="42">
        <f>B1 + 0.01</f>
        <v>0.01</v>
      </c>
      <c r="D1" s="42">
        <f t="shared" ref="D1:P1" si="0">C1 + 0.01</f>
        <v>0.02</v>
      </c>
      <c r="E1" s="42">
        <f t="shared" si="0"/>
        <v>0.03</v>
      </c>
      <c r="F1" s="42">
        <f t="shared" si="0"/>
        <v>0.04</v>
      </c>
      <c r="G1" s="42">
        <f t="shared" si="0"/>
        <v>0.05</v>
      </c>
      <c r="H1" s="42">
        <f t="shared" si="0"/>
        <v>6.0000000000000005E-2</v>
      </c>
      <c r="I1" s="42">
        <f t="shared" si="0"/>
        <v>7.0000000000000007E-2</v>
      </c>
      <c r="J1" s="43">
        <f t="shared" si="0"/>
        <v>0.08</v>
      </c>
      <c r="K1" s="44">
        <f t="shared" si="0"/>
        <v>0.09</v>
      </c>
      <c r="L1" s="41">
        <f t="shared" si="0"/>
        <v>9.9999999999999992E-2</v>
      </c>
      <c r="M1" s="41">
        <f t="shared" si="0"/>
        <v>0.10999999999999999</v>
      </c>
      <c r="N1" s="41">
        <f t="shared" si="0"/>
        <v>0.11999999999999998</v>
      </c>
      <c r="O1" s="41">
        <f t="shared" si="0"/>
        <v>0.12999999999999998</v>
      </c>
      <c r="P1" s="41">
        <f t="shared" si="0"/>
        <v>0.13999999999999999</v>
      </c>
    </row>
    <row r="2" spans="1:16">
      <c r="A2" s="45">
        <v>0</v>
      </c>
      <c r="B2" s="47">
        <f>NORMSDIST($A2+B$1)</f>
        <v>0.5</v>
      </c>
      <c r="C2" s="47">
        <f t="shared" ref="C2:P2" si="1">NORMSDIST($A2+C$1)</f>
        <v>0.5039893563146316</v>
      </c>
      <c r="D2" s="47">
        <f t="shared" si="1"/>
        <v>0.50797831371690194</v>
      </c>
      <c r="E2" s="47">
        <f t="shared" si="1"/>
        <v>0.51196647341411261</v>
      </c>
      <c r="F2" s="47">
        <f t="shared" si="1"/>
        <v>0.51595343685283079</v>
      </c>
      <c r="G2" s="47">
        <f t="shared" si="1"/>
        <v>0.51993880583837249</v>
      </c>
      <c r="H2" s="47">
        <f t="shared" si="1"/>
        <v>0.52392218265410684</v>
      </c>
      <c r="I2" s="47">
        <f t="shared" si="1"/>
        <v>0.52790317018052113</v>
      </c>
      <c r="J2" s="48">
        <f t="shared" si="1"/>
        <v>0.53188137201398733</v>
      </c>
      <c r="K2" s="48">
        <f t="shared" si="1"/>
        <v>0.53585639258517215</v>
      </c>
      <c r="L2">
        <f t="shared" si="1"/>
        <v>0.53982783727702899</v>
      </c>
      <c r="M2">
        <f t="shared" si="1"/>
        <v>0.54379531254231672</v>
      </c>
      <c r="N2">
        <f t="shared" si="1"/>
        <v>0.54775842602058389</v>
      </c>
      <c r="O2">
        <f t="shared" si="1"/>
        <v>0.55171678665456114</v>
      </c>
      <c r="P2">
        <f t="shared" si="1"/>
        <v>0.55567000480590645</v>
      </c>
    </row>
    <row r="3" spans="1:16">
      <c r="A3" s="45">
        <f t="shared" ref="A3:A19" si="2">A2 + 0.1</f>
        <v>0.1</v>
      </c>
      <c r="B3" s="47">
        <f t="shared" ref="B3:P19" si="3">NORMSDIST($A3+B$1)</f>
        <v>0.53982783727702899</v>
      </c>
      <c r="C3" s="47">
        <f t="shared" si="3"/>
        <v>0.54379531254231683</v>
      </c>
      <c r="D3" s="47">
        <f t="shared" si="3"/>
        <v>0.54775842602058389</v>
      </c>
      <c r="E3" s="47">
        <f t="shared" si="3"/>
        <v>0.55171678665456114</v>
      </c>
      <c r="F3" s="47">
        <f t="shared" si="3"/>
        <v>0.55567000480590645</v>
      </c>
      <c r="G3" s="47">
        <f t="shared" si="3"/>
        <v>0.5596176923702425</v>
      </c>
      <c r="H3" s="47">
        <f t="shared" si="3"/>
        <v>0.56355946289143288</v>
      </c>
      <c r="I3" s="47">
        <f t="shared" si="3"/>
        <v>0.56749493167503839</v>
      </c>
      <c r="J3" s="48">
        <f t="shared" si="3"/>
        <v>0.57142371590090069</v>
      </c>
      <c r="K3" s="48">
        <f t="shared" si="3"/>
        <v>0.57534543473479549</v>
      </c>
      <c r="L3">
        <f t="shared" si="3"/>
        <v>0.57925970943910299</v>
      </c>
      <c r="M3">
        <f t="shared" si="3"/>
        <v>0.58316616348244232</v>
      </c>
      <c r="N3">
        <f t="shared" si="3"/>
        <v>0.58706442264821457</v>
      </c>
      <c r="O3">
        <f t="shared" si="3"/>
        <v>0.59095411514200591</v>
      </c>
      <c r="P3">
        <f t="shared" si="3"/>
        <v>0.59483487169779581</v>
      </c>
    </row>
    <row r="4" spans="1:16">
      <c r="A4" s="45">
        <f t="shared" si="2"/>
        <v>0.2</v>
      </c>
      <c r="B4" s="47">
        <f t="shared" si="3"/>
        <v>0.57925970943910299</v>
      </c>
      <c r="C4" s="47">
        <f t="shared" si="3"/>
        <v>0.58316616348244232</v>
      </c>
      <c r="D4" s="47">
        <f t="shared" si="3"/>
        <v>0.58706442264821468</v>
      </c>
      <c r="E4" s="47">
        <f t="shared" si="3"/>
        <v>0.59095411514200591</v>
      </c>
      <c r="F4" s="47">
        <f t="shared" si="3"/>
        <v>0.59483487169779581</v>
      </c>
      <c r="G4" s="47">
        <f t="shared" si="3"/>
        <v>0.5987063256829237</v>
      </c>
      <c r="H4" s="47">
        <f t="shared" si="3"/>
        <v>0.60256811320176051</v>
      </c>
      <c r="I4" s="47">
        <f t="shared" si="3"/>
        <v>0.60641987319803947</v>
      </c>
      <c r="J4" s="48">
        <f t="shared" si="3"/>
        <v>0.61026124755579725</v>
      </c>
      <c r="K4" s="48">
        <f t="shared" si="3"/>
        <v>0.61409188119887737</v>
      </c>
      <c r="L4">
        <f t="shared" si="3"/>
        <v>0.61791142218895256</v>
      </c>
      <c r="M4">
        <f t="shared" si="3"/>
        <v>0.62171952182201928</v>
      </c>
      <c r="N4">
        <f t="shared" si="3"/>
        <v>0.62551583472332006</v>
      </c>
      <c r="O4">
        <f t="shared" si="3"/>
        <v>0.62930001894065346</v>
      </c>
      <c r="P4">
        <f t="shared" si="3"/>
        <v>0.63307173603602807</v>
      </c>
    </row>
    <row r="5" spans="1:16">
      <c r="A5" s="45">
        <f t="shared" si="2"/>
        <v>0.30000000000000004</v>
      </c>
      <c r="B5" s="47">
        <f t="shared" si="3"/>
        <v>0.61791142218895267</v>
      </c>
      <c r="C5" s="47">
        <f t="shared" ref="C5:C19" si="4">NORMSDIST($A5+C$1)</f>
        <v>0.62171952182201928</v>
      </c>
      <c r="D5" s="47">
        <f t="shared" si="3"/>
        <v>0.62551583472332006</v>
      </c>
      <c r="E5" s="47">
        <f t="shared" si="3"/>
        <v>0.62930001894065357</v>
      </c>
      <c r="F5" s="47">
        <f t="shared" si="3"/>
        <v>0.63307173603602807</v>
      </c>
      <c r="G5" s="47">
        <f t="shared" si="3"/>
        <v>0.6368306511756191</v>
      </c>
      <c r="H5" s="47">
        <f t="shared" si="3"/>
        <v>0.64057643321799129</v>
      </c>
      <c r="I5" s="47">
        <f t="shared" si="3"/>
        <v>0.64430875480054683</v>
      </c>
      <c r="J5" s="48">
        <f t="shared" si="3"/>
        <v>0.64802729242416279</v>
      </c>
      <c r="K5" s="48">
        <f t="shared" si="3"/>
        <v>0.65173172653598244</v>
      </c>
      <c r="L5">
        <f t="shared" si="3"/>
        <v>0.65542174161032418</v>
      </c>
      <c r="M5">
        <f t="shared" si="3"/>
        <v>0.65909702622767741</v>
      </c>
      <c r="N5">
        <f t="shared" si="3"/>
        <v>0.66275727315175048</v>
      </c>
      <c r="O5">
        <f t="shared" si="3"/>
        <v>0.66640217940454227</v>
      </c>
      <c r="P5">
        <f t="shared" si="3"/>
        <v>0.67003144633940637</v>
      </c>
    </row>
    <row r="6" spans="1:16">
      <c r="A6" s="45">
        <f t="shared" si="2"/>
        <v>0.4</v>
      </c>
      <c r="B6" s="47">
        <f t="shared" si="3"/>
        <v>0.65542174161032418</v>
      </c>
      <c r="C6" s="47">
        <f t="shared" si="4"/>
        <v>0.65909702622767741</v>
      </c>
      <c r="D6" s="47">
        <f t="shared" si="3"/>
        <v>0.66275727315175048</v>
      </c>
      <c r="E6" s="47">
        <f t="shared" si="3"/>
        <v>0.66640217940454227</v>
      </c>
      <c r="F6" s="47">
        <f t="shared" si="3"/>
        <v>0.67003144633940637</v>
      </c>
      <c r="G6" s="47">
        <f t="shared" si="3"/>
        <v>0.67364477971207992</v>
      </c>
      <c r="H6" s="47">
        <f t="shared" si="3"/>
        <v>0.67724188974965216</v>
      </c>
      <c r="I6" s="47">
        <f t="shared" si="3"/>
        <v>0.6808224912174442</v>
      </c>
      <c r="J6" s="48">
        <f t="shared" si="3"/>
        <v>0.68438630348377738</v>
      </c>
      <c r="K6" s="48">
        <f t="shared" si="3"/>
        <v>0.68793305058260945</v>
      </c>
      <c r="L6">
        <f t="shared" si="3"/>
        <v>0.69146246127401312</v>
      </c>
      <c r="M6">
        <f t="shared" si="3"/>
        <v>0.6949742691024805</v>
      </c>
      <c r="N6">
        <f t="shared" si="3"/>
        <v>0.69846821245303381</v>
      </c>
      <c r="O6">
        <f t="shared" si="3"/>
        <v>0.70194403460512356</v>
      </c>
      <c r="P6">
        <f t="shared" si="3"/>
        <v>0.7054014837843019</v>
      </c>
    </row>
    <row r="7" spans="1:16">
      <c r="A7" s="45">
        <f t="shared" si="2"/>
        <v>0.5</v>
      </c>
      <c r="B7" s="47">
        <f t="shared" si="3"/>
        <v>0.69146246127401312</v>
      </c>
      <c r="C7" s="47">
        <f t="shared" si="4"/>
        <v>0.6949742691024805</v>
      </c>
      <c r="D7" s="47">
        <f t="shared" si="3"/>
        <v>0.69846821245303381</v>
      </c>
      <c r="E7" s="47">
        <f t="shared" si="3"/>
        <v>0.70194403460512356</v>
      </c>
      <c r="F7" s="47">
        <f t="shared" si="3"/>
        <v>0.7054014837843019</v>
      </c>
      <c r="G7" s="47">
        <f t="shared" si="3"/>
        <v>0.70884031321165364</v>
      </c>
      <c r="H7" s="47">
        <f t="shared" si="3"/>
        <v>0.71226028115097295</v>
      </c>
      <c r="I7" s="47">
        <f t="shared" si="3"/>
        <v>0.71566115095367588</v>
      </c>
      <c r="J7" s="48">
        <f t="shared" si="3"/>
        <v>0.71904269110143559</v>
      </c>
      <c r="K7" s="48">
        <f t="shared" si="3"/>
        <v>0.72240467524653507</v>
      </c>
      <c r="L7">
        <f t="shared" si="3"/>
        <v>0.72574688224992634</v>
      </c>
      <c r="M7">
        <f t="shared" si="3"/>
        <v>0.72906909621699434</v>
      </c>
      <c r="N7">
        <f t="shared" si="3"/>
        <v>0.732371106531017</v>
      </c>
      <c r="O7">
        <f t="shared" si="3"/>
        <v>0.73565270788432247</v>
      </c>
      <c r="P7">
        <f t="shared" si="3"/>
        <v>0.73891370030713843</v>
      </c>
    </row>
    <row r="8" spans="1:16">
      <c r="A8" s="45">
        <f t="shared" si="2"/>
        <v>0.6</v>
      </c>
      <c r="B8" s="47">
        <f t="shared" si="3"/>
        <v>0.72574688224992634</v>
      </c>
      <c r="C8" s="47">
        <f t="shared" si="4"/>
        <v>0.72906909621699434</v>
      </c>
      <c r="D8" s="47">
        <f t="shared" si="3"/>
        <v>0.732371106531017</v>
      </c>
      <c r="E8" s="47">
        <f t="shared" si="3"/>
        <v>0.73565270788432247</v>
      </c>
      <c r="F8" s="47">
        <f t="shared" si="3"/>
        <v>0.73891370030713843</v>
      </c>
      <c r="G8" s="47">
        <f t="shared" si="3"/>
        <v>0.74215388919413527</v>
      </c>
      <c r="H8" s="47">
        <f t="shared" si="3"/>
        <v>0.74537308532866386</v>
      </c>
      <c r="I8" s="47">
        <f t="shared" si="3"/>
        <v>0.74857110490468992</v>
      </c>
      <c r="J8" s="48">
        <f t="shared" si="3"/>
        <v>0.75174776954642941</v>
      </c>
      <c r="K8" s="48">
        <f t="shared" si="3"/>
        <v>0.75490290632569057</v>
      </c>
      <c r="L8">
        <f t="shared" si="3"/>
        <v>0.75803634777692697</v>
      </c>
      <c r="M8">
        <f t="shared" si="3"/>
        <v>0.76114793191001329</v>
      </c>
      <c r="N8">
        <f t="shared" si="3"/>
        <v>0.76423750222074882</v>
      </c>
      <c r="O8">
        <f t="shared" si="3"/>
        <v>0.76730490769910253</v>
      </c>
      <c r="P8">
        <f t="shared" si="3"/>
        <v>0.77035000283520938</v>
      </c>
    </row>
    <row r="9" spans="1:16">
      <c r="A9" s="45">
        <f t="shared" si="2"/>
        <v>0.7</v>
      </c>
      <c r="B9" s="47">
        <f t="shared" si="3"/>
        <v>0.75803634777692697</v>
      </c>
      <c r="C9" s="47">
        <f t="shared" si="4"/>
        <v>0.76114793191001329</v>
      </c>
      <c r="D9" s="47">
        <f t="shared" si="3"/>
        <v>0.76423750222074882</v>
      </c>
      <c r="E9" s="47">
        <f t="shared" si="3"/>
        <v>0.76730490769910253</v>
      </c>
      <c r="F9" s="47">
        <f t="shared" si="3"/>
        <v>0.77035000283520938</v>
      </c>
      <c r="G9" s="47">
        <f t="shared" si="3"/>
        <v>0.77337264762313174</v>
      </c>
      <c r="H9" s="47">
        <f t="shared" si="3"/>
        <v>0.77637270756240051</v>
      </c>
      <c r="I9" s="47">
        <f t="shared" si="3"/>
        <v>0.77935005365735033</v>
      </c>
      <c r="J9" s="48">
        <f t="shared" si="3"/>
        <v>0.78230456241426682</v>
      </c>
      <c r="K9" s="48">
        <f t="shared" si="3"/>
        <v>0.78523611583636288</v>
      </c>
      <c r="L9">
        <f t="shared" si="3"/>
        <v>0.78814460141660314</v>
      </c>
      <c r="M9">
        <f t="shared" si="3"/>
        <v>0.79102991212839835</v>
      </c>
      <c r="N9">
        <f t="shared" si="3"/>
        <v>0.79389194641418692</v>
      </c>
      <c r="O9">
        <f t="shared" si="3"/>
        <v>0.79673060817193153</v>
      </c>
      <c r="P9">
        <f t="shared" si="3"/>
        <v>0.79954580673955022</v>
      </c>
    </row>
    <row r="10" spans="1:16">
      <c r="A10" s="45">
        <f t="shared" si="2"/>
        <v>0.79999999999999993</v>
      </c>
      <c r="B10" s="47">
        <f t="shared" si="3"/>
        <v>0.78814460141660314</v>
      </c>
      <c r="C10" s="47">
        <f t="shared" si="4"/>
        <v>0.79102991212839835</v>
      </c>
      <c r="D10" s="47">
        <f t="shared" si="3"/>
        <v>0.79389194641418692</v>
      </c>
      <c r="E10" s="47">
        <f t="shared" si="3"/>
        <v>0.79673060817193153</v>
      </c>
      <c r="F10" s="47">
        <f t="shared" si="3"/>
        <v>0.79954580673955022</v>
      </c>
      <c r="G10" s="47">
        <f t="shared" si="3"/>
        <v>0.80233745687730762</v>
      </c>
      <c r="H10" s="47">
        <f t="shared" si="3"/>
        <v>0.80510547874819149</v>
      </c>
      <c r="I10" s="47">
        <f t="shared" si="3"/>
        <v>0.80784979789630385</v>
      </c>
      <c r="J10" s="48">
        <f t="shared" si="3"/>
        <v>0.81057034522328786</v>
      </c>
      <c r="K10" s="48">
        <f t="shared" si="3"/>
        <v>0.81326705696282731</v>
      </c>
      <c r="L10">
        <f t="shared" si="3"/>
        <v>0.81593987465324047</v>
      </c>
      <c r="M10">
        <f t="shared" si="3"/>
        <v>0.81858874510820268</v>
      </c>
      <c r="N10">
        <f t="shared" si="3"/>
        <v>0.82121362038562817</v>
      </c>
      <c r="O10">
        <f t="shared" si="3"/>
        <v>0.82381445775474205</v>
      </c>
      <c r="P10">
        <f t="shared" si="3"/>
        <v>0.8263912196613753</v>
      </c>
    </row>
    <row r="11" spans="1:16">
      <c r="A11" s="45">
        <f t="shared" si="2"/>
        <v>0.89999999999999991</v>
      </c>
      <c r="B11" s="47">
        <f t="shared" si="3"/>
        <v>0.81593987465324047</v>
      </c>
      <c r="C11" s="47">
        <f t="shared" si="4"/>
        <v>0.81858874510820268</v>
      </c>
      <c r="D11" s="47">
        <f t="shared" si="3"/>
        <v>0.82121362038562817</v>
      </c>
      <c r="E11" s="47">
        <f t="shared" si="3"/>
        <v>0.82381445775474205</v>
      </c>
      <c r="F11" s="47">
        <f t="shared" si="3"/>
        <v>0.8263912196613753</v>
      </c>
      <c r="G11" s="47">
        <f t="shared" si="3"/>
        <v>0.82894387369151812</v>
      </c>
      <c r="H11" s="47">
        <f t="shared" si="3"/>
        <v>0.83147239253316219</v>
      </c>
      <c r="I11" s="47">
        <f t="shared" si="3"/>
        <v>0.83397675393647042</v>
      </c>
      <c r="J11" s="48">
        <f t="shared" si="3"/>
        <v>0.83645694067230747</v>
      </c>
      <c r="K11" s="48">
        <f t="shared" si="3"/>
        <v>0.83891294048916898</v>
      </c>
      <c r="L11">
        <f t="shared" si="3"/>
        <v>0.84134474606854293</v>
      </c>
      <c r="M11">
        <f t="shared" si="3"/>
        <v>0.84375235497874534</v>
      </c>
      <c r="N11">
        <f t="shared" si="3"/>
        <v>0.84613576962726511</v>
      </c>
      <c r="O11">
        <f t="shared" si="3"/>
        <v>0.84849499721165622</v>
      </c>
      <c r="P11">
        <f t="shared" si="3"/>
        <v>0.85083004966901843</v>
      </c>
    </row>
    <row r="12" spans="1:16">
      <c r="A12" s="45">
        <f t="shared" si="2"/>
        <v>0.99999999999999989</v>
      </c>
      <c r="B12" s="47">
        <f t="shared" si="3"/>
        <v>0.84134474606854293</v>
      </c>
      <c r="C12" s="47">
        <f t="shared" si="4"/>
        <v>0.84375235497874534</v>
      </c>
      <c r="D12" s="47">
        <f t="shared" si="3"/>
        <v>0.84613576962726511</v>
      </c>
      <c r="E12" s="47">
        <f t="shared" si="3"/>
        <v>0.84849499721165622</v>
      </c>
      <c r="F12" s="47">
        <f t="shared" si="3"/>
        <v>0.85083004966901843</v>
      </c>
      <c r="G12" s="47">
        <f t="shared" si="3"/>
        <v>0.85314094362410398</v>
      </c>
      <c r="H12" s="47">
        <f t="shared" si="3"/>
        <v>0.85542770033609039</v>
      </c>
      <c r="I12" s="47">
        <f t="shared" si="3"/>
        <v>0.85769034564406066</v>
      </c>
      <c r="J12" s="48">
        <f t="shared" si="3"/>
        <v>0.85992890991123083</v>
      </c>
      <c r="K12" s="48">
        <f t="shared" si="3"/>
        <v>0.86214342796796439</v>
      </c>
      <c r="L12">
        <f t="shared" si="3"/>
        <v>0.86433393905361733</v>
      </c>
      <c r="M12">
        <f t="shared" si="3"/>
        <v>0.86650048675725277</v>
      </c>
      <c r="N12">
        <f t="shared" si="3"/>
        <v>0.86864311895726942</v>
      </c>
      <c r="O12">
        <f t="shared" si="3"/>
        <v>0.87076188775998231</v>
      </c>
      <c r="P12">
        <f t="shared" si="3"/>
        <v>0.87285684943720176</v>
      </c>
    </row>
    <row r="13" spans="1:16">
      <c r="A13" s="45">
        <f t="shared" si="2"/>
        <v>1.0999999999999999</v>
      </c>
      <c r="B13" s="47">
        <f t="shared" si="3"/>
        <v>0.86433393905361733</v>
      </c>
      <c r="C13" s="47">
        <f t="shared" si="4"/>
        <v>0.86650048675725277</v>
      </c>
      <c r="D13" s="47">
        <f t="shared" si="3"/>
        <v>0.86864311895726942</v>
      </c>
      <c r="E13" s="47">
        <f t="shared" si="3"/>
        <v>0.87076188775998231</v>
      </c>
      <c r="F13" s="47">
        <f t="shared" si="3"/>
        <v>0.87285684943720176</v>
      </c>
      <c r="G13" s="47">
        <f t="shared" si="3"/>
        <v>0.87492806436284964</v>
      </c>
      <c r="H13" s="47">
        <f t="shared" si="3"/>
        <v>0.87697559694865657</v>
      </c>
      <c r="I13" s="47">
        <f t="shared" si="3"/>
        <v>0.8789995155789817</v>
      </c>
      <c r="J13" s="48">
        <f t="shared" si="3"/>
        <v>0.88099989254479927</v>
      </c>
      <c r="K13" s="48">
        <f t="shared" si="3"/>
        <v>0.88297680397689127</v>
      </c>
      <c r="L13">
        <f t="shared" si="3"/>
        <v>0.88493032977829178</v>
      </c>
      <c r="M13">
        <f t="shared" si="3"/>
        <v>0.88686055355602278</v>
      </c>
      <c r="N13">
        <f t="shared" si="3"/>
        <v>0.88876756255216516</v>
      </c>
      <c r="O13">
        <f t="shared" si="3"/>
        <v>0.89065144757430814</v>
      </c>
      <c r="P13">
        <f t="shared" si="3"/>
        <v>0.89251230292541306</v>
      </c>
    </row>
    <row r="14" spans="1:16">
      <c r="A14" s="45">
        <f t="shared" si="2"/>
        <v>1.2</v>
      </c>
      <c r="B14" s="47">
        <f t="shared" si="3"/>
        <v>0.88493032977829178</v>
      </c>
      <c r="C14" s="47">
        <f t="shared" si="4"/>
        <v>0.88686055355602278</v>
      </c>
      <c r="D14" s="47">
        <f t="shared" si="3"/>
        <v>0.88876756255216516</v>
      </c>
      <c r="E14" s="47">
        <f t="shared" si="3"/>
        <v>0.89065144757430814</v>
      </c>
      <c r="F14" s="47">
        <f t="shared" si="3"/>
        <v>0.89251230292541317</v>
      </c>
      <c r="G14" s="47">
        <f t="shared" si="3"/>
        <v>0.89435022633314465</v>
      </c>
      <c r="H14" s="47">
        <f t="shared" si="3"/>
        <v>0.89616531887869955</v>
      </c>
      <c r="I14" s="47">
        <f t="shared" si="3"/>
        <v>0.89795768492518091</v>
      </c>
      <c r="J14" s="48">
        <f t="shared" si="3"/>
        <v>0.89972743204555794</v>
      </c>
      <c r="K14" s="48">
        <f t="shared" si="3"/>
        <v>0.90147467095025213</v>
      </c>
      <c r="L14">
        <f t="shared" si="3"/>
        <v>0.9031995154143897</v>
      </c>
      <c r="M14">
        <f t="shared" si="3"/>
        <v>0.90490208220476098</v>
      </c>
      <c r="N14">
        <f t="shared" si="3"/>
        <v>0.9065824910065281</v>
      </c>
      <c r="O14">
        <f t="shared" si="3"/>
        <v>0.90824086434971907</v>
      </c>
      <c r="P14">
        <f t="shared" si="3"/>
        <v>0.90987732753554762</v>
      </c>
    </row>
    <row r="15" spans="1:16">
      <c r="A15" s="45">
        <f t="shared" si="2"/>
        <v>1.3</v>
      </c>
      <c r="B15" s="47">
        <f t="shared" si="3"/>
        <v>0.9031995154143897</v>
      </c>
      <c r="C15" s="47">
        <f t="shared" si="4"/>
        <v>0.90490208220476098</v>
      </c>
      <c r="D15" s="47">
        <f t="shared" si="3"/>
        <v>0.9065824910065281</v>
      </c>
      <c r="E15" s="47">
        <f t="shared" si="3"/>
        <v>0.90824086434971918</v>
      </c>
      <c r="F15" s="47">
        <f t="shared" si="3"/>
        <v>0.90987732753554751</v>
      </c>
      <c r="G15" s="47">
        <f t="shared" si="3"/>
        <v>0.91149200856259804</v>
      </c>
      <c r="H15" s="47">
        <f t="shared" si="3"/>
        <v>0.91308503805291497</v>
      </c>
      <c r="I15" s="47">
        <f t="shared" si="3"/>
        <v>0.91465654917803296</v>
      </c>
      <c r="J15" s="48">
        <f t="shared" si="3"/>
        <v>0.91620667758498586</v>
      </c>
      <c r="K15" s="48">
        <f t="shared" si="3"/>
        <v>0.91773556132233103</v>
      </c>
      <c r="L15">
        <f t="shared" si="3"/>
        <v>0.91924334076622893</v>
      </c>
      <c r="M15">
        <f t="shared" si="3"/>
        <v>0.92073015854660745</v>
      </c>
      <c r="N15">
        <f t="shared" si="3"/>
        <v>0.92219615947345357</v>
      </c>
      <c r="O15">
        <f t="shared" si="3"/>
        <v>0.92364149046326105</v>
      </c>
      <c r="P15">
        <f t="shared" si="3"/>
        <v>0.92506630046567273</v>
      </c>
    </row>
    <row r="16" spans="1:16">
      <c r="A16" s="45">
        <f t="shared" si="2"/>
        <v>1.4000000000000001</v>
      </c>
      <c r="B16" s="47">
        <f t="shared" si="3"/>
        <v>0.91924334076622893</v>
      </c>
      <c r="C16" s="47">
        <f t="shared" si="4"/>
        <v>0.92073015854660745</v>
      </c>
      <c r="D16" s="47">
        <f t="shared" si="3"/>
        <v>0.92219615947345357</v>
      </c>
      <c r="E16" s="47">
        <f t="shared" si="3"/>
        <v>0.92364149046326105</v>
      </c>
      <c r="F16" s="47">
        <f t="shared" si="3"/>
        <v>0.92506630046567295</v>
      </c>
      <c r="G16" s="47">
        <f t="shared" si="3"/>
        <v>0.9264707403903516</v>
      </c>
      <c r="H16" s="47">
        <f t="shared" si="3"/>
        <v>0.92785496303410619</v>
      </c>
      <c r="I16" s="47">
        <f t="shared" si="3"/>
        <v>0.92921912300831444</v>
      </c>
      <c r="J16" s="48">
        <f t="shared" si="3"/>
        <v>0.93056337666666822</v>
      </c>
      <c r="K16" s="48">
        <f t="shared" si="3"/>
        <v>0.93188788203327455</v>
      </c>
      <c r="L16">
        <f t="shared" si="3"/>
        <v>0.93319279873114191</v>
      </c>
      <c r="M16">
        <f t="shared" si="3"/>
        <v>0.93447828791108345</v>
      </c>
      <c r="N16">
        <f t="shared" si="3"/>
        <v>0.93574451218106414</v>
      </c>
      <c r="O16">
        <f t="shared" si="3"/>
        <v>0.93699163553602149</v>
      </c>
      <c r="P16">
        <f t="shared" si="3"/>
        <v>0.93821982328818798</v>
      </c>
    </row>
    <row r="17" spans="1:16">
      <c r="A17" s="45">
        <f t="shared" si="2"/>
        <v>1.5000000000000002</v>
      </c>
      <c r="B17" s="47">
        <f t="shared" si="3"/>
        <v>0.93319279873114191</v>
      </c>
      <c r="C17" s="47">
        <f t="shared" si="4"/>
        <v>0.93447828791108345</v>
      </c>
      <c r="D17" s="47">
        <f t="shared" si="3"/>
        <v>0.93574451218106414</v>
      </c>
      <c r="E17" s="47">
        <f t="shared" si="3"/>
        <v>0.93699163553602149</v>
      </c>
      <c r="F17" s="47">
        <f t="shared" si="3"/>
        <v>0.9382198232881882</v>
      </c>
      <c r="G17" s="47">
        <f t="shared" si="3"/>
        <v>0.93942924199794109</v>
      </c>
      <c r="H17" s="47">
        <f t="shared" si="3"/>
        <v>0.94062005940520699</v>
      </c>
      <c r="I17" s="47">
        <f t="shared" si="3"/>
        <v>0.94179244436144705</v>
      </c>
      <c r="J17" s="48">
        <f t="shared" si="3"/>
        <v>0.94294656676224586</v>
      </c>
      <c r="K17" s="48">
        <f t="shared" si="3"/>
        <v>0.94408259748053047</v>
      </c>
      <c r="L17">
        <f t="shared" si="3"/>
        <v>0.94520070830044212</v>
      </c>
      <c r="M17">
        <f t="shared" si="3"/>
        <v>0.94630107185188028</v>
      </c>
      <c r="N17">
        <f t="shared" si="3"/>
        <v>0.94738386154574794</v>
      </c>
      <c r="O17">
        <f t="shared" si="3"/>
        <v>0.94844925150991055</v>
      </c>
      <c r="P17">
        <f t="shared" si="3"/>
        <v>0.94949741652589603</v>
      </c>
    </row>
    <row r="18" spans="1:16">
      <c r="A18" s="45">
        <f t="shared" si="2"/>
        <v>1.6000000000000003</v>
      </c>
      <c r="B18" s="47">
        <f t="shared" si="3"/>
        <v>0.94520070830044212</v>
      </c>
      <c r="C18" s="47">
        <f t="shared" si="4"/>
        <v>0.94630107185188028</v>
      </c>
      <c r="D18" s="47">
        <f t="shared" si="3"/>
        <v>0.94738386154574794</v>
      </c>
      <c r="E18" s="47">
        <f t="shared" si="3"/>
        <v>0.94844925150991055</v>
      </c>
      <c r="F18" s="47">
        <f t="shared" si="3"/>
        <v>0.94949741652589603</v>
      </c>
      <c r="G18" s="47">
        <f t="shared" si="3"/>
        <v>0.9505285319663519</v>
      </c>
      <c r="H18" s="47">
        <f t="shared" si="3"/>
        <v>0.95154277373327723</v>
      </c>
      <c r="I18" s="47">
        <f t="shared" si="3"/>
        <v>0.95254031819705265</v>
      </c>
      <c r="J18" s="48">
        <f t="shared" si="3"/>
        <v>0.95352134213627993</v>
      </c>
      <c r="K18" s="48">
        <f t="shared" si="3"/>
        <v>0.95448602267845017</v>
      </c>
      <c r="L18">
        <f t="shared" si="3"/>
        <v>0.95543453724145699</v>
      </c>
      <c r="M18">
        <f t="shared" si="3"/>
        <v>0.956367063475968</v>
      </c>
      <c r="N18">
        <f t="shared" si="3"/>
        <v>0.95728377920867125</v>
      </c>
      <c r="O18">
        <f t="shared" si="3"/>
        <v>0.9581848623864051</v>
      </c>
      <c r="P18">
        <f t="shared" si="3"/>
        <v>0.95907049102119246</v>
      </c>
    </row>
    <row r="19" spans="1:16" ht="15.75" thickBot="1">
      <c r="A19" s="46">
        <f t="shared" si="2"/>
        <v>1.7000000000000004</v>
      </c>
      <c r="B19" s="49">
        <f t="shared" si="3"/>
        <v>0.95543453724145699</v>
      </c>
      <c r="C19" s="49">
        <f t="shared" si="4"/>
        <v>0.956367063475968</v>
      </c>
      <c r="D19" s="49">
        <f t="shared" si="3"/>
        <v>0.95728377920867125</v>
      </c>
      <c r="E19" s="49">
        <f t="shared" si="3"/>
        <v>0.95818486238640499</v>
      </c>
      <c r="F19" s="49">
        <f t="shared" si="3"/>
        <v>0.95907049102119268</v>
      </c>
      <c r="G19" s="49">
        <f t="shared" si="3"/>
        <v>0.959940843136183</v>
      </c>
      <c r="H19" s="49">
        <f t="shared" si="3"/>
        <v>0.96079609671251731</v>
      </c>
      <c r="I19" s="49">
        <f t="shared" si="3"/>
        <v>0.9616364296371287</v>
      </c>
      <c r="J19" s="50">
        <f t="shared" si="3"/>
        <v>0.96246201965148304</v>
      </c>
      <c r="K19" s="50">
        <f t="shared" si="3"/>
        <v>0.96327304430127381</v>
      </c>
      <c r="L19">
        <f t="shared" si="3"/>
        <v>0.96406968088707423</v>
      </c>
      <c r="M19">
        <f t="shared" si="3"/>
        <v>0.96485210641596142</v>
      </c>
      <c r="N19">
        <f t="shared" si="3"/>
        <v>0.96562049755411006</v>
      </c>
      <c r="O19">
        <f t="shared" si="3"/>
        <v>0.96637503058037177</v>
      </c>
      <c r="P19">
        <f t="shared" si="3"/>
        <v>0.96711588134083626</v>
      </c>
    </row>
    <row r="29" spans="1:16">
      <c r="G29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8"/>
  <dimension ref="A1:M26"/>
  <sheetViews>
    <sheetView topLeftCell="A10" workbookViewId="0">
      <selection activeCell="L31" sqref="L31"/>
    </sheetView>
  </sheetViews>
  <sheetFormatPr defaultRowHeight="15"/>
  <cols>
    <col min="3" max="3" width="11" customWidth="1"/>
    <col min="4" max="4" width="8.42578125" customWidth="1"/>
    <col min="9" max="9" width="9.140625" style="7"/>
    <col min="12" max="12" width="11.85546875" style="7" customWidth="1"/>
  </cols>
  <sheetData>
    <row r="1" spans="1:13">
      <c r="J1">
        <v>10</v>
      </c>
    </row>
    <row r="2" spans="1:13">
      <c r="A2" t="s">
        <v>119</v>
      </c>
      <c r="B2" t="s">
        <v>118</v>
      </c>
      <c r="C2" t="s">
        <v>36</v>
      </c>
      <c r="J2" t="s">
        <v>116</v>
      </c>
      <c r="K2" t="s">
        <v>117</v>
      </c>
    </row>
    <row r="3" spans="1:13">
      <c r="A3">
        <v>0</v>
      </c>
      <c r="B3">
        <v>0.5</v>
      </c>
      <c r="C3">
        <v>4.0000000000000003E-5</v>
      </c>
      <c r="D3">
        <v>0</v>
      </c>
      <c r="E3">
        <v>1000</v>
      </c>
      <c r="J3">
        <v>5.5071000000000002E-2</v>
      </c>
      <c r="K3">
        <v>72.17</v>
      </c>
      <c r="L3" s="7">
        <f>$J$1*3/K3</f>
        <v>0.4156851877511431</v>
      </c>
    </row>
    <row r="4" spans="1:13">
      <c r="A4">
        <f>C3*D4</f>
        <v>0.08</v>
      </c>
      <c r="B4">
        <f>A4+B3</f>
        <v>0.57999999999999996</v>
      </c>
      <c r="C4">
        <v>4.0000000000000003E-5</v>
      </c>
      <c r="D4">
        <v>2000</v>
      </c>
      <c r="E4">
        <f>D4*A4</f>
        <v>160</v>
      </c>
      <c r="J4">
        <v>4.2221000000000002E-2</v>
      </c>
      <c r="K4">
        <v>55.89</v>
      </c>
      <c r="L4" s="7">
        <f>$J$1*3/K4</f>
        <v>0.53676865271068164</v>
      </c>
    </row>
    <row r="5" spans="1:13">
      <c r="A5">
        <f>C4*D5</f>
        <v>0.1</v>
      </c>
      <c r="B5">
        <f>A5+B4</f>
        <v>0.67999999999999994</v>
      </c>
      <c r="C5">
        <v>4.0000000000000003E-5</v>
      </c>
      <c r="D5">
        <v>2500</v>
      </c>
      <c r="E5">
        <f>D5*A5</f>
        <v>250</v>
      </c>
      <c r="L5" s="7" t="e">
        <f t="shared" ref="L5:L7" si="0">$J$1*3/K5</f>
        <v>#DIV/0!</v>
      </c>
    </row>
    <row r="6" spans="1:13">
      <c r="J6">
        <v>0.11210000000000001</v>
      </c>
      <c r="K6">
        <v>0.1716</v>
      </c>
      <c r="L6" s="7">
        <f t="shared" si="0"/>
        <v>174.82517482517483</v>
      </c>
    </row>
    <row r="7" spans="1:13">
      <c r="A7" t="s">
        <v>120</v>
      </c>
      <c r="B7" t="s">
        <v>121</v>
      </c>
      <c r="C7" t="s">
        <v>36</v>
      </c>
      <c r="D7" t="s">
        <v>122</v>
      </c>
      <c r="E7" t="s">
        <v>118</v>
      </c>
      <c r="J7">
        <v>0.18709999999999999</v>
      </c>
      <c r="K7">
        <v>1871</v>
      </c>
      <c r="L7" s="7">
        <f t="shared" si="0"/>
        <v>1.6034206306787813E-2</v>
      </c>
    </row>
    <row r="8" spans="1:13">
      <c r="A8">
        <v>0</v>
      </c>
      <c r="B8">
        <v>0</v>
      </c>
      <c r="C8">
        <v>4.0000000000000003E-5</v>
      </c>
      <c r="D8">
        <v>0</v>
      </c>
      <c r="E8">
        <v>0.5</v>
      </c>
    </row>
    <row r="9" spans="1:13">
      <c r="A9">
        <v>2000</v>
      </c>
      <c r="B9">
        <f>B8+A9</f>
        <v>2000</v>
      </c>
      <c r="C9">
        <v>4.0000000000000003E-5</v>
      </c>
      <c r="D9">
        <f>A9*C9</f>
        <v>0.08</v>
      </c>
      <c r="E9">
        <f>E8+D9</f>
        <v>0.57999999999999996</v>
      </c>
    </row>
    <row r="10" spans="1:13">
      <c r="A10">
        <v>2500</v>
      </c>
      <c r="B10">
        <f>B9+A10</f>
        <v>4500</v>
      </c>
      <c r="C10">
        <v>4.0000000000000003E-5</v>
      </c>
      <c r="D10">
        <f>A10*C10</f>
        <v>0.1</v>
      </c>
      <c r="E10">
        <f>E9+D10</f>
        <v>0.67999999999999994</v>
      </c>
      <c r="F10">
        <f>(E10-E8)*B10</f>
        <v>809.99999999999977</v>
      </c>
    </row>
    <row r="12" spans="1:13">
      <c r="H12">
        <v>1.62</v>
      </c>
      <c r="I12" s="7">
        <v>1.62</v>
      </c>
      <c r="J12">
        <f>H12*I12</f>
        <v>2.6244000000000005</v>
      </c>
    </row>
    <row r="13" spans="1:13">
      <c r="C13" t="s">
        <v>123</v>
      </c>
      <c r="D13" t="s">
        <v>124</v>
      </c>
      <c r="H13">
        <v>1.38</v>
      </c>
      <c r="I13" s="7">
        <v>1.38</v>
      </c>
      <c r="J13">
        <f>H13*I13</f>
        <v>1.9043999999999996</v>
      </c>
    </row>
    <row r="14" spans="1:13">
      <c r="C14">
        <v>-1</v>
      </c>
      <c r="E14">
        <f>SUM(E15:E26)*C14</f>
        <v>556</v>
      </c>
      <c r="H14">
        <v>140</v>
      </c>
      <c r="I14" s="7">
        <v>1.38</v>
      </c>
      <c r="J14">
        <f>H14*I14</f>
        <v>193.2</v>
      </c>
      <c r="K14">
        <v>197</v>
      </c>
      <c r="L14" s="7">
        <f>H14/I14</f>
        <v>101.44927536231884</v>
      </c>
      <c r="M14">
        <v>100</v>
      </c>
    </row>
    <row r="15" spans="1:13">
      <c r="C15">
        <v>1</v>
      </c>
      <c r="D15">
        <v>28589</v>
      </c>
      <c r="E15">
        <f>C15*D15</f>
        <v>28589</v>
      </c>
      <c r="H15">
        <v>164</v>
      </c>
      <c r="I15" s="7">
        <v>1.38</v>
      </c>
      <c r="J15">
        <f t="shared" ref="J15:J26" si="1">H15*I15</f>
        <v>226.32</v>
      </c>
      <c r="K15">
        <v>230</v>
      </c>
      <c r="L15" s="7">
        <f t="shared" ref="L15:L23" si="2">H15/I15</f>
        <v>118.84057971014494</v>
      </c>
    </row>
    <row r="16" spans="1:13">
      <c r="C16">
        <v>-1</v>
      </c>
      <c r="D16">
        <v>28621</v>
      </c>
      <c r="E16">
        <f t="shared" ref="E16:E26" si="3">C16*D16</f>
        <v>-28621</v>
      </c>
      <c r="H16">
        <v>188</v>
      </c>
      <c r="I16" s="7">
        <v>1.38</v>
      </c>
      <c r="J16">
        <f t="shared" si="1"/>
        <v>259.44</v>
      </c>
      <c r="K16">
        <v>260</v>
      </c>
      <c r="L16" s="7">
        <f t="shared" si="2"/>
        <v>136.23188405797103</v>
      </c>
      <c r="M16">
        <v>140</v>
      </c>
    </row>
    <row r="17" spans="3:13">
      <c r="C17">
        <v>1</v>
      </c>
      <c r="D17">
        <v>28490</v>
      </c>
      <c r="E17">
        <f t="shared" si="3"/>
        <v>28490</v>
      </c>
      <c r="H17">
        <v>260</v>
      </c>
      <c r="I17" s="7">
        <v>1.38</v>
      </c>
      <c r="J17">
        <f t="shared" si="1"/>
        <v>358.79999999999995</v>
      </c>
      <c r="K17">
        <v>350</v>
      </c>
      <c r="L17" s="7">
        <f t="shared" si="2"/>
        <v>188.40579710144928</v>
      </c>
      <c r="M17">
        <v>188</v>
      </c>
    </row>
    <row r="18" spans="3:13">
      <c r="C18">
        <v>-1</v>
      </c>
      <c r="D18">
        <v>28700</v>
      </c>
      <c r="E18">
        <f t="shared" si="3"/>
        <v>-28700</v>
      </c>
      <c r="H18">
        <v>320</v>
      </c>
      <c r="I18" s="7">
        <v>1.38</v>
      </c>
      <c r="J18">
        <f t="shared" si="1"/>
        <v>441.59999999999997</v>
      </c>
      <c r="K18">
        <v>450</v>
      </c>
      <c r="L18" s="7">
        <f t="shared" si="2"/>
        <v>231.8840579710145</v>
      </c>
    </row>
    <row r="19" spans="3:13">
      <c r="C19">
        <v>1</v>
      </c>
      <c r="D19">
        <v>28474</v>
      </c>
      <c r="E19">
        <f t="shared" si="3"/>
        <v>28474</v>
      </c>
      <c r="H19">
        <v>340</v>
      </c>
      <c r="I19" s="7">
        <v>1.38</v>
      </c>
      <c r="J19">
        <f t="shared" si="1"/>
        <v>469.2</v>
      </c>
      <c r="K19">
        <v>460</v>
      </c>
      <c r="L19" s="7">
        <f t="shared" si="2"/>
        <v>246.37681159420291</v>
      </c>
    </row>
    <row r="20" spans="3:13">
      <c r="C20">
        <v>-1</v>
      </c>
      <c r="D20">
        <v>28582</v>
      </c>
      <c r="E20">
        <f t="shared" si="3"/>
        <v>-28582</v>
      </c>
      <c r="H20">
        <v>420</v>
      </c>
      <c r="I20" s="7">
        <v>1.38</v>
      </c>
      <c r="J20">
        <f t="shared" si="1"/>
        <v>579.59999999999991</v>
      </c>
      <c r="K20">
        <v>580</v>
      </c>
      <c r="L20" s="7">
        <f t="shared" si="2"/>
        <v>304.34782608695656</v>
      </c>
    </row>
    <row r="21" spans="3:13">
      <c r="C21">
        <v>1</v>
      </c>
      <c r="D21">
        <v>28522</v>
      </c>
      <c r="E21">
        <f t="shared" si="3"/>
        <v>28522</v>
      </c>
      <c r="H21">
        <v>460</v>
      </c>
      <c r="I21" s="7">
        <v>1.38</v>
      </c>
      <c r="J21">
        <f t="shared" si="1"/>
        <v>634.79999999999995</v>
      </c>
      <c r="K21">
        <v>650</v>
      </c>
      <c r="L21" s="7">
        <f t="shared" si="2"/>
        <v>333.33333333333337</v>
      </c>
    </row>
    <row r="22" spans="3:13">
      <c r="C22">
        <v>1</v>
      </c>
      <c r="D22">
        <v>28358</v>
      </c>
      <c r="E22">
        <f t="shared" si="3"/>
        <v>28358</v>
      </c>
      <c r="H22">
        <v>550</v>
      </c>
      <c r="I22" s="7">
        <v>1.38</v>
      </c>
      <c r="J22">
        <f t="shared" si="1"/>
        <v>758.99999999999989</v>
      </c>
      <c r="K22">
        <v>770</v>
      </c>
      <c r="L22" s="7">
        <f t="shared" si="2"/>
        <v>398.55072463768118</v>
      </c>
    </row>
    <row r="23" spans="3:13">
      <c r="C23">
        <v>-1</v>
      </c>
      <c r="D23">
        <v>28450</v>
      </c>
      <c r="E23">
        <f t="shared" si="3"/>
        <v>-28450</v>
      </c>
      <c r="H23">
        <v>580</v>
      </c>
      <c r="I23" s="7">
        <v>1.38</v>
      </c>
      <c r="J23">
        <f t="shared" si="1"/>
        <v>800.4</v>
      </c>
      <c r="K23">
        <v>800</v>
      </c>
      <c r="L23" s="7">
        <f t="shared" si="2"/>
        <v>420.28985507246381</v>
      </c>
    </row>
    <row r="24" spans="3:13">
      <c r="C24">
        <v>-1</v>
      </c>
      <c r="D24">
        <v>28561</v>
      </c>
      <c r="E24">
        <f t="shared" si="3"/>
        <v>-28561</v>
      </c>
      <c r="I24" s="7">
        <v>1.38</v>
      </c>
      <c r="J24">
        <f t="shared" si="1"/>
        <v>0</v>
      </c>
    </row>
    <row r="25" spans="3:13">
      <c r="C25">
        <v>1</v>
      </c>
      <c r="D25">
        <v>28452</v>
      </c>
      <c r="E25">
        <f t="shared" si="3"/>
        <v>28452</v>
      </c>
      <c r="I25" s="7">
        <v>1.38</v>
      </c>
      <c r="J25">
        <f t="shared" si="1"/>
        <v>0</v>
      </c>
    </row>
    <row r="26" spans="3:13">
      <c r="C26">
        <v>-1</v>
      </c>
      <c r="D26">
        <v>28527</v>
      </c>
      <c r="E26">
        <f t="shared" si="3"/>
        <v>-28527</v>
      </c>
      <c r="I26" s="7">
        <v>1.38</v>
      </c>
      <c r="J26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/>
  <dimension ref="B2:M13"/>
  <sheetViews>
    <sheetView workbookViewId="0">
      <selection activeCell="K4" sqref="K4"/>
    </sheetView>
  </sheetViews>
  <sheetFormatPr defaultRowHeight="15"/>
  <cols>
    <col min="6" max="6" width="14.28515625" style="3" customWidth="1"/>
    <col min="7" max="7" width="11" customWidth="1"/>
    <col min="8" max="8" width="9.85546875" customWidth="1"/>
    <col min="9" max="9" width="7.42578125" style="7" customWidth="1"/>
    <col min="10" max="10" width="10" style="7" customWidth="1"/>
    <col min="11" max="11" width="12.42578125" customWidth="1"/>
    <col min="13" max="13" width="13.42578125" customWidth="1"/>
  </cols>
  <sheetData>
    <row r="2" spans="2:13">
      <c r="K2">
        <v>1</v>
      </c>
      <c r="L2">
        <v>0.03</v>
      </c>
      <c r="M2">
        <f t="shared" ref="M2:M7" si="0">K2/L2*100</f>
        <v>3333.3333333333335</v>
      </c>
    </row>
    <row r="3" spans="2:13">
      <c r="B3" t="s">
        <v>130</v>
      </c>
      <c r="C3" t="s">
        <v>129</v>
      </c>
      <c r="D3" t="s">
        <v>118</v>
      </c>
      <c r="E3" t="s">
        <v>116</v>
      </c>
      <c r="F3" s="3" t="s">
        <v>133</v>
      </c>
      <c r="G3" t="s">
        <v>125</v>
      </c>
      <c r="H3" t="s">
        <v>126</v>
      </c>
      <c r="I3" s="7" t="s">
        <v>127</v>
      </c>
      <c r="J3" s="7" t="s">
        <v>128</v>
      </c>
      <c r="K3" t="s">
        <v>131</v>
      </c>
      <c r="L3">
        <v>0.14979999999999999</v>
      </c>
      <c r="M3" t="e">
        <f t="shared" si="0"/>
        <v>#VALUE!</v>
      </c>
    </row>
    <row r="4" spans="2:13">
      <c r="B4">
        <v>10.173999999999999</v>
      </c>
      <c r="C4">
        <v>74274</v>
      </c>
      <c r="D4">
        <v>0.28999999999999998</v>
      </c>
      <c r="E4">
        <v>0.38600000000000001</v>
      </c>
      <c r="F4" s="3">
        <f>1/E4*100</f>
        <v>259.06735751295338</v>
      </c>
      <c r="G4">
        <v>140</v>
      </c>
      <c r="H4">
        <f>G4*2</f>
        <v>280</v>
      </c>
      <c r="I4" s="7">
        <f>H4/F4</f>
        <v>1.0808</v>
      </c>
      <c r="J4" s="7">
        <f>B4/19.1049</f>
        <v>0.53253353851629681</v>
      </c>
      <c r="K4">
        <f>J4*C4/100</f>
        <v>395.53396039759429</v>
      </c>
      <c r="L4">
        <v>0.31040000000000001</v>
      </c>
      <c r="M4">
        <f t="shared" si="0"/>
        <v>127427.17796314249</v>
      </c>
    </row>
    <row r="5" spans="2:13">
      <c r="B5">
        <v>1000</v>
      </c>
      <c r="C5">
        <v>1790</v>
      </c>
      <c r="D5">
        <f>D4+E4*1000</f>
        <v>386.29</v>
      </c>
      <c r="F5" s="3" t="e">
        <f t="shared" ref="F5:F6" si="1">1/E5*100</f>
        <v>#DIV/0!</v>
      </c>
      <c r="K5">
        <v>1</v>
      </c>
      <c r="L5">
        <v>0.5</v>
      </c>
      <c r="M5">
        <f t="shared" si="0"/>
        <v>200</v>
      </c>
    </row>
    <row r="6" spans="2:13">
      <c r="B6">
        <v>19.824999999999999</v>
      </c>
      <c r="C6">
        <v>33066</v>
      </c>
      <c r="D6">
        <v>0.53</v>
      </c>
      <c r="E6">
        <v>0.36049999999999999</v>
      </c>
      <c r="F6" s="3">
        <f t="shared" si="1"/>
        <v>277.39251040221916</v>
      </c>
      <c r="K6">
        <v>1</v>
      </c>
      <c r="L6">
        <v>0.1837</v>
      </c>
      <c r="M6">
        <f t="shared" si="0"/>
        <v>544.36581382689167</v>
      </c>
    </row>
    <row r="7" spans="2:13">
      <c r="K7">
        <v>1</v>
      </c>
      <c r="L7">
        <v>0.1774</v>
      </c>
      <c r="M7">
        <f t="shared" si="0"/>
        <v>563.69785794813981</v>
      </c>
    </row>
    <row r="12" spans="2:13">
      <c r="C12" t="s">
        <v>53</v>
      </c>
      <c r="D12" t="s">
        <v>116</v>
      </c>
      <c r="E12" t="s">
        <v>117</v>
      </c>
      <c r="F12" s="3" t="s">
        <v>132</v>
      </c>
    </row>
    <row r="13" spans="2:13">
      <c r="C13">
        <v>74300</v>
      </c>
      <c r="D13">
        <v>0.32</v>
      </c>
      <c r="E13">
        <v>-241</v>
      </c>
      <c r="F13" s="3">
        <f>C13*C13</f>
        <v>5520490000</v>
      </c>
      <c r="G13">
        <f>-2*E13/(D13*F13)*100</f>
        <v>2.7284715668355529E-5</v>
      </c>
      <c r="H13">
        <f>SQRT(G13)</f>
        <v>5.2234773540578818E-3</v>
      </c>
      <c r="I13" s="7">
        <f>H13*100</f>
        <v>0.52234773540578816</v>
      </c>
      <c r="J13" s="7">
        <f>C13*I13/100</f>
        <v>388.10436740650061</v>
      </c>
      <c r="M13">
        <f>19.104*19.104</f>
        <v>364.96281599999998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Лист1</vt:lpstr>
      <vt:lpstr>Лист2</vt:lpstr>
      <vt:lpstr>Лист3</vt:lpstr>
      <vt:lpstr>List4</vt:lpstr>
      <vt:lpstr>Лист5</vt:lpstr>
      <vt:lpstr>Лист7</vt:lpstr>
      <vt:lpstr>Лист8</vt:lpstr>
      <vt:lpstr>Лист9</vt:lpstr>
      <vt:lpstr>Лист6</vt:lpstr>
      <vt:lpstr>Лист10</vt:lpstr>
      <vt:lpstr>Лист11</vt:lpstr>
      <vt:lpstr>Лист12</vt:lpstr>
      <vt:lpstr>Лист13</vt:lpstr>
      <vt:lpstr>Лист14</vt:lpstr>
      <vt:lpstr>Лист15</vt:lpstr>
      <vt:lpstr> ListDde</vt:lpstr>
      <vt:lpstr>Лист4</vt:lpstr>
      <vt:lpstr>Лист16</vt:lpstr>
      <vt:lpstr>Лист17</vt:lpstr>
      <vt:lpstr>Лист18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</dc:creator>
  <cp:lastModifiedBy>gs</cp:lastModifiedBy>
  <dcterms:created xsi:type="dcterms:W3CDTF">2020-09-01T05:52:50Z</dcterms:created>
  <dcterms:modified xsi:type="dcterms:W3CDTF">2023-08-22T23:37:54Z</dcterms:modified>
</cp:coreProperties>
</file>